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pivotTables/pivotTable4.xml" ContentType="application/vnd.openxmlformats-officedocument.spreadsheetml.pivotTable+xml"/>
  <Override PartName="/xl/drawings/drawing3.xml" ContentType="application/vnd.openxmlformats-officedocument.drawing+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tables/table3.xml" ContentType="application/vnd.openxmlformats-officedocument.spreadsheetml.table+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queryTables/queryTable1.xml" ContentType="application/vnd.openxmlformats-officedocument.spreadsheetml.queryTable+xml"/>
  <Override PartName="/xl/tables/table15.xml" ContentType="application/vnd.openxmlformats-officedocument.spreadsheetml.table+xml"/>
  <Override PartName="/xl/queryTables/queryTable2.xml" ContentType="application/vnd.openxmlformats-officedocument.spreadsheetml.query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queryTables/queryTable3.xml" ContentType="application/vnd.openxmlformats-officedocument.spreadsheetml.query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queryTables/queryTable4.xml" ContentType="application/vnd.openxmlformats-officedocument.spreadsheetml.queryTable+xml"/>
  <Override PartName="/xl/tables/table27.xml" ContentType="application/vnd.openxmlformats-officedocument.spreadsheetml.table+xml"/>
  <Override PartName="/xl/queryTables/queryTable5.xml" ContentType="application/vnd.openxmlformats-officedocument.spreadsheetml.queryTable+xml"/>
  <Override PartName="/xl/tables/table28.xml" ContentType="application/vnd.openxmlformats-officedocument.spreadsheetml.table+xml"/>
  <Override PartName="/xl/queryTables/queryTable6.xml" ContentType="application/vnd.openxmlformats-officedocument.spreadsheetml.query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queryTables/queryTable7.xml" ContentType="application/vnd.openxmlformats-officedocument.spreadsheetml.queryTable+xml"/>
  <Override PartName="/xl/tables/table33.xml" ContentType="application/vnd.openxmlformats-officedocument.spreadsheetml.table+xml"/>
  <Override PartName="/xl/queryTables/queryTable8.xml" ContentType="application/vnd.openxmlformats-officedocument.spreadsheetml.queryTable+xml"/>
  <Override PartName="/xl/pivotTables/pivotTable10.xml" ContentType="application/vnd.openxmlformats-officedocument.spreadsheetml.pivotTable+xml"/>
  <Override PartName="/xl/drawings/drawing6.xml" ContentType="application/vnd.openxmlformats-officedocument.drawing+xml"/>
  <Override PartName="/xl/ctrlProps/ctrlProp27.xml" ContentType="application/vnd.ms-excel.controlproperties+xml"/>
  <Override PartName="/xl/tables/table34.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trlProps/ctrlProp28.xml" ContentType="application/vnd.ms-excel.controlproperties+xml"/>
  <Override PartName="/xl/ctrlProps/ctrlProp29.xml" ContentType="application/vnd.ms-excel.controlproperties+xml"/>
  <Override PartName="/xl/tables/table35.xml" ContentType="application/vnd.openxmlformats-officedocument.spreadsheetml.table+xml"/>
  <Override PartName="/xl/drawings/drawing8.xml" ContentType="application/vnd.openxmlformats-officedocument.drawing+xml"/>
  <Override PartName="/xl/ctrlProps/ctrlProp30.xml" ContentType="application/vnd.ms-excel.controlproperties+xml"/>
  <Override PartName="/xl/ctrlProps/ctrlProp31.xml" ContentType="application/vnd.ms-excel.controlproperties+xml"/>
  <Override PartName="/xl/tables/table36.xml" ContentType="application/vnd.openxmlformats-officedocument.spreadsheetml.table+xml"/>
  <Override PartName="/xl/drawings/drawing9.xml" ContentType="application/vnd.openxmlformats-officedocument.drawing+xml"/>
  <Override PartName="/xl/ctrlProps/ctrlProp32.xml" ContentType="application/vnd.ms-excel.controlproperties+xml"/>
  <Override PartName="/xl/ctrlProps/ctrlProp33.xml" ContentType="application/vnd.ms-excel.controlproperties+xml"/>
  <Override PartName="/xl/tables/table37.xml" ContentType="application/vnd.openxmlformats-officedocument.spreadsheetml.table+xml"/>
  <Override PartName="/xl/drawings/drawing10.xml" ContentType="application/vnd.openxmlformats-officedocument.drawing+xml"/>
  <Override PartName="/xl/ctrlProps/ctrlProp34.xml" ContentType="application/vnd.ms-excel.controlproperties+xml"/>
  <Override PartName="/xl/ctrlProps/ctrlProp35.xml" ContentType="application/vnd.ms-excel.controlproperties+xml"/>
  <Override PartName="/xl/tables/table38.xml" ContentType="application/vnd.openxmlformats-officedocument.spreadsheetml.table+xml"/>
  <Override PartName="/xl/drawings/drawing11.xml" ContentType="application/vnd.openxmlformats-officedocument.drawing+xml"/>
  <Override PartName="/xl/ctrlProps/ctrlProp36.xml" ContentType="application/vnd.ms-excel.controlproperties+xml"/>
  <Override PartName="/xl/ctrlProps/ctrlProp37.xml" ContentType="application/vnd.ms-excel.controlproperties+xml"/>
  <Override PartName="/xl/tables/table39.xml" ContentType="application/vnd.openxmlformats-officedocument.spreadsheetml.table+xml"/>
  <Override PartName="/xl/drawings/drawing12.xml" ContentType="application/vnd.openxmlformats-officedocument.drawing+xml"/>
  <Override PartName="/xl/ctrlProps/ctrlProp38.xml" ContentType="application/vnd.ms-excel.controlproperties+xml"/>
  <Override PartName="/xl/ctrlProps/ctrlProp39.xml" ContentType="application/vnd.ms-excel.controlproperties+xml"/>
  <Override PartName="/xl/tables/table4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libertymutualapc-my.sharepoint.com/personal/aliffirdaus_azizul_libertyinsurance_com_my/Documents/"/>
    </mc:Choice>
  </mc:AlternateContent>
  <xr:revisionPtr revIDLastSave="0" documentId="8_{F6B9ADB7-02B9-434E-B85B-38ADAE54ADFC}" xr6:coauthVersionLast="47" xr6:coauthVersionMax="47" xr10:uidLastSave="{00000000-0000-0000-0000-000000000000}"/>
  <bookViews>
    <workbookView xWindow="-110" yWindow="-110" windowWidth="19420" windowHeight="11500" tabRatio="849" firstSheet="8" activeTab="13" xr2:uid="{136C91BC-15FC-43E8-A120-8935845AC89B}"/>
  </bookViews>
  <sheets>
    <sheet name="Overall Loss &gt;" sheetId="30" r:id="rId1"/>
    <sheet name="Link" sheetId="59" r:id="rId2"/>
    <sheet name="Malaysia" sheetId="55" r:id="rId3"/>
    <sheet name="Sub Category &gt;" sheetId="12" r:id="rId4"/>
    <sheet name="State Analysis" sheetId="50" r:id="rId5"/>
    <sheet name="Loss by Category" sheetId="48" r:id="rId6"/>
    <sheet name="Loss by State" sheetId="49" r:id="rId7"/>
    <sheet name="Agriculture by State &gt;" sheetId="23" r:id="rId8"/>
    <sheet name="AgriculturePivot" sheetId="34" r:id="rId9"/>
    <sheet name="AgriSubCatPivot" sheetId="37" r:id="rId10"/>
    <sheet name="Agriculture by State" sheetId="22" r:id="rId11"/>
    <sheet name="Agriculture By Category" sheetId="24" r:id="rId12"/>
    <sheet name="AgricultureRawData" sheetId="33" r:id="rId13"/>
    <sheet name="AgriSubCat" sheetId="35" r:id="rId14"/>
    <sheet name="Infrastructure By State &gt;" sheetId="26" r:id="rId15"/>
    <sheet name="InfraLossPivot" sheetId="40" r:id="rId16"/>
    <sheet name="JKR Pivot" sheetId="43" r:id="rId17"/>
    <sheet name="JPS Pivot" sheetId="45" r:id="rId18"/>
    <sheet name="Infrastructure Loss" sheetId="25" r:id="rId19"/>
    <sheet name="JKRQuery (2)" sheetId="42" state="hidden" r:id="rId20"/>
    <sheet name="JKR Losses" sheetId="28" r:id="rId21"/>
    <sheet name="JPS Losses" sheetId="29" r:id="rId22"/>
    <sheet name="InfraLossQuery" sheetId="38" r:id="rId23"/>
    <sheet name="JKRQuery" sheetId="41" r:id="rId24"/>
    <sheet name="JPS Query" sheetId="44" r:id="rId25"/>
    <sheet name="Raw Data &gt;" sheetId="20" r:id="rId26"/>
    <sheet name="Malaysia Raw" sheetId="3" r:id="rId27"/>
    <sheet name="MalaysiaOverall" sheetId="54" r:id="rId28"/>
    <sheet name="StatesOverall" sheetId="58" r:id="rId29"/>
    <sheet name="Sheet2" sheetId="57" r:id="rId30"/>
    <sheet name="States Total Loss" sheetId="1" r:id="rId31"/>
    <sheet name="Living Quarter" sheetId="4" r:id="rId32"/>
    <sheet name="Agriculture" sheetId="9" r:id="rId33"/>
    <sheet name="Raw Loss State" sheetId="5" r:id="rId34"/>
    <sheet name="Vehicles" sheetId="6" r:id="rId35"/>
    <sheet name="Infrastructure" sheetId="10" r:id="rId36"/>
    <sheet name="Manufacturing" sheetId="8" r:id="rId37"/>
    <sheet name="Premises" sheetId="7" r:id="rId38"/>
    <sheet name="Pertanian Perladangan" sheetId="16" r:id="rId39"/>
    <sheet name="Pertanian (Kategori)" sheetId="14" r:id="rId40"/>
    <sheet name="Infrastruktur" sheetId="19" r:id="rId41"/>
    <sheet name="JKR" sheetId="15" r:id="rId42"/>
    <sheet name="JPS" sheetId="17" r:id="rId43"/>
  </sheets>
  <externalReferences>
    <externalReference r:id="rId44"/>
    <externalReference r:id="rId45"/>
    <externalReference r:id="rId46"/>
  </externalReferences>
  <definedNames>
    <definedName name="ExternalData_1" localSheetId="12" hidden="1">AgricultureRawData!$A$1:$D$105</definedName>
    <definedName name="ExternalData_1" localSheetId="13" hidden="1">AgriSubCat!$A$1:$D$393</definedName>
    <definedName name="ExternalData_1" localSheetId="22" hidden="1">InfraLossQuery!$A$1:$D$257</definedName>
    <definedName name="ExternalData_1" localSheetId="23" hidden="1">JKRQuery!$A$1:$D$169</definedName>
    <definedName name="ExternalData_1" localSheetId="19">'JKRQuery (2)'!$A$1:$D$169</definedName>
    <definedName name="ExternalData_1" localSheetId="24" hidden="1">'JPS Query'!$A$1:$D$129</definedName>
    <definedName name="ExternalData_1" localSheetId="27" hidden="1">MalaysiaOverall!$A$1:$C$31</definedName>
    <definedName name="ExternalData_1" localSheetId="28" hidden="1">StatesOverall!$A$1:$D$481</definedName>
    <definedName name="Slicer_State1">#N/A</definedName>
  </definedNames>
  <calcPr calcId="191028"/>
  <pivotCaches>
    <pivotCache cacheId="0" r:id="rId47"/>
    <pivotCache cacheId="1" r:id="rId48"/>
    <pivotCache cacheId="2" r:id="rId49"/>
    <pivotCache cacheId="3" r:id="rId50"/>
    <pivotCache cacheId="4" r:id="rId51"/>
    <pivotCache cacheId="5" r:id="rId52"/>
    <pivotCache cacheId="6" r:id="rId53"/>
    <pivotCache cacheId="7" r:id="rId54"/>
  </pivotCaches>
  <extLst>
    <ext xmlns:x14="http://schemas.microsoft.com/office/spreadsheetml/2009/9/main" uri="{BBE1A952-AA13-448e-AADC-164F8A28A991}">
      <x14:slicerCaches>
        <x14:slicerCache r:id="rId5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59" l="1"/>
  <c r="A4" i="59"/>
  <c r="A5" i="59"/>
  <c r="A6" i="59"/>
  <c r="A7" i="59"/>
  <c r="A8" i="59" s="1"/>
  <c r="A9" i="59" s="1"/>
  <c r="A10" i="59" s="1"/>
  <c r="C69" i="5"/>
  <c r="D69" i="5"/>
  <c r="C107" i="5"/>
  <c r="D107" i="5"/>
  <c r="F107" i="5"/>
  <c r="G107" i="5"/>
  <c r="H107" i="5"/>
  <c r="I107" i="5"/>
  <c r="J107" i="5"/>
  <c r="K107" i="5"/>
  <c r="L107" i="5"/>
  <c r="M107" i="5"/>
  <c r="N107" i="5"/>
  <c r="O107" i="5"/>
  <c r="P107" i="5"/>
  <c r="Q107" i="5"/>
  <c r="R107" i="5"/>
  <c r="S107" i="5"/>
  <c r="T107" i="5"/>
  <c r="U107" i="5"/>
  <c r="E107" i="5"/>
  <c r="F69" i="5"/>
  <c r="G69" i="5"/>
  <c r="H69" i="5"/>
  <c r="I69" i="5"/>
  <c r="J69" i="5"/>
  <c r="K69" i="5"/>
  <c r="L69" i="5"/>
  <c r="M69" i="5"/>
  <c r="N69" i="5"/>
  <c r="O69" i="5"/>
  <c r="P69" i="5"/>
  <c r="Q69" i="5"/>
  <c r="R69" i="5"/>
  <c r="S69" i="5"/>
  <c r="T69" i="5"/>
  <c r="U69" i="5"/>
  <c r="E69" i="5"/>
  <c r="N32" i="5"/>
  <c r="K32" i="5"/>
  <c r="H32" i="5"/>
  <c r="E32" i="5"/>
  <c r="E13" i="55"/>
  <c r="F13" i="55"/>
  <c r="D13" i="55"/>
  <c r="C13" i="55"/>
  <c r="B15" i="4"/>
  <c r="B14" i="4"/>
  <c r="B13" i="4"/>
  <c r="B12" i="4"/>
  <c r="C15" i="4"/>
  <c r="C14" i="4"/>
  <c r="C13" i="4"/>
  <c r="C12" i="4"/>
  <c r="D15" i="4"/>
  <c r="D14" i="4"/>
  <c r="D13" i="4"/>
  <c r="D12" i="4"/>
  <c r="E15" i="4"/>
  <c r="E14" i="4"/>
  <c r="E13" i="4"/>
  <c r="E12" i="4"/>
  <c r="F15" i="4"/>
  <c r="F14" i="4"/>
  <c r="F13" i="4"/>
  <c r="E32" i="4" s="1"/>
  <c r="E51" i="4" s="1"/>
  <c r="F12" i="4"/>
  <c r="F18" i="4"/>
  <c r="F17" i="4"/>
  <c r="F16" i="4"/>
  <c r="F11" i="4"/>
  <c r="E30" i="4" s="1"/>
  <c r="E49" i="4" s="1"/>
  <c r="F10" i="4"/>
  <c r="F9" i="4"/>
  <c r="F8" i="4"/>
  <c r="F7" i="4"/>
  <c r="F6" i="4"/>
  <c r="F5" i="4"/>
  <c r="E33" i="4"/>
  <c r="E52" i="4" s="1"/>
  <c r="E34" i="4"/>
  <c r="E53" i="4" s="1"/>
  <c r="F3" i="4"/>
  <c r="F4" i="4"/>
  <c r="J8" i="48"/>
  <c r="J7" i="48"/>
  <c r="J9" i="48"/>
  <c r="J6" i="48"/>
  <c r="J5" i="48"/>
  <c r="C36" i="55"/>
  <c r="E36" i="55"/>
  <c r="F36" i="55"/>
  <c r="D36" i="55"/>
  <c r="M24" i="29"/>
  <c r="N24" i="29"/>
  <c r="O24" i="29"/>
  <c r="M25" i="29"/>
  <c r="N25" i="29"/>
  <c r="O25" i="29"/>
  <c r="M26" i="29"/>
  <c r="N26" i="29"/>
  <c r="O26" i="29"/>
  <c r="M27" i="29"/>
  <c r="N27" i="29"/>
  <c r="O27" i="29"/>
  <c r="M28" i="29"/>
  <c r="N28" i="29"/>
  <c r="O28" i="29"/>
  <c r="M29" i="29"/>
  <c r="N29" i="29"/>
  <c r="O29" i="29"/>
  <c r="M30" i="29"/>
  <c r="N30" i="29"/>
  <c r="O30" i="29"/>
  <c r="M31" i="29"/>
  <c r="N31" i="29"/>
  <c r="O31" i="29"/>
  <c r="M32" i="29"/>
  <c r="N32" i="29"/>
  <c r="O32" i="29"/>
  <c r="M33" i="29"/>
  <c r="N33" i="29"/>
  <c r="O33" i="29"/>
  <c r="M34" i="29"/>
  <c r="N34" i="29"/>
  <c r="O34" i="29"/>
  <c r="M35" i="29"/>
  <c r="N35" i="29"/>
  <c r="O35" i="29"/>
  <c r="O36" i="29"/>
  <c r="O37" i="29"/>
  <c r="O38" i="29"/>
  <c r="M39" i="29"/>
  <c r="N39" i="29"/>
  <c r="O39" i="29"/>
  <c r="N23" i="29"/>
  <c r="O23" i="29"/>
  <c r="M23" i="29"/>
  <c r="H24" i="29"/>
  <c r="I24" i="29"/>
  <c r="J24" i="29"/>
  <c r="H25" i="29"/>
  <c r="I25" i="29"/>
  <c r="J25" i="29"/>
  <c r="H26" i="29"/>
  <c r="I26" i="29"/>
  <c r="J26" i="29"/>
  <c r="H27" i="29"/>
  <c r="I27" i="29"/>
  <c r="J27" i="29"/>
  <c r="H28" i="29"/>
  <c r="I28" i="29"/>
  <c r="J28" i="29"/>
  <c r="H29" i="29"/>
  <c r="I29" i="29"/>
  <c r="J29" i="29"/>
  <c r="H30" i="29"/>
  <c r="I30" i="29"/>
  <c r="J30" i="29"/>
  <c r="H31" i="29"/>
  <c r="I31" i="29"/>
  <c r="J31" i="29"/>
  <c r="H32" i="29"/>
  <c r="I32" i="29"/>
  <c r="J32" i="29"/>
  <c r="H33" i="29"/>
  <c r="I33" i="29"/>
  <c r="J33" i="29"/>
  <c r="H34" i="29"/>
  <c r="I34" i="29"/>
  <c r="J34" i="29"/>
  <c r="H35" i="29"/>
  <c r="I35" i="29"/>
  <c r="J35" i="29"/>
  <c r="H36" i="29"/>
  <c r="M36" i="29" s="1"/>
  <c r="I36" i="29"/>
  <c r="N36" i="29" s="1"/>
  <c r="J36" i="29"/>
  <c r="H37" i="29"/>
  <c r="M37" i="29" s="1"/>
  <c r="I37" i="29"/>
  <c r="N37" i="29" s="1"/>
  <c r="J37" i="29"/>
  <c r="H38" i="29"/>
  <c r="M38" i="29" s="1"/>
  <c r="I38" i="29"/>
  <c r="N38" i="29" s="1"/>
  <c r="J38" i="29"/>
  <c r="H39" i="29"/>
  <c r="I39" i="29"/>
  <c r="J39" i="29"/>
  <c r="I23" i="29"/>
  <c r="J23" i="29"/>
  <c r="H23" i="29"/>
  <c r="M4" i="29"/>
  <c r="N4" i="29"/>
  <c r="O4" i="29"/>
  <c r="M5" i="29"/>
  <c r="N5" i="29"/>
  <c r="O5" i="29"/>
  <c r="M6" i="29"/>
  <c r="N6" i="29"/>
  <c r="O6" i="29"/>
  <c r="M7" i="29"/>
  <c r="N7" i="29"/>
  <c r="O7" i="29"/>
  <c r="M8" i="29"/>
  <c r="N8" i="29"/>
  <c r="O8" i="29"/>
  <c r="M9" i="29"/>
  <c r="N9" i="29"/>
  <c r="O9" i="29"/>
  <c r="M10" i="29"/>
  <c r="N10" i="29"/>
  <c r="O10" i="29"/>
  <c r="M11" i="29"/>
  <c r="N11" i="29"/>
  <c r="O11" i="29"/>
  <c r="M12" i="29"/>
  <c r="N12" i="29"/>
  <c r="O12" i="29"/>
  <c r="M13" i="29"/>
  <c r="N13" i="29"/>
  <c r="O13" i="29"/>
  <c r="M14" i="29"/>
  <c r="N14" i="29"/>
  <c r="O14" i="29"/>
  <c r="M15" i="29"/>
  <c r="N15" i="29"/>
  <c r="O15" i="29"/>
  <c r="M16" i="29"/>
  <c r="N16" i="29"/>
  <c r="O16" i="29"/>
  <c r="M17" i="29"/>
  <c r="N17" i="29"/>
  <c r="O17" i="29"/>
  <c r="M18" i="29"/>
  <c r="N18" i="29"/>
  <c r="O18" i="29"/>
  <c r="M19" i="29"/>
  <c r="N19" i="29"/>
  <c r="O19" i="29"/>
  <c r="N3" i="29"/>
  <c r="O3" i="29"/>
  <c r="M3" i="29"/>
  <c r="H4" i="29"/>
  <c r="I4" i="29"/>
  <c r="J4" i="29"/>
  <c r="H5" i="29"/>
  <c r="I5" i="29"/>
  <c r="J5" i="29"/>
  <c r="H6" i="29"/>
  <c r="I6" i="29"/>
  <c r="J6" i="29"/>
  <c r="H7" i="29"/>
  <c r="I7" i="29"/>
  <c r="J7" i="29"/>
  <c r="H8" i="29"/>
  <c r="I8" i="29"/>
  <c r="J8" i="29"/>
  <c r="H9" i="29"/>
  <c r="I9" i="29"/>
  <c r="J9" i="29"/>
  <c r="H10" i="29"/>
  <c r="I10" i="29"/>
  <c r="J10" i="29"/>
  <c r="H11" i="29"/>
  <c r="I11" i="29"/>
  <c r="J11" i="29"/>
  <c r="H12" i="29"/>
  <c r="I12" i="29"/>
  <c r="J12" i="29"/>
  <c r="H13" i="29"/>
  <c r="I13" i="29"/>
  <c r="J13" i="29"/>
  <c r="H14" i="29"/>
  <c r="I14" i="29"/>
  <c r="J14" i="29"/>
  <c r="H15" i="29"/>
  <c r="I15" i="29"/>
  <c r="J15" i="29"/>
  <c r="H16" i="29"/>
  <c r="I16" i="29"/>
  <c r="J16" i="29"/>
  <c r="H17" i="29"/>
  <c r="I17" i="29"/>
  <c r="J17" i="29"/>
  <c r="H18" i="29"/>
  <c r="I18" i="29"/>
  <c r="J18" i="29"/>
  <c r="H19" i="29"/>
  <c r="I19" i="29"/>
  <c r="J19" i="29"/>
  <c r="I3" i="29"/>
  <c r="J3" i="29"/>
  <c r="H3" i="29"/>
  <c r="M58" i="28"/>
  <c r="N58" i="28"/>
  <c r="O58" i="28"/>
  <c r="M59" i="28"/>
  <c r="N59" i="28"/>
  <c r="O59" i="28"/>
  <c r="M60" i="28"/>
  <c r="N60" i="28"/>
  <c r="O60" i="28"/>
  <c r="M61" i="28"/>
  <c r="N61" i="28"/>
  <c r="O61" i="28"/>
  <c r="M62" i="28"/>
  <c r="N62" i="28"/>
  <c r="O62" i="28"/>
  <c r="M63" i="28"/>
  <c r="N63" i="28"/>
  <c r="O63" i="28"/>
  <c r="M64" i="28"/>
  <c r="N64" i="28"/>
  <c r="O64" i="28"/>
  <c r="M65" i="28"/>
  <c r="N65" i="28"/>
  <c r="O65" i="28"/>
  <c r="M66" i="28"/>
  <c r="N66" i="28"/>
  <c r="O66" i="28"/>
  <c r="M67" i="28"/>
  <c r="N67" i="28"/>
  <c r="O67" i="28"/>
  <c r="M68" i="28"/>
  <c r="N68" i="28"/>
  <c r="O68" i="28"/>
  <c r="M69" i="28"/>
  <c r="N69" i="28"/>
  <c r="O69" i="28"/>
  <c r="M70" i="28"/>
  <c r="N70" i="28"/>
  <c r="O70" i="28"/>
  <c r="M71" i="28"/>
  <c r="N71" i="28"/>
  <c r="O71" i="28"/>
  <c r="N57" i="28"/>
  <c r="O57" i="28"/>
  <c r="M57" i="28"/>
  <c r="M40" i="28"/>
  <c r="N40" i="28"/>
  <c r="O40" i="28"/>
  <c r="M41" i="28"/>
  <c r="N41" i="28"/>
  <c r="O41" i="28"/>
  <c r="M42" i="28"/>
  <c r="N42" i="28"/>
  <c r="O42" i="28"/>
  <c r="M43" i="28"/>
  <c r="N43" i="28"/>
  <c r="O43" i="28"/>
  <c r="M44" i="28"/>
  <c r="N44" i="28"/>
  <c r="O44" i="28"/>
  <c r="M45" i="28"/>
  <c r="N45" i="28"/>
  <c r="O45" i="28"/>
  <c r="M46" i="28"/>
  <c r="N46" i="28"/>
  <c r="O46" i="28"/>
  <c r="M47" i="28"/>
  <c r="N47" i="28"/>
  <c r="O47" i="28"/>
  <c r="M48" i="28"/>
  <c r="N48" i="28"/>
  <c r="O48" i="28"/>
  <c r="M49" i="28"/>
  <c r="N49" i="28"/>
  <c r="O49" i="28"/>
  <c r="M50" i="28"/>
  <c r="N50" i="28"/>
  <c r="O50" i="28"/>
  <c r="M51" i="28"/>
  <c r="N51" i="28"/>
  <c r="O51" i="28"/>
  <c r="M52" i="28"/>
  <c r="N52" i="28"/>
  <c r="O52" i="28"/>
  <c r="M53" i="28"/>
  <c r="N53" i="28"/>
  <c r="O53" i="28"/>
  <c r="N39" i="28"/>
  <c r="O39" i="28"/>
  <c r="M39" i="28"/>
  <c r="M22" i="28"/>
  <c r="N22" i="28"/>
  <c r="O22" i="28"/>
  <c r="M23" i="28"/>
  <c r="N23" i="28"/>
  <c r="O23" i="28"/>
  <c r="M24" i="28"/>
  <c r="N24" i="28"/>
  <c r="O24" i="28"/>
  <c r="M25" i="28"/>
  <c r="N25" i="28"/>
  <c r="O25" i="28"/>
  <c r="M26" i="28"/>
  <c r="N26" i="28"/>
  <c r="O26" i="28"/>
  <c r="M27" i="28"/>
  <c r="N27" i="28"/>
  <c r="O27" i="28"/>
  <c r="M28" i="28"/>
  <c r="N28" i="28"/>
  <c r="O28" i="28"/>
  <c r="M29" i="28"/>
  <c r="N29" i="28"/>
  <c r="O29" i="28"/>
  <c r="M30" i="28"/>
  <c r="N30" i="28"/>
  <c r="O30" i="28"/>
  <c r="M31" i="28"/>
  <c r="N31" i="28"/>
  <c r="O31" i="28"/>
  <c r="M32" i="28"/>
  <c r="N32" i="28"/>
  <c r="O32" i="28"/>
  <c r="M33" i="28"/>
  <c r="N33" i="28"/>
  <c r="O33" i="28"/>
  <c r="M34" i="28"/>
  <c r="N34" i="28"/>
  <c r="O34" i="28"/>
  <c r="M35" i="28"/>
  <c r="N35" i="28"/>
  <c r="O35" i="28"/>
  <c r="N21" i="28"/>
  <c r="O21" i="28"/>
  <c r="M21" i="28"/>
  <c r="M4" i="28"/>
  <c r="N4" i="28"/>
  <c r="O4" i="28"/>
  <c r="M5" i="28"/>
  <c r="N5" i="28"/>
  <c r="O5" i="28"/>
  <c r="M6" i="28"/>
  <c r="N6" i="28"/>
  <c r="O6" i="28"/>
  <c r="M7" i="28"/>
  <c r="N7" i="28"/>
  <c r="O7" i="28"/>
  <c r="M8" i="28"/>
  <c r="N8" i="28"/>
  <c r="O8" i="28"/>
  <c r="M9" i="28"/>
  <c r="N9" i="28"/>
  <c r="O9" i="28"/>
  <c r="M10" i="28"/>
  <c r="N10" i="28"/>
  <c r="O10" i="28"/>
  <c r="M11" i="28"/>
  <c r="N11" i="28"/>
  <c r="O11" i="28"/>
  <c r="M12" i="28"/>
  <c r="N12" i="28"/>
  <c r="O12" i="28"/>
  <c r="M13" i="28"/>
  <c r="N13" i="28"/>
  <c r="O13" i="28"/>
  <c r="M14" i="28"/>
  <c r="N14" i="28"/>
  <c r="O14" i="28"/>
  <c r="M15" i="28"/>
  <c r="N15" i="28"/>
  <c r="O15" i="28"/>
  <c r="M16" i="28"/>
  <c r="N16" i="28"/>
  <c r="O16" i="28"/>
  <c r="M17" i="28"/>
  <c r="N17" i="28"/>
  <c r="O17" i="28"/>
  <c r="N3" i="28"/>
  <c r="O3" i="28"/>
  <c r="M3" i="28"/>
  <c r="H58" i="28"/>
  <c r="I58" i="28"/>
  <c r="J58" i="28"/>
  <c r="H59" i="28"/>
  <c r="I59" i="28"/>
  <c r="J59" i="28"/>
  <c r="H60" i="28"/>
  <c r="I60" i="28"/>
  <c r="J60" i="28"/>
  <c r="H61" i="28"/>
  <c r="I61" i="28"/>
  <c r="J61" i="28"/>
  <c r="H62" i="28"/>
  <c r="I62" i="28"/>
  <c r="J62" i="28"/>
  <c r="H63" i="28"/>
  <c r="I63" i="28"/>
  <c r="J63" i="28"/>
  <c r="H64" i="28"/>
  <c r="I64" i="28"/>
  <c r="J64" i="28"/>
  <c r="H65" i="28"/>
  <c r="I65" i="28"/>
  <c r="J65" i="28"/>
  <c r="H66" i="28"/>
  <c r="I66" i="28"/>
  <c r="J66" i="28"/>
  <c r="H67" i="28"/>
  <c r="I67" i="28"/>
  <c r="J67" i="28"/>
  <c r="H68" i="28"/>
  <c r="I68" i="28"/>
  <c r="J68" i="28"/>
  <c r="H69" i="28"/>
  <c r="I69" i="28"/>
  <c r="J69" i="28"/>
  <c r="H70" i="28"/>
  <c r="I70" i="28"/>
  <c r="J70" i="28"/>
  <c r="H71" i="28"/>
  <c r="I71" i="28"/>
  <c r="J71" i="28"/>
  <c r="I57" i="28"/>
  <c r="J57" i="28"/>
  <c r="H57" i="28"/>
  <c r="J40" i="28"/>
  <c r="J41" i="28"/>
  <c r="J42" i="28"/>
  <c r="J43" i="28"/>
  <c r="J44" i="28"/>
  <c r="J45" i="28"/>
  <c r="J46" i="28"/>
  <c r="J47" i="28"/>
  <c r="J48" i="28"/>
  <c r="J49" i="28"/>
  <c r="J50" i="28"/>
  <c r="J51" i="28"/>
  <c r="J52" i="28"/>
  <c r="J53" i="28"/>
  <c r="H40" i="28"/>
  <c r="I40" i="28"/>
  <c r="H41" i="28"/>
  <c r="I41" i="28"/>
  <c r="H42" i="28"/>
  <c r="I42" i="28"/>
  <c r="H43" i="28"/>
  <c r="I43" i="28"/>
  <c r="H44" i="28"/>
  <c r="I44" i="28"/>
  <c r="H45" i="28"/>
  <c r="I45" i="28"/>
  <c r="H46" i="28"/>
  <c r="I46" i="28"/>
  <c r="H47" i="28"/>
  <c r="I47" i="28"/>
  <c r="H48" i="28"/>
  <c r="I48" i="28"/>
  <c r="H49" i="28"/>
  <c r="I49" i="28"/>
  <c r="H50" i="28"/>
  <c r="I50" i="28"/>
  <c r="H51" i="28"/>
  <c r="I51" i="28"/>
  <c r="H52" i="28"/>
  <c r="I52" i="28"/>
  <c r="H53" i="28"/>
  <c r="I53" i="28"/>
  <c r="I39" i="28"/>
  <c r="J39" i="28"/>
  <c r="H39" i="28"/>
  <c r="H22" i="28"/>
  <c r="I22" i="28"/>
  <c r="J22" i="28"/>
  <c r="H23" i="28"/>
  <c r="I23" i="28"/>
  <c r="J23" i="28"/>
  <c r="H24" i="28"/>
  <c r="I24" i="28"/>
  <c r="J24" i="28"/>
  <c r="H25" i="28"/>
  <c r="I25" i="28"/>
  <c r="J25" i="28"/>
  <c r="H26" i="28"/>
  <c r="I26" i="28"/>
  <c r="J26" i="28"/>
  <c r="H27" i="28"/>
  <c r="I27" i="28"/>
  <c r="J27" i="28"/>
  <c r="H28" i="28"/>
  <c r="I28" i="28"/>
  <c r="J28" i="28"/>
  <c r="H29" i="28"/>
  <c r="I29" i="28"/>
  <c r="J29" i="28"/>
  <c r="H30" i="28"/>
  <c r="I30" i="28"/>
  <c r="J30" i="28"/>
  <c r="H31" i="28"/>
  <c r="I31" i="28"/>
  <c r="J31" i="28"/>
  <c r="H32" i="28"/>
  <c r="I32" i="28"/>
  <c r="J32" i="28"/>
  <c r="H33" i="28"/>
  <c r="I33" i="28"/>
  <c r="J33" i="28"/>
  <c r="H34" i="28"/>
  <c r="I34" i="28"/>
  <c r="J34" i="28"/>
  <c r="H35" i="28"/>
  <c r="I35" i="28"/>
  <c r="J35" i="28"/>
  <c r="I21" i="28"/>
  <c r="J21" i="28"/>
  <c r="H21" i="28"/>
  <c r="H4" i="28"/>
  <c r="I4" i="28"/>
  <c r="J4" i="28"/>
  <c r="H5" i="28"/>
  <c r="I5" i="28"/>
  <c r="J5" i="28"/>
  <c r="H6" i="28"/>
  <c r="I6" i="28"/>
  <c r="J6" i="28"/>
  <c r="H7" i="28"/>
  <c r="I7" i="28"/>
  <c r="J7" i="28"/>
  <c r="H8" i="28"/>
  <c r="I8" i="28"/>
  <c r="J8" i="28"/>
  <c r="H9" i="28"/>
  <c r="I9" i="28"/>
  <c r="J9" i="28"/>
  <c r="H10" i="28"/>
  <c r="I10" i="28"/>
  <c r="J10" i="28"/>
  <c r="H11" i="28"/>
  <c r="I11" i="28"/>
  <c r="J11" i="28"/>
  <c r="H12" i="28"/>
  <c r="I12" i="28"/>
  <c r="J12" i="28"/>
  <c r="H13" i="28"/>
  <c r="I13" i="28"/>
  <c r="J13" i="28"/>
  <c r="H14" i="28"/>
  <c r="I14" i="28"/>
  <c r="J14" i="28"/>
  <c r="H15" i="28"/>
  <c r="I15" i="28"/>
  <c r="J15" i="28"/>
  <c r="H16" i="28"/>
  <c r="I16" i="28"/>
  <c r="J16" i="28"/>
  <c r="H17" i="28"/>
  <c r="I17" i="28"/>
  <c r="J17" i="28"/>
  <c r="I3" i="28"/>
  <c r="J3" i="28"/>
  <c r="H3" i="28"/>
  <c r="B57" i="28"/>
  <c r="B39" i="28"/>
  <c r="B21" i="28"/>
  <c r="B3" i="28"/>
  <c r="M64" i="25"/>
  <c r="N64" i="25"/>
  <c r="O64" i="25"/>
  <c r="M65" i="25"/>
  <c r="N65" i="25"/>
  <c r="O65" i="25"/>
  <c r="M66" i="25"/>
  <c r="N66" i="25"/>
  <c r="O66" i="25"/>
  <c r="M67" i="25"/>
  <c r="N67" i="25"/>
  <c r="O67" i="25"/>
  <c r="M68" i="25"/>
  <c r="N68" i="25"/>
  <c r="O68" i="25"/>
  <c r="M69" i="25"/>
  <c r="N69" i="25"/>
  <c r="O69" i="25"/>
  <c r="M70" i="25"/>
  <c r="N70" i="25"/>
  <c r="O70" i="25"/>
  <c r="M71" i="25"/>
  <c r="N71" i="25"/>
  <c r="O71" i="25"/>
  <c r="M72" i="25"/>
  <c r="N72" i="25"/>
  <c r="O72" i="25"/>
  <c r="M73" i="25"/>
  <c r="N73" i="25"/>
  <c r="O73" i="25"/>
  <c r="M74" i="25"/>
  <c r="N74" i="25"/>
  <c r="O74" i="25"/>
  <c r="M75" i="25"/>
  <c r="N75" i="25"/>
  <c r="O75" i="25"/>
  <c r="M76" i="25"/>
  <c r="N76" i="25"/>
  <c r="O76" i="25"/>
  <c r="M77" i="25"/>
  <c r="N77" i="25"/>
  <c r="O77" i="25"/>
  <c r="M78" i="25"/>
  <c r="N78" i="25"/>
  <c r="O78" i="25"/>
  <c r="M79" i="25"/>
  <c r="N79" i="25"/>
  <c r="O79" i="25"/>
  <c r="N63" i="25"/>
  <c r="O63" i="25"/>
  <c r="M63" i="25"/>
  <c r="M44" i="25"/>
  <c r="N44" i="25"/>
  <c r="O44" i="25"/>
  <c r="M45" i="25"/>
  <c r="N45" i="25"/>
  <c r="O45" i="25"/>
  <c r="M46" i="25"/>
  <c r="N46" i="25"/>
  <c r="O46" i="25"/>
  <c r="M47" i="25"/>
  <c r="N47" i="25"/>
  <c r="O47" i="25"/>
  <c r="M48" i="25"/>
  <c r="N48" i="25"/>
  <c r="O48" i="25"/>
  <c r="M49" i="25"/>
  <c r="N49" i="25"/>
  <c r="O49" i="25"/>
  <c r="M50" i="25"/>
  <c r="N50" i="25"/>
  <c r="O50" i="25"/>
  <c r="M51" i="25"/>
  <c r="N51" i="25"/>
  <c r="O51" i="25"/>
  <c r="M52" i="25"/>
  <c r="N52" i="25"/>
  <c r="O52" i="25"/>
  <c r="M53" i="25"/>
  <c r="N53" i="25"/>
  <c r="O53" i="25"/>
  <c r="M54" i="25"/>
  <c r="N54" i="25"/>
  <c r="O54" i="25"/>
  <c r="M55" i="25"/>
  <c r="N55" i="25"/>
  <c r="O55" i="25"/>
  <c r="M56" i="25"/>
  <c r="N56" i="25"/>
  <c r="O56" i="25"/>
  <c r="M57" i="25"/>
  <c r="N57" i="25"/>
  <c r="O57" i="25"/>
  <c r="M58" i="25"/>
  <c r="N58" i="25"/>
  <c r="O58" i="25"/>
  <c r="M59" i="25"/>
  <c r="N59" i="25"/>
  <c r="O59" i="25"/>
  <c r="N43" i="25"/>
  <c r="O43" i="25"/>
  <c r="M43" i="25"/>
  <c r="M24" i="25"/>
  <c r="N24" i="25"/>
  <c r="O24" i="25"/>
  <c r="M25" i="25"/>
  <c r="N25" i="25"/>
  <c r="O25" i="25"/>
  <c r="M26" i="25"/>
  <c r="N26" i="25"/>
  <c r="O26" i="25"/>
  <c r="M27" i="25"/>
  <c r="N27" i="25"/>
  <c r="O27" i="25"/>
  <c r="M28" i="25"/>
  <c r="N28" i="25"/>
  <c r="O28" i="25"/>
  <c r="M29" i="25"/>
  <c r="N29" i="25"/>
  <c r="O29" i="25"/>
  <c r="M30" i="25"/>
  <c r="N30" i="25"/>
  <c r="O30" i="25"/>
  <c r="M31" i="25"/>
  <c r="N31" i="25"/>
  <c r="O31" i="25"/>
  <c r="M32" i="25"/>
  <c r="N32" i="25"/>
  <c r="O32" i="25"/>
  <c r="M33" i="25"/>
  <c r="N33" i="25"/>
  <c r="O33" i="25"/>
  <c r="M34" i="25"/>
  <c r="N34" i="25"/>
  <c r="O34" i="25"/>
  <c r="M35" i="25"/>
  <c r="N35" i="25"/>
  <c r="O35" i="25"/>
  <c r="M36" i="25"/>
  <c r="N36" i="25"/>
  <c r="O36" i="25"/>
  <c r="M37" i="25"/>
  <c r="N37" i="25"/>
  <c r="O37" i="25"/>
  <c r="M38" i="25"/>
  <c r="N38" i="25"/>
  <c r="O38" i="25"/>
  <c r="M39" i="25"/>
  <c r="N39" i="25"/>
  <c r="O39" i="25"/>
  <c r="N23" i="25"/>
  <c r="O23" i="25"/>
  <c r="M23" i="25"/>
  <c r="M4" i="25"/>
  <c r="N4" i="25"/>
  <c r="O4" i="25"/>
  <c r="M5" i="25"/>
  <c r="N5" i="25"/>
  <c r="O5" i="25"/>
  <c r="M6" i="25"/>
  <c r="N6" i="25"/>
  <c r="O6" i="25"/>
  <c r="M7" i="25"/>
  <c r="N7" i="25"/>
  <c r="O7" i="25"/>
  <c r="M8" i="25"/>
  <c r="N8" i="25"/>
  <c r="O8" i="25"/>
  <c r="M9" i="25"/>
  <c r="N9" i="25"/>
  <c r="O9" i="25"/>
  <c r="M10" i="25"/>
  <c r="N10" i="25"/>
  <c r="O10" i="25"/>
  <c r="M11" i="25"/>
  <c r="N11" i="25"/>
  <c r="O11" i="25"/>
  <c r="M12" i="25"/>
  <c r="N12" i="25"/>
  <c r="O12" i="25"/>
  <c r="M13" i="25"/>
  <c r="N13" i="25"/>
  <c r="O13" i="25"/>
  <c r="M14" i="25"/>
  <c r="N14" i="25"/>
  <c r="O14" i="25"/>
  <c r="M15" i="25"/>
  <c r="N15" i="25"/>
  <c r="O15" i="25"/>
  <c r="M16" i="25"/>
  <c r="N16" i="25"/>
  <c r="O16" i="25"/>
  <c r="M17" i="25"/>
  <c r="N17" i="25"/>
  <c r="O17" i="25"/>
  <c r="M18" i="25"/>
  <c r="N18" i="25"/>
  <c r="O18" i="25"/>
  <c r="M19" i="25"/>
  <c r="N19" i="25"/>
  <c r="O19" i="25"/>
  <c r="N3" i="25"/>
  <c r="O3" i="25"/>
  <c r="M3" i="25"/>
  <c r="H64" i="25"/>
  <c r="I64" i="25"/>
  <c r="J64" i="25"/>
  <c r="H65" i="25"/>
  <c r="I65" i="25"/>
  <c r="J65" i="25"/>
  <c r="H66" i="25"/>
  <c r="I66" i="25"/>
  <c r="J66" i="25"/>
  <c r="H67" i="25"/>
  <c r="I67" i="25"/>
  <c r="J67" i="25"/>
  <c r="H68" i="25"/>
  <c r="I68" i="25"/>
  <c r="J68" i="25"/>
  <c r="H69" i="25"/>
  <c r="I69" i="25"/>
  <c r="J69" i="25"/>
  <c r="H70" i="25"/>
  <c r="I70" i="25"/>
  <c r="J70" i="25"/>
  <c r="H71" i="25"/>
  <c r="I71" i="25"/>
  <c r="J71" i="25"/>
  <c r="H72" i="25"/>
  <c r="I72" i="25"/>
  <c r="J72" i="25"/>
  <c r="H73" i="25"/>
  <c r="I73" i="25"/>
  <c r="J73" i="25"/>
  <c r="H74" i="25"/>
  <c r="I74" i="25"/>
  <c r="J74" i="25"/>
  <c r="H75" i="25"/>
  <c r="I75" i="25"/>
  <c r="J75" i="25"/>
  <c r="H76" i="25"/>
  <c r="I76" i="25"/>
  <c r="J76" i="25"/>
  <c r="H77" i="25"/>
  <c r="I77" i="25"/>
  <c r="J77" i="25"/>
  <c r="H78" i="25"/>
  <c r="I78" i="25"/>
  <c r="J78" i="25"/>
  <c r="H79" i="25"/>
  <c r="I79" i="25"/>
  <c r="J79" i="25"/>
  <c r="I63" i="25"/>
  <c r="J63" i="25"/>
  <c r="H63" i="25"/>
  <c r="H44" i="25"/>
  <c r="I44" i="25"/>
  <c r="J44" i="25"/>
  <c r="H45" i="25"/>
  <c r="I45" i="25"/>
  <c r="J45" i="25"/>
  <c r="H46" i="25"/>
  <c r="I46" i="25"/>
  <c r="J46" i="25"/>
  <c r="H47" i="25"/>
  <c r="I47" i="25"/>
  <c r="J47" i="25"/>
  <c r="H48" i="25"/>
  <c r="I48" i="25"/>
  <c r="J48" i="25"/>
  <c r="H49" i="25"/>
  <c r="I49" i="25"/>
  <c r="J49" i="25"/>
  <c r="H50" i="25"/>
  <c r="I50" i="25"/>
  <c r="J50" i="25"/>
  <c r="H51" i="25"/>
  <c r="I51" i="25"/>
  <c r="J51" i="25"/>
  <c r="H52" i="25"/>
  <c r="I52" i="25"/>
  <c r="J52" i="25"/>
  <c r="H53" i="25"/>
  <c r="I53" i="25"/>
  <c r="J53" i="25"/>
  <c r="H54" i="25"/>
  <c r="I54" i="25"/>
  <c r="J54" i="25"/>
  <c r="H55" i="25"/>
  <c r="I55" i="25"/>
  <c r="J55" i="25"/>
  <c r="H56" i="25"/>
  <c r="I56" i="25"/>
  <c r="J56" i="25"/>
  <c r="H57" i="25"/>
  <c r="I57" i="25"/>
  <c r="J57" i="25"/>
  <c r="H58" i="25"/>
  <c r="I58" i="25"/>
  <c r="J58" i="25"/>
  <c r="H59" i="25"/>
  <c r="I59" i="25"/>
  <c r="J59" i="25"/>
  <c r="I43" i="25"/>
  <c r="J43" i="25"/>
  <c r="H43" i="25"/>
  <c r="H24" i="25"/>
  <c r="I24" i="25"/>
  <c r="J24" i="25"/>
  <c r="H25" i="25"/>
  <c r="I25" i="25"/>
  <c r="J25" i="25"/>
  <c r="H26" i="25"/>
  <c r="I26" i="25"/>
  <c r="J26" i="25"/>
  <c r="H27" i="25"/>
  <c r="I27" i="25"/>
  <c r="J27" i="25"/>
  <c r="H28" i="25"/>
  <c r="I28" i="25"/>
  <c r="J28" i="25"/>
  <c r="H29" i="25"/>
  <c r="I29" i="25"/>
  <c r="J29" i="25"/>
  <c r="H30" i="25"/>
  <c r="I30" i="25"/>
  <c r="J30" i="25"/>
  <c r="H31" i="25"/>
  <c r="I31" i="25"/>
  <c r="J31" i="25"/>
  <c r="H32" i="25"/>
  <c r="I32" i="25"/>
  <c r="J32" i="25"/>
  <c r="H33" i="25"/>
  <c r="I33" i="25"/>
  <c r="J33" i="25"/>
  <c r="H34" i="25"/>
  <c r="I34" i="25"/>
  <c r="J34" i="25"/>
  <c r="H35" i="25"/>
  <c r="I35" i="25"/>
  <c r="J35" i="25"/>
  <c r="H36" i="25"/>
  <c r="I36" i="25"/>
  <c r="J36" i="25"/>
  <c r="H37" i="25"/>
  <c r="I37" i="25"/>
  <c r="J37" i="25"/>
  <c r="H38" i="25"/>
  <c r="I38" i="25"/>
  <c r="J38" i="25"/>
  <c r="H39" i="25"/>
  <c r="I39" i="25"/>
  <c r="J39" i="25"/>
  <c r="I23" i="25"/>
  <c r="J23" i="25"/>
  <c r="H23" i="25"/>
  <c r="H4" i="25"/>
  <c r="I4" i="25"/>
  <c r="J4" i="25"/>
  <c r="H5" i="25"/>
  <c r="I5" i="25"/>
  <c r="J5" i="25"/>
  <c r="H6" i="25"/>
  <c r="I6" i="25"/>
  <c r="J6" i="25"/>
  <c r="H7" i="25"/>
  <c r="I7" i="25"/>
  <c r="J7" i="25"/>
  <c r="H8" i="25"/>
  <c r="I8" i="25"/>
  <c r="J8" i="25"/>
  <c r="H9" i="25"/>
  <c r="I9" i="25"/>
  <c r="J9" i="25"/>
  <c r="H10" i="25"/>
  <c r="I10" i="25"/>
  <c r="J10" i="25"/>
  <c r="H11" i="25"/>
  <c r="I11" i="25"/>
  <c r="J11" i="25"/>
  <c r="H12" i="25"/>
  <c r="I12" i="25"/>
  <c r="J12" i="25"/>
  <c r="H13" i="25"/>
  <c r="I13" i="25"/>
  <c r="J13" i="25"/>
  <c r="H14" i="25"/>
  <c r="I14" i="25"/>
  <c r="J14" i="25"/>
  <c r="H15" i="25"/>
  <c r="I15" i="25"/>
  <c r="J15" i="25"/>
  <c r="H16" i="25"/>
  <c r="I16" i="25"/>
  <c r="J16" i="25"/>
  <c r="H17" i="25"/>
  <c r="I17" i="25"/>
  <c r="J17" i="25"/>
  <c r="H18" i="25"/>
  <c r="I18" i="25"/>
  <c r="J18" i="25"/>
  <c r="H19" i="25"/>
  <c r="I19" i="25"/>
  <c r="J19" i="25"/>
  <c r="I3" i="25"/>
  <c r="J3" i="25"/>
  <c r="H3" i="25"/>
  <c r="B38" i="22"/>
  <c r="C38" i="22"/>
  <c r="D38" i="22"/>
  <c r="E38" i="22"/>
  <c r="B39" i="22"/>
  <c r="C39" i="22"/>
  <c r="D39" i="22"/>
  <c r="E39" i="22"/>
  <c r="B40" i="22"/>
  <c r="C40" i="22"/>
  <c r="D40" i="22"/>
  <c r="E40" i="22"/>
  <c r="B41" i="22"/>
  <c r="C41" i="22"/>
  <c r="D41" i="22"/>
  <c r="E41" i="22"/>
  <c r="B42" i="22"/>
  <c r="C42" i="22"/>
  <c r="D42" i="22"/>
  <c r="E42" i="22"/>
  <c r="B43" i="22"/>
  <c r="C43" i="22"/>
  <c r="D43" i="22"/>
  <c r="E43" i="22"/>
  <c r="B44" i="22"/>
  <c r="C44" i="22"/>
  <c r="D44" i="22"/>
  <c r="E44" i="22"/>
  <c r="B45" i="22"/>
  <c r="C45" i="22"/>
  <c r="D45" i="22"/>
  <c r="E45" i="22"/>
  <c r="B46" i="22"/>
  <c r="C46" i="22"/>
  <c r="D46" i="22"/>
  <c r="E46" i="22"/>
  <c r="B47" i="22"/>
  <c r="C47" i="22"/>
  <c r="D47" i="22"/>
  <c r="E47" i="22"/>
  <c r="B48" i="22"/>
  <c r="C48" i="22"/>
  <c r="D48" i="22"/>
  <c r="E48" i="22"/>
  <c r="B49" i="22"/>
  <c r="C49" i="22"/>
  <c r="D49" i="22"/>
  <c r="E49" i="22"/>
  <c r="B50" i="22"/>
  <c r="C50" i="22"/>
  <c r="D50" i="22"/>
  <c r="E50" i="22"/>
  <c r="C37" i="22"/>
  <c r="D37" i="22"/>
  <c r="E37" i="22"/>
  <c r="B37" i="22"/>
  <c r="G4" i="7"/>
  <c r="G5" i="7"/>
  <c r="G6" i="7"/>
  <c r="G7" i="7"/>
  <c r="G8" i="7"/>
  <c r="G9" i="7"/>
  <c r="G10" i="7"/>
  <c r="G11" i="7"/>
  <c r="G12" i="7"/>
  <c r="G13" i="7"/>
  <c r="G14" i="7"/>
  <c r="G15" i="7"/>
  <c r="G16" i="7"/>
  <c r="G17" i="7"/>
  <c r="G18" i="7"/>
  <c r="P4" i="7"/>
  <c r="Q4" i="7"/>
  <c r="Q7" i="7"/>
  <c r="P10" i="7"/>
  <c r="Q10" i="7"/>
  <c r="P11" i="7"/>
  <c r="S12" i="7"/>
  <c r="P13" i="7"/>
  <c r="P14" i="7"/>
  <c r="S15" i="7"/>
  <c r="Q16" i="7"/>
  <c r="P17" i="7"/>
  <c r="S18" i="7"/>
  <c r="Q3" i="7"/>
  <c r="R3" i="7"/>
  <c r="J4" i="6"/>
  <c r="P4" i="6" s="1"/>
  <c r="K4" i="6"/>
  <c r="Q4" i="6" s="1"/>
  <c r="L4" i="6"/>
  <c r="R4" i="6" s="1"/>
  <c r="J5" i="6"/>
  <c r="P5" i="6" s="1"/>
  <c r="K5" i="6"/>
  <c r="Q5" i="6" s="1"/>
  <c r="L5" i="6"/>
  <c r="M5" i="6"/>
  <c r="S5" i="6" s="1"/>
  <c r="J6" i="6"/>
  <c r="P6" i="6" s="1"/>
  <c r="K6" i="6"/>
  <c r="Q6" i="6" s="1"/>
  <c r="L6" i="6"/>
  <c r="R6" i="6" s="1"/>
  <c r="M6" i="6"/>
  <c r="S6" i="6" s="1"/>
  <c r="J7" i="6"/>
  <c r="P7" i="6" s="1"/>
  <c r="K7" i="6"/>
  <c r="Q7" i="6" s="1"/>
  <c r="L7" i="6"/>
  <c r="R7" i="6" s="1"/>
  <c r="M7" i="6"/>
  <c r="S7" i="6" s="1"/>
  <c r="J8" i="6"/>
  <c r="P8" i="6" s="1"/>
  <c r="K8" i="6"/>
  <c r="Q8" i="6" s="1"/>
  <c r="L8" i="6"/>
  <c r="M8" i="6"/>
  <c r="S8" i="6" s="1"/>
  <c r="J9" i="6"/>
  <c r="P9" i="6" s="1"/>
  <c r="K9" i="6"/>
  <c r="Q9" i="6" s="1"/>
  <c r="L9" i="6"/>
  <c r="R9" i="6" s="1"/>
  <c r="M9" i="6"/>
  <c r="S9" i="6" s="1"/>
  <c r="J10" i="6"/>
  <c r="P10" i="6" s="1"/>
  <c r="K10" i="6"/>
  <c r="Q10" i="6" s="1"/>
  <c r="L10" i="6"/>
  <c r="R10" i="6" s="1"/>
  <c r="M10" i="6"/>
  <c r="S10" i="6" s="1"/>
  <c r="J11" i="6"/>
  <c r="P11" i="6" s="1"/>
  <c r="K11" i="6"/>
  <c r="L11" i="6"/>
  <c r="M11" i="6"/>
  <c r="S11" i="6" s="1"/>
  <c r="J12" i="6"/>
  <c r="P12" i="6" s="1"/>
  <c r="K12" i="6"/>
  <c r="Q12" i="6" s="1"/>
  <c r="L12" i="6"/>
  <c r="R12" i="6" s="1"/>
  <c r="M12" i="6"/>
  <c r="S12" i="6" s="1"/>
  <c r="J13" i="6"/>
  <c r="P13" i="6" s="1"/>
  <c r="K13" i="6"/>
  <c r="Q13" i="6" s="1"/>
  <c r="L13" i="6"/>
  <c r="R13" i="6" s="1"/>
  <c r="M13" i="6"/>
  <c r="S13" i="6" s="1"/>
  <c r="J14" i="6"/>
  <c r="K14" i="6"/>
  <c r="Q14" i="6" s="1"/>
  <c r="L14" i="6"/>
  <c r="R14" i="6" s="1"/>
  <c r="M14" i="6"/>
  <c r="J15" i="6"/>
  <c r="P15" i="6" s="1"/>
  <c r="K15" i="6"/>
  <c r="Q15" i="6" s="1"/>
  <c r="L15" i="6"/>
  <c r="R15" i="6" s="1"/>
  <c r="M15" i="6"/>
  <c r="S15" i="6" s="1"/>
  <c r="J16" i="6"/>
  <c r="P16" i="6" s="1"/>
  <c r="K16" i="6"/>
  <c r="L16" i="6"/>
  <c r="R16" i="6" s="1"/>
  <c r="M16" i="6"/>
  <c r="S16" i="6" s="1"/>
  <c r="J17" i="6"/>
  <c r="P17" i="6" s="1"/>
  <c r="K17" i="6"/>
  <c r="L17" i="6"/>
  <c r="R17" i="6" s="1"/>
  <c r="J18" i="6"/>
  <c r="P18" i="6" s="1"/>
  <c r="K18" i="6"/>
  <c r="Q18" i="6" s="1"/>
  <c r="L18" i="6"/>
  <c r="R18" i="6" s="1"/>
  <c r="K3" i="6"/>
  <c r="Q3" i="6" s="1"/>
  <c r="L3" i="6"/>
  <c r="R3" i="6" s="1"/>
  <c r="J3" i="6"/>
  <c r="P3" i="6" s="1"/>
  <c r="J4" i="7"/>
  <c r="K4" i="7"/>
  <c r="L4" i="7"/>
  <c r="R4" i="7" s="1"/>
  <c r="M4" i="7"/>
  <c r="S4" i="7" s="1"/>
  <c r="J5" i="7"/>
  <c r="P5" i="7" s="1"/>
  <c r="K5" i="7"/>
  <c r="Q5" i="7" s="1"/>
  <c r="L5" i="7"/>
  <c r="R5" i="7" s="1"/>
  <c r="M5" i="7"/>
  <c r="S5" i="7" s="1"/>
  <c r="J6" i="7"/>
  <c r="P6" i="7" s="1"/>
  <c r="K6" i="7"/>
  <c r="Q6" i="7" s="1"/>
  <c r="L6" i="7"/>
  <c r="R6" i="7" s="1"/>
  <c r="M6" i="7"/>
  <c r="S6" i="7" s="1"/>
  <c r="J7" i="7"/>
  <c r="P7" i="7" s="1"/>
  <c r="K7" i="7"/>
  <c r="L7" i="7"/>
  <c r="R7" i="7" s="1"/>
  <c r="M7" i="7"/>
  <c r="S7" i="7" s="1"/>
  <c r="J8" i="7"/>
  <c r="P8" i="7" s="1"/>
  <c r="K8" i="7"/>
  <c r="Q8" i="7" s="1"/>
  <c r="L8" i="7"/>
  <c r="R8" i="7" s="1"/>
  <c r="M8" i="7"/>
  <c r="S8" i="7" s="1"/>
  <c r="J9" i="7"/>
  <c r="P9" i="7" s="1"/>
  <c r="K9" i="7"/>
  <c r="Q9" i="7" s="1"/>
  <c r="L9" i="7"/>
  <c r="R9" i="7" s="1"/>
  <c r="M9" i="7"/>
  <c r="S9" i="7" s="1"/>
  <c r="J10" i="7"/>
  <c r="K10" i="7"/>
  <c r="L10" i="7"/>
  <c r="R10" i="7" s="1"/>
  <c r="M10" i="7"/>
  <c r="S10" i="7" s="1"/>
  <c r="J11" i="7"/>
  <c r="K11" i="7"/>
  <c r="Q11" i="7" s="1"/>
  <c r="L11" i="7"/>
  <c r="R11" i="7" s="1"/>
  <c r="M11" i="7"/>
  <c r="S11" i="7" s="1"/>
  <c r="J12" i="7"/>
  <c r="P12" i="7" s="1"/>
  <c r="K12" i="7"/>
  <c r="Q12" i="7" s="1"/>
  <c r="L12" i="7"/>
  <c r="R12" i="7" s="1"/>
  <c r="M12" i="7"/>
  <c r="J13" i="7"/>
  <c r="K13" i="7"/>
  <c r="Q13" i="7" s="1"/>
  <c r="L13" i="7"/>
  <c r="R13" i="7" s="1"/>
  <c r="M13" i="7"/>
  <c r="S13" i="7" s="1"/>
  <c r="J14" i="7"/>
  <c r="K14" i="7"/>
  <c r="Q14" i="7" s="1"/>
  <c r="L14" i="7"/>
  <c r="R14" i="7" s="1"/>
  <c r="M14" i="7"/>
  <c r="S14" i="7" s="1"/>
  <c r="J15" i="7"/>
  <c r="P15" i="7" s="1"/>
  <c r="K15" i="7"/>
  <c r="Q15" i="7" s="1"/>
  <c r="L15" i="7"/>
  <c r="R15" i="7" s="1"/>
  <c r="M15" i="7"/>
  <c r="J16" i="7"/>
  <c r="P16" i="7" s="1"/>
  <c r="K16" i="7"/>
  <c r="L16" i="7"/>
  <c r="R16" i="7" s="1"/>
  <c r="M16" i="7"/>
  <c r="S16" i="7" s="1"/>
  <c r="J17" i="7"/>
  <c r="K17" i="7"/>
  <c r="Q17" i="7" s="1"/>
  <c r="L17" i="7"/>
  <c r="R17" i="7" s="1"/>
  <c r="M17" i="7"/>
  <c r="S17" i="7" s="1"/>
  <c r="J18" i="7"/>
  <c r="P18" i="7" s="1"/>
  <c r="K18" i="7"/>
  <c r="Q18" i="7" s="1"/>
  <c r="L18" i="7"/>
  <c r="R18" i="7" s="1"/>
  <c r="M18" i="7"/>
  <c r="K3" i="7"/>
  <c r="L3" i="7"/>
  <c r="M3" i="7"/>
  <c r="S3" i="7" s="1"/>
  <c r="J3" i="7"/>
  <c r="P3" i="7" s="1"/>
  <c r="J4" i="8"/>
  <c r="K4" i="8"/>
  <c r="L4" i="8"/>
  <c r="R4" i="8" s="1"/>
  <c r="M4" i="8"/>
  <c r="J5" i="8"/>
  <c r="P5" i="8" s="1"/>
  <c r="K5" i="8"/>
  <c r="Q5" i="8" s="1"/>
  <c r="L5" i="8"/>
  <c r="R5" i="8" s="1"/>
  <c r="M5" i="8"/>
  <c r="S5" i="8" s="1"/>
  <c r="J6" i="8"/>
  <c r="K6" i="8"/>
  <c r="Q6" i="8" s="1"/>
  <c r="L6" i="8"/>
  <c r="R6" i="8" s="1"/>
  <c r="M6" i="8"/>
  <c r="J7" i="8"/>
  <c r="K7" i="8"/>
  <c r="L7" i="8"/>
  <c r="M7" i="8"/>
  <c r="J8" i="8"/>
  <c r="P8" i="8" s="1"/>
  <c r="K8" i="8"/>
  <c r="Q8" i="8" s="1"/>
  <c r="L8" i="8"/>
  <c r="R8" i="8" s="1"/>
  <c r="M8" i="8"/>
  <c r="S8" i="8" s="1"/>
  <c r="J9" i="8"/>
  <c r="P9" i="8" s="1"/>
  <c r="K9" i="8"/>
  <c r="Q9" i="8" s="1"/>
  <c r="L9" i="8"/>
  <c r="R9" i="8" s="1"/>
  <c r="M9" i="8"/>
  <c r="J10" i="8"/>
  <c r="K10" i="8"/>
  <c r="Q10" i="8" s="1"/>
  <c r="L10" i="8"/>
  <c r="M10" i="8"/>
  <c r="J11" i="8"/>
  <c r="K11" i="8"/>
  <c r="Q11" i="8" s="1"/>
  <c r="L11" i="8"/>
  <c r="R11" i="8" s="1"/>
  <c r="M11" i="8"/>
  <c r="S11" i="8" s="1"/>
  <c r="J12" i="8"/>
  <c r="K12" i="8"/>
  <c r="Q12" i="8" s="1"/>
  <c r="L12" i="8"/>
  <c r="R12" i="8" s="1"/>
  <c r="M12" i="8"/>
  <c r="J13" i="8"/>
  <c r="K13" i="8"/>
  <c r="L13" i="8"/>
  <c r="R13" i="8" s="1"/>
  <c r="M13" i="8"/>
  <c r="J14" i="8"/>
  <c r="P14" i="8" s="1"/>
  <c r="K14" i="8"/>
  <c r="Q14" i="8" s="1"/>
  <c r="L14" i="8"/>
  <c r="R14" i="8" s="1"/>
  <c r="M14" i="8"/>
  <c r="S14" i="8" s="1"/>
  <c r="J15" i="8"/>
  <c r="P15" i="8" s="1"/>
  <c r="K15" i="8"/>
  <c r="Q15" i="8" s="1"/>
  <c r="L15" i="8"/>
  <c r="R15" i="8" s="1"/>
  <c r="M15" i="8"/>
  <c r="S15" i="8" s="1"/>
  <c r="J16" i="8"/>
  <c r="K16" i="8"/>
  <c r="L16" i="8"/>
  <c r="M16" i="8"/>
  <c r="J17" i="8"/>
  <c r="P17" i="8" s="1"/>
  <c r="K17" i="8"/>
  <c r="Q17" i="8" s="1"/>
  <c r="L17" i="8"/>
  <c r="R17" i="8" s="1"/>
  <c r="M17" i="8"/>
  <c r="S17" i="8" s="1"/>
  <c r="J18" i="8"/>
  <c r="P18" i="8" s="1"/>
  <c r="K18" i="8"/>
  <c r="Q18" i="8" s="1"/>
  <c r="L18" i="8"/>
  <c r="R18" i="8" s="1"/>
  <c r="M18" i="8"/>
  <c r="K3" i="8"/>
  <c r="L3" i="8"/>
  <c r="M3" i="8"/>
  <c r="S3" i="8" s="1"/>
  <c r="J3" i="8"/>
  <c r="P3" i="8" s="1"/>
  <c r="J4" i="10"/>
  <c r="K4" i="10"/>
  <c r="Q4" i="10" s="1"/>
  <c r="L4" i="10"/>
  <c r="R4" i="10" s="1"/>
  <c r="M4" i="10"/>
  <c r="J5" i="10"/>
  <c r="K5" i="10"/>
  <c r="L5" i="10"/>
  <c r="M5" i="10"/>
  <c r="S5" i="10" s="1"/>
  <c r="J6" i="10"/>
  <c r="P6" i="10" s="1"/>
  <c r="K6" i="10"/>
  <c r="Q6" i="10" s="1"/>
  <c r="L6" i="10"/>
  <c r="R6" i="10" s="1"/>
  <c r="M6" i="10"/>
  <c r="S6" i="10" s="1"/>
  <c r="J7" i="10"/>
  <c r="P7" i="10" s="1"/>
  <c r="K7" i="10"/>
  <c r="Q7" i="10" s="1"/>
  <c r="L7" i="10"/>
  <c r="R7" i="10" s="1"/>
  <c r="M7" i="10"/>
  <c r="J8" i="10"/>
  <c r="K8" i="10"/>
  <c r="L8" i="10"/>
  <c r="M8" i="10"/>
  <c r="S8" i="10" s="1"/>
  <c r="J9" i="10"/>
  <c r="P9" i="10" s="1"/>
  <c r="K9" i="10"/>
  <c r="Q9" i="10" s="1"/>
  <c r="L9" i="10"/>
  <c r="R9" i="10" s="1"/>
  <c r="M9" i="10"/>
  <c r="S9" i="10" s="1"/>
  <c r="J10" i="10"/>
  <c r="P10" i="10" s="1"/>
  <c r="K10" i="10"/>
  <c r="Q10" i="10" s="1"/>
  <c r="L10" i="10"/>
  <c r="R10" i="10" s="1"/>
  <c r="M10" i="10"/>
  <c r="J11" i="10"/>
  <c r="P11" i="10" s="1"/>
  <c r="K11" i="10"/>
  <c r="L11" i="10"/>
  <c r="M11" i="10"/>
  <c r="S11" i="10" s="1"/>
  <c r="J12" i="10"/>
  <c r="P12" i="10" s="1"/>
  <c r="K12" i="10"/>
  <c r="Q12" i="10" s="1"/>
  <c r="L12" i="10"/>
  <c r="R12" i="10" s="1"/>
  <c r="M12" i="10"/>
  <c r="S12" i="10" s="1"/>
  <c r="J13" i="10"/>
  <c r="P13" i="10" s="1"/>
  <c r="K13" i="10"/>
  <c r="Q13" i="10" s="1"/>
  <c r="L13" i="10"/>
  <c r="R13" i="10" s="1"/>
  <c r="M13" i="10"/>
  <c r="J14" i="10"/>
  <c r="P14" i="10" s="1"/>
  <c r="K14" i="10"/>
  <c r="L14" i="10"/>
  <c r="M14" i="10"/>
  <c r="S14" i="10" s="1"/>
  <c r="J15" i="10"/>
  <c r="P15" i="10" s="1"/>
  <c r="K15" i="10"/>
  <c r="Q15" i="10" s="1"/>
  <c r="L15" i="10"/>
  <c r="R15" i="10" s="1"/>
  <c r="M15" i="10"/>
  <c r="S15" i="10" s="1"/>
  <c r="J16" i="10"/>
  <c r="P16" i="10" s="1"/>
  <c r="K16" i="10"/>
  <c r="Q16" i="10" s="1"/>
  <c r="L16" i="10"/>
  <c r="R16" i="10" s="1"/>
  <c r="M16" i="10"/>
  <c r="J17" i="10"/>
  <c r="P17" i="10" s="1"/>
  <c r="K17" i="10"/>
  <c r="L17" i="10"/>
  <c r="M17" i="10"/>
  <c r="S17" i="10" s="1"/>
  <c r="J18" i="10"/>
  <c r="P18" i="10" s="1"/>
  <c r="K18" i="10"/>
  <c r="Q18" i="10" s="1"/>
  <c r="L18" i="10"/>
  <c r="R18" i="10" s="1"/>
  <c r="M18" i="10"/>
  <c r="S18" i="10" s="1"/>
  <c r="J3" i="10"/>
  <c r="P3" i="10" s="1"/>
  <c r="K3" i="10"/>
  <c r="Q3" i="10" s="1"/>
  <c r="L3" i="10"/>
  <c r="R3" i="10" s="1"/>
  <c r="M3" i="10"/>
  <c r="S3" i="10" s="1"/>
  <c r="G18" i="10"/>
  <c r="R17" i="10"/>
  <c r="Q17" i="10"/>
  <c r="S16" i="10"/>
  <c r="R14" i="10"/>
  <c r="Q14" i="10"/>
  <c r="S13" i="10"/>
  <c r="R11" i="10"/>
  <c r="Q11" i="10"/>
  <c r="S10" i="10"/>
  <c r="R8" i="10"/>
  <c r="Q8" i="10"/>
  <c r="P8" i="10"/>
  <c r="S7" i="10"/>
  <c r="R5" i="10"/>
  <c r="Q5" i="10"/>
  <c r="P5" i="10"/>
  <c r="P4" i="10"/>
  <c r="S4" i="10"/>
  <c r="J4" i="9"/>
  <c r="K4" i="9"/>
  <c r="Q4" i="9" s="1"/>
  <c r="L4" i="9"/>
  <c r="R4" i="9" s="1"/>
  <c r="M4" i="9"/>
  <c r="S4" i="9" s="1"/>
  <c r="J5" i="9"/>
  <c r="K5" i="9"/>
  <c r="L5" i="9"/>
  <c r="M5" i="9"/>
  <c r="J6" i="9"/>
  <c r="K6" i="9"/>
  <c r="Q6" i="9" s="1"/>
  <c r="L6" i="9"/>
  <c r="R6" i="9" s="1"/>
  <c r="M6" i="9"/>
  <c r="J7" i="9"/>
  <c r="P7" i="9" s="1"/>
  <c r="K7" i="9"/>
  <c r="Q7" i="9" s="1"/>
  <c r="L7" i="9"/>
  <c r="R7" i="9" s="1"/>
  <c r="M7" i="9"/>
  <c r="S7" i="9" s="1"/>
  <c r="J8" i="9"/>
  <c r="P8" i="9" s="1"/>
  <c r="K8" i="9"/>
  <c r="L8" i="9"/>
  <c r="R8" i="9" s="1"/>
  <c r="M8" i="9"/>
  <c r="S8" i="9" s="1"/>
  <c r="J9" i="9"/>
  <c r="K9" i="9"/>
  <c r="Q9" i="9" s="1"/>
  <c r="L9" i="9"/>
  <c r="R9" i="9" s="1"/>
  <c r="M9" i="9"/>
  <c r="J10" i="9"/>
  <c r="P10" i="9" s="1"/>
  <c r="K10" i="9"/>
  <c r="Q10" i="9" s="1"/>
  <c r="L10" i="9"/>
  <c r="R10" i="9" s="1"/>
  <c r="M10" i="9"/>
  <c r="S10" i="9" s="1"/>
  <c r="J11" i="9"/>
  <c r="P11" i="9" s="1"/>
  <c r="K11" i="9"/>
  <c r="L11" i="9"/>
  <c r="R11" i="9" s="1"/>
  <c r="M11" i="9"/>
  <c r="S11" i="9" s="1"/>
  <c r="J12" i="9"/>
  <c r="K12" i="9"/>
  <c r="Q12" i="9" s="1"/>
  <c r="L12" i="9"/>
  <c r="R12" i="9" s="1"/>
  <c r="M12" i="9"/>
  <c r="J13" i="9"/>
  <c r="P13" i="9" s="1"/>
  <c r="K13" i="9"/>
  <c r="Q13" i="9" s="1"/>
  <c r="L13" i="9"/>
  <c r="R13" i="9" s="1"/>
  <c r="M13" i="9"/>
  <c r="S13" i="9" s="1"/>
  <c r="J14" i="9"/>
  <c r="K14" i="9"/>
  <c r="L14" i="9"/>
  <c r="M14" i="9"/>
  <c r="S14" i="9" s="1"/>
  <c r="J15" i="9"/>
  <c r="K15" i="9"/>
  <c r="Q15" i="9" s="1"/>
  <c r="L15" i="9"/>
  <c r="R15" i="9" s="1"/>
  <c r="M15" i="9"/>
  <c r="S15" i="9" s="1"/>
  <c r="J16" i="9"/>
  <c r="P16" i="9" s="1"/>
  <c r="K16" i="9"/>
  <c r="Q16" i="9" s="1"/>
  <c r="L16" i="9"/>
  <c r="R16" i="9" s="1"/>
  <c r="M16" i="9"/>
  <c r="S16" i="9" s="1"/>
  <c r="J17" i="9"/>
  <c r="P17" i="9" s="1"/>
  <c r="K17" i="9"/>
  <c r="Q17" i="9" s="1"/>
  <c r="L17" i="9"/>
  <c r="R17" i="9" s="1"/>
  <c r="M17" i="9"/>
  <c r="S17" i="9" s="1"/>
  <c r="J18" i="9"/>
  <c r="K18" i="9"/>
  <c r="Q18" i="9" s="1"/>
  <c r="L18" i="9"/>
  <c r="R18" i="9" s="1"/>
  <c r="M18" i="9"/>
  <c r="S18" i="9" s="1"/>
  <c r="K3" i="9"/>
  <c r="Q3" i="9" s="1"/>
  <c r="L3" i="9"/>
  <c r="R3" i="9" s="1"/>
  <c r="M3" i="9"/>
  <c r="S3" i="9" s="1"/>
  <c r="J3" i="9"/>
  <c r="P3" i="9" s="1"/>
  <c r="H21" i="22"/>
  <c r="G18" i="9"/>
  <c r="P18" i="9"/>
  <c r="P15" i="9"/>
  <c r="R14" i="9"/>
  <c r="Q14" i="9"/>
  <c r="P14" i="9"/>
  <c r="S12" i="9"/>
  <c r="P12" i="9"/>
  <c r="Q11" i="9"/>
  <c r="S9" i="9"/>
  <c r="P9" i="9"/>
  <c r="Q8" i="9"/>
  <c r="S6" i="9"/>
  <c r="P6" i="9"/>
  <c r="S5" i="9"/>
  <c r="R5" i="9"/>
  <c r="Q5" i="9"/>
  <c r="P5" i="9"/>
  <c r="P4" i="9"/>
  <c r="Q4" i="8"/>
  <c r="P6" i="8"/>
  <c r="S6" i="8"/>
  <c r="S9" i="8"/>
  <c r="R10" i="8"/>
  <c r="S12" i="8"/>
  <c r="Q13" i="8"/>
  <c r="S18" i="8"/>
  <c r="P11" i="8"/>
  <c r="P12" i="8"/>
  <c r="G18" i="8"/>
  <c r="G17" i="8"/>
  <c r="S16" i="8"/>
  <c r="R16" i="8"/>
  <c r="Q16" i="8"/>
  <c r="P16" i="8"/>
  <c r="S13" i="8"/>
  <c r="P13" i="8"/>
  <c r="S10" i="8"/>
  <c r="P10" i="8"/>
  <c r="S7" i="8"/>
  <c r="R7" i="8"/>
  <c r="Q7" i="8"/>
  <c r="P7" i="8"/>
  <c r="S4" i="8"/>
  <c r="P4" i="8"/>
  <c r="R3" i="8"/>
  <c r="Q3" i="8"/>
  <c r="Q17" i="6"/>
  <c r="Q16" i="6"/>
  <c r="S14" i="6"/>
  <c r="P14" i="6"/>
  <c r="R11" i="6"/>
  <c r="Q11" i="6"/>
  <c r="R8" i="6"/>
  <c r="R5" i="6"/>
  <c r="B36" i="4"/>
  <c r="B55" i="4" s="1"/>
  <c r="C36" i="4"/>
  <c r="C55" i="4" s="1"/>
  <c r="D36" i="4"/>
  <c r="D55" i="4" s="1"/>
  <c r="E36" i="4"/>
  <c r="E55" i="4" s="1"/>
  <c r="B28" i="4"/>
  <c r="B47" i="4" s="1"/>
  <c r="C28" i="4"/>
  <c r="C47" i="4" s="1"/>
  <c r="D28" i="4"/>
  <c r="D47" i="4" s="1"/>
  <c r="E28" i="4"/>
  <c r="E47" i="4" s="1"/>
  <c r="B30" i="4"/>
  <c r="B49" i="4" s="1"/>
  <c r="C30" i="4"/>
  <c r="C49" i="4" s="1"/>
  <c r="D30" i="4"/>
  <c r="D49" i="4" s="1"/>
  <c r="B35" i="4"/>
  <c r="B54" i="4" s="1"/>
  <c r="C35" i="4"/>
  <c r="C54" i="4" s="1"/>
  <c r="D35" i="4"/>
  <c r="D54" i="4" s="1"/>
  <c r="E35" i="4"/>
  <c r="E54" i="4" s="1"/>
  <c r="B29" i="4"/>
  <c r="B48" i="4" s="1"/>
  <c r="C29" i="4"/>
  <c r="C48" i="4" s="1"/>
  <c r="D29" i="4"/>
  <c r="D48" i="4" s="1"/>
  <c r="E29" i="4"/>
  <c r="E48" i="4" s="1"/>
  <c r="B34" i="4"/>
  <c r="B53" i="4" s="1"/>
  <c r="C34" i="4"/>
  <c r="C53" i="4" s="1"/>
  <c r="D34" i="4"/>
  <c r="D53" i="4" s="1"/>
  <c r="B26" i="4"/>
  <c r="B45" i="4" s="1"/>
  <c r="C26" i="4"/>
  <c r="C45" i="4" s="1"/>
  <c r="D26" i="4"/>
  <c r="D45" i="4" s="1"/>
  <c r="E26" i="4"/>
  <c r="E45" i="4" s="1"/>
  <c r="B33" i="4"/>
  <c r="B52" i="4" s="1"/>
  <c r="C33" i="4"/>
  <c r="C52" i="4" s="1"/>
  <c r="D33" i="4"/>
  <c r="D52" i="4" s="1"/>
  <c r="B25" i="4"/>
  <c r="B44" i="4" s="1"/>
  <c r="C25" i="4"/>
  <c r="C44" i="4" s="1"/>
  <c r="D25" i="4"/>
  <c r="D44" i="4" s="1"/>
  <c r="E25" i="4"/>
  <c r="E44" i="4" s="1"/>
  <c r="B23" i="4"/>
  <c r="B42" i="4" s="1"/>
  <c r="C23" i="4"/>
  <c r="C42" i="4" s="1"/>
  <c r="D23" i="4"/>
  <c r="D42" i="4" s="1"/>
  <c r="E23" i="4"/>
  <c r="E42" i="4" s="1"/>
  <c r="B22" i="4"/>
  <c r="B41" i="4" s="1"/>
  <c r="C22" i="4"/>
  <c r="C41" i="4" s="1"/>
  <c r="D22" i="4"/>
  <c r="D41" i="4" s="1"/>
  <c r="E22" i="4"/>
  <c r="E41" i="4" s="1"/>
  <c r="B32" i="4"/>
  <c r="B51" i="4" s="1"/>
  <c r="C32" i="4"/>
  <c r="C51" i="4" s="1"/>
  <c r="D32" i="4"/>
  <c r="D51" i="4" s="1"/>
  <c r="B24" i="4"/>
  <c r="B43" i="4" s="1"/>
  <c r="C24" i="4"/>
  <c r="C43" i="4" s="1"/>
  <c r="D24" i="4"/>
  <c r="D43" i="4" s="1"/>
  <c r="E24" i="4"/>
  <c r="E43" i="4" s="1"/>
  <c r="B27" i="4"/>
  <c r="B46" i="4" s="1"/>
  <c r="C27" i="4"/>
  <c r="C46" i="4" s="1"/>
  <c r="D27" i="4"/>
  <c r="D46" i="4" s="1"/>
  <c r="E27" i="4"/>
  <c r="E46" i="4" s="1"/>
  <c r="B31" i="4"/>
  <c r="B50" i="4" s="1"/>
  <c r="C31" i="4"/>
  <c r="C50" i="4" s="1"/>
  <c r="D31" i="4"/>
  <c r="D50" i="4" s="1"/>
  <c r="E31" i="4"/>
  <c r="E50" i="4" s="1"/>
  <c r="C37" i="4"/>
  <c r="C56" i="4" s="1"/>
  <c r="D37" i="4"/>
  <c r="D56" i="4" s="1"/>
  <c r="E37" i="4"/>
  <c r="E56" i="4" s="1"/>
  <c r="B37" i="4"/>
  <c r="B56" i="4" s="1"/>
  <c r="M22" i="22"/>
  <c r="N22" i="22"/>
  <c r="O22" i="22"/>
  <c r="M23" i="22"/>
  <c r="N23" i="22"/>
  <c r="O23" i="22"/>
  <c r="M24" i="22"/>
  <c r="N24" i="22"/>
  <c r="O24" i="22"/>
  <c r="M25" i="22"/>
  <c r="N25" i="22"/>
  <c r="O25" i="22"/>
  <c r="M26" i="22"/>
  <c r="N26" i="22"/>
  <c r="O26" i="22"/>
  <c r="M27" i="22"/>
  <c r="N27" i="22"/>
  <c r="O27" i="22"/>
  <c r="M28" i="22"/>
  <c r="N28" i="22"/>
  <c r="O28" i="22"/>
  <c r="M29" i="22"/>
  <c r="N29" i="22"/>
  <c r="O29" i="22"/>
  <c r="M30" i="22"/>
  <c r="N30" i="22"/>
  <c r="O30" i="22"/>
  <c r="M31" i="22"/>
  <c r="N31" i="22"/>
  <c r="O31" i="22"/>
  <c r="M32" i="22"/>
  <c r="N32" i="22"/>
  <c r="O32" i="22"/>
  <c r="M33" i="22"/>
  <c r="N33" i="22"/>
  <c r="O33" i="22"/>
  <c r="M34" i="22"/>
  <c r="N34" i="22"/>
  <c r="O34" i="22"/>
  <c r="N21" i="22"/>
  <c r="O21" i="22"/>
  <c r="M21" i="22"/>
  <c r="M4" i="22"/>
  <c r="N4" i="22"/>
  <c r="O4" i="22"/>
  <c r="M5" i="22"/>
  <c r="N5" i="22"/>
  <c r="O5" i="22"/>
  <c r="M6" i="22"/>
  <c r="N6" i="22"/>
  <c r="O6" i="22"/>
  <c r="M7" i="22"/>
  <c r="N7" i="22"/>
  <c r="O7" i="22"/>
  <c r="M8" i="22"/>
  <c r="N8" i="22"/>
  <c r="O8" i="22"/>
  <c r="M9" i="22"/>
  <c r="N9" i="22"/>
  <c r="O9" i="22"/>
  <c r="M10" i="22"/>
  <c r="N10" i="22"/>
  <c r="O10" i="22"/>
  <c r="M11" i="22"/>
  <c r="N11" i="22"/>
  <c r="O11" i="22"/>
  <c r="M12" i="22"/>
  <c r="N12" i="22"/>
  <c r="O12" i="22"/>
  <c r="M13" i="22"/>
  <c r="N13" i="22"/>
  <c r="O13" i="22"/>
  <c r="M14" i="22"/>
  <c r="N14" i="22"/>
  <c r="O14" i="22"/>
  <c r="M15" i="22"/>
  <c r="N15" i="22"/>
  <c r="O15" i="22"/>
  <c r="M16" i="22"/>
  <c r="N16" i="22"/>
  <c r="O16" i="22"/>
  <c r="N3" i="22"/>
  <c r="O3" i="22"/>
  <c r="M3" i="22"/>
  <c r="M112" i="24"/>
  <c r="M111" i="24"/>
  <c r="N112" i="24"/>
  <c r="O112" i="24"/>
  <c r="M113" i="24"/>
  <c r="N113" i="24"/>
  <c r="O113" i="24"/>
  <c r="M114" i="24"/>
  <c r="N114" i="24"/>
  <c r="O114" i="24"/>
  <c r="M115" i="24"/>
  <c r="N115" i="24"/>
  <c r="O115" i="24"/>
  <c r="M116" i="24"/>
  <c r="N116" i="24"/>
  <c r="O116" i="24"/>
  <c r="M117" i="24"/>
  <c r="N117" i="24"/>
  <c r="O117" i="24"/>
  <c r="M118" i="24"/>
  <c r="N118" i="24"/>
  <c r="O118" i="24"/>
  <c r="M119" i="24"/>
  <c r="N119" i="24"/>
  <c r="O119" i="24"/>
  <c r="M120" i="24"/>
  <c r="N120" i="24"/>
  <c r="O120" i="24"/>
  <c r="M121" i="24"/>
  <c r="N121" i="24"/>
  <c r="O121" i="24"/>
  <c r="M122" i="24"/>
  <c r="N122" i="24"/>
  <c r="O122" i="24"/>
  <c r="M123" i="24"/>
  <c r="N123" i="24"/>
  <c r="O123" i="24"/>
  <c r="M124" i="24"/>
  <c r="N124" i="24"/>
  <c r="O124" i="24"/>
  <c r="M125" i="24"/>
  <c r="N125" i="24"/>
  <c r="O125" i="24"/>
  <c r="N111" i="24"/>
  <c r="O111" i="24"/>
  <c r="M94" i="24"/>
  <c r="N94" i="24"/>
  <c r="O94" i="24"/>
  <c r="M95" i="24"/>
  <c r="N95" i="24"/>
  <c r="O95" i="24"/>
  <c r="M96" i="24"/>
  <c r="N96" i="24"/>
  <c r="O96" i="24"/>
  <c r="M97" i="24"/>
  <c r="N97" i="24"/>
  <c r="O97" i="24"/>
  <c r="M98" i="24"/>
  <c r="N98" i="24"/>
  <c r="O98" i="24"/>
  <c r="M99" i="24"/>
  <c r="N99" i="24"/>
  <c r="O99" i="24"/>
  <c r="M100" i="24"/>
  <c r="N100" i="24"/>
  <c r="O100" i="24"/>
  <c r="M101" i="24"/>
  <c r="N101" i="24"/>
  <c r="O101" i="24"/>
  <c r="M102" i="24"/>
  <c r="N102" i="24"/>
  <c r="O102" i="24"/>
  <c r="M103" i="24"/>
  <c r="N103" i="24"/>
  <c r="O103" i="24"/>
  <c r="M104" i="24"/>
  <c r="N104" i="24"/>
  <c r="O104" i="24"/>
  <c r="M105" i="24"/>
  <c r="N105" i="24"/>
  <c r="O105" i="24"/>
  <c r="M106" i="24"/>
  <c r="N106" i="24"/>
  <c r="O106" i="24"/>
  <c r="M107" i="24"/>
  <c r="N107" i="24"/>
  <c r="O107" i="24"/>
  <c r="N93" i="24"/>
  <c r="O93" i="24"/>
  <c r="M93" i="24"/>
  <c r="M76" i="24"/>
  <c r="N76" i="24"/>
  <c r="O76" i="24"/>
  <c r="M77" i="24"/>
  <c r="N77" i="24"/>
  <c r="O77" i="24"/>
  <c r="M78" i="24"/>
  <c r="N78" i="24"/>
  <c r="O78" i="24"/>
  <c r="M79" i="24"/>
  <c r="N79" i="24"/>
  <c r="O79" i="24"/>
  <c r="M80" i="24"/>
  <c r="N80" i="24"/>
  <c r="O80" i="24"/>
  <c r="M81" i="24"/>
  <c r="N81" i="24"/>
  <c r="O81" i="24"/>
  <c r="M82" i="24"/>
  <c r="N82" i="24"/>
  <c r="O82" i="24"/>
  <c r="M83" i="24"/>
  <c r="N83" i="24"/>
  <c r="O83" i="24"/>
  <c r="M84" i="24"/>
  <c r="N84" i="24"/>
  <c r="O84" i="24"/>
  <c r="M85" i="24"/>
  <c r="N85" i="24"/>
  <c r="O85" i="24"/>
  <c r="M86" i="24"/>
  <c r="N86" i="24"/>
  <c r="O86" i="24"/>
  <c r="M87" i="24"/>
  <c r="N87" i="24"/>
  <c r="O87" i="24"/>
  <c r="M88" i="24"/>
  <c r="N88" i="24"/>
  <c r="O88" i="24"/>
  <c r="M89" i="24"/>
  <c r="N89" i="24"/>
  <c r="O89" i="24"/>
  <c r="N75" i="24"/>
  <c r="O75" i="24"/>
  <c r="M75" i="24"/>
  <c r="M58" i="24"/>
  <c r="N58" i="24"/>
  <c r="O58" i="24"/>
  <c r="M59" i="24"/>
  <c r="N59" i="24"/>
  <c r="O59" i="24"/>
  <c r="M60" i="24"/>
  <c r="N60" i="24"/>
  <c r="O60" i="24"/>
  <c r="M61" i="24"/>
  <c r="N61" i="24"/>
  <c r="O61" i="24"/>
  <c r="M62" i="24"/>
  <c r="N62" i="24"/>
  <c r="O62" i="24"/>
  <c r="M63" i="24"/>
  <c r="N63" i="24"/>
  <c r="O63" i="24"/>
  <c r="M64" i="24"/>
  <c r="N64" i="24"/>
  <c r="O64" i="24"/>
  <c r="M65" i="24"/>
  <c r="N65" i="24"/>
  <c r="O65" i="24"/>
  <c r="M66" i="24"/>
  <c r="N66" i="24"/>
  <c r="O66" i="24"/>
  <c r="M67" i="24"/>
  <c r="N67" i="24"/>
  <c r="O67" i="24"/>
  <c r="M68" i="24"/>
  <c r="N68" i="24"/>
  <c r="O68" i="24"/>
  <c r="M69" i="24"/>
  <c r="N69" i="24"/>
  <c r="O69" i="24"/>
  <c r="M70" i="24"/>
  <c r="N70" i="24"/>
  <c r="O70" i="24"/>
  <c r="M71" i="24"/>
  <c r="N71" i="24"/>
  <c r="O71" i="24"/>
  <c r="N57" i="24"/>
  <c r="O57" i="24"/>
  <c r="M57" i="24"/>
  <c r="M40" i="24"/>
  <c r="N40" i="24"/>
  <c r="O40" i="24"/>
  <c r="M41" i="24"/>
  <c r="N41" i="24"/>
  <c r="O41" i="24"/>
  <c r="M42" i="24"/>
  <c r="N42" i="24"/>
  <c r="O42" i="24"/>
  <c r="M43" i="24"/>
  <c r="N43" i="24"/>
  <c r="O43" i="24"/>
  <c r="M44" i="24"/>
  <c r="N44" i="24"/>
  <c r="O44" i="24"/>
  <c r="M45" i="24"/>
  <c r="N45" i="24"/>
  <c r="O45" i="24"/>
  <c r="M46" i="24"/>
  <c r="N46" i="24"/>
  <c r="O46" i="24"/>
  <c r="M47" i="24"/>
  <c r="N47" i="24"/>
  <c r="O47" i="24"/>
  <c r="M48" i="24"/>
  <c r="N48" i="24"/>
  <c r="O48" i="24"/>
  <c r="M49" i="24"/>
  <c r="N49" i="24"/>
  <c r="O49" i="24"/>
  <c r="M50" i="24"/>
  <c r="N50" i="24"/>
  <c r="O50" i="24"/>
  <c r="M51" i="24"/>
  <c r="N51" i="24"/>
  <c r="O51" i="24"/>
  <c r="M52" i="24"/>
  <c r="N52" i="24"/>
  <c r="O52" i="24"/>
  <c r="M53" i="24"/>
  <c r="N53" i="24"/>
  <c r="O53" i="24"/>
  <c r="N39" i="24"/>
  <c r="O39" i="24"/>
  <c r="M39" i="24"/>
  <c r="M22" i="24"/>
  <c r="N22" i="24"/>
  <c r="O22" i="24"/>
  <c r="M23" i="24"/>
  <c r="N23" i="24"/>
  <c r="O23" i="24"/>
  <c r="M24" i="24"/>
  <c r="N24" i="24"/>
  <c r="O24" i="24"/>
  <c r="M25" i="24"/>
  <c r="N25" i="24"/>
  <c r="O25" i="24"/>
  <c r="M26" i="24"/>
  <c r="N26" i="24"/>
  <c r="O26" i="24"/>
  <c r="M27" i="24"/>
  <c r="N27" i="24"/>
  <c r="O27" i="24"/>
  <c r="M28" i="24"/>
  <c r="N28" i="24"/>
  <c r="O28" i="24"/>
  <c r="M29" i="24"/>
  <c r="N29" i="24"/>
  <c r="O29" i="24"/>
  <c r="M30" i="24"/>
  <c r="N30" i="24"/>
  <c r="O30" i="24"/>
  <c r="M31" i="24"/>
  <c r="N31" i="24"/>
  <c r="O31" i="24"/>
  <c r="M32" i="24"/>
  <c r="N32" i="24"/>
  <c r="O32" i="24"/>
  <c r="M33" i="24"/>
  <c r="N33" i="24"/>
  <c r="O33" i="24"/>
  <c r="M34" i="24"/>
  <c r="N34" i="24"/>
  <c r="O34" i="24"/>
  <c r="M35" i="24"/>
  <c r="N35" i="24"/>
  <c r="O35" i="24"/>
  <c r="N21" i="24"/>
  <c r="O21" i="24"/>
  <c r="M21" i="24"/>
  <c r="M3" i="24"/>
  <c r="M4" i="24"/>
  <c r="N4" i="24"/>
  <c r="O4" i="24"/>
  <c r="M5" i="24"/>
  <c r="N5" i="24"/>
  <c r="O5" i="24"/>
  <c r="M6" i="24"/>
  <c r="N6" i="24"/>
  <c r="O6" i="24"/>
  <c r="M7" i="24"/>
  <c r="N7" i="24"/>
  <c r="O7" i="24"/>
  <c r="M8" i="24"/>
  <c r="N8" i="24"/>
  <c r="O8" i="24"/>
  <c r="M9" i="24"/>
  <c r="N9" i="24"/>
  <c r="O9" i="24"/>
  <c r="M10" i="24"/>
  <c r="N10" i="24"/>
  <c r="O10" i="24"/>
  <c r="M11" i="24"/>
  <c r="N11" i="24"/>
  <c r="O11" i="24"/>
  <c r="M12" i="24"/>
  <c r="N12" i="24"/>
  <c r="O12" i="24"/>
  <c r="M13" i="24"/>
  <c r="N13" i="24"/>
  <c r="O13" i="24"/>
  <c r="M14" i="24"/>
  <c r="N14" i="24"/>
  <c r="O14" i="24"/>
  <c r="M15" i="24"/>
  <c r="N15" i="24"/>
  <c r="O15" i="24"/>
  <c r="M16" i="24"/>
  <c r="N16" i="24"/>
  <c r="O16" i="24"/>
  <c r="M17" i="24"/>
  <c r="N17" i="24"/>
  <c r="O17" i="24"/>
  <c r="N3" i="24"/>
  <c r="O3" i="24"/>
  <c r="H87" i="24"/>
  <c r="I87" i="24"/>
  <c r="J87" i="24"/>
  <c r="I3" i="22"/>
  <c r="J3" i="22"/>
  <c r="I4" i="22"/>
  <c r="J4" i="22"/>
  <c r="H3" i="22"/>
  <c r="I21" i="22"/>
  <c r="J21" i="22"/>
  <c r="I22" i="22"/>
  <c r="J22" i="22"/>
  <c r="H23" i="22"/>
  <c r="I23" i="22"/>
  <c r="J23" i="22"/>
  <c r="H24" i="22"/>
  <c r="I24" i="22"/>
  <c r="J24" i="22"/>
  <c r="H25" i="22"/>
  <c r="I25" i="22"/>
  <c r="J25" i="22"/>
  <c r="H26" i="22"/>
  <c r="I26" i="22"/>
  <c r="J26" i="22"/>
  <c r="H27" i="22"/>
  <c r="I27" i="22"/>
  <c r="J27" i="22"/>
  <c r="H28" i="22"/>
  <c r="I28" i="22"/>
  <c r="J28" i="22"/>
  <c r="H29" i="22"/>
  <c r="I29" i="22"/>
  <c r="J29" i="22"/>
  <c r="H30" i="22"/>
  <c r="I30" i="22"/>
  <c r="J30" i="22"/>
  <c r="H31" i="22"/>
  <c r="I31" i="22"/>
  <c r="J31" i="22"/>
  <c r="H32" i="22"/>
  <c r="I32" i="22"/>
  <c r="J32" i="22"/>
  <c r="H33" i="22"/>
  <c r="I33" i="22"/>
  <c r="J33" i="22"/>
  <c r="H34" i="22"/>
  <c r="I34" i="22"/>
  <c r="J34" i="22"/>
  <c r="H22" i="22"/>
  <c r="H112" i="24"/>
  <c r="I112" i="24"/>
  <c r="J112" i="24"/>
  <c r="H113" i="24"/>
  <c r="I113" i="24"/>
  <c r="J113" i="24"/>
  <c r="H114" i="24"/>
  <c r="I114" i="24"/>
  <c r="J114" i="24"/>
  <c r="H115" i="24"/>
  <c r="I115" i="24"/>
  <c r="J115" i="24"/>
  <c r="H116" i="24"/>
  <c r="I116" i="24"/>
  <c r="J116" i="24"/>
  <c r="H117" i="24"/>
  <c r="I117" i="24"/>
  <c r="J117" i="24"/>
  <c r="H118" i="24"/>
  <c r="I118" i="24"/>
  <c r="J118" i="24"/>
  <c r="H119" i="24"/>
  <c r="I119" i="24"/>
  <c r="J119" i="24"/>
  <c r="H120" i="24"/>
  <c r="I120" i="24"/>
  <c r="J120" i="24"/>
  <c r="H121" i="24"/>
  <c r="I121" i="24"/>
  <c r="J121" i="24"/>
  <c r="H122" i="24"/>
  <c r="I122" i="24"/>
  <c r="J122" i="24"/>
  <c r="H123" i="24"/>
  <c r="I123" i="24"/>
  <c r="J123" i="24"/>
  <c r="H124" i="24"/>
  <c r="I124" i="24"/>
  <c r="J124" i="24"/>
  <c r="H125" i="24"/>
  <c r="I125" i="24"/>
  <c r="J125" i="24"/>
  <c r="I111" i="24"/>
  <c r="J111" i="24"/>
  <c r="H111" i="24"/>
  <c r="J107" i="24"/>
  <c r="I107" i="24"/>
  <c r="H107" i="24"/>
  <c r="J106" i="24"/>
  <c r="I106" i="24"/>
  <c r="H106" i="24"/>
  <c r="J105" i="24"/>
  <c r="I105" i="24"/>
  <c r="H105" i="24"/>
  <c r="J104" i="24"/>
  <c r="I104" i="24"/>
  <c r="H104" i="24"/>
  <c r="J103" i="24"/>
  <c r="I103" i="24"/>
  <c r="H103" i="24"/>
  <c r="J102" i="24"/>
  <c r="I102" i="24"/>
  <c r="H102" i="24"/>
  <c r="J101" i="24"/>
  <c r="I101" i="24"/>
  <c r="H101" i="24"/>
  <c r="J100" i="24"/>
  <c r="I100" i="24"/>
  <c r="H100" i="24"/>
  <c r="J99" i="24"/>
  <c r="I99" i="24"/>
  <c r="H99" i="24"/>
  <c r="J98" i="24"/>
  <c r="I98" i="24"/>
  <c r="H98" i="24"/>
  <c r="J97" i="24"/>
  <c r="I97" i="24"/>
  <c r="H97" i="24"/>
  <c r="J96" i="24"/>
  <c r="I96" i="24"/>
  <c r="H96" i="24"/>
  <c r="J95" i="24"/>
  <c r="I95" i="24"/>
  <c r="H95" i="24"/>
  <c r="J94" i="24"/>
  <c r="I94" i="24"/>
  <c r="H94" i="24"/>
  <c r="I93" i="24"/>
  <c r="J93" i="24"/>
  <c r="H93" i="24"/>
  <c r="H76" i="24"/>
  <c r="I76" i="24"/>
  <c r="J76" i="24"/>
  <c r="H77" i="24"/>
  <c r="I77" i="24"/>
  <c r="J77" i="24"/>
  <c r="H78" i="24"/>
  <c r="I78" i="24"/>
  <c r="J78" i="24"/>
  <c r="H79" i="24"/>
  <c r="I79" i="24"/>
  <c r="J79" i="24"/>
  <c r="H80" i="24"/>
  <c r="I80" i="24"/>
  <c r="J80" i="24"/>
  <c r="H81" i="24"/>
  <c r="I81" i="24"/>
  <c r="J81" i="24"/>
  <c r="H82" i="24"/>
  <c r="I82" i="24"/>
  <c r="J82" i="24"/>
  <c r="H83" i="24"/>
  <c r="I83" i="24"/>
  <c r="J83" i="24"/>
  <c r="H84" i="24"/>
  <c r="I84" i="24"/>
  <c r="J84" i="24"/>
  <c r="H85" i="24"/>
  <c r="I85" i="24"/>
  <c r="J85" i="24"/>
  <c r="H86" i="24"/>
  <c r="I86" i="24"/>
  <c r="J86" i="24"/>
  <c r="H88" i="24"/>
  <c r="I88" i="24"/>
  <c r="J88" i="24"/>
  <c r="H89" i="24"/>
  <c r="I89" i="24"/>
  <c r="J89" i="24"/>
  <c r="I75" i="24"/>
  <c r="J75" i="24"/>
  <c r="H75" i="24"/>
  <c r="H57" i="24"/>
  <c r="H58" i="24"/>
  <c r="I58" i="24"/>
  <c r="J58" i="24"/>
  <c r="H59" i="24"/>
  <c r="I59" i="24"/>
  <c r="J59" i="24"/>
  <c r="H60" i="24"/>
  <c r="I60" i="24"/>
  <c r="J60" i="24"/>
  <c r="H61" i="24"/>
  <c r="I61" i="24"/>
  <c r="J61" i="24"/>
  <c r="H62" i="24"/>
  <c r="I62" i="24"/>
  <c r="J62" i="24"/>
  <c r="H63" i="24"/>
  <c r="I63" i="24"/>
  <c r="J63" i="24"/>
  <c r="H64" i="24"/>
  <c r="I64" i="24"/>
  <c r="J64" i="24"/>
  <c r="H65" i="24"/>
  <c r="I65" i="24"/>
  <c r="J65" i="24"/>
  <c r="H66" i="24"/>
  <c r="I66" i="24"/>
  <c r="J66" i="24"/>
  <c r="H67" i="24"/>
  <c r="I67" i="24"/>
  <c r="J67" i="24"/>
  <c r="H68" i="24"/>
  <c r="I68" i="24"/>
  <c r="J68" i="24"/>
  <c r="H69" i="24"/>
  <c r="I69" i="24"/>
  <c r="J69" i="24"/>
  <c r="H70" i="24"/>
  <c r="I70" i="24"/>
  <c r="J70" i="24"/>
  <c r="H71" i="24"/>
  <c r="I71" i="24"/>
  <c r="J71" i="24"/>
  <c r="I57" i="24"/>
  <c r="J57" i="24"/>
  <c r="H40" i="24"/>
  <c r="I40" i="24"/>
  <c r="J40" i="24"/>
  <c r="H41" i="24"/>
  <c r="I41" i="24"/>
  <c r="J41" i="24"/>
  <c r="H42" i="24"/>
  <c r="I42" i="24"/>
  <c r="J42" i="24"/>
  <c r="H43" i="24"/>
  <c r="I43" i="24"/>
  <c r="J43" i="24"/>
  <c r="H44" i="24"/>
  <c r="I44" i="24"/>
  <c r="J44" i="24"/>
  <c r="H45" i="24"/>
  <c r="I45" i="24"/>
  <c r="J45" i="24"/>
  <c r="H46" i="24"/>
  <c r="I46" i="24"/>
  <c r="J46" i="24"/>
  <c r="H47" i="24"/>
  <c r="I47" i="24"/>
  <c r="J47" i="24"/>
  <c r="H48" i="24"/>
  <c r="I48" i="24"/>
  <c r="J48" i="24"/>
  <c r="H49" i="24"/>
  <c r="I49" i="24"/>
  <c r="J49" i="24"/>
  <c r="H50" i="24"/>
  <c r="I50" i="24"/>
  <c r="J50" i="24"/>
  <c r="H51" i="24"/>
  <c r="I51" i="24"/>
  <c r="J51" i="24"/>
  <c r="H52" i="24"/>
  <c r="I52" i="24"/>
  <c r="J52" i="24"/>
  <c r="H53" i="24"/>
  <c r="I53" i="24"/>
  <c r="J53" i="24"/>
  <c r="I39" i="24"/>
  <c r="J39" i="24"/>
  <c r="H39" i="24"/>
  <c r="H22" i="24"/>
  <c r="I22" i="24"/>
  <c r="J22" i="24"/>
  <c r="H23" i="24"/>
  <c r="I23" i="24"/>
  <c r="J23" i="24"/>
  <c r="H24" i="24"/>
  <c r="I24" i="24"/>
  <c r="J24" i="24"/>
  <c r="H25" i="24"/>
  <c r="I25" i="24"/>
  <c r="J25" i="24"/>
  <c r="H26" i="24"/>
  <c r="I26" i="24"/>
  <c r="J26" i="24"/>
  <c r="H27" i="24"/>
  <c r="I27" i="24"/>
  <c r="J27" i="24"/>
  <c r="H28" i="24"/>
  <c r="I28" i="24"/>
  <c r="J28" i="24"/>
  <c r="H29" i="24"/>
  <c r="I29" i="24"/>
  <c r="J29" i="24"/>
  <c r="H30" i="24"/>
  <c r="I30" i="24"/>
  <c r="J30" i="24"/>
  <c r="H31" i="24"/>
  <c r="I31" i="24"/>
  <c r="J31" i="24"/>
  <c r="H32" i="24"/>
  <c r="I32" i="24"/>
  <c r="J32" i="24"/>
  <c r="H33" i="24"/>
  <c r="I33" i="24"/>
  <c r="J33" i="24"/>
  <c r="H34" i="24"/>
  <c r="I34" i="24"/>
  <c r="J34" i="24"/>
  <c r="H35" i="24"/>
  <c r="I35" i="24"/>
  <c r="J35" i="24"/>
  <c r="I21" i="24"/>
  <c r="J21" i="24"/>
  <c r="H21" i="24"/>
  <c r="H4" i="24"/>
  <c r="I4" i="24"/>
  <c r="J4" i="24"/>
  <c r="H5" i="24"/>
  <c r="I5" i="24"/>
  <c r="J5" i="24"/>
  <c r="H6" i="24"/>
  <c r="I6" i="24"/>
  <c r="J6" i="24"/>
  <c r="H7" i="24"/>
  <c r="I7" i="24"/>
  <c r="J7" i="24"/>
  <c r="H8" i="24"/>
  <c r="I8" i="24"/>
  <c r="J8" i="24"/>
  <c r="H9" i="24"/>
  <c r="I9" i="24"/>
  <c r="J9" i="24"/>
  <c r="H10" i="24"/>
  <c r="I10" i="24"/>
  <c r="J10" i="24"/>
  <c r="H11" i="24"/>
  <c r="I11" i="24"/>
  <c r="J11" i="24"/>
  <c r="H12" i="24"/>
  <c r="I12" i="24"/>
  <c r="J12" i="24"/>
  <c r="H13" i="24"/>
  <c r="I13" i="24"/>
  <c r="J13" i="24"/>
  <c r="H14" i="24"/>
  <c r="I14" i="24"/>
  <c r="J14" i="24"/>
  <c r="H15" i="24"/>
  <c r="I15" i="24"/>
  <c r="J15" i="24"/>
  <c r="H16" i="24"/>
  <c r="I16" i="24"/>
  <c r="J16" i="24"/>
  <c r="H17" i="24"/>
  <c r="I17" i="24"/>
  <c r="J17" i="24"/>
  <c r="I3" i="24"/>
  <c r="J3" i="24"/>
  <c r="H3" i="24"/>
  <c r="H5" i="22"/>
  <c r="I5" i="22"/>
  <c r="J5" i="22"/>
  <c r="H6" i="22"/>
  <c r="I6" i="22"/>
  <c r="J6" i="22"/>
  <c r="H7" i="22"/>
  <c r="I7" i="22"/>
  <c r="J7" i="22"/>
  <c r="H8" i="22"/>
  <c r="I8" i="22"/>
  <c r="J8" i="22"/>
  <c r="H9" i="22"/>
  <c r="I9" i="22"/>
  <c r="J9" i="22"/>
  <c r="H10" i="22"/>
  <c r="I10" i="22"/>
  <c r="J10" i="22"/>
  <c r="H11" i="22"/>
  <c r="I11" i="22"/>
  <c r="J11" i="22"/>
  <c r="H12" i="22"/>
  <c r="I12" i="22"/>
  <c r="J12" i="22"/>
  <c r="H13" i="22"/>
  <c r="I13" i="22"/>
  <c r="J13" i="22"/>
  <c r="H14" i="22"/>
  <c r="I14" i="22"/>
  <c r="J14" i="22"/>
  <c r="H15" i="22"/>
  <c r="I15" i="22"/>
  <c r="J15" i="22"/>
  <c r="H16" i="22"/>
  <c r="I16" i="22"/>
  <c r="J16" i="22"/>
  <c r="H4" i="22"/>
  <c r="AC28" i="15"/>
  <c r="AC26" i="15"/>
  <c r="AC22" i="15"/>
  <c r="AC6" i="15" s="1"/>
  <c r="AC18" i="15"/>
  <c r="AC16" i="15"/>
  <c r="AC14" i="15"/>
  <c r="AC12" i="15"/>
  <c r="AC10" i="15"/>
  <c r="AC8" i="15"/>
  <c r="Z6" i="15"/>
  <c r="W6" i="15"/>
  <c r="T6" i="15"/>
  <c r="Q6" i="15"/>
  <c r="J4" i="55"/>
  <c r="J5" i="55"/>
  <c r="J7" i="55"/>
  <c r="J6" i="55"/>
  <c r="K4" i="55" l="1"/>
  <c r="K5" i="55"/>
  <c r="K6" i="55"/>
  <c r="K7" i="55"/>
  <c r="G3" i="10"/>
  <c r="G4" i="10"/>
  <c r="G5" i="10"/>
  <c r="G6" i="10"/>
  <c r="G7" i="10"/>
  <c r="G8" i="10"/>
  <c r="G9" i="10"/>
  <c r="G10" i="10"/>
  <c r="G11" i="10"/>
  <c r="G12" i="10"/>
  <c r="G13" i="10"/>
  <c r="G14" i="10"/>
  <c r="G15" i="10"/>
  <c r="G16" i="10"/>
  <c r="G17" i="10"/>
  <c r="G3" i="9"/>
  <c r="G4" i="9"/>
  <c r="G5" i="9"/>
  <c r="G6" i="9"/>
  <c r="G7" i="9"/>
  <c r="G8" i="9"/>
  <c r="G9" i="9"/>
  <c r="G10" i="9"/>
  <c r="G11" i="9"/>
  <c r="G12" i="9"/>
  <c r="G13" i="9"/>
  <c r="G14" i="9"/>
  <c r="G15" i="9"/>
  <c r="G16" i="9"/>
  <c r="G17" i="9"/>
  <c r="G3" i="8"/>
  <c r="G4" i="8"/>
  <c r="G5" i="8"/>
  <c r="G6" i="8"/>
  <c r="G7" i="8"/>
  <c r="G8" i="8"/>
  <c r="G9" i="8"/>
  <c r="G10" i="8"/>
  <c r="G11" i="8"/>
  <c r="G12" i="8"/>
  <c r="G13" i="8"/>
  <c r="G14" i="8"/>
  <c r="G15" i="8"/>
  <c r="G16" i="8"/>
  <c r="G3" i="7"/>
  <c r="G3" i="6"/>
  <c r="G4" i="6"/>
  <c r="G5" i="6"/>
  <c r="G6" i="6"/>
  <c r="G7" i="6"/>
  <c r="G8" i="6"/>
  <c r="G11" i="6"/>
  <c r="G9" i="6"/>
  <c r="G10" i="6"/>
  <c r="G14" i="6"/>
  <c r="G15" i="6"/>
  <c r="G12" i="6"/>
  <c r="G13" i="6"/>
  <c r="G16" i="6"/>
  <c r="G3" i="4"/>
  <c r="G4" i="4"/>
  <c r="G5" i="4"/>
  <c r="G6" i="4"/>
  <c r="G7" i="4"/>
  <c r="G8" i="4"/>
  <c r="G9" i="4"/>
  <c r="G10" i="4"/>
  <c r="G11" i="4"/>
  <c r="G12" i="4"/>
  <c r="G13" i="4"/>
  <c r="G14" i="4"/>
  <c r="G15" i="4"/>
  <c r="G16" i="4"/>
  <c r="G17" i="4"/>
  <c r="G18" i="4"/>
  <c r="L13" i="5"/>
  <c r="G13" i="1"/>
  <c r="G12" i="1"/>
  <c r="G15" i="1"/>
  <c r="G7" i="1"/>
  <c r="G9" i="1"/>
  <c r="G16" i="1"/>
  <c r="G4" i="1"/>
  <c r="G11" i="1"/>
  <c r="G5" i="1"/>
  <c r="G17" i="1"/>
  <c r="G14" i="1"/>
  <c r="G10" i="1"/>
  <c r="G8" i="1"/>
  <c r="G6" i="1"/>
  <c r="G3" i="1"/>
  <c r="G2" i="1"/>
  <c r="F6" i="3"/>
  <c r="F4" i="3"/>
  <c r="F8" i="3"/>
  <c r="F5" i="3"/>
  <c r="F10" i="3"/>
  <c r="F7" i="3"/>
  <c r="E6" i="3"/>
  <c r="E4" i="3"/>
  <c r="E8" i="3"/>
  <c r="E5" i="3"/>
  <c r="E10" i="3"/>
  <c r="E7" i="3"/>
  <c r="D6" i="3"/>
  <c r="D4" i="3"/>
  <c r="D8" i="3"/>
  <c r="D5" i="3"/>
  <c r="D10" i="3"/>
  <c r="D7" i="3"/>
  <c r="C6" i="3"/>
  <c r="C4" i="3"/>
  <c r="C8" i="3"/>
  <c r="C5" i="3"/>
  <c r="C10" i="3"/>
  <c r="C7" i="3"/>
  <c r="B6" i="3"/>
  <c r="B4" i="3"/>
  <c r="B8" i="3"/>
  <c r="B5" i="3"/>
  <c r="B10" i="3"/>
  <c r="B7" i="3"/>
  <c r="C15" i="3" l="1"/>
  <c r="C16" i="3"/>
  <c r="E24" i="3"/>
  <c r="C17" i="3"/>
  <c r="C23" i="3"/>
  <c r="D23" i="3"/>
  <c r="F22" i="3"/>
  <c r="F23" i="3"/>
  <c r="F25" i="3"/>
  <c r="F15" i="3"/>
  <c r="D25" i="3"/>
  <c r="C13" i="3"/>
  <c r="B9" i="3"/>
  <c r="F14" i="3"/>
  <c r="E9" i="3"/>
  <c r="F13" i="3"/>
  <c r="F24" i="3"/>
  <c r="D14" i="3"/>
  <c r="D26" i="3"/>
  <c r="D24" i="3"/>
  <c r="E26" i="3"/>
  <c r="E16" i="3"/>
  <c r="E14" i="3"/>
  <c r="D9" i="3"/>
  <c r="C24" i="3"/>
  <c r="D15" i="3"/>
  <c r="C9" i="3"/>
  <c r="C25" i="3"/>
  <c r="F17" i="3"/>
  <c r="E17" i="3"/>
  <c r="C14" i="3"/>
  <c r="F16" i="3"/>
  <c r="C22" i="3"/>
  <c r="F26" i="3"/>
  <c r="D16" i="3"/>
  <c r="E22" i="3"/>
  <c r="C26" i="3"/>
  <c r="F9" i="3"/>
  <c r="E15" i="3"/>
  <c r="E25" i="3"/>
  <c r="E13" i="3"/>
  <c r="D17" i="3"/>
  <c r="D13" i="3"/>
  <c r="E23" i="3"/>
  <c r="D22" i="3"/>
  <c r="C27" i="3" l="1"/>
  <c r="E27" i="3"/>
  <c r="C18" i="3"/>
  <c r="C30" i="3"/>
  <c r="F18" i="3"/>
  <c r="D18" i="3"/>
  <c r="F27" i="3"/>
  <c r="E18" i="3"/>
  <c r="D27" i="3"/>
  <c r="D30" i="3" s="1"/>
  <c r="E19" i="3"/>
  <c r="F30" i="3"/>
  <c r="E28" i="3"/>
  <c r="F28" i="3"/>
  <c r="F19" i="3"/>
  <c r="C19" i="3"/>
  <c r="C28" i="3"/>
  <c r="E30" i="3"/>
  <c r="D19" i="3"/>
  <c r="D28" i="3"/>
  <c r="M4" i="6"/>
  <c r="S4" i="6" s="1"/>
  <c r="M3" i="6"/>
  <c r="S3" i="6"/>
  <c r="S18" i="6"/>
  <c r="M18" i="6"/>
  <c r="S17" i="6"/>
  <c r="M17" i="6"/>
  <c r="F17" i="6"/>
  <c r="F18" i="6"/>
  <c r="G17" i="6"/>
  <c r="F17" i="6" a="1"/>
  <c r="F18" i="6" a="1"/>
  <c r="G18"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197AE3-8714-484D-8FE9-18183198A384}" keepAlive="1" name="Query - Agriculture" description="Connection to the 'Agriculture' query in the workbook." type="5" refreshedVersion="0" background="1">
    <dbPr connection="Provider=Microsoft.Mashup.OleDb.1;Data Source=$Workbook$;Location=Agriculture;Extended Properties=&quot;&quot;" command="SELECT * FROM [Agriculture]"/>
  </connection>
  <connection id="2" xr16:uid="{72886699-6770-43C4-A913-1CDA86C07A46}" keepAlive="1" name="Query - Agriculture_FoodSecurity" description="Connection to the 'Agriculture_FoodSecurity' query in the workbook." type="5" refreshedVersion="0" background="1">
    <dbPr connection="Provider=Microsoft.Mashup.OleDb.1;Data Source=$Workbook$;Location=Agriculture_FoodSecurity;Extended Properties=&quot;&quot;" command="SELECT * FROM [Agriculture_FoodSecurity]"/>
  </connection>
  <connection id="3" xr16:uid="{B8718412-2125-4BD9-93C3-00E3E459CA9B}" keepAlive="1" name="Query - AgricultureRawData" description="Connection to the 'AgricultureRawData' query in the workbook." type="5" refreshedVersion="8" background="1" saveData="1">
    <dbPr connection="Provider=Microsoft.Mashup.OleDb.1;Data Source=$Workbook$;Location=AgricultureRawData;Extended Properties=&quot;&quot;" command="SELECT * FROM [AgricultureRawData]"/>
  </connection>
  <connection id="4" xr16:uid="{9B771A8E-67E5-48C0-BBA7-06697ACA4D85}" keepAlive="1" name="Query - AgriSubCat" description="Connection to the 'AgriSubCat' query in the workbook." type="5" refreshedVersion="0" background="1" saveData="1">
    <dbPr connection="Provider=Microsoft.Mashup.OleDb.1;Data Source=$Workbook$;Location=AgriSubCat;Extended Properties=&quot;&quot;" command="SELECT * FROM [AgriSubCat]"/>
  </connection>
  <connection id="5" xr16:uid="{81D726F1-B9D2-475B-994E-0455464E4EF7}" keepAlive="1" name="Query - Append11" description="Connection to the 'Append1' query in the workbook." type="5" refreshedVersion="8" background="1" saveData="1">
    <dbPr connection="Provider=Microsoft.Mashup.OleDb.1;Data Source=$Workbook$;Location=Append1;Extended Properties=&quot;&quot;" command="SELECT * FROM [Append1]"/>
  </connection>
  <connection id="6" xr16:uid="{DAAB6DEB-4B82-4C84-918C-38AA6FE232D4}" keepAlive="1" name="Query - Bridge" description="Connection to the 'Bridge' query in the workbook." type="5" refreshedVersion="0" background="1">
    <dbPr connection="Provider=Microsoft.Mashup.OleDb.1;Data Source=$Workbook$;Location=Bridge;Extended Properties=&quot;&quot;" command="SELECT * FROM [Bridge]"/>
  </connection>
  <connection id="7" xr16:uid="{007A17B4-9F4C-43FF-BB86-B30748111DE7}" keepAlive="1" name="Query - Commodity" description="Connection to the 'Commodity' query in the workbook." type="5" refreshedVersion="0" background="1">
    <dbPr connection="Provider=Microsoft.Mashup.OleDb.1;Data Source=$Workbook$;Location=Commodity;Extended Properties=&quot;&quot;" command="SELECT * FROM [Commodity]"/>
  </connection>
  <connection id="8" xr16:uid="{4A821DA7-C836-4882-984F-53ABA47874B9}" keepAlive="1" name="Query - Crops" description="Connection to the 'Crops' query in the workbook." type="5" refreshedVersion="0" background="1">
    <dbPr connection="Provider=Microsoft.Mashup.OleDb.1;Data Source=$Workbook$;Location=Crops;Extended Properties=&quot;&quot;" command="SELECT * FROM [Crops]"/>
  </connection>
  <connection id="9" xr16:uid="{A4914744-2691-402A-9B80-4C4EE9CD9BF3}" keepAlive="1" name="Query - Electric" description="Connection to the 'Electric' query in the workbook." type="5" refreshedVersion="0" background="1">
    <dbPr connection="Provider=Microsoft.Mashup.OleDb.1;Data Source=$Workbook$;Location=Electric;Extended Properties=&quot;&quot;" command="SELECT * FROM [Electric]"/>
  </connection>
  <connection id="10" xr16:uid="{44086071-6F76-4BBE-8433-F318964BFED1}" keepAlive="1" name="Query - Fisheries" description="Connection to the 'Fisheries' query in the workbook." type="5" refreshedVersion="0" background="1">
    <dbPr connection="Provider=Microsoft.Mashup.OleDb.1;Data Source=$Workbook$;Location=Fisheries;Extended Properties=&quot;&quot;" command="SELECT * FROM [Fisheries]"/>
  </connection>
  <connection id="11" xr16:uid="{196611C3-6BB7-44B9-8EEA-14AA072B20D4}" keepAlive="1" name="Query - Fisherman" description="Connection to the 'Fisherman' query in the workbook." type="5" refreshedVersion="0" background="1">
    <dbPr connection="Provider=Microsoft.Mashup.OleDb.1;Data Source=$Workbook$;Location=Fisherman;Extended Properties=&quot;&quot;" command="SELECT * FROM [Fisherman]"/>
  </connection>
  <connection id="12" xr16:uid="{1E9F47AA-4942-4CA5-A009-B9EE235E9E4D}" keepAlive="1" name="Query - FloodConservation" description="Connection to the 'FloodConservation' query in the workbook." type="5" refreshedVersion="0" background="1">
    <dbPr connection="Provider=Microsoft.Mashup.OleDb.1;Data Source=$Workbook$;Location=FloodConservation;Extended Properties=&quot;&quot;" command="SELECT * FROM [FloodConservation]"/>
  </connection>
  <connection id="13" xr16:uid="{BDF05B12-FA51-40AF-B463-ADF59EAD955B}" keepAlive="1" name="Query - FloodEmergency" description="Connection to the 'FloodEmergency' query in the workbook." type="5" refreshedVersion="0" background="1">
    <dbPr connection="Provider=Microsoft.Mashup.OleDb.1;Data Source=$Workbook$;Location=FloodEmergency;Extended Properties=&quot;&quot;" command="SELECT * FROM [FloodEmergency]"/>
  </connection>
  <connection id="14" xr16:uid="{2F65EB7C-3CC4-4F6D-991E-42D9631938CF}" keepAlive="1" name="Query - IMAT" description="Connection to the 'IMAT' query in the workbook." type="5" refreshedVersion="0" background="1">
    <dbPr connection="Provider=Microsoft.Mashup.OleDb.1;Data Source=$Workbook$;Location=IMAT;Extended Properties=&quot;&quot;" command="SELECT * FROM [IMAT]"/>
  </connection>
  <connection id="15" xr16:uid="{6FFA60CD-782E-4ABC-83AC-461CAD37B55B}" keepAlive="1" name="Query - InfraLossQuery" description="Connection to the 'InfraLossQuery' query in the workbook." type="5" refreshedVersion="0" background="1" saveData="1">
    <dbPr connection="Provider=Microsoft.Mashup.OleDb.1;Data Source=$Workbook$;Location=InfraLossQuery;Extended Properties=&quot;&quot;" command="SELECT * FROM [InfraLossQuery]"/>
  </connection>
  <connection id="16" xr16:uid="{D08906D3-D919-4D08-B34F-E18E58DC3E86}" keepAlive="1" name="Query - InfraLossQuery1" description="Connection to the 'InfraLossQuery' query in the workbook." type="5" refreshedVersion="8" background="1" saveData="1">
    <dbPr connection="Provider=Microsoft.Mashup.OleDb.1;Data Source=$Workbook$;Location=InfraLossQuery;Extended Properties=&quot;&quot;" command="SELECT * FROM [InfraLossQuery]"/>
  </connection>
  <connection id="17" xr16:uid="{22510865-E101-4FDC-9529-F55E02C565B4}" keepAlive="1" name="Query - Infrastructure" description="Connection to the 'Infrastructure' query in the workbook." type="5" refreshedVersion="0" background="1">
    <dbPr connection="Provider=Microsoft.Mashup.OleDb.1;Data Source=$Workbook$;Location=Infrastructure;Extended Properties=&quot;&quot;" command="SELECT * FROM [Infrastructure]"/>
  </connection>
  <connection id="18" xr16:uid="{86CFE978-A34B-4CD2-A5E2-8C69E8FC6653}" keepAlive="1" name="Query - JKRQuery" description="Connection to the 'JKRQuery' query in the workbook." type="5" refreshedVersion="8" background="1" saveData="1">
    <dbPr connection="Provider=Microsoft.Mashup.OleDb.1;Data Source=$Workbook$;Location=JKRQuery;Extended Properties=&quot;&quot;" command="SELECT * FROM [JKRQuery]"/>
  </connection>
  <connection id="19" xr16:uid="{511EA36B-FA0E-44D9-AAF8-72744DA74FDC}" keepAlive="1" name="Query - JKRQuery1" description="Connection to the 'JKRQuery' query in the workbook." type="5" refreshedVersion="8" background="1" saveData="1">
    <dbPr connection="Provider=Microsoft.Mashup.OleDb.1;Data Source=$Workbook$;Location=JKRQuery;Extended Properties=&quot;&quot;" command="SELECT * FROM [JKRQuery]"/>
  </connection>
  <connection id="20" xr16:uid="{7ABB0451-78A2-4981-8A57-D992EB208EE8}" keepAlive="1" name="Query - JPS Losses" description="Connection to the 'JPS Losses' query in the workbook." type="5" refreshedVersion="8" background="1" saveData="1">
    <dbPr connection="Provider=Microsoft.Mashup.OleDb.1;Data Source=$Workbook$;Location=&quot;JPS Losses&quot;;Extended Properties=&quot;&quot;" command="SELECT * FROM [JPS Losses]"/>
  </connection>
  <connection id="21" xr16:uid="{5BC1685D-9491-4D01-B1E9-6DE4FDAAD44F}" keepAlive="1" name="Query - KemajuanDesa" description="Connection to the 'KemajuanDesa' query in the workbook." type="5" refreshedVersion="0" background="1">
    <dbPr connection="Provider=Microsoft.Mashup.OleDb.1;Data Source=$Workbook$;Location=KemajuanDesa;Extended Properties=&quot;&quot;" command="SELECT * FROM [KemajuanDesa]"/>
  </connection>
  <connection id="22" xr16:uid="{211BEF41-C2B6-4A2D-AAAC-A383326BB979}" keepAlive="1" name="Query - Livestock" description="Connection to the 'Livestock' query in the workbook." type="5" refreshedVersion="0" background="1">
    <dbPr connection="Provider=Microsoft.Mashup.OleDb.1;Data Source=$Workbook$;Location=Livestock;Extended Properties=&quot;&quot;" command="SELECT * FROM [Livestock]"/>
  </connection>
  <connection id="23" xr16:uid="{A92CD818-35BA-454F-BEBD-FD506B3F3773}" keepAlive="1" name="Query - LivingQuarter" description="Connection to the 'LivingQuarter' query in the workbook." type="5" refreshedVersion="0" background="1">
    <dbPr connection="Provider=Microsoft.Mashup.OleDb.1;Data Source=$Workbook$;Location=LivingQuarter;Extended Properties=&quot;&quot;" command="SELECT * FROM [LivingQuarter]"/>
  </connection>
  <connection id="24" xr16:uid="{63E2F2FA-2815-42EC-948B-40C27EE31FFE}" keepAlive="1" name="Query - MalaysiaOverall" description="Connection to the 'MalaysiaOverall' query in the workbook." type="5" refreshedVersion="8" background="1" saveData="1">
    <dbPr connection="Provider=Microsoft.Mashup.OleDb.1;Data Source=$Workbook$;Location=MalaysiaOverall;Extended Properties=&quot;&quot;" command="SELECT * FROM [MalaysiaOverall]"/>
  </connection>
  <connection id="25" xr16:uid="{6F0E40B5-79D0-4982-8576-3FA19F55E0E9}" keepAlive="1" name="Query - Manufacturing" description="Connection to the 'Manufacturing' query in the workbook." type="5" refreshedVersion="0" background="1">
    <dbPr connection="Provider=Microsoft.Mashup.OleDb.1;Data Source=$Workbook$;Location=Manufacturing;Extended Properties=&quot;&quot;" command="SELECT * FROM [Manufacturing]"/>
  </connection>
  <connection id="26" xr16:uid="{53B32F68-BB2D-4138-850C-E018C0FC4529}" keepAlive="1" name="Query - Paddy" description="Connection to the 'Paddy' query in the workbook." type="5" refreshedVersion="0" background="1">
    <dbPr connection="Provider=Microsoft.Mashup.OleDb.1;Data Source=$Workbook$;Location=Paddy;Extended Properties=&quot;&quot;" command="SELECT * FROM [Paddy]"/>
  </connection>
  <connection id="27" xr16:uid="{BDFC4EC3-200C-41B7-B29B-DEBD87571BDC}" keepAlive="1" name="Query - Pendidikan" description="Connection to the 'Pendidikan' query in the workbook." type="5" refreshedVersion="0" background="1">
    <dbPr connection="Provider=Microsoft.Mashup.OleDb.1;Data Source=$Workbook$;Location=Pendidikan;Extended Properties=&quot;&quot;" command="SELECT * FROM [Pendidikan]"/>
  </connection>
  <connection id="28" xr16:uid="{31E49F15-9607-4FCB-919E-22E624E3DD3B}" keepAlive="1" name="Query - Pengairan" description="Connection to the 'Pengairan' query in the workbook." type="5" refreshedVersion="0" background="1">
    <dbPr connection="Provider=Microsoft.Mashup.OleDb.1;Data Source=$Workbook$;Location=Pengairan;Extended Properties=&quot;&quot;" command="SELECT * FROM [Pengairan]"/>
  </connection>
  <connection id="29" xr16:uid="{6C05CF14-B30C-4267-9406-3BE0FB277D1B}" keepAlive="1" name="Query - Pertanian" description="Connection to the 'Pertanian' query in the workbook." type="5" refreshedVersion="0" background="1">
    <dbPr connection="Provider=Microsoft.Mashup.OleDb.1;Data Source=$Workbook$;Location=Pertanian;Extended Properties=&quot;&quot;" command="SELECT * FROM [Pertanian]"/>
  </connection>
  <connection id="30" xr16:uid="{97646CF4-0215-42CC-B031-B8D26867A2A4}" keepAlive="1" name="Query - Plantation_Commodity" description="Connection to the 'Plantation_Commodity' query in the workbook." type="5" refreshedVersion="0" background="1">
    <dbPr connection="Provider=Microsoft.Mashup.OleDb.1;Data Source=$Workbook$;Location=Plantation_Commodity;Extended Properties=&quot;&quot;" command="SELECT * FROM [Plantation_Commodity]"/>
  </connection>
  <connection id="31" xr16:uid="{A2D56866-2762-487B-9CBC-481E9F65A82B}" keepAlive="1" name="Query - Premises" description="Connection to the 'Premises' query in the workbook." type="5" refreshedVersion="0" background="1">
    <dbPr connection="Provider=Microsoft.Mashup.OleDb.1;Data Source=$Workbook$;Location=Premises;Extended Properties=&quot;&quot;" command="SELECT * FROM [Premises]"/>
  </connection>
  <connection id="32" xr16:uid="{0AA11479-46D1-4878-9372-17C881E7EB50}" keepAlive="1" name="Query - RawDataAll" description="Connection to the 'RawDataAll' query in the workbook." type="5" refreshedVersion="8" background="1" saveData="1">
    <dbPr connection="Provider=Microsoft.Mashup.OleDb.1;Data Source=$Workbook$;Location=RawDataAll;Extended Properties=&quot;&quot;" command="SELECT * FROM [RawDataAll]"/>
  </connection>
  <connection id="33" xr16:uid="{C314B1EC-A3FE-48F4-BE7F-6DC4084C2BA7}" keepAlive="1" name="Query - Road" description="Connection to the 'Road' query in the workbook." type="5" refreshedVersion="0" background="1">
    <dbPr connection="Provider=Microsoft.Mashup.OleDb.1;Data Source=$Workbook$;Location=Road;Extended Properties=&quot;&quot;" command="SELECT * FROM [Road]"/>
  </connection>
  <connection id="34" xr16:uid="{48B3CDDA-3E52-46A4-8658-A516C674AF11}" keepAlive="1" name="Query - Slope" description="Connection to the 'Slope' query in the workbook." type="5" refreshedVersion="0" background="1">
    <dbPr connection="Provider=Microsoft.Mashup.OleDb.1;Data Source=$Workbook$;Location=Slope;Extended Properties=&quot;&quot;" command="SELECT * FROM [Slope]"/>
  </connection>
  <connection id="35" xr16:uid="{0E719EA7-5154-4900-BEDC-686B4D57E5E7}" keepAlive="1" name="Query - Test 1" description="Connection to the 'Test 1' query in the workbook." type="5" refreshedVersion="8" background="1" saveData="1">
    <dbPr connection="Provider=Microsoft.Mashup.OleDb.1;Data Source=$Workbook$;Location=&quot;Test 1&quot;;Extended Properties=&quot;&quot;" command="SELECT * FROM [Test 1]"/>
  </connection>
  <connection id="36" xr16:uid="{288202FE-D516-4BD4-A1F0-CDDECBEE3747}" keepAlive="1" name="Query - Vehicle" description="Connection to the 'Vehicle' query in the workbook." type="5" refreshedVersion="0" background="1">
    <dbPr connection="Provider=Microsoft.Mashup.OleDb.1;Data Source=$Workbook$;Location=Vehicle;Extended Properties=&quot;&quot;" command="SELECT * FROM [Vehicl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<sst xmlns="http://schemas.openxmlformats.org/spreadsheetml/2006/main" count="6433" uniqueCount="257">
  <si>
    <t>Sum of Value</t>
  </si>
  <si>
    <t>Year</t>
  </si>
  <si>
    <t>KRI Name</t>
  </si>
  <si>
    <t>Value</t>
  </si>
  <si>
    <t>Status</t>
  </si>
  <si>
    <t>Category</t>
  </si>
  <si>
    <t>Grand Total</t>
  </si>
  <si>
    <t>National Flood Loss Growth Rate</t>
  </si>
  <si>
    <t>Agriculture</t>
  </si>
  <si>
    <t>Residential Exposure Ratio</t>
  </si>
  <si>
    <t>Business Premises</t>
  </si>
  <si>
    <t>Infrastructure Dependency Risk</t>
  </si>
  <si>
    <t>Infrastructure</t>
  </si>
  <si>
    <t>State Concentration risk</t>
  </si>
  <si>
    <t>Living Quarters</t>
  </si>
  <si>
    <t>Manufacturing</t>
  </si>
  <si>
    <t>Vehicles</t>
  </si>
  <si>
    <t>Main Contributer:</t>
  </si>
  <si>
    <t>State</t>
  </si>
  <si>
    <t>(All)</t>
  </si>
  <si>
    <t>Sum of Loss</t>
  </si>
  <si>
    <t>Highest Losses per Year</t>
  </si>
  <si>
    <t>Premises</t>
  </si>
  <si>
    <t>Overall</t>
  </si>
  <si>
    <t>Vehicle</t>
  </si>
  <si>
    <t>Living Quarter</t>
  </si>
  <si>
    <t>Top 5 States with the Highest Loss</t>
  </si>
  <si>
    <t>Johor</t>
  </si>
  <si>
    <t>Kedah</t>
  </si>
  <si>
    <t>Kelantan</t>
  </si>
  <si>
    <t>Melaka</t>
  </si>
  <si>
    <t>Negeri Sembilan</t>
  </si>
  <si>
    <t>Pahang</t>
  </si>
  <si>
    <t>Perak</t>
  </si>
  <si>
    <t>Perlis</t>
  </si>
  <si>
    <t>Pulau Pinang</t>
  </si>
  <si>
    <t>Sabah</t>
  </si>
  <si>
    <t>Sarawak</t>
  </si>
  <si>
    <t>Selangor</t>
  </si>
  <si>
    <t>Terengganu</t>
  </si>
  <si>
    <t>Column Labels</t>
  </si>
  <si>
    <t>W.P. Kuala Lumpur</t>
  </si>
  <si>
    <t>h</t>
  </si>
  <si>
    <t>Agriculture and Food Security (RM '000)</t>
  </si>
  <si>
    <t>Movement</t>
  </si>
  <si>
    <t>% YoY</t>
  </si>
  <si>
    <t>2022</t>
  </si>
  <si>
    <t>2023</t>
  </si>
  <si>
    <t>2024</t>
  </si>
  <si>
    <t>2025</t>
  </si>
  <si>
    <t>Malaysia</t>
  </si>
  <si>
    <t>-</t>
  </si>
  <si>
    <t>Plantation and Commodities (RM '000)</t>
  </si>
  <si>
    <t>n.a</t>
  </si>
  <si>
    <r>
      <t xml:space="preserve">Negeri
</t>
    </r>
    <r>
      <rPr>
        <i/>
        <sz val="10"/>
        <color rgb="FF000000"/>
        <rFont val="Arial"/>
        <family val="2"/>
      </rPr>
      <t>State</t>
    </r>
  </si>
  <si>
    <r>
      <t xml:space="preserve">(A) Padi
</t>
    </r>
    <r>
      <rPr>
        <i/>
        <sz val="10"/>
        <color rgb="FF000000"/>
        <rFont val="Arial"/>
        <family val="2"/>
      </rPr>
      <t xml:space="preserve">Paddy
</t>
    </r>
    <r>
      <rPr>
        <b/>
        <sz val="10"/>
        <color rgb="FF000000"/>
        <rFont val="Arial"/>
        <family val="2"/>
      </rPr>
      <t>(RM '000)</t>
    </r>
  </si>
  <si>
    <t>% change YoY</t>
  </si>
  <si>
    <r>
      <t xml:space="preserve">(B) Tanaman
</t>
    </r>
    <r>
      <rPr>
        <i/>
        <sz val="10"/>
        <color rgb="FF000000"/>
        <rFont val="Arial"/>
        <family val="2"/>
      </rPr>
      <t xml:space="preserve">Crops
</t>
    </r>
    <r>
      <rPr>
        <b/>
        <sz val="10"/>
        <color rgb="FF000000"/>
        <rFont val="Arial"/>
        <family val="2"/>
      </rPr>
      <t>(RM '000)</t>
    </r>
  </si>
  <si>
    <r>
      <t xml:space="preserve">(C) Perikanan
</t>
    </r>
    <r>
      <rPr>
        <i/>
        <sz val="10"/>
        <color rgb="FF000000"/>
        <rFont val="Arial"/>
        <family val="2"/>
      </rPr>
      <t xml:space="preserve">Fisheries
</t>
    </r>
    <r>
      <rPr>
        <b/>
        <sz val="10"/>
        <color rgb="FF000000"/>
        <rFont val="Arial"/>
        <family val="2"/>
      </rPr>
      <t>(RM '000)</t>
    </r>
  </si>
  <si>
    <r>
      <t xml:space="preserve">(D) Ternakan
</t>
    </r>
    <r>
      <rPr>
        <i/>
        <sz val="10"/>
        <color rgb="FF000000"/>
        <rFont val="Arial"/>
        <family val="2"/>
      </rPr>
      <t xml:space="preserve">Livestock
</t>
    </r>
    <r>
      <rPr>
        <b/>
        <sz val="10"/>
        <color rgb="FF000000"/>
        <rFont val="Arial"/>
        <family val="2"/>
      </rPr>
      <t>(RM '000)</t>
    </r>
  </si>
  <si>
    <r>
      <t xml:space="preserve">(E) Nelayan
</t>
    </r>
    <r>
      <rPr>
        <i/>
        <sz val="10"/>
        <color rgb="FF000000"/>
        <rFont val="Arial"/>
        <family val="2"/>
      </rPr>
      <t xml:space="preserve">Fisherman
</t>
    </r>
    <r>
      <rPr>
        <b/>
        <sz val="10"/>
        <color rgb="FF000000"/>
        <rFont val="Arial"/>
        <family val="2"/>
      </rPr>
      <t>(RM '000)</t>
    </r>
  </si>
  <si>
    <t>(F) Usahawan Tani, Pemasar Tani,  IMAT
(RM '000)</t>
  </si>
  <si>
    <r>
      <t xml:space="preserve">(G) Komoditi Bernilai Tinggi
</t>
    </r>
    <r>
      <rPr>
        <i/>
        <sz val="11"/>
        <color theme="1"/>
        <rFont val="Arial"/>
        <family val="2"/>
      </rPr>
      <t>High Value Commodity</t>
    </r>
    <r>
      <rPr>
        <b/>
        <sz val="11"/>
        <color theme="1"/>
        <rFont val="Arial"/>
        <family val="2"/>
      </rPr>
      <t xml:space="preserve">
(RM '000)</t>
    </r>
  </si>
  <si>
    <t>Commodity</t>
  </si>
  <si>
    <t>Paddy</t>
  </si>
  <si>
    <t>Crops</t>
  </si>
  <si>
    <t>Fisheries</t>
  </si>
  <si>
    <t>Livestock</t>
  </si>
  <si>
    <t>Fisherman</t>
  </si>
  <si>
    <t>IMAT</t>
  </si>
  <si>
    <t>W.P. Labuan</t>
  </si>
  <si>
    <t>W.P. Putrajaya</t>
  </si>
  <si>
    <t>(A) Pertanian dan Keterjaminan Makanan</t>
  </si>
  <si>
    <t>YoY</t>
  </si>
  <si>
    <t>Column1</t>
  </si>
  <si>
    <t>(B) Pengairan dan Saliran</t>
  </si>
  <si>
    <t>(C) Pendidikan</t>
  </si>
  <si>
    <t>(D) Kemajuan Desa dan Wilayah</t>
  </si>
  <si>
    <t>Road</t>
  </si>
  <si>
    <t>Bridge</t>
  </si>
  <si>
    <t>Electric</t>
  </si>
  <si>
    <r>
      <t xml:space="preserve">
Penyenggaraan jalan
</t>
    </r>
    <r>
      <rPr>
        <i/>
        <sz val="10"/>
        <color rgb="FF000000"/>
        <rFont val="Arial"/>
        <family val="2"/>
      </rPr>
      <t xml:space="preserve">Road maintenance
</t>
    </r>
    <r>
      <rPr>
        <b/>
        <sz val="10"/>
        <color rgb="FF000000"/>
        <rFont val="Arial"/>
        <family val="2"/>
      </rPr>
      <t>(RM '000)</t>
    </r>
  </si>
  <si>
    <t>YoY %</t>
  </si>
  <si>
    <r>
      <t xml:space="preserve">
Penyenggaraan jambatan
</t>
    </r>
    <r>
      <rPr>
        <i/>
        <sz val="10"/>
        <color rgb="FF000000"/>
        <rFont val="Arial"/>
        <family val="2"/>
      </rPr>
      <t>Bridge maintenance</t>
    </r>
    <r>
      <rPr>
        <b/>
        <sz val="10"/>
        <color rgb="FF000000"/>
        <rFont val="Arial"/>
        <family val="2"/>
      </rPr>
      <t xml:space="preserve">
(RM '000)</t>
    </r>
  </si>
  <si>
    <r>
      <t xml:space="preserve">
Penyenggaraan elektrik
</t>
    </r>
    <r>
      <rPr>
        <i/>
        <sz val="10"/>
        <color rgb="FF000000"/>
        <rFont val="Arial"/>
        <family val="2"/>
      </rPr>
      <t xml:space="preserve">Electrical Maintenance
</t>
    </r>
    <r>
      <rPr>
        <b/>
        <sz val="10"/>
        <color rgb="FF000000"/>
        <rFont val="Arial"/>
        <family val="2"/>
      </rPr>
      <t>(RM '000)</t>
    </r>
  </si>
  <si>
    <r>
      <t xml:space="preserve">
Pembaikan cerun
</t>
    </r>
    <r>
      <rPr>
        <i/>
        <sz val="10"/>
        <color rgb="FF000000"/>
        <rFont val="Arial"/>
        <family val="2"/>
      </rPr>
      <t xml:space="preserve">Slope Maintenance
</t>
    </r>
    <r>
      <rPr>
        <b/>
        <sz val="10"/>
        <color rgb="FF000000"/>
        <rFont val="Arial"/>
        <family val="2"/>
      </rPr>
      <t>(RM '000)</t>
    </r>
  </si>
  <si>
    <r>
      <t xml:space="preserve">
Negeri
</t>
    </r>
    <r>
      <rPr>
        <i/>
        <sz val="10"/>
        <color rgb="FF000000"/>
        <rFont val="Arial"/>
        <family val="2"/>
      </rPr>
      <t>State</t>
    </r>
  </si>
  <si>
    <r>
      <t xml:space="preserve">
Kecemasan Banjir
</t>
    </r>
    <r>
      <rPr>
        <i/>
        <sz val="10"/>
        <color rgb="FF000000"/>
        <rFont val="Arial"/>
        <family val="2"/>
      </rPr>
      <t>Flood Emergency</t>
    </r>
    <r>
      <rPr>
        <b/>
        <sz val="10"/>
        <color rgb="FF000000"/>
        <rFont val="Arial"/>
        <family val="2"/>
      </rPr>
      <t xml:space="preserve">
(RM '000)</t>
    </r>
  </si>
  <si>
    <r>
      <t xml:space="preserve">
Pemuliharaan Risiko Banjir
</t>
    </r>
    <r>
      <rPr>
        <i/>
        <sz val="10"/>
        <color rgb="FF000000"/>
        <rFont val="Arial"/>
        <family val="2"/>
      </rPr>
      <t>Flood Risk Conservation</t>
    </r>
    <r>
      <rPr>
        <b/>
        <sz val="10"/>
        <color rgb="FF000000"/>
        <rFont val="Arial"/>
        <family val="2"/>
      </rPr>
      <t xml:space="preserve">
(RM '000)</t>
    </r>
  </si>
  <si>
    <t>Farmer</t>
  </si>
  <si>
    <t>Studies</t>
  </si>
  <si>
    <t>Village</t>
  </si>
  <si>
    <t>Water</t>
  </si>
  <si>
    <t>Flood Emergency</t>
  </si>
  <si>
    <t>Flood Conservation</t>
  </si>
  <si>
    <t>Value of Flood Losses</t>
  </si>
  <si>
    <t>Categories</t>
  </si>
  <si>
    <t>2021</t>
  </si>
  <si>
    <t>Total Loss</t>
  </si>
  <si>
    <t>Movement YoY (%)</t>
  </si>
  <si>
    <t>,+ add reasoning as well</t>
  </si>
  <si>
    <t xml:space="preserve">Movement YoY </t>
  </si>
  <si>
    <t>Main Contributer</t>
  </si>
  <si>
    <t>Loss</t>
  </si>
  <si>
    <t>Row Labels</t>
  </si>
  <si>
    <t>STATE</t>
  </si>
  <si>
    <t>Total Cummulative Losses</t>
  </si>
  <si>
    <t>Sum</t>
  </si>
  <si>
    <t>sum</t>
  </si>
  <si>
    <t xml:space="preserve"> Quarters</t>
  </si>
  <si>
    <r>
      <t xml:space="preserve">(A) Tempat Kediaman
</t>
    </r>
    <r>
      <rPr>
        <i/>
        <sz val="10"/>
        <color rgb="FF000000"/>
        <rFont val="Arial"/>
        <family val="2"/>
      </rPr>
      <t xml:space="preserve">Living Quarters  </t>
    </r>
    <r>
      <rPr>
        <b/>
        <sz val="10"/>
        <color rgb="FF000000"/>
        <rFont val="Arial"/>
        <family val="2"/>
      </rPr>
      <t xml:space="preserve">        
(RM '000)</t>
    </r>
  </si>
  <si>
    <r>
      <t xml:space="preserve">(B) Kenderaan
</t>
    </r>
    <r>
      <rPr>
        <i/>
        <sz val="10"/>
        <color rgb="FF000000"/>
        <rFont val="Arial"/>
        <family val="2"/>
      </rPr>
      <t xml:space="preserve">Vehicles  </t>
    </r>
    <r>
      <rPr>
        <b/>
        <sz val="10"/>
        <color rgb="FF000000"/>
        <rFont val="Arial"/>
        <family val="2"/>
      </rPr>
      <t xml:space="preserve">       
(RM '000)</t>
    </r>
  </si>
  <si>
    <r>
      <t xml:space="preserve">(C) Premis Perniagaan
</t>
    </r>
    <r>
      <rPr>
        <i/>
        <sz val="10"/>
        <color rgb="FF000000"/>
        <rFont val="Arial"/>
        <family val="2"/>
      </rPr>
      <t>Business Premises</t>
    </r>
    <r>
      <rPr>
        <b/>
        <sz val="10"/>
        <color rgb="FF000000"/>
        <rFont val="Arial"/>
        <family val="2"/>
      </rPr>
      <t xml:space="preserve"> 
(RM '000)</t>
    </r>
  </si>
  <si>
    <r>
      <t xml:space="preserve">(D) Pembuatan
</t>
    </r>
    <r>
      <rPr>
        <i/>
        <sz val="10"/>
        <color rgb="FF000000"/>
        <rFont val="Arial"/>
        <family val="2"/>
      </rPr>
      <t xml:space="preserve">Manufacturing
</t>
    </r>
    <r>
      <rPr>
        <b/>
        <sz val="10"/>
        <color rgb="FF000000"/>
        <rFont val="Arial"/>
        <family val="2"/>
      </rPr>
      <t>(RM '000)</t>
    </r>
  </si>
  <si>
    <r>
      <t xml:space="preserve">(E) Pertanian
</t>
    </r>
    <r>
      <rPr>
        <i/>
        <sz val="10"/>
        <color rgb="FF000000"/>
        <rFont val="Arial"/>
        <family val="2"/>
      </rPr>
      <t xml:space="preserve">Agriculture
</t>
    </r>
    <r>
      <rPr>
        <b/>
        <sz val="10"/>
        <color rgb="FF000000"/>
        <rFont val="Arial"/>
        <family val="2"/>
      </rPr>
      <t>(RM '000)</t>
    </r>
  </si>
  <si>
    <r>
      <t xml:space="preserve">(F) Infrastruktur
</t>
    </r>
    <r>
      <rPr>
        <i/>
        <sz val="10"/>
        <color rgb="FF000000"/>
        <rFont val="Arial"/>
        <family val="2"/>
      </rPr>
      <t xml:space="preserve">Infrastructure
</t>
    </r>
    <r>
      <rPr>
        <b/>
        <sz val="10"/>
        <color rgb="FF000000"/>
        <rFont val="Arial"/>
        <family val="2"/>
      </rPr>
      <t>(RM '000)</t>
    </r>
  </si>
  <si>
    <r>
      <t xml:space="preserve">*Bilangan 
Tempat Kediaman
</t>
    </r>
    <r>
      <rPr>
        <i/>
        <sz val="10"/>
        <color rgb="FF000000"/>
        <rFont val="Arial"/>
        <family val="2"/>
      </rPr>
      <t>Number of Living</t>
    </r>
    <r>
      <rPr>
        <b/>
        <sz val="10"/>
        <color rgb="FF000000"/>
        <rFont val="Arial"/>
        <family val="2"/>
      </rPr>
      <t xml:space="preserve">  </t>
    </r>
    <r>
      <rPr>
        <i/>
        <sz val="10"/>
        <color rgb="FF000000"/>
        <rFont val="Arial"/>
        <family val="2"/>
      </rPr>
      <t>Quarters</t>
    </r>
  </si>
  <si>
    <r>
      <t xml:space="preserve">Nilai Kerugian Banjir
</t>
    </r>
    <r>
      <rPr>
        <i/>
        <sz val="10"/>
        <color theme="1"/>
        <rFont val="Arial"/>
        <family val="2"/>
      </rPr>
      <t>Value of Flood Losses</t>
    </r>
  </si>
  <si>
    <r>
      <t xml:space="preserve">(F) Infrastruktur 
</t>
    </r>
    <r>
      <rPr>
        <i/>
        <sz val="10"/>
        <color rgb="FF000000"/>
        <rFont val="Arial"/>
        <family val="2"/>
      </rPr>
      <t xml:space="preserve">Infrastructure
</t>
    </r>
    <r>
      <rPr>
        <b/>
        <sz val="10"/>
        <color rgb="FF000000"/>
        <rFont val="Arial"/>
        <family val="2"/>
      </rPr>
      <t>(RM '000)</t>
    </r>
  </si>
  <si>
    <r>
      <t xml:space="preserve">Negeri
</t>
    </r>
    <r>
      <rPr>
        <i/>
        <sz val="11"/>
        <color theme="1"/>
        <rFont val="Arial"/>
        <family val="2"/>
      </rPr>
      <t>State</t>
    </r>
  </si>
  <si>
    <r>
      <t xml:space="preserve">*Bilangan 
Tempat Kediaman
</t>
    </r>
    <r>
      <rPr>
        <i/>
        <sz val="11"/>
        <color theme="1"/>
        <rFont val="Arial"/>
        <family val="2"/>
      </rPr>
      <t>Number of Living</t>
    </r>
    <r>
      <rPr>
        <b/>
        <sz val="11"/>
        <color theme="1"/>
        <rFont val="Arial"/>
        <family val="2"/>
      </rPr>
      <t xml:space="preserve">  </t>
    </r>
    <r>
      <rPr>
        <i/>
        <sz val="11"/>
        <color theme="1"/>
        <rFont val="Arial"/>
        <family val="2"/>
      </rPr>
      <t>Quarters</t>
    </r>
  </si>
  <si>
    <r>
      <t xml:space="preserve">Nilai Kerugian Banjir
</t>
    </r>
    <r>
      <rPr>
        <i/>
        <sz val="11"/>
        <color theme="1"/>
        <rFont val="Arial"/>
        <family val="2"/>
      </rPr>
      <t>Value of Flood Losses</t>
    </r>
  </si>
  <si>
    <r>
      <t xml:space="preserve">(A) Tempat Kediaman
</t>
    </r>
    <r>
      <rPr>
        <i/>
        <sz val="11"/>
        <color theme="1"/>
        <rFont val="Arial"/>
        <family val="2"/>
      </rPr>
      <t xml:space="preserve">Living Quarters  </t>
    </r>
    <r>
      <rPr>
        <b/>
        <sz val="11"/>
        <color theme="1"/>
        <rFont val="Arial"/>
        <family val="2"/>
      </rPr>
      <t xml:space="preserve">        
(RM '000)</t>
    </r>
  </si>
  <si>
    <r>
      <t xml:space="preserve">(B) Kenderaan
</t>
    </r>
    <r>
      <rPr>
        <i/>
        <sz val="11"/>
        <color theme="1"/>
        <rFont val="Arial"/>
        <family val="2"/>
      </rPr>
      <t xml:space="preserve">Vehicles  </t>
    </r>
    <r>
      <rPr>
        <b/>
        <sz val="11"/>
        <color theme="1"/>
        <rFont val="Arial"/>
        <family val="2"/>
      </rPr>
      <t xml:space="preserve">       
(RM '000)</t>
    </r>
  </si>
  <si>
    <r>
      <t xml:space="preserve">(C) Premis Perniagaan
</t>
    </r>
    <r>
      <rPr>
        <i/>
        <sz val="11"/>
        <color theme="1"/>
        <rFont val="Arial"/>
        <family val="2"/>
      </rPr>
      <t>Business Premises</t>
    </r>
    <r>
      <rPr>
        <b/>
        <sz val="11"/>
        <color theme="1"/>
        <rFont val="Arial"/>
        <family val="2"/>
      </rPr>
      <t xml:space="preserve"> 
(RM '000)</t>
    </r>
  </si>
  <si>
    <r>
      <t xml:space="preserve">(D) Pembuatan
</t>
    </r>
    <r>
      <rPr>
        <i/>
        <sz val="11"/>
        <color theme="1"/>
        <rFont val="Arial"/>
        <family val="2"/>
      </rPr>
      <t xml:space="preserve">Manufacturing
</t>
    </r>
    <r>
      <rPr>
        <b/>
        <sz val="11"/>
        <color theme="1"/>
        <rFont val="Arial"/>
        <family val="2"/>
      </rPr>
      <t>(RM '000)</t>
    </r>
  </si>
  <si>
    <r>
      <t xml:space="preserve">(E) Pertanian
</t>
    </r>
    <r>
      <rPr>
        <i/>
        <sz val="11"/>
        <color theme="1"/>
        <rFont val="Arial"/>
        <family val="2"/>
      </rPr>
      <t xml:space="preserve">Agriculture
</t>
    </r>
    <r>
      <rPr>
        <b/>
        <sz val="11"/>
        <color theme="1"/>
        <rFont val="Arial"/>
        <family val="2"/>
      </rPr>
      <t>(RM '000)</t>
    </r>
  </si>
  <si>
    <r>
      <t xml:space="preserve">(F) Infrastruktur 
</t>
    </r>
    <r>
      <rPr>
        <i/>
        <sz val="11"/>
        <color theme="1"/>
        <rFont val="Arial"/>
        <family val="2"/>
      </rPr>
      <t xml:space="preserve">Infrastructure
</t>
    </r>
    <r>
      <rPr>
        <b/>
        <sz val="11"/>
        <color theme="1"/>
        <rFont val="Arial"/>
        <family val="2"/>
      </rPr>
      <t>(RM '000)</t>
    </r>
  </si>
  <si>
    <t xml:space="preserve"> Sum</t>
  </si>
  <si>
    <t xml:space="preserve"> 38,239 </t>
  </si>
  <si>
    <t xml:space="preserve"> 71,845 </t>
  </si>
  <si>
    <t xml:space="preserve"> 29,748 </t>
  </si>
  <si>
    <t xml:space="preserve"> 29,843 </t>
  </si>
  <si>
    <t>Jadual 3: Statistik Nilai Kerugian Banjir Sektor Pertanian mengikut Kategori dan Negeri, 2022 &amp; 2023</t>
  </si>
  <si>
    <t>Jadual 3: Statistik Nilai Kerugian Banjir Sektor Pertanian mengikut Kategori dan Negeri, 2023 &amp; 2024</t>
  </si>
  <si>
    <t>Jadual 3: Statistik Nilai Kerugian Banjir Sektor Pertanian mengikut Kategori dan Negeri, 2024 &amp; 2025</t>
  </si>
  <si>
    <t>Table 3: Statistics on Value of Flood Losses of Agriculture Sector by Category and State, 2022 &amp; 2023</t>
  </si>
  <si>
    <t>Table 3: Statistics on Value of Flood Losses of Agriculture Sector by Category and State, 2023 &amp; 2024</t>
  </si>
  <si>
    <t>Table 3: Statistics on Value of Flood Losses of Agriculture Sector by Category and State, 2024 &amp; 2025</t>
  </si>
  <si>
    <r>
      <rPr>
        <b/>
        <sz val="10"/>
        <color theme="1"/>
        <rFont val="Arial"/>
        <family val="2"/>
      </rPr>
      <t>Nilai Kerugian Banjir</t>
    </r>
    <r>
      <rPr>
        <sz val="10"/>
        <color theme="1"/>
        <rFont val="Arial"/>
        <family val="2"/>
      </rPr>
      <t xml:space="preserve">
</t>
    </r>
    <r>
      <rPr>
        <i/>
        <sz val="10"/>
        <color theme="1"/>
        <rFont val="Arial"/>
        <family val="2"/>
      </rPr>
      <t>Value of Flood Losses</t>
    </r>
  </si>
  <si>
    <r>
      <rPr>
        <b/>
        <sz val="11"/>
        <color theme="1"/>
        <rFont val="Arial"/>
        <family val="2"/>
      </rPr>
      <t>Nilai Kerugian Banjir</t>
    </r>
    <r>
      <rPr>
        <sz val="11"/>
        <color theme="1"/>
        <rFont val="Arial"/>
        <family val="2"/>
      </rPr>
      <t xml:space="preserve">
</t>
    </r>
    <r>
      <rPr>
        <i/>
        <sz val="11"/>
        <color theme="1"/>
        <rFont val="Arial"/>
        <family val="2"/>
      </rPr>
      <t>Value of Flood Losses</t>
    </r>
  </si>
  <si>
    <r>
      <t xml:space="preserve">Jumlah Kerugian
</t>
    </r>
    <r>
      <rPr>
        <i/>
        <sz val="10"/>
        <color rgb="FF000000"/>
        <rFont val="Arial"/>
        <family val="2"/>
      </rPr>
      <t xml:space="preserve">Total Loss </t>
    </r>
    <r>
      <rPr>
        <b/>
        <sz val="10"/>
        <color rgb="FF000000"/>
        <rFont val="Arial"/>
        <family val="2"/>
      </rPr>
      <t xml:space="preserve">
(RM '000)</t>
    </r>
  </si>
  <si>
    <r>
      <t xml:space="preserve">Negeri
</t>
    </r>
    <r>
      <rPr>
        <i/>
        <sz val="10"/>
        <color theme="1"/>
        <rFont val="Arial"/>
        <family val="2"/>
      </rPr>
      <t>State</t>
    </r>
  </si>
  <si>
    <r>
      <t xml:space="preserve">Jumlah Kerugian
</t>
    </r>
    <r>
      <rPr>
        <i/>
        <sz val="10"/>
        <color theme="1"/>
        <rFont val="Arial"/>
        <family val="2"/>
      </rPr>
      <t xml:space="preserve">Total Loss </t>
    </r>
    <r>
      <rPr>
        <b/>
        <sz val="10"/>
        <color theme="1"/>
        <rFont val="Arial"/>
        <family val="2"/>
      </rPr>
      <t xml:space="preserve">
(RM '000)</t>
    </r>
  </si>
  <si>
    <r>
      <t xml:space="preserve">Jumlah Kerugian
</t>
    </r>
    <r>
      <rPr>
        <i/>
        <sz val="11"/>
        <color theme="1"/>
        <rFont val="Arial"/>
        <family val="2"/>
      </rPr>
      <t xml:space="preserve">Total Loss </t>
    </r>
    <r>
      <rPr>
        <b/>
        <sz val="11"/>
        <color theme="1"/>
        <rFont val="Arial"/>
        <family val="2"/>
      </rPr>
      <t xml:space="preserve">
(RM '000)</t>
    </r>
  </si>
  <si>
    <r>
      <t xml:space="preserve">(A) Pertanian dan Keterjaminan Makanan
</t>
    </r>
    <r>
      <rPr>
        <i/>
        <sz val="10"/>
        <color rgb="FF000000"/>
        <rFont val="Arial"/>
        <family val="2"/>
      </rPr>
      <t>Agriculture and Food Security</t>
    </r>
    <r>
      <rPr>
        <b/>
        <sz val="10"/>
        <color rgb="FF000000"/>
        <rFont val="Arial"/>
        <family val="2"/>
      </rPr>
      <t xml:space="preserve">
(RM '000)</t>
    </r>
  </si>
  <si>
    <r>
      <t xml:space="preserve">(B) Perladangan dan Komoditi
</t>
    </r>
    <r>
      <rPr>
        <i/>
        <sz val="10"/>
        <color rgb="FF000000"/>
        <rFont val="Arial"/>
        <family val="2"/>
      </rPr>
      <t>Plantation and Commodities</t>
    </r>
    <r>
      <rPr>
        <b/>
        <sz val="10"/>
        <color rgb="FF000000"/>
        <rFont val="Arial"/>
        <family val="2"/>
      </rPr>
      <t xml:space="preserve">
(RM '000)</t>
    </r>
  </si>
  <si>
    <r>
      <t xml:space="preserve">(A) Pertanian dan Keterjaminan Makanan
</t>
    </r>
    <r>
      <rPr>
        <i/>
        <sz val="10"/>
        <color theme="1"/>
        <rFont val="Arial"/>
        <family val="2"/>
      </rPr>
      <t>Agriculture and Food Security</t>
    </r>
    <r>
      <rPr>
        <b/>
        <sz val="10"/>
        <color theme="1"/>
        <rFont val="Arial"/>
        <family val="2"/>
      </rPr>
      <t xml:space="preserve">
(RM '000)</t>
    </r>
  </si>
  <si>
    <r>
      <t xml:space="preserve">(B) Perladangan dan Komoditi
</t>
    </r>
    <r>
      <rPr>
        <i/>
        <sz val="10"/>
        <color theme="1"/>
        <rFont val="Arial"/>
        <family val="2"/>
      </rPr>
      <t>Plantation and Commodities</t>
    </r>
    <r>
      <rPr>
        <b/>
        <sz val="10"/>
        <color theme="1"/>
        <rFont val="Arial"/>
        <family val="2"/>
      </rPr>
      <t xml:space="preserve">
(RM '000)</t>
    </r>
  </si>
  <si>
    <r>
      <t xml:space="preserve">(A) Pertanian dan Keterjaminan Makanan
</t>
    </r>
    <r>
      <rPr>
        <i/>
        <sz val="11"/>
        <color theme="1"/>
        <rFont val="Arial"/>
        <family val="2"/>
      </rPr>
      <t>Agriculture and Food Security</t>
    </r>
    <r>
      <rPr>
        <b/>
        <sz val="11"/>
        <color theme="1"/>
        <rFont val="Arial"/>
        <family val="2"/>
      </rPr>
      <t xml:space="preserve">
(RM '000)</t>
    </r>
  </si>
  <si>
    <r>
      <t xml:space="preserve">(B) Perladangan dan Komoditi
</t>
    </r>
    <r>
      <rPr>
        <i/>
        <sz val="11"/>
        <color theme="1"/>
        <rFont val="Arial"/>
        <family val="2"/>
      </rPr>
      <t>Plantation and Commodities</t>
    </r>
    <r>
      <rPr>
        <b/>
        <sz val="11"/>
        <color theme="1"/>
        <rFont val="Arial"/>
        <family val="2"/>
      </rPr>
      <t xml:space="preserve">
(RM '000)</t>
    </r>
  </si>
  <si>
    <t>Jadual 3: Statistik Nilai Kerugian Banjir Sektor Pertanian mengikut Kategori dan Negeri, 2022</t>
  </si>
  <si>
    <t>Jadual 3.1: Statistik Nilai Kerugian Banjir Sektor Pertanian (KPKM) mengikut Kategori dan Negeri, 2022 &amp; 2023</t>
  </si>
  <si>
    <t>Jadual 3.1: Statistik Nilai Kerugian Banjir Sektor Pertanian (KPKM) mengikut Kategori dan Negeri, 2023 &amp; 2024</t>
  </si>
  <si>
    <t>Jadual 3.1: Statistik Nilai Kerugian Banjir Sektor Pertanian (KPKM) mengikut Kategori dan Negeri, 2024 &amp; 2025</t>
  </si>
  <si>
    <t>Table 3: Statistics on Value of Flood Losses of Agriculture Sector by Category and State, 2022</t>
  </si>
  <si>
    <t>Table 3.1: Statistics on Value of Flood Losses of Agriculture Sector by Category and State, 2022 &amp; 2023</t>
  </si>
  <si>
    <t>Table 3.1: Statistics on Value of Flood Losses of Agriculture Sector by Category and State, 2023 &amp; 2024</t>
  </si>
  <si>
    <t>Table 3.1: Statistics on Value of Flood Losses of Agriculture Sector by Category and State, 2024 &amp; 2025</t>
  </si>
  <si>
    <r>
      <t xml:space="preserve">(A) Padi
</t>
    </r>
    <r>
      <rPr>
        <i/>
        <sz val="10"/>
        <color rgb="FF000000"/>
        <rFont val="Arial"/>
        <family val="2"/>
      </rPr>
      <t>Paddy</t>
    </r>
  </si>
  <si>
    <r>
      <t xml:space="preserve">(B) Tanaman
</t>
    </r>
    <r>
      <rPr>
        <i/>
        <sz val="10"/>
        <color rgb="FF000000"/>
        <rFont val="Arial"/>
        <family val="2"/>
      </rPr>
      <t>Crops</t>
    </r>
  </si>
  <si>
    <r>
      <t xml:space="preserve">(C) Perikanan
</t>
    </r>
    <r>
      <rPr>
        <i/>
        <sz val="10"/>
        <color rgb="FF000000"/>
        <rFont val="Arial"/>
        <family val="2"/>
      </rPr>
      <t>Fisheries</t>
    </r>
  </si>
  <si>
    <r>
      <t xml:space="preserve">(D) Ternakan
</t>
    </r>
    <r>
      <rPr>
        <i/>
        <sz val="10"/>
        <color rgb="FF000000"/>
        <rFont val="Arial"/>
        <family val="2"/>
      </rPr>
      <t>Livestock</t>
    </r>
  </si>
  <si>
    <r>
      <t xml:space="preserve">(E) Nelayan
</t>
    </r>
    <r>
      <rPr>
        <i/>
        <sz val="10"/>
        <color rgb="FF000000"/>
        <rFont val="Arial"/>
        <family val="2"/>
      </rPr>
      <t>Fisherman</t>
    </r>
  </si>
  <si>
    <t>(F) Usahawan Tani, Pemasar Tani,  IMAT</t>
  </si>
  <si>
    <r>
      <t xml:space="preserve">Jumlah Kerugian
</t>
    </r>
    <r>
      <rPr>
        <i/>
        <sz val="10"/>
        <color rgb="FF000000"/>
        <rFont val="Arial"/>
        <family val="2"/>
      </rPr>
      <t xml:space="preserve">Total Loss </t>
    </r>
    <r>
      <rPr>
        <b/>
        <sz val="10"/>
        <color rgb="FF000000"/>
        <rFont val="Arial"/>
        <family val="2"/>
      </rPr>
      <t xml:space="preserve">
</t>
    </r>
  </si>
  <si>
    <r>
      <t xml:space="preserve">Jumlah Kerugian
</t>
    </r>
    <r>
      <rPr>
        <i/>
        <sz val="10"/>
        <color rgb="FF000000"/>
        <rFont val="Arial"/>
        <family val="2"/>
      </rPr>
      <t xml:space="preserve">Total Loss </t>
    </r>
    <r>
      <rPr>
        <b/>
        <sz val="10"/>
        <color rgb="FF000000"/>
        <rFont val="Arial"/>
        <family val="2"/>
      </rPr>
      <t xml:space="preserve">
(RM '000)</t>
    </r>
  </si>
  <si>
    <r>
      <t xml:space="preserve">(A) Padi
</t>
    </r>
    <r>
      <rPr>
        <i/>
        <sz val="10"/>
        <color theme="1"/>
        <rFont val="Arial"/>
        <family val="2"/>
      </rPr>
      <t xml:space="preserve">Paddy
</t>
    </r>
    <r>
      <rPr>
        <b/>
        <sz val="10"/>
        <color theme="1"/>
        <rFont val="Arial"/>
        <family val="2"/>
      </rPr>
      <t>(RM '000)</t>
    </r>
  </si>
  <si>
    <r>
      <t xml:space="preserve">(B) Tanaman
</t>
    </r>
    <r>
      <rPr>
        <i/>
        <sz val="10"/>
        <color theme="1"/>
        <rFont val="Arial"/>
        <family val="2"/>
      </rPr>
      <t xml:space="preserve">Crops
</t>
    </r>
    <r>
      <rPr>
        <b/>
        <sz val="10"/>
        <color theme="1"/>
        <rFont val="Arial"/>
        <family val="2"/>
      </rPr>
      <t>(RM '000)</t>
    </r>
  </si>
  <si>
    <r>
      <t xml:space="preserve">(C) Perikanan
</t>
    </r>
    <r>
      <rPr>
        <i/>
        <sz val="10"/>
        <color theme="1"/>
        <rFont val="Arial"/>
        <family val="2"/>
      </rPr>
      <t xml:space="preserve">Fisheries
</t>
    </r>
    <r>
      <rPr>
        <b/>
        <sz val="10"/>
        <color theme="1"/>
        <rFont val="Arial"/>
        <family val="2"/>
      </rPr>
      <t>(RM '000)</t>
    </r>
  </si>
  <si>
    <r>
      <t xml:space="preserve">(D) Ternakan
</t>
    </r>
    <r>
      <rPr>
        <i/>
        <sz val="10"/>
        <color theme="1"/>
        <rFont val="Arial"/>
        <family val="2"/>
      </rPr>
      <t xml:space="preserve">Livestock
</t>
    </r>
    <r>
      <rPr>
        <b/>
        <sz val="10"/>
        <color theme="1"/>
        <rFont val="Arial"/>
        <family val="2"/>
      </rPr>
      <t>(RM '000)</t>
    </r>
  </si>
  <si>
    <r>
      <t xml:space="preserve">(E) Nelayan
</t>
    </r>
    <r>
      <rPr>
        <i/>
        <sz val="10"/>
        <color theme="1"/>
        <rFont val="Arial"/>
        <family val="2"/>
      </rPr>
      <t xml:space="preserve">Fisherman
</t>
    </r>
    <r>
      <rPr>
        <b/>
        <sz val="10"/>
        <color theme="1"/>
        <rFont val="Arial"/>
        <family val="2"/>
      </rPr>
      <t>(RM '000)</t>
    </r>
  </si>
  <si>
    <t>(F) Usahawan Tani, Pemasar Tani,  IMAT
(RM '000)</t>
  </si>
  <si>
    <r>
      <t xml:space="preserve">(G) Komoditi Bernilai Tinggi
</t>
    </r>
    <r>
      <rPr>
        <i/>
        <sz val="10"/>
        <color theme="1"/>
        <rFont val="Arial"/>
        <family val="2"/>
      </rPr>
      <t>High Value Commodity</t>
    </r>
    <r>
      <rPr>
        <b/>
        <sz val="10"/>
        <color theme="1"/>
        <rFont val="Arial"/>
        <family val="2"/>
      </rPr>
      <t xml:space="preserve">
(RM '000)</t>
    </r>
  </si>
  <si>
    <r>
      <t xml:space="preserve">Jumlah Kerugian
</t>
    </r>
    <r>
      <rPr>
        <i/>
        <sz val="10"/>
        <color theme="1"/>
        <rFont val="Arial"/>
        <family val="2"/>
      </rPr>
      <t xml:space="preserve">Total Loss </t>
    </r>
    <r>
      <rPr>
        <b/>
        <sz val="10"/>
        <color theme="1"/>
        <rFont val="Arial"/>
        <family val="2"/>
      </rPr>
      <t xml:space="preserve">
(RM '000)</t>
    </r>
  </si>
  <si>
    <r>
      <t xml:space="preserve">(A) Padi
</t>
    </r>
    <r>
      <rPr>
        <i/>
        <sz val="11"/>
        <color theme="1"/>
        <rFont val="Arial"/>
        <family val="2"/>
      </rPr>
      <t xml:space="preserve">Paddy
</t>
    </r>
    <r>
      <rPr>
        <b/>
        <sz val="11"/>
        <color theme="1"/>
        <rFont val="Arial"/>
        <family val="2"/>
      </rPr>
      <t>(RM '000)</t>
    </r>
  </si>
  <si>
    <r>
      <t xml:space="preserve">(B) Tanaman
</t>
    </r>
    <r>
      <rPr>
        <i/>
        <sz val="11"/>
        <color theme="1"/>
        <rFont val="Arial"/>
        <family val="2"/>
      </rPr>
      <t xml:space="preserve">Crops
</t>
    </r>
    <r>
      <rPr>
        <b/>
        <sz val="11"/>
        <color theme="1"/>
        <rFont val="Arial"/>
        <family val="2"/>
      </rPr>
      <t>(RM '000)</t>
    </r>
  </si>
  <si>
    <r>
      <t xml:space="preserve">(C) Perikanan
</t>
    </r>
    <r>
      <rPr>
        <i/>
        <sz val="11"/>
        <color theme="1"/>
        <rFont val="Arial"/>
        <family val="2"/>
      </rPr>
      <t xml:space="preserve">Fisheries
</t>
    </r>
    <r>
      <rPr>
        <b/>
        <sz val="11"/>
        <color theme="1"/>
        <rFont val="Arial"/>
        <family val="2"/>
      </rPr>
      <t>(RM '000)</t>
    </r>
  </si>
  <si>
    <r>
      <t xml:space="preserve">(D) Ternakan
</t>
    </r>
    <r>
      <rPr>
        <i/>
        <sz val="11"/>
        <color theme="1"/>
        <rFont val="Arial"/>
        <family val="2"/>
      </rPr>
      <t xml:space="preserve">Livestock
</t>
    </r>
    <r>
      <rPr>
        <b/>
        <sz val="11"/>
        <color theme="1"/>
        <rFont val="Arial"/>
        <family val="2"/>
      </rPr>
      <t>(RM '000)</t>
    </r>
  </si>
  <si>
    <r>
      <t xml:space="preserve">(E) Nelayan
</t>
    </r>
    <r>
      <rPr>
        <i/>
        <sz val="11"/>
        <color theme="1"/>
        <rFont val="Arial"/>
        <family val="2"/>
      </rPr>
      <t xml:space="preserve">Fisherman
</t>
    </r>
    <r>
      <rPr>
        <b/>
        <sz val="11"/>
        <color theme="1"/>
        <rFont val="Arial"/>
        <family val="2"/>
      </rPr>
      <t>(RM '000)</t>
    </r>
  </si>
  <si>
    <t>(RM '000)</t>
  </si>
  <si>
    <t>Jadual 4: Statistik Nilai Kerugian Banjir bagi Infrastruktur mengikut Kategori dan Negeri, 2022 &amp; 2023</t>
  </si>
  <si>
    <t>Jadual 4: Statistik Nilai Kerugian Banjir bagi Infrastruktur mengikut Kategori dan Negeri, 2023 &amp; 2024</t>
  </si>
  <si>
    <t>Jadual 4: Statistik Nilai Kerugian Banjir bagi Infrastruktur mengikut Kategori dan Negeri, 2024 &amp; 2025</t>
  </si>
  <si>
    <t>Table 4: Statistics on Value of Flood Losses of Infrastructure by Category and State, 2022 &amp; 2023</t>
  </si>
  <si>
    <t>Table 4: Statistics on Value of Flood Losses of Infrastructure by Category and State, 2023 &amp; 2024</t>
  </si>
  <si>
    <t>Table 4: Statistics on Value of Flood Losses of Infrastructure by Category and State, 2024 &amp; 2025</t>
  </si>
  <si>
    <r>
      <t xml:space="preserve">Nilai Kerugian Banjir
</t>
    </r>
    <r>
      <rPr>
        <i/>
        <sz val="10"/>
        <color rgb="FF000000"/>
        <rFont val="Arial"/>
        <family val="2"/>
      </rPr>
      <t>Value of Flood Losses</t>
    </r>
  </si>
  <si>
    <r>
      <t xml:space="preserve">Jumlah Kerugian
</t>
    </r>
    <r>
      <rPr>
        <i/>
        <sz val="10"/>
        <color theme="1"/>
        <rFont val="Arial"/>
        <family val="2"/>
      </rPr>
      <t xml:space="preserve">Total Loss
</t>
    </r>
    <r>
      <rPr>
        <b/>
        <sz val="10"/>
        <color theme="1"/>
        <rFont val="Arial"/>
        <family val="2"/>
      </rPr>
      <t>(RM '000)</t>
    </r>
  </si>
  <si>
    <r>
      <t xml:space="preserve">Jumlah Kerugian
</t>
    </r>
    <r>
      <rPr>
        <i/>
        <sz val="11"/>
        <color theme="1"/>
        <rFont val="Arial"/>
        <family val="2"/>
      </rPr>
      <t xml:space="preserve">Total Loss
</t>
    </r>
    <r>
      <rPr>
        <b/>
        <sz val="11"/>
        <color theme="1"/>
        <rFont val="Arial"/>
        <family val="2"/>
      </rPr>
      <t>(RM '000)</t>
    </r>
  </si>
  <si>
    <r>
      <t xml:space="preserve">(A) Jabatan Kerja Raya (JKR)
</t>
    </r>
    <r>
      <rPr>
        <i/>
        <sz val="10"/>
        <color rgb="FF000000"/>
        <rFont val="Arial"/>
        <family val="2"/>
      </rPr>
      <t xml:space="preserve">Public Works Department
</t>
    </r>
    <r>
      <rPr>
        <b/>
        <sz val="10"/>
        <color rgb="FF000000"/>
        <rFont val="Arial"/>
        <family val="2"/>
      </rPr>
      <t>(RM '000)</t>
    </r>
  </si>
  <si>
    <r>
      <t xml:space="preserve">(B) Pengairan dan Saliran
</t>
    </r>
    <r>
      <rPr>
        <i/>
        <sz val="10"/>
        <color rgb="FF000000"/>
        <rFont val="Arial"/>
        <family val="2"/>
      </rPr>
      <t xml:space="preserve">Irrigation and Drainage
</t>
    </r>
    <r>
      <rPr>
        <b/>
        <sz val="10"/>
        <color rgb="FF000000"/>
        <rFont val="Arial"/>
        <family val="2"/>
      </rPr>
      <t>(RM '000)</t>
    </r>
  </si>
  <si>
    <r>
      <t xml:space="preserve">(C) Pendidikan
</t>
    </r>
    <r>
      <rPr>
        <i/>
        <sz val="10"/>
        <color rgb="FF000000"/>
        <rFont val="Arial"/>
        <family val="2"/>
      </rPr>
      <t xml:space="preserve">Education
</t>
    </r>
    <r>
      <rPr>
        <b/>
        <sz val="10"/>
        <color rgb="FF000000"/>
        <rFont val="Arial"/>
        <family val="2"/>
      </rPr>
      <t>(RM '000)</t>
    </r>
  </si>
  <si>
    <r>
      <t xml:space="preserve">(A) Jabatan Kerja Raya (JKR)
</t>
    </r>
    <r>
      <rPr>
        <i/>
        <sz val="10"/>
        <color theme="1"/>
        <rFont val="Arial"/>
        <family val="2"/>
      </rPr>
      <t xml:space="preserve">Public Works Department
</t>
    </r>
    <r>
      <rPr>
        <b/>
        <sz val="10"/>
        <color theme="1"/>
        <rFont val="Arial"/>
        <family val="2"/>
      </rPr>
      <t>(RM '000)</t>
    </r>
  </si>
  <si>
    <r>
      <t xml:space="preserve">(B) Pengairan dan Saliran
</t>
    </r>
    <r>
      <rPr>
        <i/>
        <sz val="10"/>
        <color theme="1"/>
        <rFont val="Arial"/>
        <family val="2"/>
      </rPr>
      <t xml:space="preserve">Irrigation and Drainage
</t>
    </r>
    <r>
      <rPr>
        <b/>
        <sz val="10"/>
        <color theme="1"/>
        <rFont val="Arial"/>
        <family val="2"/>
      </rPr>
      <t>(RM '000)</t>
    </r>
  </si>
  <si>
    <r>
      <t xml:space="preserve">(C) Pendidikan
</t>
    </r>
    <r>
      <rPr>
        <i/>
        <sz val="10"/>
        <color theme="1"/>
        <rFont val="Arial"/>
        <family val="2"/>
      </rPr>
      <t xml:space="preserve">Education
</t>
    </r>
    <r>
      <rPr>
        <b/>
        <sz val="10"/>
        <color theme="1"/>
        <rFont val="Arial"/>
        <family val="2"/>
      </rPr>
      <t>(RM '000)</t>
    </r>
  </si>
  <si>
    <r>
      <t xml:space="preserve">(D) Kemajuan Desa dan Wilayah
</t>
    </r>
    <r>
      <rPr>
        <i/>
        <sz val="10"/>
        <color theme="1"/>
        <rFont val="Arial"/>
        <family val="2"/>
      </rPr>
      <t>Rural and Regional Development</t>
    </r>
    <r>
      <rPr>
        <b/>
        <sz val="10"/>
        <color theme="1"/>
        <rFont val="Arial"/>
        <family val="2"/>
      </rPr>
      <t xml:space="preserve">
(RM '000)</t>
    </r>
  </si>
  <si>
    <r>
      <t xml:space="preserve">(A) Jabatan Kerja Raya (JKR)
</t>
    </r>
    <r>
      <rPr>
        <i/>
        <sz val="11"/>
        <color theme="1"/>
        <rFont val="Arial"/>
        <family val="2"/>
      </rPr>
      <t xml:space="preserve">Public Works Department
</t>
    </r>
    <r>
      <rPr>
        <b/>
        <sz val="11"/>
        <color theme="1"/>
        <rFont val="Arial"/>
        <family val="2"/>
      </rPr>
      <t>(RM '000)</t>
    </r>
  </si>
  <si>
    <r>
      <t xml:space="preserve">(B) Pengairan dan Saliran
</t>
    </r>
    <r>
      <rPr>
        <i/>
        <sz val="11"/>
        <color theme="1"/>
        <rFont val="Arial"/>
        <family val="2"/>
      </rPr>
      <t xml:space="preserve">Irrigation and Drainage
</t>
    </r>
    <r>
      <rPr>
        <b/>
        <sz val="11"/>
        <color theme="1"/>
        <rFont val="Arial"/>
        <family val="2"/>
      </rPr>
      <t>(RM '000)</t>
    </r>
  </si>
  <si>
    <r>
      <t xml:space="preserve">(C) Pendidikan
</t>
    </r>
    <r>
      <rPr>
        <i/>
        <sz val="11"/>
        <color theme="1"/>
        <rFont val="Arial"/>
        <family val="2"/>
      </rPr>
      <t xml:space="preserve">Education
</t>
    </r>
    <r>
      <rPr>
        <b/>
        <sz val="11"/>
        <color theme="1"/>
        <rFont val="Arial"/>
        <family val="2"/>
      </rPr>
      <t>(RM '000)</t>
    </r>
  </si>
  <si>
    <r>
      <t xml:space="preserve">(D) Kemajuan Desa dan Wilayah
</t>
    </r>
    <r>
      <rPr>
        <i/>
        <sz val="11"/>
        <color theme="1"/>
        <rFont val="Arial"/>
        <family val="2"/>
      </rPr>
      <t>Rural and Regional Development</t>
    </r>
    <r>
      <rPr>
        <b/>
        <sz val="11"/>
        <color theme="1"/>
        <rFont val="Arial"/>
        <family val="2"/>
      </rPr>
      <t xml:space="preserve">
(RM '000)</t>
    </r>
  </si>
  <si>
    <t>Jadual 4: Statistik Nilai Kerugian Banjir Infrastruktur mengikut Kategori dan Negeri, 2022</t>
  </si>
  <si>
    <t>Jadual 4.1: Statistik Nilai Kerugian Banjir Infrastruktur Jabatan Kerja Raya (JKR) mengikut Kategori dan Negeri, 2022 &amp; 2023</t>
  </si>
  <si>
    <t>Jadual 4.1: Statistik Nilai Kerugian Banjir Infrastruktur Jabatan Kerja Raya (JKR) mengikut Kategori dan Negeri, 2023 &amp; 2024</t>
  </si>
  <si>
    <t>Jadual 4.1: Statistik Nilai Kerugian Banjir Infrastruktur Jabatan Kerja Raya (JKR) mengikut Kategori dan Negeri, 2024 &amp; 2025</t>
  </si>
  <si>
    <t>Table 4: Statistics on Value of Flood Losses of Infrastructure by Category and State, 2022</t>
  </si>
  <si>
    <t>Table 4.1: Statistics on Value of Flood Losses of Public Works Department Infrastructure by Category and State, 2022 &amp; 2023</t>
  </si>
  <si>
    <t>Table 4.1: Statistics on Value of Flood Losses of Public Works Department Infrastructure by Category and State, 2023 &amp; 2024</t>
  </si>
  <si>
    <t>Table 4.1: Statistics on Value of Flood Losses of Public Works Department Infrastructure by Category and State, 2024 &amp; 2025</t>
  </si>
  <si>
    <r>
      <t xml:space="preserve">Penyenggaraan jalan
</t>
    </r>
    <r>
      <rPr>
        <i/>
        <sz val="10"/>
        <color rgb="FF000000"/>
        <rFont val="Arial"/>
        <family val="2"/>
      </rPr>
      <t>Road maintenance</t>
    </r>
  </si>
  <si>
    <r>
      <t xml:space="preserve">Penyenggaraan jambatan
</t>
    </r>
    <r>
      <rPr>
        <i/>
        <sz val="10"/>
        <color rgb="FF000000"/>
        <rFont val="Arial"/>
        <family val="2"/>
      </rPr>
      <t>Bridge maintenance</t>
    </r>
  </si>
  <si>
    <r>
      <t xml:space="preserve">Penyenggaraan elektrik
</t>
    </r>
    <r>
      <rPr>
        <i/>
        <sz val="10"/>
        <color rgb="FF000000"/>
        <rFont val="Arial"/>
        <family val="2"/>
      </rPr>
      <t>Electrical Maintenance</t>
    </r>
  </si>
  <si>
    <r>
      <t xml:space="preserve">Pembaikan cerun
</t>
    </r>
    <r>
      <rPr>
        <i/>
        <sz val="10"/>
        <color rgb="FF000000"/>
        <rFont val="Arial"/>
        <family val="2"/>
      </rPr>
      <t>Slope Maintenance</t>
    </r>
  </si>
  <si>
    <r>
      <t xml:space="preserve">Jumlah Kerugian
</t>
    </r>
    <r>
      <rPr>
        <i/>
        <sz val="10"/>
        <color theme="1"/>
        <rFont val="Arial"/>
        <family val="2"/>
      </rPr>
      <t>Total Loss</t>
    </r>
  </si>
  <si>
    <r>
      <t xml:space="preserve">
Jumlah Kerugian
</t>
    </r>
    <r>
      <rPr>
        <i/>
        <sz val="10"/>
        <color theme="1"/>
        <rFont val="Arial"/>
        <family val="2"/>
      </rPr>
      <t xml:space="preserve">Total Loss
</t>
    </r>
    <r>
      <rPr>
        <b/>
        <sz val="10"/>
        <color theme="1"/>
        <rFont val="Arial"/>
        <family val="2"/>
      </rPr>
      <t>(RM '000)</t>
    </r>
  </si>
  <si>
    <r>
      <t xml:space="preserve">
Negeri
</t>
    </r>
    <r>
      <rPr>
        <i/>
        <sz val="10"/>
        <color theme="1"/>
        <rFont val="Arial"/>
        <family val="2"/>
      </rPr>
      <t>State</t>
    </r>
  </si>
  <si>
    <r>
      <t xml:space="preserve">
Penyenggaraan jalan
</t>
    </r>
    <r>
      <rPr>
        <i/>
        <sz val="10"/>
        <color theme="1"/>
        <rFont val="Arial"/>
        <family val="2"/>
      </rPr>
      <t xml:space="preserve">Road maintenance
</t>
    </r>
    <r>
      <rPr>
        <b/>
        <sz val="10"/>
        <color theme="1"/>
        <rFont val="Arial"/>
        <family val="2"/>
      </rPr>
      <t>(RM '000)</t>
    </r>
  </si>
  <si>
    <r>
      <t xml:space="preserve">
Penyenggaraan jambatan
</t>
    </r>
    <r>
      <rPr>
        <i/>
        <sz val="10"/>
        <color theme="1"/>
        <rFont val="Arial"/>
        <family val="2"/>
      </rPr>
      <t>Bridge maintenance</t>
    </r>
    <r>
      <rPr>
        <b/>
        <sz val="10"/>
        <color theme="1"/>
        <rFont val="Arial"/>
        <family val="2"/>
      </rPr>
      <t xml:space="preserve">
(RM '000)</t>
    </r>
  </si>
  <si>
    <r>
      <t xml:space="preserve">
Penyenggaraan elektrik
</t>
    </r>
    <r>
      <rPr>
        <i/>
        <sz val="10"/>
        <color theme="1"/>
        <rFont val="Arial"/>
        <family val="2"/>
      </rPr>
      <t xml:space="preserve">Electrical Maintenance
</t>
    </r>
    <r>
      <rPr>
        <b/>
        <sz val="10"/>
        <color theme="1"/>
        <rFont val="Arial"/>
        <family val="2"/>
      </rPr>
      <t>(RM '000)</t>
    </r>
  </si>
  <si>
    <r>
      <t xml:space="preserve">
Pembaikan cerun
</t>
    </r>
    <r>
      <rPr>
        <i/>
        <sz val="10"/>
        <color theme="1"/>
        <rFont val="Arial"/>
        <family val="2"/>
      </rPr>
      <t xml:space="preserve">Slope Maintenance
</t>
    </r>
    <r>
      <rPr>
        <b/>
        <sz val="10"/>
        <color theme="1"/>
        <rFont val="Arial"/>
        <family val="2"/>
      </rPr>
      <t>(RM '000)</t>
    </r>
  </si>
  <si>
    <r>
      <t xml:space="preserve">
Negeri
</t>
    </r>
    <r>
      <rPr>
        <i/>
        <sz val="11"/>
        <color theme="1"/>
        <rFont val="Arial"/>
        <family val="2"/>
      </rPr>
      <t>State</t>
    </r>
  </si>
  <si>
    <r>
      <t xml:space="preserve">
Penyenggaraan jalan
</t>
    </r>
    <r>
      <rPr>
        <i/>
        <sz val="11"/>
        <color theme="1"/>
        <rFont val="Arial"/>
        <family val="2"/>
      </rPr>
      <t xml:space="preserve">Road maintenance
</t>
    </r>
    <r>
      <rPr>
        <b/>
        <sz val="11"/>
        <color theme="1"/>
        <rFont val="Arial"/>
        <family val="2"/>
      </rPr>
      <t>(RM '000)</t>
    </r>
  </si>
  <si>
    <r>
      <t xml:space="preserve">
Penyenggaraan jambatan
</t>
    </r>
    <r>
      <rPr>
        <i/>
        <sz val="11"/>
        <color theme="1"/>
        <rFont val="Arial"/>
        <family val="2"/>
      </rPr>
      <t>Bridge maintenance</t>
    </r>
    <r>
      <rPr>
        <b/>
        <sz val="11"/>
        <color theme="1"/>
        <rFont val="Arial"/>
        <family val="2"/>
      </rPr>
      <t xml:space="preserve">
(RM '000)</t>
    </r>
  </si>
  <si>
    <r>
      <t xml:space="preserve">
Penyenggaraan elektrik
</t>
    </r>
    <r>
      <rPr>
        <i/>
        <sz val="11"/>
        <color theme="1"/>
        <rFont val="Arial"/>
        <family val="2"/>
      </rPr>
      <t xml:space="preserve">Electrical Maintenance
</t>
    </r>
    <r>
      <rPr>
        <b/>
        <sz val="11"/>
        <color theme="1"/>
        <rFont val="Arial"/>
        <family val="2"/>
      </rPr>
      <t>(RM '000)</t>
    </r>
  </si>
  <si>
    <r>
      <t xml:space="preserve">
Pembaikan cerun
</t>
    </r>
    <r>
      <rPr>
        <i/>
        <sz val="11"/>
        <color theme="1"/>
        <rFont val="Arial"/>
        <family val="2"/>
      </rPr>
      <t xml:space="preserve">Slope Maintenance
</t>
    </r>
    <r>
      <rPr>
        <b/>
        <sz val="11"/>
        <color theme="1"/>
        <rFont val="Arial"/>
        <family val="2"/>
      </rPr>
      <t>(RM '000)</t>
    </r>
  </si>
  <si>
    <r>
      <t xml:space="preserve">
Jumlah Kerugian
</t>
    </r>
    <r>
      <rPr>
        <i/>
        <sz val="11"/>
        <color theme="1"/>
        <rFont val="Arial"/>
        <family val="2"/>
      </rPr>
      <t xml:space="preserve">Total Loss
</t>
    </r>
    <r>
      <rPr>
        <b/>
        <sz val="11"/>
        <color theme="1"/>
        <rFont val="Arial"/>
        <family val="2"/>
      </rPr>
      <t>(RM '000)</t>
    </r>
  </si>
  <si>
    <t>Jadual 4.2: Statistik Nilai Kerugian Banjir Infrastruktur Jabatan Pengairan dan Saliran (JPS) mengikut Kategori dan Negeri, 2022 &amp; 2023</t>
  </si>
  <si>
    <t>Jadual 4.2: Statistik Nilai Kerugian Banjir Infrastruktur Jabatan Pengairan dan Saliran (JPS) mengikut Kategori dan Negeri, 2023 &amp; 2024</t>
  </si>
  <si>
    <t>Jadual 4.2: Statistik Nilai Kerugian Banjir Infrastruktur Jabatan Pengairan dan Saliran (JPS) mengikut Kategori dan Negeri, 2024 &amp; 2025</t>
  </si>
  <si>
    <t>Table 4.2: Statistics on Value of Flood Losses of Department of Irrigation and Drainage Infrastructure by Category and State, 2022 &amp; 2023</t>
  </si>
  <si>
    <t>Table 4.2: Statistics on Value of Flood Losses of Department of Irrigation and Drainage Infrastructure by Category and State, 2023 &amp; 2024</t>
  </si>
  <si>
    <t>Table 4.2: Statistics on Value of Flood Losses of Department of Irrigation and Drainage Infrastructure by Category and State, 2024 &amp; 2025</t>
  </si>
  <si>
    <r>
      <t xml:space="preserve">
Kecemasan Banjir
</t>
    </r>
    <r>
      <rPr>
        <i/>
        <sz val="10"/>
        <color theme="1"/>
        <rFont val="Arial"/>
        <family val="2"/>
      </rPr>
      <t>Flood Emergency</t>
    </r>
    <r>
      <rPr>
        <b/>
        <sz val="10"/>
        <color theme="1"/>
        <rFont val="Arial"/>
        <family val="2"/>
      </rPr>
      <t xml:space="preserve">
(RM '000)</t>
    </r>
  </si>
  <si>
    <r>
      <t xml:space="preserve">
Pemuliharaan Risiko Banjir
</t>
    </r>
    <r>
      <rPr>
        <i/>
        <sz val="10"/>
        <color theme="1"/>
        <rFont val="Arial"/>
        <family val="2"/>
      </rPr>
      <t>Flood Risk Conservation</t>
    </r>
    <r>
      <rPr>
        <b/>
        <sz val="10"/>
        <color theme="1"/>
        <rFont val="Arial"/>
        <family val="2"/>
      </rPr>
      <t xml:space="preserve">
(RM '000)</t>
    </r>
  </si>
  <si>
    <r>
      <t xml:space="preserve">
Kecemasan Banjir
</t>
    </r>
    <r>
      <rPr>
        <i/>
        <sz val="11"/>
        <color theme="1"/>
        <rFont val="Arial"/>
        <family val="2"/>
      </rPr>
      <t>Flood Emergency</t>
    </r>
    <r>
      <rPr>
        <b/>
        <sz val="11"/>
        <color theme="1"/>
        <rFont val="Arial"/>
        <family val="2"/>
      </rPr>
      <t xml:space="preserve">
(RM '000)</t>
    </r>
  </si>
  <si>
    <r>
      <t xml:space="preserve">
Pemuliharaan Risiko Banjir
</t>
    </r>
    <r>
      <rPr>
        <i/>
        <sz val="11"/>
        <color theme="1"/>
        <rFont val="Arial"/>
        <family val="2"/>
      </rPr>
      <t>Flood Risk Conservation</t>
    </r>
    <r>
      <rPr>
        <b/>
        <sz val="11"/>
        <color theme="1"/>
        <rFont val="Arial"/>
        <family val="2"/>
      </rPr>
      <t xml:space="preserve">
(RM '000)</t>
    </r>
  </si>
  <si>
    <t>Link</t>
  </si>
  <si>
    <t>No</t>
  </si>
  <si>
    <t>https://www.worldbank.org/en/country/malaysia/publication/flood-risk-management-leveraging-finance-for-business-resilience-in-malaysia</t>
  </si>
  <si>
    <t>https://www.unescap.org/sites/default/d8files/event-documents/02%20MYS%203.%2022nd%20meeting%20twg%20of%20disaster%20stats_%20Malaysia.pdf</t>
  </si>
  <si>
    <t>https://www.dosm.gov.my/portal-main/release-content/special-report-on-impact-of-floods-in-malaysia-2021</t>
  </si>
  <si>
    <t>https://reliefweb.int/disaster/fl-2021-000209-mys</t>
  </si>
  <si>
    <t>Description</t>
  </si>
  <si>
    <t>Flash Flood Dec 2021</t>
  </si>
  <si>
    <t>https://www.met.gov.my/penerbitan/laporan-tahunan/</t>
  </si>
  <si>
    <t>Annual Report by METMalaysia</t>
  </si>
  <si>
    <t xml:space="preserve">Flood Impact Archive DOSM </t>
  </si>
  <si>
    <t>IMPACT OF FLOODS IN MALAYSIA 2022: MALAYSIA’S EXPERIENCE</t>
  </si>
  <si>
    <t>Managing Flood Risks- Leveraging Finance for Business Resilience in Malaysia</t>
  </si>
  <si>
    <t>https://www.water.gov.my/index.php/pages/view/2113?mid=691</t>
  </si>
  <si>
    <t>Department of Irrigation and Drainage</t>
  </si>
  <si>
    <t>https://publicinfobanjir.water.gov.my/hujan/data-hujan/?lang=en</t>
  </si>
  <si>
    <t>Rainfall Data - Department of Irrigation and Drainage Malaysia</t>
  </si>
  <si>
    <t>https://www.ukm.my/jkukm/wp-content/uploads/2025/3702/28.pdf</t>
  </si>
  <si>
    <t>A Review of Major Flood Events in Malaysia Between 1970-2024</t>
  </si>
  <si>
    <t>https://www.iseas.edu.sg/articles-commentaries/iseas-perspective/2022-26-malaysias-floods-of-december-2021-can-future-disasters-be-avoided-by-serina-rahman/</t>
  </si>
  <si>
    <t>“Malaysia’s Floods of December 2021: Can Future Disasters be Avoided?” by Serina Rahman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</si>
</sst>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1" formatCode="_-* #,##0_-;\-* #,##0_-;_-* &quot;-&quot;_-;_-@_-"/>
    <numFmt numFmtId="44" formatCode="_-&quot;RM&quot;* #,##0.00_-;\-&quot;RM&quot;* #,##0.00_-;_-&quot;RM&quot;* &quot;-&quot;??_-;_-@_-"/>
    <numFmt numFmtId="43" formatCode="_-* #,##0.00_-;\-* #,##0.00_-;_-* &quot;-&quot;??_-;_-@_-"/>
    <numFmt numFmtId="164" formatCode="_(&quot;$&quot;* #,##0.00_);_(&quot;$&quot;* \(#,##0.00\);_(&quot;$&quot;* &quot;-&quot;??_);_(@_)"/>
    <numFmt numFmtId="165" formatCode="_-* #,##0_-;\-* #,##0_-;_-* &quot;-&quot;??_-;_-@_-"/>
    <numFmt numFmtId="166" formatCode="0.0"/>
    <numFmt numFmtId="167" formatCode="[$-14409]d/m/yyyy;@"/>
    <numFmt numFmtId="168" formatCode="General&quot; &quot;"/>
    <numFmt numFmtId="169" formatCode="General_)"/>
    <numFmt numFmtId="170" formatCode="[$-409]mmm\-yy;@"/>
    <numFmt numFmtId="171" formatCode="[$-43E]dd\ mmmm\ yyyy;@"/>
    <numFmt numFmtId="172" formatCode="0;[Red]0"/>
    <numFmt numFmtId="173" formatCode="#,##0;[Red]#,##0"/>
    <numFmt numFmtId="174" formatCode="[$-409]General"/>
    <numFmt numFmtId="175" formatCode="#,##0.00&quot; &quot;;&quot; (&quot;#,##0.00&quot;)&quot;;&quot; -&quot;#&quot; &quot;;@&quot; &quot;"/>
    <numFmt numFmtId="176" formatCode="[$-409]#,##0"/>
    <numFmt numFmtId="177" formatCode="[$-409]d\-mmm\-yy;@"/>
    <numFmt numFmtId="178" formatCode="[$$-409]#,##0.00;[Red]&quot;-&quot;[$$-409]#,##0.00"/>
    <numFmt numFmtId="179" formatCode="#,##0.0_);\(#,##0.0\)"/>
    <numFmt numFmtId="180" formatCode="[$-409]#,##0&quot; &quot;;[$-409]&quot;(&quot;#,##0&quot;)&quot;"/>
    <numFmt numFmtId="181" formatCode="#,##0.0&quot; &quot;;&quot;(&quot;#,##0.0&quot;)&quot;"/>
    <numFmt numFmtId="182" formatCode="&quot;RM&quot;#,##0.00"/>
    <numFmt numFmtId="183" formatCode="_(* #,##0_);_(* \(#,##0\);_(* &quot;-&quot;??_);_(@_)"/>
    <numFmt numFmtId="184" formatCode="_-* #,##0.0_-;\-* #,##0.0_-;_-* &quot;-&quot;??_-;_-@_-"/>
  </numFmts>
  <fonts count="89">
    <font>
      <sz val="11"/>
      <color theme="1"/>
      <name val="Aptos Narrow"/>
      <family val="2"/>
      <scheme val="minor"/>
    </font>
    <font>
      <sz val="11"/>
      <color theme="1"/>
      <name val="Aptos Narrow"/>
      <family val="2"/>
      <scheme val="minor"/>
    </font>
    <font>
      <sz val="10"/>
      <color rgb="FF000000"/>
      <name val="Arial"/>
      <family val="2"/>
    </font>
    <font>
      <sz val="10"/>
      <color theme="1"/>
      <name val="Arial"/>
      <family val="2"/>
    </font>
    <font>
      <sz val="10"/>
      <name val="Arial"/>
      <family val="2"/>
    </font>
    <font>
      <sz val="12"/>
      <name val="Arial"/>
      <family val="2"/>
    </font>
    <font>
      <sz val="11"/>
      <color theme="1"/>
      <name val="Arial"/>
      <family val="2"/>
    </font>
    <font>
      <sz val="11"/>
      <color indexed="8"/>
      <name val="Calibri"/>
      <family val="2"/>
    </font>
    <font>
      <sz val="10"/>
      <color theme="1"/>
      <name val="Tahoma"/>
      <family val="2"/>
    </font>
    <font>
      <sz val="10"/>
      <name val="MS Sans Serif"/>
      <family val="2"/>
    </font>
    <font>
      <sz val="11"/>
      <color indexed="9"/>
      <name val="Calibri"/>
      <family val="2"/>
    </font>
    <font>
      <b/>
      <sz val="11"/>
      <color indexed="9"/>
      <name val="Calibri"/>
      <family val="2"/>
    </font>
    <font>
      <sz val="11"/>
      <color indexed="20"/>
      <name val="Calibri"/>
      <family val="2"/>
    </font>
    <font>
      <sz val="12"/>
      <name val="Times New Roman"/>
      <family val="1"/>
    </font>
    <font>
      <b/>
      <sz val="12"/>
      <name val="Helv"/>
      <charset val="134"/>
    </font>
    <font>
      <sz val="10"/>
      <name val="Helv"/>
      <charset val="134"/>
    </font>
    <font>
      <b/>
      <sz val="11"/>
      <color indexed="52"/>
      <name val="Calibri"/>
      <family val="2"/>
    </font>
    <font>
      <sz val="10"/>
      <color indexed="8"/>
      <name val="Arial"/>
      <family val="2"/>
    </font>
    <font>
      <sz val="8"/>
      <name val="Tahoma"/>
      <family val="2"/>
    </font>
    <font>
      <sz val="12"/>
      <color theme="1"/>
      <name val="Aptos Narrow"/>
      <family val="2"/>
      <scheme val="minor"/>
    </font>
    <font>
      <sz val="11"/>
      <color rgb="FF000000"/>
      <name val="Calibri"/>
      <family val="2"/>
    </font>
    <font>
      <sz val="8"/>
      <name val="Verdana Ref"/>
      <charset val="134"/>
    </font>
    <font>
      <sz val="10"/>
      <color rgb="FF000000"/>
      <name val="Times New Roman"/>
      <family val="1"/>
    </font>
    <font>
      <b/>
      <sz val="8"/>
      <color indexed="8"/>
      <name val="Tahoma"/>
      <family val="2"/>
    </font>
    <font>
      <b/>
      <sz val="14"/>
      <name val="Helv"/>
      <charset val="134"/>
    </font>
    <font>
      <sz val="12"/>
      <name val="Helv"/>
      <charset val="134"/>
    </font>
    <font>
      <sz val="11"/>
      <color indexed="60"/>
      <name val="Calibri"/>
      <family val="2"/>
    </font>
    <font>
      <sz val="9"/>
      <name val="Helv"/>
      <charset val="134"/>
    </font>
    <font>
      <sz val="11"/>
      <color theme="1"/>
      <name val="Arial1"/>
      <charset val="134"/>
    </font>
    <font>
      <sz val="12"/>
      <color theme="1"/>
      <name val="Helv"/>
      <charset val="134"/>
    </font>
    <font>
      <b/>
      <sz val="15"/>
      <color indexed="56"/>
      <name val="Calibri"/>
      <family val="2"/>
    </font>
    <font>
      <sz val="11"/>
      <color theme="1"/>
      <name val="Calibri"/>
      <family val="2"/>
    </font>
    <font>
      <sz val="8"/>
      <name val="Helv"/>
      <charset val="134"/>
    </font>
    <font>
      <sz val="11"/>
      <color indexed="52"/>
      <name val="Calibri"/>
      <family val="2"/>
    </font>
    <font>
      <u/>
      <sz val="10"/>
      <color indexed="12"/>
      <name val="Arial"/>
      <family val="2"/>
    </font>
    <font>
      <sz val="14"/>
      <name val="Helv"/>
      <charset val="134"/>
    </font>
    <font>
      <b/>
      <sz val="11"/>
      <color indexed="56"/>
      <name val="Calibri"/>
      <family val="2"/>
    </font>
    <font>
      <sz val="7"/>
      <name val="Helv"/>
      <charset val="134"/>
    </font>
    <font>
      <sz val="6"/>
      <color indexed="8"/>
      <name val="Arial"/>
      <family val="2"/>
    </font>
    <font>
      <sz val="11"/>
      <color indexed="17"/>
      <name val="Calibri"/>
      <family val="2"/>
    </font>
    <font>
      <i/>
      <sz val="11"/>
      <color indexed="23"/>
      <name val="Calibri"/>
      <family val="2"/>
    </font>
    <font>
      <b/>
      <i/>
      <sz val="16"/>
      <color theme="1"/>
      <name val="Arial1"/>
      <charset val="134"/>
    </font>
    <font>
      <sz val="11"/>
      <color rgb="FF000000"/>
      <name val="Arial1"/>
      <charset val="134"/>
    </font>
    <font>
      <u/>
      <sz val="10"/>
      <color indexed="12"/>
      <name val="Helv"/>
      <charset val="134"/>
    </font>
    <font>
      <b/>
      <sz val="13"/>
      <color indexed="56"/>
      <name val="Calibri"/>
      <family val="2"/>
    </font>
    <font>
      <sz val="11"/>
      <color indexed="62"/>
      <name val="Calibri"/>
      <family val="2"/>
    </font>
    <font>
      <sz val="7"/>
      <color theme="1"/>
      <name val="Helv"/>
      <charset val="134"/>
    </font>
    <font>
      <b/>
      <i/>
      <u/>
      <sz val="11"/>
      <color rgb="FF000000"/>
      <name val="Arial11"/>
      <charset val="134"/>
    </font>
    <font>
      <b/>
      <u/>
      <sz val="8"/>
      <color indexed="8"/>
      <name val="Tahoma"/>
      <family val="2"/>
    </font>
    <font>
      <sz val="11"/>
      <color rgb="FF000000"/>
      <name val="Arial11"/>
      <charset val="134"/>
    </font>
    <font>
      <u/>
      <sz val="7"/>
      <color rgb="FF0000FF"/>
      <name val="Helv"/>
      <charset val="134"/>
    </font>
    <font>
      <b/>
      <sz val="8"/>
      <color indexed="9"/>
      <name val="Tahoma"/>
      <family val="2"/>
    </font>
    <font>
      <b/>
      <i/>
      <sz val="16"/>
      <color rgb="FF000000"/>
      <name val="Arial11"/>
      <charset val="134"/>
    </font>
    <font>
      <u/>
      <sz val="9"/>
      <color indexed="12"/>
      <name val="Helv"/>
      <charset val="134"/>
    </font>
    <font>
      <u/>
      <sz val="7"/>
      <color indexed="12"/>
      <name val="Helv"/>
      <charset val="134"/>
    </font>
    <font>
      <sz val="10"/>
      <name val="Verdana"/>
      <family val="2"/>
    </font>
    <font>
      <sz val="10"/>
      <color indexed="8"/>
      <name val="MS Sans Serif"/>
      <family val="2"/>
    </font>
    <font>
      <b/>
      <sz val="11"/>
      <color indexed="63"/>
      <name val="Calibri"/>
      <family val="2"/>
    </font>
    <font>
      <b/>
      <i/>
      <sz val="10"/>
      <color indexed="8"/>
      <name val="Arial"/>
      <family val="2"/>
    </font>
    <font>
      <b/>
      <sz val="10"/>
      <color indexed="9"/>
      <name val="Arial"/>
      <family val="2"/>
    </font>
    <font>
      <b/>
      <sz val="11"/>
      <color indexed="21"/>
      <name val="Arial"/>
      <family val="2"/>
    </font>
    <font>
      <b/>
      <sz val="22"/>
      <color indexed="21"/>
      <name val="Times New Roman"/>
      <family val="1"/>
    </font>
    <font>
      <sz val="16"/>
      <color indexed="9"/>
      <name val="Tahoma"/>
      <family val="2"/>
    </font>
    <font>
      <b/>
      <i/>
      <u/>
      <sz val="11"/>
      <color theme="1"/>
      <name val="Arial1"/>
      <charset val="134"/>
    </font>
    <font>
      <b/>
      <sz val="8"/>
      <color indexed="63"/>
      <name val="Verdana Ref"/>
      <charset val="134"/>
    </font>
    <font>
      <b/>
      <sz val="18"/>
      <color indexed="56"/>
      <name val="Cambria"/>
      <family val="1"/>
    </font>
    <font>
      <b/>
      <sz val="11"/>
      <color indexed="8"/>
      <name val="Calibri"/>
      <family val="2"/>
    </font>
    <font>
      <sz val="11"/>
      <color indexed="10"/>
      <name val="Calibri"/>
      <family val="2"/>
    </font>
    <font>
      <b/>
      <sz val="11"/>
      <color theme="1"/>
      <name val="Arial"/>
      <family val="2"/>
    </font>
    <font>
      <i/>
      <sz val="11"/>
      <color theme="1"/>
      <name val="Arial"/>
      <family val="2"/>
    </font>
    <font>
      <b/>
      <sz val="11"/>
      <color rgb="FF000000"/>
      <name val="Arial"/>
      <family val="2"/>
    </font>
    <font>
      <sz val="11"/>
      <color rgb="FF000000"/>
      <name val="Arial"/>
      <family val="2"/>
    </font>
    <font>
      <b/>
      <sz val="11"/>
      <color theme="0"/>
      <name val="Aptos Narrow"/>
      <family val="2"/>
      <scheme val="minor"/>
    </font>
    <font>
      <b/>
      <sz val="11"/>
      <color theme="0"/>
      <name val="Arial"/>
      <family val="2"/>
    </font>
    <font>
      <b/>
      <i/>
      <sz val="10"/>
      <color rgb="FF000000"/>
      <name val="Arial"/>
      <family val="2"/>
    </font>
    <font>
      <i/>
      <sz val="10"/>
      <color rgb="FF000000"/>
      <name val="Arial"/>
      <family val="2"/>
    </font>
    <font>
      <b/>
      <sz val="10"/>
      <color rgb="FF000000"/>
      <name val="Arial"/>
      <family val="2"/>
    </font>
    <font>
      <b/>
      <sz val="10"/>
      <color theme="1"/>
      <name val="Arial"/>
      <family val="2"/>
    </font>
    <font>
      <i/>
      <sz val="10"/>
      <color theme="1"/>
      <name val="Arial"/>
      <family val="2"/>
    </font>
    <font>
      <i/>
      <sz val="11"/>
      <color theme="0"/>
      <name val="Arial"/>
      <family val="2"/>
    </font>
    <font>
      <sz val="11"/>
      <color theme="0"/>
      <name val="Arial"/>
      <family val="2"/>
    </font>
    <font>
      <sz val="11"/>
      <color theme="4" tint="-0.249977111117893"/>
      <name val="Arial"/>
      <family val="2"/>
    </font>
    <font>
      <sz val="10"/>
      <color theme="4" tint="-0.249977111117893"/>
      <name val="Arial"/>
      <family val="2"/>
    </font>
    <font>
      <sz val="10"/>
      <color theme="1"/>
      <name val="Aptos Narrow"/>
      <family val="2"/>
      <scheme val="minor"/>
    </font>
    <font>
      <i/>
      <sz val="10"/>
      <color theme="1"/>
      <name val="Aptos Narrow"/>
      <family val="2"/>
      <scheme val="minor"/>
    </font>
    <font>
      <b/>
      <sz val="9"/>
      <color theme="1"/>
      <name val="Arial"/>
      <family val="2"/>
    </font>
    <font>
      <i/>
      <sz val="11"/>
      <color theme="1"/>
      <name val="Aptos Narrow"/>
      <family val="2"/>
      <scheme val="minor"/>
    </font>
    <font>
      <b/>
      <sz val="11"/>
      <color theme="1"/>
      <name val="Aptos Narrow"/>
      <family val="2"/>
      <scheme val="minor"/>
    </font>
    <font>
      <sz val="11"/>
      <color rgb="FF000000"/>
      <name val="Aptos Narrow"/>
      <family val="2"/>
    </font>
  </fonts>
  <fills count="37">
    <fill>
      <patternFill patternType="none"/>
    </fill>
    <fill>
      <patternFill patternType="gray125"/>
    </fill>
    <fill>
      <patternFill patternType="solid">
        <fgColor theme="8" tint="0.79998168889431442"/>
        <bgColor indexed="64"/>
      </patternFill>
    </fill>
    <fill>
      <patternFill patternType="solid">
        <fgColor theme="4" tint="0.59999389629810485"/>
        <bgColor indexed="64"/>
      </patternFill>
    </fill>
    <fill>
      <patternFill patternType="solid">
        <fgColor indexed="31"/>
        <bgColor indexed="64"/>
      </patternFill>
    </fill>
    <fill>
      <patternFill patternType="solid">
        <fgColor indexed="62"/>
        <bgColor indexed="64"/>
      </patternFill>
    </fill>
    <fill>
      <patternFill patternType="solid">
        <fgColor indexed="55"/>
        <bgColor indexed="64"/>
      </patternFill>
    </fill>
    <fill>
      <patternFill patternType="solid">
        <fgColor indexed="11"/>
        <bgColor indexed="64"/>
      </patternFill>
    </fill>
    <fill>
      <patternFill patternType="solid">
        <fgColor indexed="57"/>
        <bgColor indexed="64"/>
      </patternFill>
    </fill>
    <fill>
      <patternFill patternType="solid">
        <fgColor indexed="45"/>
        <bgColor indexed="64"/>
      </patternFill>
    </fill>
    <fill>
      <patternFill patternType="solid">
        <fgColor indexed="42"/>
        <bgColor indexed="64"/>
      </patternFill>
    </fill>
    <fill>
      <patternFill patternType="solid">
        <fgColor indexed="51"/>
        <bgColor indexed="64"/>
      </patternFill>
    </fill>
    <fill>
      <patternFill patternType="solid">
        <fgColor indexed="36"/>
        <bgColor indexed="64"/>
      </patternFill>
    </fill>
    <fill>
      <patternFill patternType="solid">
        <fgColor indexed="52"/>
        <bgColor indexed="64"/>
      </patternFill>
    </fill>
    <fill>
      <patternFill patternType="solid">
        <fgColor indexed="44"/>
        <bgColor indexed="64"/>
      </patternFill>
    </fill>
    <fill>
      <patternFill patternType="solid">
        <fgColor indexed="29"/>
        <bgColor indexed="64"/>
      </patternFill>
    </fill>
    <fill>
      <patternFill patternType="solid">
        <fgColor indexed="46"/>
        <bgColor indexed="64"/>
      </patternFill>
    </fill>
    <fill>
      <patternFill patternType="solid">
        <fgColor indexed="47"/>
        <bgColor indexed="64"/>
      </patternFill>
    </fill>
    <fill>
      <patternFill patternType="solid">
        <fgColor indexed="10"/>
        <bgColor indexed="64"/>
      </patternFill>
    </fill>
    <fill>
      <patternFill patternType="solid">
        <fgColor indexed="53"/>
        <bgColor indexed="64"/>
      </patternFill>
    </fill>
    <fill>
      <patternFill patternType="solid">
        <fgColor indexed="27"/>
        <bgColor indexed="64"/>
      </patternFill>
    </fill>
    <fill>
      <patternFill patternType="solid">
        <fgColor indexed="49"/>
        <bgColor indexed="64"/>
      </patternFill>
    </fill>
    <fill>
      <patternFill patternType="solid">
        <fgColor indexed="22"/>
        <bgColor indexed="64"/>
      </patternFill>
    </fill>
    <fill>
      <patternFill patternType="solid">
        <fgColor indexed="30"/>
        <bgColor indexed="64"/>
      </patternFill>
    </fill>
    <fill>
      <patternFill patternType="solid">
        <fgColor indexed="9"/>
        <bgColor indexed="64"/>
      </patternFill>
    </fill>
    <fill>
      <patternFill patternType="solid">
        <fgColor indexed="43"/>
        <bgColor indexed="64"/>
      </patternFill>
    </fill>
    <fill>
      <patternFill patternType="solid">
        <fgColor indexed="8"/>
        <bgColor indexed="64"/>
      </patternFill>
    </fill>
    <fill>
      <patternFill patternType="solid">
        <fgColor indexed="9"/>
        <bgColor indexed="9"/>
      </patternFill>
    </fill>
    <fill>
      <patternFill patternType="solid">
        <fgColor indexed="26"/>
        <bgColor indexed="64"/>
      </patternFill>
    </fill>
    <fill>
      <patternFill patternType="solid">
        <fgColor rgb="FFFFFFCC"/>
        <bgColor indexed="64"/>
      </patternFill>
    </fill>
    <fill>
      <patternFill patternType="solid">
        <fgColor indexed="21"/>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4" tint="0.79998168889431442"/>
        <bgColor theme="4"/>
      </patternFill>
    </fill>
    <fill>
      <patternFill patternType="solid">
        <fgColor theme="4"/>
        <bgColor indexed="64"/>
      </patternFill>
    </fill>
    <fill>
      <patternFill patternType="solid">
        <fgColor theme="4" tint="0.79998168889431442"/>
        <bgColor indexed="64"/>
      </patternFill>
    </fill>
    <fill>
      <patternFill patternType="solid">
        <fgColor theme="0" tint="-4.9989318521683403E-2"/>
        <bgColor indexed="64"/>
      </patternFill>
    </fill>
  </fills>
  <borders count="33">
    <border>
      <left/>
      <right/>
      <top/>
      <bottom/>
      <diagonal/>
    </border>
    <border>
      <left style="thin">
        <color rgb="FFB2B2B2"/>
      </left>
      <right style="thin">
        <color rgb="FFB2B2B2"/>
      </right>
      <top style="thin">
        <color rgb="FFB2B2B2"/>
      </top>
      <bottom style="thin">
        <color rgb="FFB2B2B2"/>
      </bottom>
      <diagonal/>
    </border>
    <border>
      <left/>
      <right/>
      <top/>
      <bottom style="medium">
        <color indexed="64"/>
      </bottom>
      <diagonal/>
    </border>
    <border>
      <left/>
      <right/>
      <top style="medium">
        <color indexed="64"/>
      </top>
      <bottom style="medium">
        <color indexed="64"/>
      </bottom>
      <diagonal/>
    </border>
    <border>
      <left/>
      <right style="thin">
        <color indexed="64"/>
      </right>
      <top/>
      <bottom/>
      <diagonal/>
    </border>
    <border>
      <left style="thin">
        <color auto="1"/>
      </left>
      <right/>
      <top/>
      <bottom/>
      <diagonal/>
    </border>
    <border>
      <left style="double">
        <color indexed="63"/>
      </left>
      <right style="double">
        <color indexed="63"/>
      </right>
      <top style="double">
        <color indexed="63"/>
      </top>
      <bottom style="double">
        <color indexed="63"/>
      </bottom>
      <diagonal/>
    </border>
    <border>
      <left style="thin">
        <color indexed="23"/>
      </left>
      <right style="thin">
        <color indexed="23"/>
      </right>
      <top style="thin">
        <color indexed="23"/>
      </top>
      <bottom style="thin">
        <color indexed="23"/>
      </bottom>
      <diagonal/>
    </border>
    <border>
      <left style="thin">
        <color auto="1"/>
      </left>
      <right/>
      <top style="thin">
        <color auto="1"/>
      </top>
      <bottom style="thin">
        <color auto="1"/>
      </bottom>
      <diagonal/>
    </border>
    <border>
      <left/>
      <right/>
      <top/>
      <bottom style="thick">
        <color indexed="62"/>
      </bottom>
      <diagonal/>
    </border>
    <border>
      <left/>
      <right/>
      <top/>
      <bottom style="double">
        <color indexed="52"/>
      </bottom>
      <diagonal/>
    </border>
    <border>
      <left/>
      <right/>
      <top/>
      <bottom style="medium">
        <color indexed="30"/>
      </bottom>
      <diagonal/>
    </border>
    <border>
      <left/>
      <right/>
      <top style="thin">
        <color auto="1"/>
      </top>
      <bottom style="thin">
        <color auto="1"/>
      </bottom>
      <diagonal/>
    </border>
    <border>
      <left/>
      <right/>
      <top/>
      <bottom style="thick">
        <color indexed="22"/>
      </bottom>
      <diagonal/>
    </border>
    <border>
      <left style="thin">
        <color auto="1"/>
      </left>
      <right style="thin">
        <color indexed="55"/>
      </right>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rgb="FF1F497D"/>
      </bottom>
      <diagonal/>
    </border>
    <border>
      <left/>
      <right/>
      <top style="thin">
        <color theme="4" tint="0.39997558519241921"/>
      </top>
      <bottom/>
      <diagonal/>
    </border>
    <border>
      <left/>
      <right/>
      <top style="thin">
        <color theme="4" tint="0.39997558519241921"/>
      </top>
      <bottom style="medium">
        <color indexed="64"/>
      </bottom>
      <diagonal/>
    </border>
    <border>
      <left/>
      <right/>
      <top style="thin">
        <color theme="4" tint="0.39997558519241921"/>
      </top>
      <bottom style="thick">
        <color rgb="FF1F497D"/>
      </bottom>
      <diagonal/>
    </border>
    <border>
      <left style="thin">
        <color theme="4" tint="0.39997558519241921"/>
      </left>
      <right/>
      <top style="thin">
        <color theme="4" tint="0.39997558519241921"/>
      </top>
      <bottom style="thin">
        <color theme="4" tint="0.39997558519241921"/>
      </bottom>
      <diagonal/>
    </border>
    <border>
      <left/>
      <right/>
      <top style="medium">
        <color indexed="64"/>
      </top>
      <bottom/>
      <diagonal/>
    </border>
    <border>
      <left/>
      <right/>
      <top style="thin">
        <color theme="4"/>
      </top>
      <bottom/>
      <diagonal/>
    </border>
    <border>
      <left/>
      <right/>
      <top style="thick">
        <color rgb="FF1F497D"/>
      </top>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theme="4" tint="0.39997558519241921"/>
      </top>
      <bottom style="thin">
        <color theme="4" tint="0.39997558519241921"/>
      </bottom>
      <diagonal/>
    </border>
    <border>
      <left style="thin">
        <color indexed="64"/>
      </left>
      <right/>
      <top style="thin">
        <color theme="4" tint="0.39997558519241921"/>
      </top>
      <bottom style="thin">
        <color theme="4" tint="0.39997558519241921"/>
      </bottom>
      <diagonal/>
    </border>
  </borders>
  <cellStyleXfs count="54227">
    <xf numFmtId="0" fontId="0" fillId="0" borderId="0"/>
    <xf numFmtId="43" fontId="1" fillId="0" borderId="0" applyFont="0" applyFill="0" applyBorder="0" applyAlignment="0" applyProtection="0"/>
    <xf numFmtId="0" fontId="2" fillId="0" borderId="0"/>
    <xf numFmtId="0" fontId="6" fillId="0" borderId="0"/>
    <xf numFmtId="43" fontId="6" fillId="0" borderId="0" applyFon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0" fontId="6" fillId="0" borderId="0"/>
    <xf numFmtId="43" fontId="6" fillId="0" borderId="0" applyFont="0" applyFill="0" applyBorder="0" applyAlignment="0" applyProtection="0"/>
    <xf numFmtId="9" fontId="6"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43" fontId="1" fillId="0" borderId="0" applyFont="0" applyFill="0" applyBorder="0" applyAlignment="0" applyProtection="0">
      <alignment vertical="center"/>
    </xf>
    <xf numFmtId="0" fontId="4" fillId="0" borderId="0"/>
    <xf numFmtId="43" fontId="7" fillId="0" borderId="0" applyFont="0" applyFill="0" applyBorder="0" applyAlignment="0" applyProtection="0"/>
    <xf numFmtId="0" fontId="4" fillId="0" borderId="0"/>
    <xf numFmtId="43" fontId="8" fillId="0" borderId="0" applyFont="0" applyFill="0" applyBorder="0" applyAlignment="0" applyProtection="0"/>
    <xf numFmtId="170" fontId="1" fillId="0" borderId="0"/>
    <xf numFmtId="170" fontId="8" fillId="0" borderId="0"/>
    <xf numFmtId="170" fontId="8" fillId="0" borderId="0"/>
    <xf numFmtId="43" fontId="8" fillId="0" borderId="0" applyFont="0" applyFill="0" applyBorder="0" applyAlignment="0" applyProtection="0"/>
    <xf numFmtId="43" fontId="1" fillId="0" borderId="0" applyFont="0" applyFill="0" applyBorder="0" applyAlignment="0" applyProtection="0">
      <alignment vertical="center"/>
    </xf>
    <xf numFmtId="170" fontId="10" fillId="8" borderId="0" applyNumberFormat="0" applyBorder="0" applyAlignment="0" applyProtection="0"/>
    <xf numFmtId="43" fontId="8" fillId="0" borderId="0" applyFont="0" applyFill="0" applyBorder="0" applyAlignment="0" applyProtection="0"/>
    <xf numFmtId="170" fontId="7" fillId="11" borderId="0" applyNumberFormat="0" applyBorder="0" applyAlignment="0" applyProtection="0"/>
    <xf numFmtId="170" fontId="10" fillId="13" borderId="0" applyNumberFormat="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170" fontId="10" fillId="15" borderId="0" applyNumberFormat="0" applyBorder="0" applyAlignment="0" applyProtection="0"/>
    <xf numFmtId="43" fontId="8" fillId="0" borderId="0" applyFont="0" applyFill="0" applyBorder="0" applyAlignment="0" applyProtection="0"/>
    <xf numFmtId="170" fontId="7" fillId="14" borderId="0" applyNumberFormat="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4"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4" borderId="0" applyNumberFormat="0" applyBorder="0" applyAlignment="0" applyProtection="0"/>
    <xf numFmtId="170" fontId="7" fillId="7" borderId="0" applyNumberFormat="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7"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7" fillId="10" borderId="0" applyNumberFormat="0" applyBorder="0" applyAlignment="0" applyProtection="0"/>
    <xf numFmtId="43" fontId="8" fillId="0" borderId="0" applyFont="0" applyFill="0" applyBorder="0" applyAlignment="0" applyProtection="0"/>
    <xf numFmtId="170" fontId="10" fillId="7" borderId="0" applyNumberFormat="0" applyBorder="0" applyAlignment="0" applyProtection="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7" fillId="4" borderId="0" applyNumberFormat="0" applyBorder="0" applyAlignment="0" applyProtection="0"/>
    <xf numFmtId="43" fontId="8" fillId="0" borderId="0" applyFont="0" applyFill="0" applyBorder="0" applyAlignment="0" applyProtection="0"/>
    <xf numFmtId="170" fontId="7" fillId="11"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7"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70" fontId="1" fillId="0" borderId="0"/>
    <xf numFmtId="170" fontId="1" fillId="0" borderId="0"/>
    <xf numFmtId="170" fontId="1" fillId="0" borderId="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0" fillId="21" borderId="0" applyNumberFormat="0" applyBorder="0" applyAlignment="0" applyProtection="0"/>
    <xf numFmtId="170" fontId="7" fillId="10" borderId="0" applyNumberFormat="0" applyBorder="0" applyAlignment="0" applyProtection="0"/>
    <xf numFmtId="43" fontId="8" fillId="0" borderId="0" applyFont="0" applyFill="0" applyBorder="0" applyAlignment="0" applyProtection="0"/>
    <xf numFmtId="170" fontId="7" fillId="4" borderId="0" applyNumberFormat="0" applyBorder="0" applyAlignment="0" applyProtection="0"/>
    <xf numFmtId="170" fontId="1" fillId="0" borderId="0"/>
    <xf numFmtId="170" fontId="1" fillId="0" borderId="0"/>
    <xf numFmtId="43" fontId="8" fillId="0" borderId="0" applyFont="0" applyFill="0" applyBorder="0" applyAlignment="0" applyProtection="0"/>
    <xf numFmtId="170" fontId="8" fillId="0" borderId="0"/>
    <xf numFmtId="170" fontId="7" fillId="10" borderId="0" applyNumberFormat="0" applyBorder="0" applyAlignment="0" applyProtection="0"/>
    <xf numFmtId="170" fontId="7" fillId="10"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4" borderId="0" applyNumberFormat="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0" fillId="19" borderId="0" applyNumberFormat="0" applyBorder="0" applyAlignment="0" applyProtection="0"/>
    <xf numFmtId="43" fontId="8" fillId="0" borderId="0" applyFont="0" applyFill="0" applyBorder="0" applyAlignment="0" applyProtection="0"/>
    <xf numFmtId="170" fontId="7" fillId="10"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7" fillId="10"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4"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170" fontId="7" fillId="9" borderId="0" applyNumberFormat="0" applyBorder="0" applyAlignment="0" applyProtection="0"/>
    <xf numFmtId="170" fontId="8" fillId="0" borderId="0"/>
    <xf numFmtId="171" fontId="9" fillId="0" borderId="0"/>
    <xf numFmtId="171" fontId="9" fillId="0" borderId="0"/>
    <xf numFmtId="43" fontId="8" fillId="0" borderId="0" applyFont="0" applyFill="0" applyBorder="0" applyAlignment="0" applyProtection="0"/>
    <xf numFmtId="170" fontId="1" fillId="0" borderId="0"/>
    <xf numFmtId="170" fontId="1" fillId="0" borderId="0"/>
    <xf numFmtId="170" fontId="8" fillId="0" borderId="0"/>
    <xf numFmtId="43" fontId="8" fillId="0" borderId="0" applyFont="0" applyFill="0" applyBorder="0" applyAlignment="0" applyProtection="0"/>
    <xf numFmtId="170" fontId="11" fillId="6" borderId="6" applyNumberFormat="0" applyAlignment="0" applyProtection="0"/>
    <xf numFmtId="43" fontId="8" fillId="0" borderId="0" applyFont="0" applyFill="0" applyBorder="0" applyAlignment="0" applyProtection="0"/>
    <xf numFmtId="170" fontId="7" fillId="7" borderId="0" applyNumberFormat="0" applyBorder="0" applyAlignment="0" applyProtection="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0" fillId="8" borderId="0" applyNumberFormat="0" applyBorder="0" applyAlignment="0" applyProtection="0"/>
    <xf numFmtId="170" fontId="7" fillId="11"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170" fontId="10" fillId="7" borderId="0" applyNumberFormat="0" applyBorder="0" applyAlignment="0" applyProtection="0"/>
    <xf numFmtId="43" fontId="8" fillId="0" borderId="0" applyFont="0" applyFill="0" applyBorder="0" applyAlignment="0" applyProtection="0"/>
    <xf numFmtId="170" fontId="7" fillId="14" borderId="0" applyNumberFormat="0" applyBorder="0" applyAlignment="0" applyProtection="0"/>
    <xf numFmtId="170" fontId="8" fillId="0" borderId="0"/>
    <xf numFmtId="170" fontId="8" fillId="0" borderId="0"/>
    <xf numFmtId="43" fontId="8" fillId="0" borderId="0" applyFont="0" applyFill="0" applyBorder="0" applyAlignment="0" applyProtection="0"/>
    <xf numFmtId="170" fontId="7" fillId="17" borderId="0" applyNumberFormat="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170" fontId="7" fillId="11" borderId="0" applyNumberFormat="0" applyBorder="0" applyAlignment="0" applyProtection="0"/>
    <xf numFmtId="170" fontId="7" fillId="16"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7" fillId="10" borderId="0" applyNumberFormat="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7" fillId="20"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0" borderId="0" applyNumberFormat="0" applyBorder="0" applyAlignment="0" applyProtection="0"/>
    <xf numFmtId="170" fontId="1" fillId="0" borderId="0"/>
    <xf numFmtId="170" fontId="1" fillId="0" borderId="0"/>
    <xf numFmtId="170" fontId="7" fillId="10"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1"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4" borderId="0" applyNumberFormat="0" applyBorder="0" applyAlignment="0" applyProtection="0"/>
    <xf numFmtId="43" fontId="8" fillId="0" borderId="0" applyFont="0" applyFill="0" applyBorder="0" applyAlignment="0" applyProtection="0"/>
    <xf numFmtId="170" fontId="7" fillId="10"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1" borderId="0" applyNumberFormat="0" applyBorder="0" applyAlignment="0" applyProtection="0"/>
    <xf numFmtId="43" fontId="8" fillId="0" borderId="0" applyFont="0" applyFill="0" applyBorder="0" applyAlignment="0" applyProtection="0"/>
    <xf numFmtId="170" fontId="7" fillId="4" borderId="0" applyNumberFormat="0" applyBorder="0" applyAlignment="0" applyProtection="0"/>
    <xf numFmtId="43" fontId="8" fillId="0" borderId="0" applyFont="0" applyFill="0" applyBorder="0" applyAlignment="0" applyProtection="0"/>
    <xf numFmtId="170" fontId="7" fillId="11"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0" fillId="12" borderId="0" applyNumberFormat="0" applyBorder="0" applyAlignment="0" applyProtection="0"/>
    <xf numFmtId="170" fontId="1" fillId="0" borderId="0"/>
    <xf numFmtId="170" fontId="1" fillId="0" borderId="0"/>
    <xf numFmtId="170" fontId="7" fillId="10"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7" fillId="4" borderId="0" applyNumberFormat="0" applyBorder="0" applyAlignment="0" applyProtection="0"/>
    <xf numFmtId="170" fontId="7" fillId="11" borderId="0" applyNumberFormat="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10" fillId="18"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0" fillId="5" borderId="0" applyNumberFormat="0" applyBorder="0" applyAlignment="0" applyProtection="0"/>
    <xf numFmtId="43" fontId="8" fillId="0" borderId="0" applyFont="0" applyFill="0" applyBorder="0" applyAlignment="0" applyProtection="0"/>
    <xf numFmtId="170" fontId="7" fillId="4" borderId="0" applyNumberFormat="0" applyBorder="0" applyAlignment="0" applyProtection="0"/>
    <xf numFmtId="170" fontId="1" fillId="0" borderId="0"/>
    <xf numFmtId="170" fontId="1" fillId="0" borderId="0"/>
    <xf numFmtId="170" fontId="7" fillId="4" borderId="0" applyNumberFormat="0" applyBorder="0" applyAlignment="0" applyProtection="0"/>
    <xf numFmtId="170" fontId="7" fillId="16" borderId="0" applyNumberFormat="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7" fillId="4" borderId="0" applyNumberFormat="0" applyBorder="0" applyAlignment="0" applyProtection="0"/>
    <xf numFmtId="170" fontId="7" fillId="4" borderId="0" applyNumberFormat="0" applyBorder="0" applyAlignment="0" applyProtection="0"/>
    <xf numFmtId="170" fontId="7" fillId="4" borderId="0" applyNumberFormat="0" applyBorder="0" applyAlignment="0" applyProtection="0"/>
    <xf numFmtId="170" fontId="1" fillId="0" borderId="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43" fontId="8" fillId="0" borderId="0" applyFont="0" applyFill="0" applyBorder="0" applyAlignment="0" applyProtection="0"/>
    <xf numFmtId="170" fontId="7" fillId="4" borderId="0" applyNumberFormat="0" applyBorder="0" applyAlignment="0" applyProtection="0"/>
    <xf numFmtId="170" fontId="1" fillId="0" borderId="0"/>
    <xf numFmtId="43" fontId="8" fillId="0" borderId="0" applyFont="0" applyFill="0" applyBorder="0" applyAlignment="0" applyProtection="0"/>
    <xf numFmtId="170" fontId="7" fillId="4" borderId="0" applyNumberFormat="0" applyBorder="0" applyAlignment="0" applyProtection="0"/>
    <xf numFmtId="170" fontId="1" fillId="0" borderId="0"/>
    <xf numFmtId="170" fontId="7" fillId="4" borderId="0" applyNumberFormat="0" applyBorder="0" applyAlignment="0" applyProtection="0"/>
    <xf numFmtId="170" fontId="7" fillId="4" borderId="0" applyNumberFormat="0" applyBorder="0" applyAlignment="0" applyProtection="0"/>
    <xf numFmtId="170" fontId="8" fillId="0" borderId="0"/>
    <xf numFmtId="170" fontId="7" fillId="16" borderId="0" applyNumberFormat="0" applyBorder="0" applyAlignment="0" applyProtection="0"/>
    <xf numFmtId="170" fontId="7" fillId="4"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10" fillId="19" borderId="0" applyNumberFormat="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0" fillId="12"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7" fillId="16" borderId="0" applyNumberFormat="0" applyBorder="0" applyAlignment="0" applyProtection="0"/>
    <xf numFmtId="170" fontId="1" fillId="0" borderId="0"/>
    <xf numFmtId="170" fontId="1" fillId="0" borderId="0"/>
    <xf numFmtId="43" fontId="8" fillId="0" borderId="0" applyFont="0" applyFill="0" applyBorder="0" applyAlignment="0" applyProtection="0"/>
    <xf numFmtId="170" fontId="7" fillId="4" borderId="0" applyNumberFormat="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0" fillId="5"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4" borderId="0" applyNumberFormat="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7" fillId="4"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0" fillId="5"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7" fillId="4" borderId="0" applyNumberFormat="0" applyBorder="0" applyAlignment="0" applyProtection="0"/>
    <xf numFmtId="170" fontId="7" fillId="4" borderId="0" applyNumberFormat="0" applyBorder="0" applyAlignment="0" applyProtection="0"/>
    <xf numFmtId="43" fontId="8" fillId="0" borderId="0" applyFont="0" applyFill="0" applyBorder="0" applyAlignment="0" applyProtection="0"/>
    <xf numFmtId="170" fontId="10" fillId="5" borderId="0" applyNumberFormat="0" applyBorder="0" applyAlignment="0" applyProtection="0"/>
    <xf numFmtId="43" fontId="1" fillId="0" borderId="0" applyFont="0" applyFill="0" applyBorder="0" applyAlignment="0" applyProtection="0"/>
    <xf numFmtId="43" fontId="8" fillId="0" borderId="0" applyFont="0" applyFill="0" applyBorder="0" applyAlignment="0" applyProtection="0"/>
    <xf numFmtId="170" fontId="7" fillId="4" borderId="0" applyNumberFormat="0" applyBorder="0" applyAlignment="0" applyProtection="0"/>
    <xf numFmtId="43" fontId="8" fillId="0" borderId="0" applyFont="0" applyFill="0" applyBorder="0" applyAlignment="0" applyProtection="0"/>
    <xf numFmtId="170" fontId="7" fillId="4" borderId="0" applyNumberFormat="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170" fontId="7" fillId="7" borderId="0" applyNumberFormat="0" applyBorder="0" applyAlignment="0" applyProtection="0"/>
    <xf numFmtId="43" fontId="8" fillId="0" borderId="0" applyFont="0" applyFill="0" applyBorder="0" applyAlignment="0" applyProtection="0"/>
    <xf numFmtId="170" fontId="7" fillId="4" borderId="0" applyNumberFormat="0" applyBorder="0" applyAlignment="0" applyProtection="0"/>
    <xf numFmtId="170" fontId="7" fillId="9" borderId="0" applyNumberFormat="0" applyBorder="0" applyAlignment="0" applyProtection="0"/>
    <xf numFmtId="170" fontId="8" fillId="0" borderId="0"/>
    <xf numFmtId="170" fontId="8" fillId="0" borderId="0"/>
    <xf numFmtId="43" fontId="8" fillId="0" borderId="0" applyFont="0" applyFill="0" applyBorder="0" applyAlignment="0" applyProtection="0"/>
    <xf numFmtId="170" fontId="7" fillId="9" borderId="0" applyNumberFormat="0" applyBorder="0" applyAlignment="0" applyProtection="0"/>
    <xf numFmtId="170" fontId="7" fillId="9" borderId="0" applyNumberFormat="0" applyBorder="0" applyAlignment="0" applyProtection="0"/>
    <xf numFmtId="170" fontId="1" fillId="0" borderId="0"/>
    <xf numFmtId="170" fontId="1"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7" fillId="16" borderId="0" applyNumberFormat="0" applyBorder="0" applyAlignment="0" applyProtection="0"/>
    <xf numFmtId="43" fontId="7" fillId="0" borderId="0" applyFont="0" applyFill="0" applyBorder="0" applyAlignment="0" applyProtection="0"/>
    <xf numFmtId="170" fontId="1" fillId="0" borderId="0"/>
    <xf numFmtId="170" fontId="1" fillId="0" borderId="0"/>
    <xf numFmtId="170" fontId="1"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7" fillId="9" borderId="0" applyNumberFormat="0" applyBorder="0" applyAlignment="0" applyProtection="0"/>
    <xf numFmtId="43" fontId="8" fillId="0" borderId="0" applyFont="0" applyFill="0" applyBorder="0" applyAlignment="0" applyProtection="0"/>
    <xf numFmtId="43" fontId="7" fillId="0" borderId="0" applyFont="0" applyFill="0" applyBorder="0" applyAlignment="0" applyProtection="0"/>
    <xf numFmtId="170" fontId="1" fillId="0" borderId="0"/>
    <xf numFmtId="43" fontId="8" fillId="0" borderId="0" applyFont="0" applyFill="0" applyBorder="0" applyAlignment="0" applyProtection="0"/>
    <xf numFmtId="170" fontId="8" fillId="0" borderId="0"/>
    <xf numFmtId="170" fontId="8" fillId="0" borderId="0"/>
    <xf numFmtId="170" fontId="7" fillId="9" borderId="0" applyNumberFormat="0" applyBorder="0" applyAlignment="0" applyProtection="0"/>
    <xf numFmtId="170" fontId="7" fillId="9" borderId="0" applyNumberFormat="0" applyBorder="0" applyAlignment="0" applyProtection="0"/>
    <xf numFmtId="170" fontId="7" fillId="9" borderId="0" applyNumberFormat="0" applyBorder="0" applyAlignment="0" applyProtection="0"/>
    <xf numFmtId="170" fontId="7" fillId="9" borderId="0" applyNumberFormat="0" applyBorder="0" applyAlignment="0" applyProtection="0"/>
    <xf numFmtId="170" fontId="10" fillId="18" borderId="0" applyNumberFormat="0" applyBorder="0" applyAlignment="0" applyProtection="0"/>
    <xf numFmtId="43" fontId="8" fillId="0" borderId="0" applyFont="0" applyFill="0" applyBorder="0" applyAlignment="0" applyProtection="0"/>
    <xf numFmtId="170" fontId="7" fillId="9" borderId="0" applyNumberFormat="0" applyBorder="0" applyAlignment="0" applyProtection="0"/>
    <xf numFmtId="170" fontId="10" fillId="18" borderId="0" applyNumberFormat="0" applyBorder="0" applyAlignment="0" applyProtection="0"/>
    <xf numFmtId="170" fontId="7" fillId="9" borderId="0" applyNumberFormat="0" applyBorder="0" applyAlignment="0" applyProtection="0"/>
    <xf numFmtId="170" fontId="8" fillId="0" borderId="0"/>
    <xf numFmtId="170" fontId="10" fillId="18" borderId="0" applyNumberFormat="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7" fillId="9"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9" borderId="0" applyNumberFormat="0" applyBorder="0" applyAlignment="0" applyProtection="0"/>
    <xf numFmtId="170" fontId="7" fillId="17" borderId="0" applyNumberFormat="0" applyBorder="0" applyAlignment="0" applyProtection="0"/>
    <xf numFmtId="170" fontId="1" fillId="0" borderId="0"/>
    <xf numFmtId="170" fontId="1" fillId="0" borderId="0"/>
    <xf numFmtId="43" fontId="8" fillId="0" borderId="0" applyFont="0" applyFill="0" applyBorder="0" applyAlignment="0" applyProtection="0"/>
    <xf numFmtId="170" fontId="7" fillId="9"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7" fillId="17" borderId="0" applyNumberFormat="0" applyBorder="0" applyAlignment="0" applyProtection="0"/>
    <xf numFmtId="170" fontId="10" fillId="15" borderId="0" applyNumberFormat="0" applyBorder="0" applyAlignment="0" applyProtection="0"/>
    <xf numFmtId="43" fontId="8" fillId="0" borderId="0" applyFont="0" applyFill="0" applyBorder="0" applyAlignment="0" applyProtection="0"/>
    <xf numFmtId="170" fontId="7" fillId="9" borderId="0" applyNumberFormat="0" applyBorder="0" applyAlignment="0" applyProtection="0"/>
    <xf numFmtId="170" fontId="8" fillId="0" borderId="0"/>
    <xf numFmtId="170" fontId="8" fillId="0" borderId="0"/>
    <xf numFmtId="170" fontId="7" fillId="17" borderId="0" applyNumberFormat="0" applyBorder="0" applyAlignment="0" applyProtection="0"/>
    <xf numFmtId="170" fontId="10" fillId="15" borderId="0" applyNumberFormat="0" applyBorder="0" applyAlignment="0" applyProtection="0"/>
    <xf numFmtId="170" fontId="7" fillId="9" borderId="0" applyNumberFormat="0" applyBorder="0" applyAlignment="0" applyProtection="0"/>
    <xf numFmtId="170" fontId="8" fillId="0" borderId="0"/>
    <xf numFmtId="170" fontId="8" fillId="0" borderId="0"/>
    <xf numFmtId="170" fontId="7" fillId="17" borderId="0" applyNumberFormat="0" applyBorder="0" applyAlignment="0" applyProtection="0"/>
    <xf numFmtId="170" fontId="10" fillId="15" borderId="0" applyNumberFormat="0" applyBorder="0" applyAlignment="0" applyProtection="0"/>
    <xf numFmtId="170" fontId="7" fillId="9" borderId="0" applyNumberFormat="0" applyBorder="0" applyAlignment="0" applyProtection="0"/>
    <xf numFmtId="43" fontId="8" fillId="0" borderId="0" applyFont="0" applyFill="0" applyBorder="0" applyAlignment="0" applyProtection="0"/>
    <xf numFmtId="170" fontId="8" fillId="0" borderId="0"/>
    <xf numFmtId="170" fontId="7" fillId="17" borderId="0" applyNumberFormat="0" applyBorder="0" applyAlignment="0" applyProtection="0"/>
    <xf numFmtId="170" fontId="7" fillId="17" borderId="0" applyNumberFormat="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170" fontId="1" fillId="0" borderId="0"/>
    <xf numFmtId="0" fontId="9" fillId="0" borderId="0"/>
    <xf numFmtId="43" fontId="8" fillId="0" borderId="0" applyFont="0" applyFill="0" applyBorder="0" applyAlignment="0" applyProtection="0"/>
    <xf numFmtId="43" fontId="8" fillId="0" borderId="0" applyFont="0" applyFill="0" applyBorder="0" applyAlignment="0" applyProtection="0"/>
    <xf numFmtId="170" fontId="10" fillId="15"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9" borderId="0" applyNumberFormat="0" applyBorder="0" applyAlignment="0" applyProtection="0"/>
    <xf numFmtId="43" fontId="8" fillId="0" borderId="0" applyFont="0" applyFill="0" applyBorder="0" applyAlignment="0" applyProtection="0"/>
    <xf numFmtId="170" fontId="8" fillId="0" borderId="0"/>
    <xf numFmtId="170" fontId="7" fillId="17" borderId="0" applyNumberFormat="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0"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0" fillId="15"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9" borderId="0" applyNumberFormat="0" applyBorder="0" applyAlignment="0" applyProtection="0"/>
    <xf numFmtId="170" fontId="8" fillId="0" borderId="0"/>
    <xf numFmtId="170" fontId="7" fillId="17"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0" fillId="21"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9" borderId="0" applyNumberFormat="0" applyBorder="0" applyAlignment="0" applyProtection="0"/>
    <xf numFmtId="43" fontId="8" fillId="0" borderId="0" applyFont="0" applyFill="0" applyBorder="0" applyAlignment="0" applyProtection="0"/>
    <xf numFmtId="170" fontId="7" fillId="17" borderId="0" applyNumberFormat="0" applyBorder="0" applyAlignment="0" applyProtection="0"/>
    <xf numFmtId="170" fontId="7" fillId="9" borderId="0" applyNumberFormat="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7" fillId="9" borderId="0" applyNumberFormat="0" applyBorder="0" applyAlignment="0" applyProtection="0"/>
    <xf numFmtId="170" fontId="8" fillId="0" borderId="0"/>
    <xf numFmtId="170" fontId="7" fillId="14" borderId="0" applyNumberFormat="0" applyBorder="0" applyAlignment="0" applyProtection="0"/>
    <xf numFmtId="170" fontId="7" fillId="9" borderId="0" applyNumberFormat="0" applyBorder="0" applyAlignment="0" applyProtection="0"/>
    <xf numFmtId="170" fontId="1" fillId="0" borderId="0"/>
    <xf numFmtId="43" fontId="8" fillId="0" borderId="0" applyFont="0" applyFill="0" applyBorder="0" applyAlignment="0" applyProtection="0"/>
    <xf numFmtId="170" fontId="7" fillId="9" borderId="0" applyNumberFormat="0" applyBorder="0" applyAlignment="0" applyProtection="0"/>
    <xf numFmtId="170" fontId="7" fillId="15"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9"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9" borderId="0" applyNumberFormat="0" applyBorder="0" applyAlignment="0" applyProtection="0"/>
    <xf numFmtId="43" fontId="9" fillId="0" borderId="0" applyFont="0" applyFill="0" applyBorder="0" applyAlignment="0" applyProtection="0"/>
    <xf numFmtId="170" fontId="7" fillId="7"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7" fillId="16"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9"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0" fillId="12" borderId="0" applyNumberFormat="0" applyBorder="0" applyAlignment="0" applyProtection="0"/>
    <xf numFmtId="170" fontId="7" fillId="10" borderId="0" applyNumberFormat="0" applyBorder="0" applyAlignment="0" applyProtection="0"/>
    <xf numFmtId="170" fontId="7" fillId="10" borderId="0" applyNumberFormat="0" applyBorder="0" applyAlignment="0" applyProtection="0"/>
    <xf numFmtId="170" fontId="8"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0" fillId="12" borderId="0" applyNumberFormat="0" applyBorder="0" applyAlignment="0" applyProtection="0"/>
    <xf numFmtId="43" fontId="8" fillId="0" borderId="0" applyFont="0" applyFill="0" applyBorder="0" applyAlignment="0" applyProtection="0"/>
    <xf numFmtId="170" fontId="7" fillId="10" borderId="0" applyNumberFormat="0" applyBorder="0" applyAlignment="0" applyProtection="0"/>
    <xf numFmtId="43" fontId="8" fillId="0" borderId="0" applyFont="0" applyFill="0" applyBorder="0" applyAlignment="0" applyProtection="0"/>
    <xf numFmtId="170" fontId="10" fillId="12" borderId="0" applyNumberFormat="0" applyBorder="0" applyAlignment="0" applyProtection="0"/>
    <xf numFmtId="43" fontId="8" fillId="0" borderId="0" applyFont="0" applyFill="0" applyBorder="0" applyAlignment="0" applyProtection="0"/>
    <xf numFmtId="170" fontId="7" fillId="10" borderId="0" applyNumberFormat="0" applyBorder="0" applyAlignment="0" applyProtection="0"/>
    <xf numFmtId="170" fontId="10" fillId="12" borderId="0" applyNumberFormat="0" applyBorder="0" applyAlignment="0" applyProtection="0"/>
    <xf numFmtId="170" fontId="7" fillId="10" borderId="0" applyNumberFormat="0" applyBorder="0" applyAlignment="0" applyProtection="0"/>
    <xf numFmtId="170" fontId="7" fillId="10" borderId="0" applyNumberFormat="0" applyBorder="0" applyAlignment="0" applyProtection="0"/>
    <xf numFmtId="170" fontId="7" fillId="10" borderId="0" applyNumberFormat="0" applyBorder="0" applyAlignment="0" applyProtection="0"/>
    <xf numFmtId="170" fontId="7" fillId="10" borderId="0" applyNumberFormat="0" applyBorder="0" applyAlignment="0" applyProtection="0"/>
    <xf numFmtId="170" fontId="7" fillId="10" borderId="0" applyNumberFormat="0" applyBorder="0" applyAlignment="0" applyProtection="0"/>
    <xf numFmtId="170" fontId="7" fillId="10" borderId="0" applyNumberFormat="0" applyBorder="0" applyAlignment="0" applyProtection="0"/>
    <xf numFmtId="170" fontId="7" fillId="10"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0" fillId="19" borderId="0" applyNumberFormat="0" applyBorder="0" applyAlignment="0" applyProtection="0"/>
    <xf numFmtId="43" fontId="8" fillId="0" borderId="0" applyFont="0" applyFill="0" applyBorder="0" applyAlignment="0" applyProtection="0"/>
    <xf numFmtId="170" fontId="7" fillId="10" borderId="0" applyNumberFormat="0" applyBorder="0" applyAlignment="0" applyProtection="0"/>
    <xf numFmtId="170" fontId="7" fillId="10" borderId="0" applyNumberFormat="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0" fillId="19"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0" borderId="0" applyNumberFormat="0" applyBorder="0" applyAlignment="0" applyProtection="0"/>
    <xf numFmtId="43" fontId="9" fillId="0" borderId="0" applyFont="0" applyFill="0" applyBorder="0" applyAlignment="0" applyProtection="0"/>
    <xf numFmtId="170" fontId="1" fillId="0" borderId="0"/>
    <xf numFmtId="170" fontId="1" fillId="0" borderId="0"/>
    <xf numFmtId="170" fontId="8" fillId="0" borderId="0"/>
    <xf numFmtId="43" fontId="8" fillId="0" borderId="0" applyFont="0" applyFill="0" applyBorder="0" applyAlignment="0" applyProtection="0"/>
    <xf numFmtId="170" fontId="7" fillId="15" borderId="0" applyNumberFormat="0" applyBorder="0" applyAlignment="0" applyProtection="0"/>
    <xf numFmtId="43" fontId="8" fillId="0" borderId="0" applyFont="0" applyFill="0" applyBorder="0" applyAlignment="0" applyProtection="0"/>
    <xf numFmtId="170" fontId="7" fillId="10" borderId="0" applyNumberFormat="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0" fillId="19" borderId="0" applyNumberFormat="0" applyBorder="0" applyAlignment="0" applyProtection="0"/>
    <xf numFmtId="170" fontId="7" fillId="14" borderId="0" applyNumberFormat="0" applyBorder="0" applyAlignment="0" applyProtection="0"/>
    <xf numFmtId="43" fontId="8" fillId="0" borderId="0" applyFont="0" applyFill="0" applyBorder="0" applyAlignment="0" applyProtection="0"/>
    <xf numFmtId="170" fontId="7" fillId="10"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6"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0" fillId="19"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0" fillId="12"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6"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0" fillId="19"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0" fillId="12" borderId="0" applyNumberFormat="0" applyBorder="0" applyAlignment="0" applyProtection="0"/>
    <xf numFmtId="170" fontId="7" fillId="16" borderId="0" applyNumberFormat="0" applyBorder="0" applyAlignment="0" applyProtection="0"/>
    <xf numFmtId="43" fontId="8" fillId="0" borderId="0" applyFont="0" applyFill="0" applyBorder="0" applyAlignment="0" applyProtection="0"/>
    <xf numFmtId="170" fontId="10" fillId="19"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0" fillId="12" borderId="0" applyNumberFormat="0" applyBorder="0" applyAlignment="0" applyProtection="0"/>
    <xf numFmtId="170" fontId="1" fillId="0" borderId="0"/>
    <xf numFmtId="170" fontId="1" fillId="0" borderId="0"/>
    <xf numFmtId="170" fontId="5" fillId="0" borderId="0"/>
    <xf numFmtId="170" fontId="1" fillId="0" borderId="0"/>
    <xf numFmtId="170" fontId="7" fillId="16"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0" fillId="19"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0" fillId="12" borderId="0" applyNumberFormat="0" applyBorder="0" applyAlignment="0" applyProtection="0"/>
    <xf numFmtId="170" fontId="1" fillId="0" borderId="0"/>
    <xf numFmtId="170" fontId="1" fillId="0" borderId="0"/>
    <xf numFmtId="170" fontId="5" fillId="0" borderId="0"/>
    <xf numFmtId="170" fontId="1" fillId="0" borderId="0"/>
    <xf numFmtId="170" fontId="7" fillId="16" borderId="0" applyNumberFormat="0" applyBorder="0" applyAlignment="0" applyProtection="0"/>
    <xf numFmtId="170" fontId="7" fillId="16" borderId="0" applyNumberFormat="0" applyBorder="0" applyAlignment="0" applyProtection="0"/>
    <xf numFmtId="43" fontId="8" fillId="0" borderId="0" applyFont="0" applyFill="0" applyBorder="0" applyAlignment="0" applyProtection="0"/>
    <xf numFmtId="170" fontId="10" fillId="12" borderId="0" applyNumberFormat="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7" fillId="15" borderId="0" applyNumberFormat="0" applyBorder="0" applyAlignment="0" applyProtection="0"/>
    <xf numFmtId="170" fontId="5" fillId="0" borderId="0"/>
    <xf numFmtId="170" fontId="9" fillId="0" borderId="0"/>
    <xf numFmtId="170" fontId="7" fillId="16" borderId="0" applyNumberFormat="0" applyBorder="0" applyAlignment="0" applyProtection="0"/>
    <xf numFmtId="43" fontId="8" fillId="0" borderId="0" applyFont="0" applyFill="0" applyBorder="0" applyAlignment="0" applyProtection="0"/>
    <xf numFmtId="170" fontId="5" fillId="0" borderId="0"/>
    <xf numFmtId="170" fontId="1" fillId="0" borderId="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170" fontId="7" fillId="16" borderId="0" applyNumberFormat="0" applyBorder="0" applyAlignment="0" applyProtection="0"/>
    <xf numFmtId="43" fontId="8" fillId="0" borderId="0" applyFont="0" applyFill="0" applyBorder="0" applyAlignment="0" applyProtection="0"/>
    <xf numFmtId="170" fontId="5" fillId="0" borderId="0"/>
    <xf numFmtId="170" fontId="17" fillId="0" borderId="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170" fontId="7" fillId="16"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20" borderId="0" applyNumberFormat="0" applyBorder="0" applyAlignment="0" applyProtection="0"/>
    <xf numFmtId="43" fontId="8" fillId="0" borderId="0" applyFont="0" applyFill="0" applyBorder="0" applyAlignment="0" applyProtection="0"/>
    <xf numFmtId="170" fontId="5" fillId="0" borderId="0"/>
    <xf numFmtId="170" fontId="5" fillId="0" borderId="0"/>
    <xf numFmtId="170" fontId="7" fillId="16" borderId="0" applyNumberFormat="0" applyBorder="0" applyAlignment="0" applyProtection="0"/>
    <xf numFmtId="43" fontId="8" fillId="0" borderId="0" applyFont="0" applyFill="0" applyBorder="0" applyAlignment="0" applyProtection="0"/>
    <xf numFmtId="170" fontId="7" fillId="16" borderId="0" applyNumberFormat="0" applyBorder="0" applyAlignment="0" applyProtection="0"/>
    <xf numFmtId="43" fontId="8" fillId="0" borderId="0" applyFont="0" applyFill="0" applyBorder="0" applyAlignment="0" applyProtection="0"/>
    <xf numFmtId="170" fontId="7" fillId="16"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6"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6"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6" borderId="0" applyNumberFormat="0" applyBorder="0" applyAlignment="0" applyProtection="0"/>
    <xf numFmtId="43" fontId="8" fillId="0" borderId="0" applyFont="0" applyFill="0" applyBorder="0" applyAlignment="0" applyProtection="0"/>
    <xf numFmtId="170" fontId="8" fillId="0" borderId="0"/>
    <xf numFmtId="170" fontId="7" fillId="16" borderId="0" applyNumberFormat="0" applyBorder="0" applyAlignment="0" applyProtection="0"/>
    <xf numFmtId="170" fontId="8" fillId="0" borderId="0"/>
    <xf numFmtId="170" fontId="7" fillId="16" borderId="0" applyNumberFormat="0" applyBorder="0" applyAlignment="0" applyProtection="0"/>
    <xf numFmtId="43" fontId="8" fillId="0" borderId="0" applyFont="0" applyFill="0" applyBorder="0" applyAlignment="0" applyProtection="0"/>
    <xf numFmtId="170" fontId="7" fillId="16"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6" borderId="0" applyNumberFormat="0" applyBorder="0" applyAlignment="0" applyProtection="0"/>
    <xf numFmtId="170" fontId="7" fillId="16" borderId="0" applyNumberFormat="0" applyBorder="0" applyAlignment="0" applyProtection="0"/>
    <xf numFmtId="43" fontId="8" fillId="0" borderId="0" applyFont="0" applyFill="0" applyBorder="0" applyAlignment="0" applyProtection="0"/>
    <xf numFmtId="170" fontId="7" fillId="14" borderId="0" applyNumberFormat="0" applyBorder="0" applyAlignment="0" applyProtection="0"/>
    <xf numFmtId="43" fontId="8" fillId="0" borderId="0" applyFont="0" applyFill="0" applyBorder="0" applyAlignment="0" applyProtection="0"/>
    <xf numFmtId="170" fontId="9" fillId="0" borderId="0"/>
    <xf numFmtId="170" fontId="9" fillId="0" borderId="0"/>
    <xf numFmtId="43" fontId="8" fillId="0" borderId="0" applyFont="0" applyFill="0" applyBorder="0" applyAlignment="0" applyProtection="0"/>
    <xf numFmtId="170" fontId="16" fillId="22" borderId="7" applyNumberFormat="0" applyAlignment="0" applyProtection="0"/>
    <xf numFmtId="170" fontId="7" fillId="16" borderId="0" applyNumberFormat="0" applyBorder="0" applyAlignment="0" applyProtection="0"/>
    <xf numFmtId="43" fontId="8" fillId="0" borderId="0" applyFont="0" applyFill="0" applyBorder="0" applyAlignment="0" applyProtection="0"/>
    <xf numFmtId="170" fontId="7" fillId="16" borderId="0" applyNumberFormat="0" applyBorder="0" applyAlignment="0" applyProtection="0"/>
    <xf numFmtId="170" fontId="10" fillId="23" borderId="0" applyNumberFormat="0" applyBorder="0" applyAlignment="0" applyProtection="0"/>
    <xf numFmtId="43" fontId="8" fillId="0" borderId="0" applyFont="0" applyFill="0" applyBorder="0" applyAlignment="0" applyProtection="0"/>
    <xf numFmtId="170" fontId="7" fillId="16" borderId="0" applyNumberFormat="0" applyBorder="0" applyAlignment="0" applyProtection="0"/>
    <xf numFmtId="170" fontId="8" fillId="0" borderId="0"/>
    <xf numFmtId="170" fontId="8" fillId="0" borderId="0"/>
    <xf numFmtId="43" fontId="4" fillId="0" borderId="0" applyFont="0" applyFill="0" applyBorder="0" applyAlignment="0" applyProtection="0"/>
    <xf numFmtId="170" fontId="10" fillId="23" borderId="0" applyNumberFormat="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7" fillId="11" borderId="0" applyNumberFormat="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7" fillId="20"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7" borderId="0" applyNumberFormat="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7" fillId="20" borderId="0" applyNumberFormat="0" applyBorder="0" applyAlignment="0" applyProtection="0"/>
    <xf numFmtId="43" fontId="8" fillId="0" borderId="0" applyFont="0" applyFill="0" applyBorder="0" applyAlignment="0" applyProtection="0"/>
    <xf numFmtId="170" fontId="7" fillId="17" borderId="0" applyNumberFormat="0" applyBorder="0" applyAlignment="0" applyProtection="0"/>
    <xf numFmtId="170" fontId="7" fillId="20" borderId="0" applyNumberFormat="0" applyBorder="0" applyAlignment="0" applyProtection="0"/>
    <xf numFmtId="170" fontId="1" fillId="0" borderId="0"/>
    <xf numFmtId="170" fontId="1" fillId="0" borderId="0"/>
    <xf numFmtId="43" fontId="8"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7" fillId="20"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170" fontId="7" fillId="15" borderId="0" applyNumberFormat="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7" fillId="20" borderId="0" applyNumberFormat="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7" fillId="20" borderId="0" applyNumberFormat="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7" fillId="20" borderId="0" applyNumberFormat="0" applyBorder="0" applyAlignment="0" applyProtection="0"/>
    <xf numFmtId="170" fontId="7" fillId="20" borderId="0" applyNumberFormat="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7" fillId="20" borderId="0" applyNumberFormat="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7" fillId="20" borderId="0" applyNumberFormat="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7" fillId="20"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7" fillId="20" borderId="0" applyNumberFormat="0" applyBorder="0" applyAlignment="0" applyProtection="0"/>
    <xf numFmtId="170" fontId="1" fillId="0" borderId="0"/>
    <xf numFmtId="170" fontId="1" fillId="0" borderId="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20" borderId="0" applyNumberFormat="0" applyBorder="0" applyAlignment="0" applyProtection="0"/>
    <xf numFmtId="170" fontId="7" fillId="14"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20" borderId="0" applyNumberFormat="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43" fontId="8" fillId="0" borderId="0" applyFont="0" applyFill="0" applyBorder="0" applyAlignment="0" applyProtection="0"/>
    <xf numFmtId="170" fontId="7" fillId="14"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20"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4" borderId="0" applyNumberFormat="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7" fillId="20" borderId="0" applyNumberFormat="0" applyBorder="0" applyAlignment="0" applyProtection="0"/>
    <xf numFmtId="43" fontId="8" fillId="0" borderId="0" applyFont="0" applyFill="0" applyBorder="0" applyAlignment="0" applyProtection="0"/>
    <xf numFmtId="170" fontId="7" fillId="14"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7" fillId="20" borderId="0" applyNumberFormat="0" applyBorder="0" applyAlignment="0" applyProtection="0"/>
    <xf numFmtId="170" fontId="7" fillId="14" borderId="0" applyNumberFormat="0" applyBorder="0" applyAlignment="0" applyProtection="0"/>
    <xf numFmtId="170" fontId="8" fillId="0" borderId="0"/>
    <xf numFmtId="170" fontId="7" fillId="20" borderId="0" applyNumberFormat="0" applyBorder="0" applyAlignment="0" applyProtection="0"/>
    <xf numFmtId="170" fontId="7" fillId="14" borderId="0" applyNumberFormat="0" applyBorder="0" applyAlignment="0" applyProtection="0"/>
    <xf numFmtId="170" fontId="7" fillId="14" borderId="0" applyNumberFormat="0" applyBorder="0" applyAlignment="0" applyProtection="0"/>
    <xf numFmtId="170" fontId="7" fillId="20"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4" borderId="0" applyNumberFormat="0" applyBorder="0" applyAlignment="0" applyProtection="0"/>
    <xf numFmtId="170" fontId="7" fillId="20" borderId="0" applyNumberFormat="0" applyBorder="0" applyAlignment="0" applyProtection="0"/>
    <xf numFmtId="170" fontId="7" fillId="20" borderId="0" applyNumberFormat="0" applyBorder="0" applyAlignment="0" applyProtection="0"/>
    <xf numFmtId="43" fontId="8" fillId="0" borderId="0" applyFont="0" applyFill="0" applyBorder="0" applyAlignment="0" applyProtection="0"/>
    <xf numFmtId="170" fontId="7" fillId="20" borderId="0" applyNumberFormat="0" applyBorder="0" applyAlignment="0" applyProtection="0"/>
    <xf numFmtId="43" fontId="8" fillId="0" borderId="0" applyFont="0" applyFill="0" applyBorder="0" applyAlignment="0" applyProtection="0"/>
    <xf numFmtId="170" fontId="7" fillId="15"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20" borderId="0" applyNumberFormat="0" applyBorder="0" applyAlignment="0" applyProtection="0"/>
    <xf numFmtId="43" fontId="8" fillId="0" borderId="0" applyFont="0" applyFill="0" applyBorder="0" applyAlignment="0" applyProtection="0"/>
    <xf numFmtId="37" fontId="18" fillId="24" borderId="8" applyBorder="0" applyProtection="0">
      <alignment vertical="center"/>
    </xf>
    <xf numFmtId="43" fontId="8" fillId="0" borderId="0" applyFont="0" applyFill="0" applyBorder="0" applyAlignment="0" applyProtection="0"/>
    <xf numFmtId="43" fontId="8" fillId="0" borderId="0" applyFont="0" applyFill="0" applyBorder="0" applyAlignment="0" applyProtection="0"/>
    <xf numFmtId="170" fontId="7" fillId="20"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20" borderId="0" applyNumberFormat="0" applyBorder="0" applyAlignment="0" applyProtection="0"/>
    <xf numFmtId="170" fontId="7" fillId="17"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7" borderId="0" applyNumberFormat="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0" fillId="21" borderId="0" applyNumberFormat="0" applyBorder="0" applyAlignment="0" applyProtection="0"/>
    <xf numFmtId="170" fontId="8" fillId="0" borderId="0"/>
    <xf numFmtId="43" fontId="8" fillId="0" borderId="0" applyFont="0" applyFill="0" applyBorder="0" applyAlignment="0" applyProtection="0"/>
    <xf numFmtId="170" fontId="7" fillId="17" borderId="0" applyNumberFormat="0" applyBorder="0" applyAlignment="0" applyProtection="0"/>
    <xf numFmtId="43" fontId="8" fillId="0" borderId="0" applyFont="0" applyFill="0" applyBorder="0" applyAlignment="0" applyProtection="0"/>
    <xf numFmtId="170" fontId="7" fillId="17" borderId="0" applyNumberFormat="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7" fillId="17"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7" borderId="0" applyNumberFormat="0" applyBorder="0" applyAlignment="0" applyProtection="0"/>
    <xf numFmtId="170" fontId="8" fillId="0" borderId="0"/>
    <xf numFmtId="43" fontId="8" fillId="0" borderId="0" applyFont="0" applyFill="0" applyBorder="0" applyAlignment="0" applyProtection="0"/>
    <xf numFmtId="170" fontId="7" fillId="17"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7"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7" borderId="0" applyNumberFormat="0" applyBorder="0" applyAlignment="0" applyProtection="0"/>
    <xf numFmtId="43" fontId="8" fillId="0" borderId="0" applyFont="0" applyFill="0" applyBorder="0" applyAlignment="0" applyProtection="0"/>
    <xf numFmtId="170" fontId="7" fillId="17"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7"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7" borderId="0" applyNumberFormat="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7" borderId="0" applyNumberFormat="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8" fillId="0" borderId="0"/>
    <xf numFmtId="170" fontId="1" fillId="0" borderId="0"/>
    <xf numFmtId="170" fontId="1" fillId="0" borderId="0"/>
    <xf numFmtId="43" fontId="8" fillId="0" borderId="0" applyFont="0" applyFill="0" applyBorder="0" applyAlignment="0" applyProtection="0"/>
    <xf numFmtId="170" fontId="1" fillId="0" borderId="0"/>
    <xf numFmtId="170" fontId="8" fillId="0" borderId="0"/>
    <xf numFmtId="170" fontId="8" fillId="0" borderId="0"/>
    <xf numFmtId="43" fontId="8" fillId="0" borderId="0" applyFont="0" applyFill="0" applyBorder="0" applyAlignment="0" applyProtection="0"/>
    <xf numFmtId="170" fontId="7" fillId="14"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4" borderId="0" applyNumberFormat="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7" fillId="14" borderId="0" applyNumberFormat="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7" fillId="14"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4"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4"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4" borderId="0" applyNumberFormat="0" applyBorder="0" applyAlignment="0" applyProtection="0"/>
    <xf numFmtId="170" fontId="7" fillId="14"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4"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4" borderId="0" applyNumberFormat="0" applyBorder="0" applyAlignment="0" applyProtection="0"/>
    <xf numFmtId="170" fontId="7" fillId="14" borderId="0" applyNumberFormat="0" applyBorder="0" applyAlignment="0" applyProtection="0"/>
    <xf numFmtId="43" fontId="8" fillId="0" borderId="0" applyFont="0" applyFill="0" applyBorder="0" applyAlignment="0" applyProtection="0"/>
    <xf numFmtId="170" fontId="7" fillId="14" borderId="0" applyNumberFormat="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9" fillId="0" borderId="0"/>
    <xf numFmtId="170" fontId="9" fillId="0" borderId="0"/>
    <xf numFmtId="43" fontId="8" fillId="0" borderId="0" applyFont="0" applyFill="0" applyBorder="0" applyAlignment="0" applyProtection="0"/>
    <xf numFmtId="170" fontId="16" fillId="22" borderId="7" applyNumberFormat="0" applyAlignment="0" applyProtection="0"/>
    <xf numFmtId="170" fontId="7" fillId="14" borderId="0" applyNumberFormat="0" applyBorder="0" applyAlignment="0" applyProtection="0"/>
    <xf numFmtId="43" fontId="8" fillId="0" borderId="0" applyFont="0" applyFill="0" applyBorder="0" applyAlignment="0" applyProtection="0"/>
    <xf numFmtId="170" fontId="9" fillId="0" borderId="0"/>
    <xf numFmtId="170" fontId="9" fillId="0" borderId="0"/>
    <xf numFmtId="43" fontId="8" fillId="0" borderId="0" applyFont="0" applyFill="0" applyBorder="0" applyAlignment="0" applyProtection="0"/>
    <xf numFmtId="170" fontId="16" fillId="22" borderId="7" applyNumberFormat="0" applyAlignment="0" applyProtection="0"/>
    <xf numFmtId="170" fontId="7" fillId="14" borderId="0" applyNumberFormat="0" applyBorder="0" applyAlignment="0" applyProtection="0"/>
    <xf numFmtId="43" fontId="8" fillId="0" borderId="0" applyFont="0" applyFill="0" applyBorder="0" applyAlignment="0" applyProtection="0"/>
    <xf numFmtId="170" fontId="7" fillId="14" borderId="0" applyNumberFormat="0" applyBorder="0" applyAlignment="0" applyProtection="0"/>
    <xf numFmtId="43" fontId="8" fillId="0" borderId="0" applyFont="0" applyFill="0" applyBorder="0" applyAlignment="0" applyProtection="0"/>
    <xf numFmtId="170" fontId="9" fillId="0" borderId="0"/>
    <xf numFmtId="170" fontId="9" fillId="0" borderId="0"/>
    <xf numFmtId="43" fontId="8" fillId="0" borderId="0" applyFont="0" applyFill="0" applyBorder="0" applyAlignment="0" applyProtection="0"/>
    <xf numFmtId="170" fontId="16" fillId="22" borderId="7" applyNumberFormat="0" applyAlignment="0" applyProtection="0"/>
    <xf numFmtId="43" fontId="8" fillId="0" borderId="0" applyFont="0" applyFill="0" applyBorder="0" applyAlignment="0" applyProtection="0"/>
    <xf numFmtId="170" fontId="8" fillId="0" borderId="0"/>
    <xf numFmtId="170" fontId="9" fillId="0" borderId="0"/>
    <xf numFmtId="170" fontId="9" fillId="0" borderId="0"/>
    <xf numFmtId="43" fontId="8" fillId="0" borderId="0" applyFont="0" applyFill="0" applyBorder="0" applyAlignment="0" applyProtection="0"/>
    <xf numFmtId="170" fontId="7" fillId="14"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9" fillId="0" borderId="0"/>
    <xf numFmtId="170" fontId="9" fillId="0" borderId="0"/>
    <xf numFmtId="43" fontId="8" fillId="0" borderId="0" applyFont="0" applyFill="0" applyBorder="0" applyAlignment="0" applyProtection="0"/>
    <xf numFmtId="170" fontId="7" fillId="14" borderId="0" applyNumberFormat="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4" borderId="0" applyNumberFormat="0" applyBorder="0" applyAlignment="0" applyProtection="0"/>
    <xf numFmtId="170" fontId="7" fillId="14" borderId="0" applyNumberFormat="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4" borderId="0" applyNumberFormat="0" applyBorder="0" applyAlignment="0" applyProtection="0"/>
    <xf numFmtId="43" fontId="8" fillId="0" borderId="0" applyFont="0" applyFill="0" applyBorder="0" applyAlignment="0" applyProtection="0"/>
    <xf numFmtId="170" fontId="10" fillId="8"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43" fontId="8" fillId="0" borderId="0" applyFont="0" applyFill="0" applyBorder="0" applyAlignment="0" applyProtection="0"/>
    <xf numFmtId="170" fontId="9" fillId="0" borderId="0"/>
    <xf numFmtId="170" fontId="9" fillId="0" borderId="0"/>
    <xf numFmtId="170" fontId="9" fillId="0" borderId="0"/>
    <xf numFmtId="170" fontId="9" fillId="0" borderId="0"/>
    <xf numFmtId="43" fontId="8" fillId="0" borderId="0" applyFont="0" applyFill="0" applyBorder="0" applyAlignment="0" applyProtection="0"/>
    <xf numFmtId="170" fontId="7" fillId="14" borderId="0" applyNumberFormat="0" applyBorder="0" applyAlignment="0" applyProtection="0"/>
    <xf numFmtId="43" fontId="8" fillId="0" borderId="0" applyFont="0" applyFill="0" applyBorder="0" applyAlignment="0" applyProtection="0"/>
    <xf numFmtId="170" fontId="12" fillId="9" borderId="0" applyNumberFormat="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0" fontId="19" fillId="0" borderId="0"/>
    <xf numFmtId="43" fontId="8" fillId="0" borderId="0" applyFont="0" applyFill="0" applyBorder="0" applyAlignment="0" applyProtection="0"/>
    <xf numFmtId="170" fontId="7" fillId="14" borderId="0" applyNumberFormat="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7" fillId="14"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4"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4" borderId="0" applyNumberFormat="0" applyBorder="0" applyAlignment="0" applyProtection="0"/>
    <xf numFmtId="170" fontId="7" fillId="15" borderId="0" applyNumberFormat="0" applyBorder="0" applyAlignment="0" applyProtection="0"/>
    <xf numFmtId="43" fontId="8" fillId="0" borderId="0" applyFont="0" applyFill="0" applyBorder="0" applyAlignment="0" applyProtection="0"/>
    <xf numFmtId="170" fontId="10" fillId="18" borderId="0" applyNumberFormat="0" applyBorder="0" applyAlignment="0" applyProtection="0"/>
    <xf numFmtId="43" fontId="8" fillId="0" borderId="0" applyFont="0" applyFill="0" applyBorder="0" applyAlignment="0" applyProtection="0"/>
    <xf numFmtId="170" fontId="7" fillId="15" borderId="0" applyNumberFormat="0" applyBorder="0" applyAlignment="0" applyProtection="0"/>
    <xf numFmtId="43" fontId="8" fillId="0" borderId="0" applyFont="0" applyFill="0" applyBorder="0" applyAlignment="0" applyProtection="0"/>
    <xf numFmtId="170" fontId="10" fillId="18" borderId="0" applyNumberFormat="0" applyBorder="0" applyAlignment="0" applyProtection="0"/>
    <xf numFmtId="170" fontId="7" fillId="15"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0" fillId="18" borderId="0" applyNumberFormat="0" applyBorder="0" applyAlignment="0" applyProtection="0"/>
    <xf numFmtId="43" fontId="8" fillId="0" borderId="0" applyFont="0" applyFill="0" applyBorder="0" applyAlignment="0" applyProtection="0"/>
    <xf numFmtId="170" fontId="7" fillId="15"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5" borderId="0" applyNumberFormat="0" applyBorder="0" applyAlignment="0" applyProtection="0"/>
    <xf numFmtId="43" fontId="8" fillId="0" borderId="0" applyFont="0" applyFill="0" applyBorder="0" applyAlignment="0" applyProtection="0"/>
    <xf numFmtId="170" fontId="10" fillId="18" borderId="0" applyNumberFormat="0" applyBorder="0" applyAlignment="0" applyProtection="0"/>
    <xf numFmtId="43" fontId="8" fillId="0" borderId="0" applyFont="0" applyFill="0" applyBorder="0" applyAlignment="0" applyProtection="0"/>
    <xf numFmtId="170" fontId="7" fillId="15" borderId="0" applyNumberFormat="0" applyBorder="0" applyAlignment="0" applyProtection="0"/>
    <xf numFmtId="43" fontId="8" fillId="0" borderId="0" applyFont="0" applyFill="0" applyBorder="0" applyAlignment="0" applyProtection="0"/>
    <xf numFmtId="170" fontId="10" fillId="18" borderId="0" applyNumberFormat="0" applyBorder="0" applyAlignment="0" applyProtection="0"/>
    <xf numFmtId="170" fontId="7" fillId="15" borderId="0" applyNumberFormat="0" applyBorder="0" applyAlignment="0" applyProtection="0"/>
    <xf numFmtId="170" fontId="7" fillId="15" borderId="0" applyNumberFormat="0" applyBorder="0" applyAlignment="0" applyProtection="0"/>
    <xf numFmtId="43" fontId="8" fillId="0" borderId="0" applyFont="0" applyFill="0" applyBorder="0" applyAlignment="0" applyProtection="0"/>
    <xf numFmtId="170" fontId="7" fillId="15" borderId="0" applyNumberFormat="0" applyBorder="0" applyAlignment="0" applyProtection="0"/>
    <xf numFmtId="43" fontId="8" fillId="0" borderId="0" applyFont="0" applyFill="0" applyBorder="0" applyAlignment="0" applyProtection="0"/>
    <xf numFmtId="43" fontId="9" fillId="0" borderId="0" applyFont="0" applyFill="0" applyBorder="0" applyAlignment="0" applyProtection="0"/>
    <xf numFmtId="170" fontId="1" fillId="0" borderId="0"/>
    <xf numFmtId="170" fontId="1" fillId="0" borderId="0"/>
    <xf numFmtId="170" fontId="8" fillId="0" borderId="0"/>
    <xf numFmtId="43" fontId="8" fillId="0" borderId="0" applyFont="0" applyFill="0" applyBorder="0" applyAlignment="0" applyProtection="0"/>
    <xf numFmtId="170" fontId="7" fillId="15" borderId="0" applyNumberFormat="0" applyBorder="0" applyAlignment="0" applyProtection="0"/>
    <xf numFmtId="170" fontId="1" fillId="0" borderId="0"/>
    <xf numFmtId="170" fontId="8" fillId="0" borderId="0"/>
    <xf numFmtId="170" fontId="8" fillId="0" borderId="0"/>
    <xf numFmtId="43" fontId="9" fillId="0" borderId="0" applyFont="0" applyFill="0" applyBorder="0" applyAlignment="0" applyProtection="0"/>
    <xf numFmtId="170" fontId="1" fillId="0" borderId="0"/>
    <xf numFmtId="43" fontId="8" fillId="0" borderId="0" applyFont="0" applyFill="0" applyBorder="0" applyAlignment="0" applyProtection="0"/>
    <xf numFmtId="170" fontId="7" fillId="15" borderId="0" applyNumberFormat="0" applyBorder="0" applyAlignment="0" applyProtection="0"/>
    <xf numFmtId="170" fontId="1" fillId="0" borderId="0"/>
    <xf numFmtId="43" fontId="8" fillId="0" borderId="0" applyFont="0" applyFill="0" applyBorder="0" applyAlignment="0" applyProtection="0"/>
    <xf numFmtId="170" fontId="7" fillId="15" borderId="0" applyNumberFormat="0" applyBorder="0" applyAlignment="0" applyProtection="0"/>
    <xf numFmtId="43" fontId="8" fillId="0" borderId="0" applyFont="0" applyFill="0" applyBorder="0" applyAlignment="0" applyProtection="0"/>
    <xf numFmtId="170" fontId="7" fillId="15" borderId="0" applyNumberFormat="0" applyBorder="0" applyAlignment="0" applyProtection="0"/>
    <xf numFmtId="170" fontId="7" fillId="15"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5" borderId="0" applyNumberFormat="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7" fillId="15" borderId="0" applyNumberFormat="0" applyBorder="0" applyAlignment="0" applyProtection="0"/>
    <xf numFmtId="43" fontId="8" fillId="0" borderId="0" applyFont="0" applyFill="0" applyBorder="0" applyAlignment="0" applyProtection="0"/>
    <xf numFmtId="170" fontId="7" fillId="15" borderId="0" applyNumberFormat="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1" borderId="0" applyNumberFormat="0" applyBorder="0" applyAlignment="0" applyProtection="0"/>
    <xf numFmtId="170" fontId="7" fillId="15" borderId="0" applyNumberFormat="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7" fillId="15" borderId="0" applyNumberFormat="0" applyBorder="0" applyAlignment="0" applyProtection="0"/>
    <xf numFmtId="43" fontId="8" fillId="0" borderId="0" applyFont="0" applyFill="0" applyBorder="0" applyAlignment="0" applyProtection="0"/>
    <xf numFmtId="170" fontId="7" fillId="15" borderId="0" applyNumberFormat="0" applyBorder="0" applyAlignment="0" applyProtection="0"/>
    <xf numFmtId="170" fontId="7" fillId="15" borderId="0" applyNumberFormat="0" applyBorder="0" applyAlignment="0" applyProtection="0"/>
    <xf numFmtId="43" fontId="8" fillId="0" borderId="0" applyFont="0" applyFill="0" applyBorder="0" applyAlignment="0" applyProtection="0"/>
    <xf numFmtId="170" fontId="10" fillId="12"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5" borderId="0" applyNumberFormat="0" applyBorder="0" applyAlignment="0" applyProtection="0"/>
    <xf numFmtId="171" fontId="9"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11" fillId="6" borderId="6" applyNumberFormat="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7" fillId="7" borderId="0" applyNumberFormat="0" applyBorder="0" applyAlignment="0" applyProtection="0"/>
    <xf numFmtId="43" fontId="8" fillId="0" borderId="0" applyFont="0" applyFill="0" applyBorder="0" applyAlignment="0" applyProtection="0"/>
    <xf numFmtId="170" fontId="7" fillId="7" borderId="0" applyNumberFormat="0" applyBorder="0" applyAlignment="0" applyProtection="0"/>
    <xf numFmtId="170" fontId="8" fillId="0" borderId="0"/>
    <xf numFmtId="43" fontId="8" fillId="0" borderId="0" applyFont="0" applyFill="0" applyBorder="0" applyAlignment="0" applyProtection="0"/>
    <xf numFmtId="171" fontId="9" fillId="0" borderId="0"/>
    <xf numFmtId="171" fontId="9"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11" fillId="6" borderId="6" applyNumberFormat="0" applyAlignment="0" applyProtection="0"/>
    <xf numFmtId="170" fontId="7" fillId="7" borderId="0" applyNumberFormat="0" applyBorder="0" applyAlignment="0" applyProtection="0"/>
    <xf numFmtId="43" fontId="8" fillId="0" borderId="0" applyFont="0" applyFill="0" applyBorder="0" applyAlignment="0" applyProtection="0"/>
    <xf numFmtId="170" fontId="8" fillId="0" borderId="0"/>
    <xf numFmtId="171" fontId="9" fillId="0" borderId="0"/>
    <xf numFmtId="171" fontId="9"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11" fillId="6" borderId="6" applyNumberFormat="0" applyAlignment="0" applyProtection="0"/>
    <xf numFmtId="170" fontId="7" fillId="14" borderId="0" applyNumberFormat="0" applyBorder="0" applyAlignment="0" applyProtection="0"/>
    <xf numFmtId="170" fontId="7" fillId="7" borderId="0" applyNumberFormat="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1" fontId="9" fillId="0" borderId="0"/>
    <xf numFmtId="171" fontId="9" fillId="0" borderId="0"/>
    <xf numFmtId="43" fontId="8" fillId="0" borderId="0" applyFont="0" applyFill="0" applyBorder="0" applyAlignment="0" applyProtection="0"/>
    <xf numFmtId="43" fontId="8" fillId="0" borderId="0" applyFont="0" applyFill="0" applyBorder="0" applyAlignment="0" applyProtection="0"/>
    <xf numFmtId="170" fontId="11" fillId="6" borderId="6" applyNumberFormat="0" applyAlignment="0" applyProtection="0"/>
    <xf numFmtId="170" fontId="7" fillId="7" borderId="0" applyNumberFormat="0" applyBorder="0" applyAlignment="0" applyProtection="0"/>
    <xf numFmtId="170" fontId="7" fillId="7"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1" fillId="6" borderId="6" applyNumberFormat="0" applyAlignment="0" applyProtection="0"/>
    <xf numFmtId="43" fontId="8" fillId="0" borderId="0" applyFont="0" applyFill="0" applyBorder="0" applyAlignment="0" applyProtection="0"/>
    <xf numFmtId="170" fontId="7" fillId="7" borderId="0" applyNumberFormat="0" applyBorder="0" applyAlignment="0" applyProtection="0"/>
    <xf numFmtId="43" fontId="8" fillId="0" borderId="0" applyFont="0" applyFill="0" applyBorder="0" applyAlignment="0" applyProtection="0"/>
    <xf numFmtId="170" fontId="7" fillId="7" borderId="0" applyNumberFormat="0" applyBorder="0" applyAlignment="0" applyProtection="0"/>
    <xf numFmtId="43" fontId="8" fillId="0" borderId="0" applyFont="0" applyFill="0" applyBorder="0" applyAlignment="0" applyProtection="0"/>
    <xf numFmtId="170" fontId="7" fillId="7" borderId="0" applyNumberFormat="0" applyBorder="0" applyAlignment="0" applyProtection="0"/>
    <xf numFmtId="170" fontId="7" fillId="7" borderId="0" applyNumberFormat="0" applyBorder="0" applyAlignment="0" applyProtection="0"/>
    <xf numFmtId="170" fontId="1" fillId="0" borderId="0"/>
    <xf numFmtId="43" fontId="8" fillId="0" borderId="0" applyFont="0" applyFill="0" applyBorder="0" applyAlignment="0" applyProtection="0"/>
    <xf numFmtId="170" fontId="7" fillId="7" borderId="0" applyNumberFormat="0" applyBorder="0" applyAlignment="0" applyProtection="0"/>
    <xf numFmtId="43" fontId="8" fillId="0" borderId="0" applyFont="0" applyFill="0" applyBorder="0" applyAlignment="0" applyProtection="0"/>
    <xf numFmtId="170" fontId="7" fillId="7" borderId="0" applyNumberFormat="0" applyBorder="0" applyAlignment="0" applyProtection="0"/>
    <xf numFmtId="43" fontId="8" fillId="0" borderId="0" applyFont="0" applyFill="0" applyBorder="0" applyAlignment="0" applyProtection="0"/>
    <xf numFmtId="170" fontId="7" fillId="7" borderId="0" applyNumberFormat="0" applyBorder="0" applyAlignment="0" applyProtection="0"/>
    <xf numFmtId="43" fontId="8" fillId="0" borderId="0" applyFont="0" applyFill="0" applyBorder="0" applyAlignment="0" applyProtection="0"/>
    <xf numFmtId="170" fontId="7" fillId="7" borderId="0" applyNumberFormat="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170" fontId="7" fillId="7" borderId="0" applyNumberFormat="0" applyBorder="0" applyAlignment="0" applyProtection="0"/>
    <xf numFmtId="43" fontId="8" fillId="0" borderId="0" applyFont="0" applyFill="0" applyBorder="0" applyAlignment="0" applyProtection="0"/>
    <xf numFmtId="43" fontId="1" fillId="0" borderId="0" applyFont="0" applyFill="0" applyBorder="0" applyAlignment="0" applyProtection="0"/>
    <xf numFmtId="170" fontId="7" fillId="7" borderId="0" applyNumberFormat="0" applyBorder="0" applyAlignment="0" applyProtection="0"/>
    <xf numFmtId="43" fontId="8" fillId="0" borderId="0" applyFont="0" applyFill="0" applyBorder="0" applyAlignment="0" applyProtection="0"/>
    <xf numFmtId="43" fontId="1" fillId="0" borderId="0" applyFont="0" applyFill="0" applyBorder="0" applyAlignment="0" applyProtection="0"/>
    <xf numFmtId="170" fontId="7" fillId="7"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170" fontId="7" fillId="7"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0" fillId="21"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7" fillId="7" borderId="0" applyNumberFormat="0" applyBorder="0" applyAlignment="0" applyProtection="0"/>
    <xf numFmtId="43" fontId="8" fillId="0" borderId="0" applyFont="0" applyFill="0" applyBorder="0" applyAlignment="0" applyProtection="0"/>
    <xf numFmtId="170" fontId="7" fillId="7" borderId="0" applyNumberFormat="0" applyBorder="0" applyAlignment="0" applyProtection="0"/>
    <xf numFmtId="43" fontId="9" fillId="0" borderId="0" applyFont="0" applyFill="0" applyBorder="0" applyAlignment="0" applyProtection="0"/>
    <xf numFmtId="170" fontId="7" fillId="7" borderId="0" applyNumberFormat="0" applyBorder="0" applyAlignment="0" applyProtection="0"/>
    <xf numFmtId="170" fontId="7" fillId="7" borderId="0" applyNumberFormat="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0" fillId="21"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170" fontId="8" fillId="0" borderId="0"/>
    <xf numFmtId="170" fontId="7" fillId="7" borderId="0" applyNumberFormat="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7" fillId="16" borderId="0" applyNumberFormat="0" applyBorder="0" applyAlignment="0" applyProtection="0"/>
    <xf numFmtId="170" fontId="7" fillId="14" borderId="0" applyNumberFormat="0" applyBorder="0" applyAlignment="0" applyProtection="0"/>
    <xf numFmtId="170" fontId="8" fillId="0" borderId="0"/>
    <xf numFmtId="170" fontId="1" fillId="0" borderId="0"/>
    <xf numFmtId="170" fontId="1" fillId="0" borderId="0"/>
    <xf numFmtId="170" fontId="1" fillId="0" borderId="0"/>
    <xf numFmtId="170" fontId="1" fillId="0" borderId="0"/>
    <xf numFmtId="170" fontId="7" fillId="16" borderId="0" applyNumberFormat="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170" fontId="8" fillId="0" borderId="0"/>
    <xf numFmtId="170" fontId="1" fillId="0" borderId="0"/>
    <xf numFmtId="170" fontId="1" fillId="0" borderId="0"/>
    <xf numFmtId="170" fontId="1" fillId="0" borderId="0"/>
    <xf numFmtId="170" fontId="1" fillId="0" borderId="0"/>
    <xf numFmtId="170" fontId="7" fillId="16"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6" borderId="0" applyNumberFormat="0" applyBorder="0" applyAlignment="0" applyProtection="0"/>
    <xf numFmtId="170" fontId="7" fillId="16" borderId="0" applyNumberFormat="0" applyBorder="0" applyAlignment="0" applyProtection="0"/>
    <xf numFmtId="170" fontId="7" fillId="16" borderId="0" applyNumberFormat="0" applyBorder="0" applyAlignment="0" applyProtection="0"/>
    <xf numFmtId="170" fontId="7" fillId="16" borderId="0" applyNumberFormat="0" applyBorder="0" applyAlignment="0" applyProtection="0"/>
    <xf numFmtId="170" fontId="8" fillId="0" borderId="0"/>
    <xf numFmtId="43" fontId="8" fillId="0" borderId="0" applyFont="0" applyFill="0" applyBorder="0" applyAlignment="0" applyProtection="0"/>
    <xf numFmtId="170" fontId="10" fillId="8" borderId="0" applyNumberFormat="0" applyBorder="0" applyAlignment="0" applyProtection="0"/>
    <xf numFmtId="170" fontId="7" fillId="16" borderId="0" applyNumberFormat="0" applyBorder="0" applyAlignment="0" applyProtection="0"/>
    <xf numFmtId="43" fontId="8" fillId="0" borderId="0" applyFont="0" applyFill="0" applyBorder="0" applyAlignment="0" applyProtection="0"/>
    <xf numFmtId="170" fontId="10" fillId="8" borderId="0" applyNumberFormat="0" applyBorder="0" applyAlignment="0" applyProtection="0"/>
    <xf numFmtId="170" fontId="8" fillId="0" borderId="0"/>
    <xf numFmtId="170" fontId="7" fillId="16"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0" fillId="8" borderId="0" applyNumberFormat="0" applyBorder="0" applyAlignment="0" applyProtection="0"/>
    <xf numFmtId="170" fontId="8" fillId="0" borderId="0"/>
    <xf numFmtId="170" fontId="7" fillId="16" borderId="0" applyNumberFormat="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0" fillId="8" borderId="0" applyNumberFormat="0" applyBorder="0" applyAlignment="0" applyProtection="0"/>
    <xf numFmtId="170" fontId="5" fillId="0" borderId="0"/>
    <xf numFmtId="170" fontId="7" fillId="16"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7" fillId="16" borderId="0" applyNumberFormat="0" applyBorder="0" applyAlignment="0" applyProtection="0"/>
    <xf numFmtId="170" fontId="1" fillId="0" borderId="0"/>
    <xf numFmtId="43" fontId="8" fillId="0" borderId="0" applyFont="0" applyFill="0" applyBorder="0" applyAlignment="0" applyProtection="0"/>
    <xf numFmtId="170" fontId="7" fillId="16"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7" fillId="16"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170" fontId="7" fillId="16"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0" fillId="13" borderId="0" applyNumberFormat="0" applyBorder="0" applyAlignment="0" applyProtection="0"/>
    <xf numFmtId="170" fontId="7" fillId="16"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170" fontId="7" fillId="16" borderId="0" applyNumberFormat="0" applyBorder="0" applyAlignment="0" applyProtection="0"/>
    <xf numFmtId="43" fontId="8" fillId="0" borderId="0" applyFont="0" applyFill="0" applyBorder="0" applyAlignment="0" applyProtection="0"/>
    <xf numFmtId="170" fontId="10" fillId="13" borderId="0" applyNumberFormat="0" applyBorder="0" applyAlignment="0" applyProtection="0"/>
    <xf numFmtId="170" fontId="7" fillId="16" borderId="0" applyNumberFormat="0" applyBorder="0" applyAlignment="0" applyProtection="0"/>
    <xf numFmtId="43" fontId="1"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0" fillId="13" borderId="0" applyNumberFormat="0" applyBorder="0" applyAlignment="0" applyProtection="0"/>
    <xf numFmtId="170" fontId="7" fillId="16" borderId="0" applyNumberFormat="0" applyBorder="0" applyAlignment="0" applyProtection="0"/>
    <xf numFmtId="43" fontId="1" fillId="0" borderId="0" applyFont="0" applyFill="0" applyBorder="0" applyAlignment="0" applyProtection="0"/>
    <xf numFmtId="43" fontId="8" fillId="0" borderId="0" applyFont="0" applyFill="0" applyBorder="0" applyAlignment="0" applyProtection="0"/>
    <xf numFmtId="170" fontId="7" fillId="16" borderId="0" applyNumberFormat="0" applyBorder="0" applyAlignment="0" applyProtection="0"/>
    <xf numFmtId="43" fontId="8" fillId="0" borderId="0" applyFont="0" applyFill="0" applyBorder="0" applyAlignment="0" applyProtection="0"/>
    <xf numFmtId="170" fontId="10" fillId="13"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6" borderId="0" applyNumberFormat="0" applyBorder="0" applyAlignment="0" applyProtection="0"/>
    <xf numFmtId="43" fontId="8" fillId="0" borderId="0" applyFont="0" applyFill="0" applyBorder="0" applyAlignment="0" applyProtection="0"/>
    <xf numFmtId="170" fontId="10" fillId="13"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6" borderId="0" applyNumberFormat="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7" fillId="16" borderId="0" applyNumberFormat="0" applyBorder="0" applyAlignment="0" applyProtection="0"/>
    <xf numFmtId="170" fontId="1" fillId="0" borderId="0"/>
    <xf numFmtId="170" fontId="1" fillId="0" borderId="0"/>
    <xf numFmtId="43" fontId="8" fillId="0" borderId="0" applyFont="0" applyFill="0" applyBorder="0" applyAlignment="0" applyProtection="0"/>
    <xf numFmtId="170" fontId="10" fillId="19"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4" borderId="0" applyNumberFormat="0" applyBorder="0" applyAlignment="0" applyProtection="0"/>
    <xf numFmtId="43" fontId="8" fillId="0" borderId="0" applyFont="0" applyFill="0" applyBorder="0" applyAlignment="0" applyProtection="0"/>
    <xf numFmtId="170" fontId="7" fillId="16" borderId="0" applyNumberFormat="0" applyBorder="0" applyAlignment="0" applyProtection="0"/>
    <xf numFmtId="170" fontId="8" fillId="0" borderId="0"/>
    <xf numFmtId="170" fontId="8" fillId="0" borderId="0"/>
    <xf numFmtId="43" fontId="4" fillId="0" borderId="0" applyFont="0" applyFill="0" applyBorder="0" applyAlignment="0" applyProtection="0"/>
    <xf numFmtId="170" fontId="10" fillId="23" borderId="0" applyNumberFormat="0" applyBorder="0" applyAlignment="0" applyProtection="0"/>
    <xf numFmtId="170" fontId="8" fillId="0" borderId="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8" fillId="0" borderId="0"/>
    <xf numFmtId="170" fontId="7" fillId="11" borderId="0" applyNumberFormat="0" applyBorder="0" applyAlignment="0" applyProtection="0"/>
    <xf numFmtId="170" fontId="7" fillId="16"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4" borderId="0" applyNumberFormat="0" applyBorder="0" applyAlignment="0" applyProtection="0"/>
    <xf numFmtId="43" fontId="8" fillId="0" borderId="0" applyFont="0" applyFill="0" applyBorder="0" applyAlignment="0" applyProtection="0"/>
    <xf numFmtId="170" fontId="7" fillId="14" borderId="0" applyNumberFormat="0" applyBorder="0" applyAlignment="0" applyProtection="0"/>
    <xf numFmtId="43" fontId="8" fillId="0" borderId="0" applyFont="0" applyFill="0" applyBorder="0" applyAlignment="0" applyProtection="0"/>
    <xf numFmtId="170" fontId="7" fillId="14"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7" fillId="14"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4"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4"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4" borderId="0" applyNumberFormat="0" applyBorder="0" applyAlignment="0" applyProtection="0"/>
    <xf numFmtId="170" fontId="7" fillId="14" borderId="0" applyNumberFormat="0" applyBorder="0" applyAlignment="0" applyProtection="0"/>
    <xf numFmtId="43" fontId="8" fillId="0" borderId="0" applyFont="0" applyFill="0" applyBorder="0" applyAlignment="0" applyProtection="0"/>
    <xf numFmtId="170" fontId="7" fillId="14"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4" borderId="0" applyNumberFormat="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0" fillId="19" borderId="0" applyNumberFormat="0" applyBorder="0" applyAlignment="0" applyProtection="0"/>
    <xf numFmtId="170" fontId="7" fillId="14" borderId="0" applyNumberFormat="0" applyBorder="0" applyAlignment="0" applyProtection="0"/>
    <xf numFmtId="43" fontId="8" fillId="0" borderId="0" applyFont="0" applyFill="0" applyBorder="0" applyAlignment="0" applyProtection="0"/>
    <xf numFmtId="170" fontId="7" fillId="14"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7" fillId="14"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1"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1"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1"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1"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1" borderId="0" applyNumberFormat="0" applyBorder="0" applyAlignment="0" applyProtection="0"/>
    <xf numFmtId="170" fontId="7" fillId="11" borderId="0" applyNumberFormat="0" applyBorder="0" applyAlignment="0" applyProtection="0"/>
    <xf numFmtId="43" fontId="8" fillId="0" borderId="0" applyFont="0" applyFill="0" applyBorder="0" applyAlignment="0" applyProtection="0"/>
    <xf numFmtId="170" fontId="8" fillId="0" borderId="0"/>
    <xf numFmtId="170" fontId="7" fillId="11"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8" fillId="0" borderId="0"/>
    <xf numFmtId="170" fontId="7" fillId="11" borderId="0" applyNumberFormat="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7" fillId="11" borderId="0" applyNumberFormat="0" applyBorder="0" applyAlignment="0" applyProtection="0"/>
    <xf numFmtId="43" fontId="8" fillId="0" borderId="0" applyFont="0" applyFill="0" applyBorder="0" applyAlignment="0" applyProtection="0"/>
    <xf numFmtId="170" fontId="7" fillId="11" borderId="0" applyNumberFormat="0" applyBorder="0" applyAlignment="0" applyProtection="0"/>
    <xf numFmtId="170" fontId="7" fillId="11" borderId="0" applyNumberFormat="0" applyBorder="0" applyAlignment="0" applyProtection="0"/>
    <xf numFmtId="43" fontId="8" fillId="0" borderId="0" applyFont="0" applyFill="0" applyBorder="0" applyAlignment="0" applyProtection="0"/>
    <xf numFmtId="170" fontId="10" fillId="8" borderId="0" applyNumberFormat="0" applyBorder="0" applyAlignment="0" applyProtection="0"/>
    <xf numFmtId="170" fontId="7" fillId="11"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170" fontId="10" fillId="23" borderId="0" applyNumberFormat="0" applyBorder="0" applyAlignment="0" applyProtection="0"/>
    <xf numFmtId="170" fontId="8" fillId="0" borderId="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170" fontId="7" fillId="11" borderId="0" applyNumberFormat="0" applyBorder="0" applyAlignment="0" applyProtection="0"/>
    <xf numFmtId="43" fontId="8" fillId="0" borderId="0" applyFont="0" applyFill="0" applyBorder="0" applyAlignment="0" applyProtection="0"/>
    <xf numFmtId="170" fontId="10" fillId="7" borderId="0" applyNumberFormat="0" applyBorder="0" applyAlignment="0" applyProtection="0"/>
    <xf numFmtId="170" fontId="8" fillId="0" borderId="0"/>
    <xf numFmtId="170" fontId="8" fillId="0" borderId="0"/>
    <xf numFmtId="43" fontId="8" fillId="0" borderId="0" applyFont="0" applyFill="0" applyBorder="0" applyAlignment="0" applyProtection="0"/>
    <xf numFmtId="170" fontId="12" fillId="9" borderId="0" applyNumberFormat="0" applyBorder="0" applyAlignment="0" applyProtection="0"/>
    <xf numFmtId="170" fontId="7" fillId="11" borderId="0" applyNumberFormat="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4" fillId="0" borderId="0" applyFont="0" applyFill="0" applyBorder="0" applyAlignment="0" applyProtection="0"/>
    <xf numFmtId="170" fontId="10" fillId="23" borderId="0" applyNumberFormat="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7" fillId="11" borderId="0" applyNumberFormat="0" applyBorder="0" applyAlignment="0" applyProtection="0"/>
    <xf numFmtId="43" fontId="8" fillId="0" borderId="0" applyFont="0" applyFill="0" applyBorder="0" applyAlignment="0" applyProtection="0"/>
    <xf numFmtId="43" fontId="4" fillId="0" borderId="0" applyFont="0" applyFill="0" applyBorder="0" applyAlignment="0" applyProtection="0"/>
    <xf numFmtId="170" fontId="10" fillId="23" borderId="0" applyNumberFormat="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7" fillId="11"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0" fillId="12"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0" fillId="23" borderId="0" applyNumberFormat="0" applyBorder="0" applyAlignment="0" applyProtection="0"/>
    <xf numFmtId="170" fontId="10" fillId="23"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 fillId="0" borderId="0"/>
    <xf numFmtId="170" fontId="10" fillId="12" borderId="0" applyNumberFormat="0" applyBorder="0" applyAlignment="0" applyProtection="0"/>
    <xf numFmtId="170" fontId="10" fillId="23" borderId="0" applyNumberFormat="0" applyBorder="0" applyAlignment="0" applyProtection="0"/>
    <xf numFmtId="170" fontId="10" fillId="12" borderId="0" applyNumberFormat="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10" fillId="23" borderId="0" applyNumberFormat="0" applyBorder="0" applyAlignment="0" applyProtection="0"/>
    <xf numFmtId="43" fontId="7"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0" fontId="9" fillId="0" borderId="0"/>
    <xf numFmtId="0" fontId="9" fillId="0" borderId="0"/>
    <xf numFmtId="43" fontId="8" fillId="0" borderId="0" applyFont="0" applyFill="0" applyBorder="0" applyAlignment="0" applyProtection="0"/>
    <xf numFmtId="170" fontId="10" fillId="23" borderId="0" applyNumberFormat="0" applyBorder="0" applyAlignment="0" applyProtection="0"/>
    <xf numFmtId="170" fontId="4" fillId="0" borderId="0" applyNumberFormat="0" applyFill="0" applyBorder="0" applyAlignment="0" applyProtection="0"/>
    <xf numFmtId="43" fontId="8" fillId="0" borderId="0" applyFont="0" applyFill="0" applyBorder="0" applyAlignment="0" applyProtection="0"/>
    <xf numFmtId="170" fontId="10" fillId="15" borderId="0" applyNumberFormat="0" applyBorder="0" applyAlignment="0" applyProtection="0"/>
    <xf numFmtId="170" fontId="8" fillId="0" borderId="0"/>
    <xf numFmtId="170" fontId="8" fillId="0" borderId="0"/>
    <xf numFmtId="43" fontId="4" fillId="0" borderId="0" applyFont="0" applyFill="0" applyBorder="0" applyAlignment="0" applyProtection="0"/>
    <xf numFmtId="170" fontId="10" fillId="15" borderId="0" applyNumberFormat="0" applyBorder="0" applyAlignment="0" applyProtection="0"/>
    <xf numFmtId="170" fontId="8" fillId="0" borderId="0"/>
    <xf numFmtId="170" fontId="8" fillId="0" borderId="0"/>
    <xf numFmtId="43" fontId="4" fillId="0" borderId="0" applyFont="0" applyFill="0" applyBorder="0" applyAlignment="0" applyProtection="0"/>
    <xf numFmtId="170" fontId="10" fillId="15"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170" fontId="10" fillId="15"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170" fontId="10" fillId="15" borderId="0" applyNumberFormat="0" applyBorder="0" applyAlignment="0" applyProtection="0"/>
    <xf numFmtId="170" fontId="8" fillId="0" borderId="0"/>
    <xf numFmtId="170" fontId="12" fillId="9" borderId="0" applyNumberFormat="0" applyBorder="0" applyAlignment="0" applyProtection="0"/>
    <xf numFmtId="170" fontId="8" fillId="0" borderId="0"/>
    <xf numFmtId="170" fontId="10" fillId="7" borderId="0" applyNumberFormat="0" applyBorder="0" applyAlignment="0" applyProtection="0"/>
    <xf numFmtId="170" fontId="10" fillId="7"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0" fillId="7" borderId="0" applyNumberFormat="0" applyBorder="0" applyAlignment="0" applyProtection="0"/>
    <xf numFmtId="43" fontId="8" fillId="0" borderId="0" applyFont="0" applyFill="0" applyBorder="0" applyAlignment="0" applyProtection="0"/>
    <xf numFmtId="170" fontId="10" fillId="7" borderId="0" applyNumberFormat="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10" fillId="7"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10" fillId="7" borderId="0" applyNumberFormat="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170" fontId="8" fillId="0" borderId="0"/>
    <xf numFmtId="0" fontId="9" fillId="0" borderId="0"/>
    <xf numFmtId="0" fontId="9" fillId="0" borderId="0"/>
    <xf numFmtId="43" fontId="8" fillId="0" borderId="0" applyFont="0" applyFill="0" applyBorder="0" applyAlignment="0" applyProtection="0"/>
    <xf numFmtId="43" fontId="8" fillId="0" borderId="0" applyFont="0" applyFill="0" applyBorder="0" applyAlignment="0" applyProtection="0"/>
    <xf numFmtId="170" fontId="10" fillId="7"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10" fillId="7"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0" fontId="8" fillId="0" borderId="0"/>
    <xf numFmtId="170" fontId="8" fillId="0" borderId="0"/>
    <xf numFmtId="170" fontId="10" fillId="12" borderId="0" applyNumberFormat="0" applyBorder="0" applyAlignment="0" applyProtection="0"/>
    <xf numFmtId="170" fontId="8" fillId="0" borderId="0"/>
    <xf numFmtId="43" fontId="8" fillId="0" borderId="0" applyFont="0" applyFill="0" applyBorder="0" applyAlignment="0" applyProtection="0"/>
    <xf numFmtId="170" fontId="8" fillId="0" borderId="0"/>
    <xf numFmtId="170" fontId="10" fillId="12" borderId="0" applyNumberFormat="0" applyBorder="0" applyAlignment="0" applyProtection="0"/>
    <xf numFmtId="43" fontId="1"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0" fillId="12" borderId="0" applyNumberFormat="0" applyBorder="0" applyAlignment="0" applyProtection="0"/>
    <xf numFmtId="43" fontId="1" fillId="0" borderId="0" applyFont="0" applyFill="0" applyBorder="0" applyAlignment="0" applyProtection="0"/>
    <xf numFmtId="170" fontId="10" fillId="12" borderId="0" applyNumberFormat="0" applyBorder="0" applyAlignment="0" applyProtection="0"/>
    <xf numFmtId="170" fontId="8" fillId="0" borderId="0"/>
    <xf numFmtId="170" fontId="10" fillId="12" borderId="0" applyNumberFormat="0" applyBorder="0" applyAlignment="0" applyProtection="0"/>
    <xf numFmtId="170" fontId="8" fillId="0" borderId="0"/>
    <xf numFmtId="170" fontId="8" fillId="0" borderId="0"/>
    <xf numFmtId="170" fontId="10" fillId="12"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10" fillId="12"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10" fillId="21"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10" fillId="21"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0" fillId="21"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0" fillId="21" borderId="0" applyNumberFormat="0" applyBorder="0" applyAlignment="0" applyProtection="0"/>
    <xf numFmtId="43" fontId="8" fillId="0" borderId="0" applyFont="0" applyFill="0" applyBorder="0" applyAlignment="0" applyProtection="0"/>
    <xf numFmtId="170" fontId="10" fillId="21"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0" fillId="21"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0" fillId="21" borderId="0" applyNumberFormat="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0" fillId="21" borderId="0" applyNumberFormat="0" applyBorder="0" applyAlignment="0" applyProtection="0"/>
    <xf numFmtId="43" fontId="1"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10" fillId="21"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0" fillId="21" borderId="0" applyNumberFormat="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0" fillId="13" borderId="0" applyNumberFormat="0" applyBorder="0" applyAlignment="0" applyProtection="0"/>
    <xf numFmtId="43" fontId="8" fillId="0" borderId="0" applyFont="0" applyFill="0" applyBorder="0" applyAlignment="0" applyProtection="0"/>
    <xf numFmtId="170" fontId="10" fillId="13"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0" fillId="13" borderId="0" applyNumberFormat="0" applyBorder="0" applyAlignment="0" applyProtection="0"/>
    <xf numFmtId="43" fontId="8" fillId="0" borderId="0" applyFont="0" applyFill="0" applyBorder="0" applyAlignment="0" applyProtection="0"/>
    <xf numFmtId="170" fontId="10" fillId="13"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0" fillId="13" borderId="0" applyNumberFormat="0" applyBorder="0" applyAlignment="0" applyProtection="0"/>
    <xf numFmtId="170" fontId="8" fillId="0" borderId="0"/>
    <xf numFmtId="170" fontId="8" fillId="0" borderId="0"/>
    <xf numFmtId="43" fontId="8" fillId="0" borderId="0" applyFont="0" applyFill="0" applyBorder="0" applyAlignment="0" applyProtection="0"/>
    <xf numFmtId="170" fontId="10" fillId="5" borderId="0" applyNumberFormat="0" applyBorder="0" applyAlignment="0" applyProtection="0"/>
    <xf numFmtId="43" fontId="8" fillId="0" borderId="0" applyFont="0" applyFill="0" applyBorder="0" applyAlignment="0" applyProtection="0"/>
    <xf numFmtId="170" fontId="10" fillId="5" borderId="0" applyNumberFormat="0" applyBorder="0" applyAlignment="0" applyProtection="0"/>
    <xf numFmtId="43" fontId="8" fillId="0" borderId="0" applyFont="0" applyFill="0" applyBorder="0" applyAlignment="0" applyProtection="0"/>
    <xf numFmtId="170" fontId="10" fillId="5"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0" fillId="5" borderId="0" applyNumberFormat="0" applyBorder="0" applyAlignment="0" applyProtection="0"/>
    <xf numFmtId="170" fontId="8" fillId="0" borderId="0"/>
    <xf numFmtId="170" fontId="10" fillId="5" borderId="0" applyNumberFormat="0" applyBorder="0" applyAlignment="0" applyProtection="0"/>
    <xf numFmtId="170" fontId="8" fillId="0" borderId="0"/>
    <xf numFmtId="170" fontId="10" fillId="5" borderId="0" applyNumberFormat="0" applyBorder="0" applyAlignment="0" applyProtection="0"/>
    <xf numFmtId="170" fontId="10" fillId="5" borderId="0" applyNumberFormat="0" applyBorder="0" applyAlignment="0" applyProtection="0"/>
    <xf numFmtId="170" fontId="10" fillId="18" borderId="0" applyNumberFormat="0" applyBorder="0" applyAlignment="0" applyProtection="0"/>
    <xf numFmtId="170" fontId="10" fillId="18" borderId="0" applyNumberFormat="0" applyBorder="0" applyAlignment="0" applyProtection="0"/>
    <xf numFmtId="43" fontId="8" fillId="0" borderId="0" applyFont="0" applyFill="0" applyBorder="0" applyAlignment="0" applyProtection="0"/>
    <xf numFmtId="170" fontId="10" fillId="8" borderId="0" applyNumberFormat="0" applyBorder="0" applyAlignment="0" applyProtection="0"/>
    <xf numFmtId="170" fontId="10" fillId="8" borderId="0" applyNumberFormat="0" applyBorder="0" applyAlignment="0" applyProtection="0"/>
    <xf numFmtId="170" fontId="8" fillId="0" borderId="0"/>
    <xf numFmtId="170" fontId="10" fillId="8" borderId="0" applyNumberFormat="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0" fillId="21" borderId="0" applyNumberFormat="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0" fillId="21"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0" fillId="21" borderId="0" applyNumberFormat="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0" fillId="21" borderId="0" applyNumberFormat="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0" fillId="21" borderId="0" applyNumberFormat="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10" fillId="21"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0" fillId="21"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12" fillId="9" borderId="0" applyNumberFormat="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2" fillId="9" borderId="0" applyNumberFormat="0" applyBorder="0" applyAlignment="0" applyProtection="0"/>
    <xf numFmtId="43" fontId="8" fillId="0" borderId="0" applyFont="0" applyFill="0" applyBorder="0" applyAlignment="0" applyProtection="0"/>
    <xf numFmtId="170" fontId="12" fillId="9" borderId="0" applyNumberFormat="0" applyBorder="0" applyAlignment="0" applyProtection="0"/>
    <xf numFmtId="43" fontId="8" fillId="0" borderId="0" applyFont="0" applyFill="0" applyBorder="0" applyAlignment="0" applyProtection="0"/>
    <xf numFmtId="170" fontId="12" fillId="9"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2" fillId="9" borderId="0" applyNumberFormat="0" applyBorder="0" applyAlignment="0" applyProtection="0"/>
    <xf numFmtId="170" fontId="8" fillId="0" borderId="0"/>
    <xf numFmtId="170" fontId="12" fillId="9" borderId="0" applyNumberFormat="0" applyBorder="0" applyAlignment="0" applyProtection="0"/>
    <xf numFmtId="170" fontId="8" fillId="0" borderId="0"/>
    <xf numFmtId="170" fontId="12" fillId="9" borderId="0" applyNumberFormat="0" applyBorder="0" applyAlignment="0" applyProtection="0"/>
    <xf numFmtId="170" fontId="12" fillId="9" borderId="0" applyNumberFormat="0" applyBorder="0" applyAlignment="0" applyProtection="0"/>
    <xf numFmtId="43" fontId="1" fillId="0" borderId="0" applyFont="0" applyFill="0" applyBorder="0" applyAlignment="0" applyProtection="0"/>
    <xf numFmtId="170" fontId="21" fillId="6" borderId="0" applyBorder="0">
      <alignment horizontal="left" vertical="center" indent="1"/>
    </xf>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6" fillId="22" borderId="7" applyNumberFormat="0" applyAlignment="0" applyProtection="0"/>
    <xf numFmtId="43" fontId="8" fillId="0" borderId="0" applyFont="0" applyFill="0" applyBorder="0" applyAlignment="0" applyProtection="0"/>
    <xf numFmtId="43" fontId="8" fillId="0" borderId="0" applyFont="0" applyFill="0" applyBorder="0" applyAlignment="0" applyProtection="0"/>
    <xf numFmtId="170" fontId="9" fillId="0" borderId="0"/>
    <xf numFmtId="170" fontId="9" fillId="0" borderId="0"/>
    <xf numFmtId="170" fontId="1" fillId="0" borderId="0"/>
    <xf numFmtId="43" fontId="8" fillId="0" borderId="0" applyFont="0" applyFill="0" applyBorder="0" applyAlignment="0" applyProtection="0"/>
    <xf numFmtId="170" fontId="16" fillId="22" borderId="7" applyNumberFormat="0" applyAlignment="0" applyProtection="0"/>
    <xf numFmtId="170" fontId="5" fillId="0" borderId="0"/>
    <xf numFmtId="170" fontId="5" fillId="0" borderId="0"/>
    <xf numFmtId="170" fontId="1" fillId="0" borderId="0"/>
    <xf numFmtId="170" fontId="1" fillId="0" borderId="0"/>
    <xf numFmtId="170" fontId="1" fillId="0" borderId="0"/>
    <xf numFmtId="170" fontId="16" fillId="22" borderId="7" applyNumberFormat="0" applyAlignment="0" applyProtection="0"/>
    <xf numFmtId="170" fontId="5" fillId="0" borderId="0"/>
    <xf numFmtId="170" fontId="5" fillId="0" borderId="0"/>
    <xf numFmtId="0" fontId="9" fillId="0" borderId="0"/>
    <xf numFmtId="0" fontId="9" fillId="0" borderId="0"/>
    <xf numFmtId="170" fontId="16" fillId="22" borderId="7" applyNumberFormat="0" applyAlignment="0" applyProtection="0"/>
    <xf numFmtId="170" fontId="9" fillId="0" borderId="0"/>
    <xf numFmtId="170" fontId="9" fillId="0" borderId="0"/>
    <xf numFmtId="170" fontId="1" fillId="0" borderId="0"/>
    <xf numFmtId="43" fontId="8" fillId="0" borderId="0" applyFont="0" applyFill="0" applyBorder="0" applyAlignment="0" applyProtection="0"/>
    <xf numFmtId="170" fontId="16" fillId="22" borderId="7" applyNumberFormat="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6" fillId="22" borderId="7" applyNumberFormat="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6" fillId="22" borderId="7" applyNumberFormat="0" applyAlignment="0" applyProtection="0"/>
    <xf numFmtId="170" fontId="1" fillId="0" borderId="0"/>
    <xf numFmtId="43" fontId="8" fillId="0" borderId="0" applyFont="0" applyFill="0" applyBorder="0" applyAlignment="0" applyProtection="0"/>
    <xf numFmtId="170" fontId="16" fillId="22" borderId="7" applyNumberFormat="0" applyAlignment="0" applyProtection="0"/>
    <xf numFmtId="43" fontId="8" fillId="0" borderId="0" applyFont="0" applyFill="0" applyBorder="0" applyAlignment="0" applyProtection="0"/>
    <xf numFmtId="170" fontId="16" fillId="22" borderId="7" applyNumberFormat="0" applyAlignment="0" applyProtection="0"/>
    <xf numFmtId="170" fontId="8" fillId="0" borderId="0"/>
    <xf numFmtId="43" fontId="8" fillId="0" borderId="0" applyFont="0" applyFill="0" applyBorder="0" applyAlignment="0" applyProtection="0"/>
    <xf numFmtId="170" fontId="11" fillId="6" borderId="6" applyNumberFormat="0" applyAlignment="0" applyProtection="0"/>
    <xf numFmtId="170" fontId="11" fillId="6" borderId="6" applyNumberFormat="0" applyAlignment="0" applyProtection="0"/>
    <xf numFmtId="43" fontId="8" fillId="0" borderId="0" applyFont="0" applyFill="0" applyBorder="0" applyAlignment="0" applyProtection="0"/>
    <xf numFmtId="43" fontId="8" fillId="0" borderId="0" applyFont="0" applyFill="0" applyBorder="0" applyAlignment="0" applyProtection="0"/>
    <xf numFmtId="170" fontId="11" fillId="6" borderId="6" applyNumberFormat="0" applyAlignment="0" applyProtection="0"/>
    <xf numFmtId="43" fontId="8" fillId="0" borderId="0" applyFont="0" applyFill="0" applyBorder="0" applyAlignment="0" applyProtection="0"/>
    <xf numFmtId="170" fontId="11" fillId="6" borderId="6" applyNumberFormat="0" applyAlignment="0" applyProtection="0"/>
    <xf numFmtId="43" fontId="8" fillId="0" borderId="0" applyFont="0" applyFill="0" applyBorder="0" applyAlignment="0" applyProtection="0"/>
    <xf numFmtId="170" fontId="11" fillId="6" borderId="6" applyNumberFormat="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0" fontId="9" fillId="0" borderId="0"/>
    <xf numFmtId="0" fontId="9" fillId="0" borderId="0"/>
    <xf numFmtId="43" fontId="8" fillId="0" borderId="0" applyFont="0" applyFill="0" applyBorder="0" applyAlignment="0" applyProtection="0"/>
    <xf numFmtId="43" fontId="9" fillId="0" borderId="0" applyFont="0" applyFill="0" applyBorder="0" applyAlignment="0" applyProtection="0"/>
    <xf numFmtId="170" fontId="14" fillId="0" borderId="0"/>
    <xf numFmtId="170" fontId="8" fillId="0" borderId="0"/>
    <xf numFmtId="43" fontId="8" fillId="0" borderId="0" applyFont="0" applyFill="0" applyBorder="0" applyAlignment="0" applyProtection="0"/>
    <xf numFmtId="170" fontId="14"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14"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4"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24"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14" fillId="0" borderId="0"/>
    <xf numFmtId="170" fontId="8" fillId="0" borderId="0"/>
    <xf numFmtId="43" fontId="8" fillId="0" borderId="0" applyFont="0" applyFill="0" applyBorder="0" applyAlignment="0" applyProtection="0"/>
    <xf numFmtId="170" fontId="25" fillId="0" borderId="0"/>
    <xf numFmtId="170" fontId="25" fillId="0" borderId="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1" fontId="1"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1"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1"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1"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1" fontId="4" fillId="0" borderId="0" applyFont="0" applyFill="0" applyBorder="0" applyAlignment="0" applyProtection="0"/>
    <xf numFmtId="41" fontId="22" fillId="0" borderId="0" applyFont="0" applyFill="0" applyBorder="0" applyAlignment="0" applyProtection="0"/>
    <xf numFmtId="41" fontId="9" fillId="0" borderId="0" applyFont="0" applyFill="0" applyBorder="0" applyAlignment="0" applyProtection="0"/>
    <xf numFmtId="41" fontId="1" fillId="0" borderId="0" applyFont="0" applyFill="0" applyBorder="0" applyAlignment="0" applyProtection="0"/>
    <xf numFmtId="170" fontId="8" fillId="0" borderId="0"/>
    <xf numFmtId="41" fontId="7" fillId="0" borderId="0" applyFont="0" applyFill="0" applyBorder="0" applyAlignment="0" applyProtection="0"/>
    <xf numFmtId="170" fontId="8" fillId="0" borderId="0"/>
    <xf numFmtId="43" fontId="8" fillId="0" borderId="0" applyFont="0" applyFill="0" applyBorder="0" applyAlignment="0" applyProtection="0"/>
    <xf numFmtId="41" fontId="4"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170" fontId="1" fillId="0" borderId="0"/>
    <xf numFmtId="43" fontId="8" fillId="0" borderId="0" applyFont="0" applyFill="0" applyBorder="0" applyAlignment="0" applyProtection="0"/>
    <xf numFmtId="41" fontId="22"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170" fontId="1" fillId="0" borderId="0"/>
    <xf numFmtId="43" fontId="8"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9" fillId="0" borderId="0" applyFont="0" applyFill="0" applyBorder="0" applyAlignment="0" applyProtection="0"/>
    <xf numFmtId="41"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1"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1"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170" fontId="26" fillId="25"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170" fontId="8" fillId="0" borderId="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7"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7"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70" fontId="8"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70" fontId="8" fillId="0" borderId="0"/>
    <xf numFmtId="170" fontId="8" fillId="0" borderId="0"/>
    <xf numFmtId="170" fontId="8"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3" fillId="0" borderId="0" applyFont="0" applyFill="0" applyBorder="0" applyAlignment="0" applyProtection="0">
      <alignment vertical="center"/>
    </xf>
    <xf numFmtId="43" fontId="8" fillId="0" borderId="0" applyFont="0" applyFill="0" applyBorder="0" applyAlignment="0" applyProtection="0"/>
    <xf numFmtId="170" fontId="8" fillId="0" borderId="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9"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0" fontId="8" fillId="0" borderId="0"/>
    <xf numFmtId="43" fontId="8" fillId="0" borderId="0" applyFont="0" applyFill="0" applyBorder="0" applyAlignment="0" applyProtection="0"/>
    <xf numFmtId="170" fontId="9" fillId="0" borderId="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170" fontId="9" fillId="0" borderId="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170" fontId="9" fillId="0" borderId="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170" fontId="9" fillId="0" borderId="0"/>
    <xf numFmtId="170"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170" fontId="8" fillId="0" borderId="0"/>
    <xf numFmtId="170" fontId="1" fillId="0" borderId="0"/>
    <xf numFmtId="170" fontId="1" fillId="0" borderId="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170" fontId="1" fillId="0" borderId="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0" fontId="8" fillId="0" borderId="0"/>
    <xf numFmtId="43" fontId="8"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1"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170" fontId="23" fillId="24" borderId="0" applyBorder="0">
      <alignment horizontal="left" vertical="center" indent="1"/>
    </xf>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170" fontId="8"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0" fontId="8" fillId="0" borderId="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170" fontId="8" fillId="0" borderId="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1" fillId="0" borderId="0" applyFont="0" applyFill="0" applyBorder="0" applyAlignment="0" applyProtection="0"/>
    <xf numFmtId="170" fontId="1" fillId="0" borderId="0"/>
    <xf numFmtId="170" fontId="1" fillId="0" borderId="0"/>
    <xf numFmtId="170" fontId="1" fillId="0" borderId="0"/>
    <xf numFmtId="170" fontId="1" fillId="0" borderId="0"/>
    <xf numFmtId="170" fontId="8" fillId="0" borderId="0"/>
    <xf numFmtId="43" fontId="8" fillId="0" borderId="0" applyFont="0" applyFill="0" applyBorder="0" applyAlignment="0" applyProtection="0"/>
    <xf numFmtId="170" fontId="8" fillId="0" borderId="0"/>
    <xf numFmtId="170" fontId="8" fillId="0" borderId="0"/>
    <xf numFmtId="43" fontId="1" fillId="0" borderId="0" applyFont="0" applyFill="0" applyBorder="0" applyAlignment="0" applyProtection="0"/>
    <xf numFmtId="170" fontId="1" fillId="0" borderId="0"/>
    <xf numFmtId="170" fontId="1" fillId="0" borderId="0"/>
    <xf numFmtId="170" fontId="1" fillId="0" borderId="0"/>
    <xf numFmtId="170" fontId="1" fillId="0" borderId="0"/>
    <xf numFmtId="170" fontId="8" fillId="0" borderId="0"/>
    <xf numFmtId="43" fontId="8" fillId="0" borderId="0" applyFont="0" applyFill="0" applyBorder="0" applyAlignment="0" applyProtection="0"/>
    <xf numFmtId="170" fontId="8" fillId="0" borderId="0"/>
    <xf numFmtId="170" fontId="1" fillId="0" borderId="0"/>
    <xf numFmtId="170" fontId="1" fillId="0" borderId="0"/>
    <xf numFmtId="43" fontId="7"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170" fontId="8" fillId="0" borderId="0"/>
    <xf numFmtId="43" fontId="8" fillId="0" borderId="0" applyFont="0" applyFill="0" applyBorder="0" applyAlignment="0" applyProtection="0"/>
    <xf numFmtId="170" fontId="8" fillId="0" borderId="0"/>
    <xf numFmtId="170" fontId="8" fillId="0" borderId="0"/>
    <xf numFmtId="43" fontId="1"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7"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1"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1"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1"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1"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70" fontId="8"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170" fontId="8" fillId="0" borderId="0"/>
    <xf numFmtId="170" fontId="8" fillId="0" borderId="0"/>
    <xf numFmtId="170" fontId="8" fillId="0" borderId="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0" fontId="27" fillId="0" borderId="0"/>
    <xf numFmtId="43" fontId="9" fillId="0" borderId="0" applyFont="0" applyFill="0" applyBorder="0" applyAlignment="0" applyProtection="0"/>
    <xf numFmtId="43" fontId="9"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9"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7"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170" fontId="8" fillId="0" borderId="0"/>
    <xf numFmtId="170" fontId="8" fillId="0" borderId="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27" fillId="0" borderId="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68" fontId="2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5" fontId="2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9" fillId="0" borderId="0"/>
    <xf numFmtId="170"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170" fontId="30" fillId="0" borderId="9" applyNumberFormat="0" applyFill="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0" fontId="9" fillId="0" borderId="0"/>
    <xf numFmtId="0"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9" fillId="0" borderId="0"/>
    <xf numFmtId="170"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9" fillId="0" borderId="0"/>
    <xf numFmtId="0"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0" fontId="9" fillId="0" borderId="0"/>
    <xf numFmtId="0"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5"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2" fontId="15" fillId="0" borderId="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69" fontId="1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1" fillId="0" borderId="0"/>
    <xf numFmtId="0" fontId="9" fillId="0" borderId="0"/>
    <xf numFmtId="43" fontId="8" fillId="0" borderId="0" applyFont="0" applyFill="0" applyBorder="0" applyAlignment="0" applyProtection="0"/>
    <xf numFmtId="43" fontId="8" fillId="0" borderId="0" applyFont="0" applyFill="0" applyBorder="0" applyAlignment="0" applyProtection="0"/>
    <xf numFmtId="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170" fontId="1" fillId="0" borderId="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9" fillId="0" borderId="0"/>
    <xf numFmtId="170" fontId="9" fillId="0" borderId="0"/>
    <xf numFmtId="170" fontId="9" fillId="0" borderId="0"/>
    <xf numFmtId="170" fontId="9"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4"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9" fillId="0" borderId="0"/>
    <xf numFmtId="0" fontId="9" fillId="0" borderId="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9" fillId="0" borderId="0"/>
    <xf numFmtId="170" fontId="9" fillId="0" borderId="0"/>
    <xf numFmtId="170" fontId="9" fillId="0" borderId="0"/>
    <xf numFmtId="170"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9" fillId="0" borderId="0"/>
    <xf numFmtId="170" fontId="9" fillId="0" borderId="0"/>
    <xf numFmtId="170" fontId="9" fillId="0" borderId="0"/>
    <xf numFmtId="170" fontId="9"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9" fillId="0" borderId="0"/>
    <xf numFmtId="170" fontId="9" fillId="0" borderId="0"/>
    <xf numFmtId="170" fontId="9" fillId="0" borderId="0"/>
    <xf numFmtId="170" fontId="9" fillId="0" borderId="0"/>
    <xf numFmtId="43" fontId="8" fillId="0" borderId="0" applyFont="0" applyFill="0" applyBorder="0" applyAlignment="0" applyProtection="0"/>
    <xf numFmtId="170" fontId="8" fillId="0" borderId="0"/>
    <xf numFmtId="170" fontId="8" fillId="0" borderId="0"/>
    <xf numFmtId="170" fontId="9" fillId="0" borderId="0"/>
    <xf numFmtId="170" fontId="9" fillId="0" borderId="0"/>
    <xf numFmtId="170" fontId="9" fillId="0" borderId="0"/>
    <xf numFmtId="170"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170" fontId="8" fillId="0" borderId="0"/>
    <xf numFmtId="43" fontId="8" fillId="0" borderId="0" applyFont="0" applyFill="0" applyBorder="0" applyAlignment="0" applyProtection="0"/>
    <xf numFmtId="0" fontId="7" fillId="0" borderId="0">
      <alignment vertical="center"/>
    </xf>
    <xf numFmtId="43" fontId="8" fillId="0" borderId="0" applyFont="0" applyFill="0" applyBorder="0" applyAlignment="0" applyProtection="0"/>
    <xf numFmtId="43" fontId="8" fillId="0" borderId="0" applyFont="0" applyFill="0" applyBorder="0" applyAlignment="0" applyProtection="0"/>
    <xf numFmtId="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0" fontId="7" fillId="0" borderId="0">
      <alignment vertical="center"/>
    </xf>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170" fontId="8"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9"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5" fillId="0" borderId="0"/>
    <xf numFmtId="170" fontId="5" fillId="0" borderId="0"/>
    <xf numFmtId="170" fontId="5"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1"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170" fontId="1" fillId="0" borderId="0"/>
    <xf numFmtId="43" fontId="4"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1"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170" fontId="1" fillId="0" borderId="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170" fontId="1" fillId="0" borderId="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8" fillId="0" borderId="0"/>
    <xf numFmtId="43" fontId="9"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43" fontId="8" fillId="0" borderId="0" applyFont="0" applyFill="0" applyBorder="0" applyAlignment="0" applyProtection="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170" fontId="1" fillId="0" borderId="0"/>
    <xf numFmtId="170" fontId="1" fillId="0" borderId="0"/>
    <xf numFmtId="43" fontId="8" fillId="0" borderId="0" applyFont="0" applyFill="0" applyBorder="0" applyAlignment="0" applyProtection="0"/>
    <xf numFmtId="43" fontId="7"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9"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1"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9"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9"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9" fillId="0" borderId="0"/>
    <xf numFmtId="170" fontId="9"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9" fillId="0" borderId="0"/>
    <xf numFmtId="170"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9" fillId="0" borderId="0"/>
    <xf numFmtId="170" fontId="9" fillId="0" borderId="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9"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170" fontId="8" fillId="0" borderId="0"/>
    <xf numFmtId="43" fontId="9"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7" fontId="4"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9" fontId="7"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9" fillId="0" borderId="0"/>
    <xf numFmtId="170" fontId="8" fillId="0" borderId="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43" fontId="8" fillId="0" borderId="0" applyFont="0" applyFill="0" applyBorder="0" applyAlignment="0" applyProtection="0"/>
    <xf numFmtId="170" fontId="9" fillId="0" borderId="0"/>
    <xf numFmtId="43" fontId="8" fillId="0" borderId="0" applyFont="0" applyFill="0" applyBorder="0" applyAlignment="0" applyProtection="0"/>
    <xf numFmtId="170" fontId="5"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1" fillId="0" borderId="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5"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170" fontId="8" fillId="0" borderId="0"/>
    <xf numFmtId="170" fontId="8" fillId="0" borderId="0"/>
    <xf numFmtId="43" fontId="8" fillId="0" borderId="0" applyFont="0" applyFill="0" applyBorder="0" applyAlignment="0" applyProtection="0"/>
    <xf numFmtId="170" fontId="5"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1"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5" fillId="0" borderId="0"/>
    <xf numFmtId="43" fontId="8" fillId="0" borderId="0" applyFont="0" applyFill="0" applyBorder="0" applyAlignment="0" applyProtection="0"/>
    <xf numFmtId="170" fontId="5" fillId="0" borderId="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170" fontId="9" fillId="0" borderId="0"/>
    <xf numFmtId="170" fontId="9"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9" fillId="0" borderId="0"/>
    <xf numFmtId="170" fontId="9"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0" fontId="9" fillId="0" borderId="0"/>
    <xf numFmtId="43" fontId="8" fillId="0" borderId="0" applyFont="0" applyFill="0" applyBorder="0" applyAlignment="0" applyProtection="0"/>
    <xf numFmtId="170" fontId="9" fillId="0" borderId="0"/>
    <xf numFmtId="170"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1" fillId="0" borderId="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0" fontId="9" fillId="0" borderId="0"/>
    <xf numFmtId="0" fontId="9"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1" fillId="0" borderId="0"/>
    <xf numFmtId="170" fontId="1" fillId="0" borderId="0"/>
    <xf numFmtId="170" fontId="9" fillId="0" borderId="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170" fontId="8" fillId="0" borderId="0"/>
    <xf numFmtId="0" fontId="9" fillId="0" borderId="0"/>
    <xf numFmtId="0" fontId="9"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1" fillId="0" borderId="0"/>
    <xf numFmtId="170" fontId="1" fillId="0" borderId="0"/>
    <xf numFmtId="170" fontId="1" fillId="0" borderId="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9" fontId="1"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26" fillId="25"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170" fontId="26" fillId="25"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1" fillId="0" borderId="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9" fontId="1"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9" fontId="1"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9" fontId="1"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9" fontId="1"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43" fontId="8" fillId="0" borderId="0" applyFont="0" applyFill="0" applyBorder="0" applyAlignment="0" applyProtection="0"/>
    <xf numFmtId="170"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1"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1"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170" fontId="8" fillId="0" borderId="0"/>
    <xf numFmtId="43" fontId="8" fillId="0" borderId="0" applyFont="0" applyFill="0" applyBorder="0" applyAlignment="0" applyProtection="0"/>
    <xf numFmtId="170" fontId="8" fillId="0" borderId="0"/>
    <xf numFmtId="170" fontId="1" fillId="0" borderId="0"/>
    <xf numFmtId="170" fontId="1" fillId="0" borderId="0"/>
    <xf numFmtId="170" fontId="1" fillId="0" borderId="0"/>
    <xf numFmtId="170" fontId="1"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7" fillId="0" borderId="0">
      <alignment vertical="center"/>
    </xf>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8" fillId="0" borderId="0"/>
    <xf numFmtId="170" fontId="8" fillId="0" borderId="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8" fontId="1" fillId="0" borderId="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170" fontId="8" fillId="0" borderId="0"/>
    <xf numFmtId="170" fontId="8" fillId="0" borderId="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33" fillId="0" borderId="10" applyNumberFormat="0" applyFill="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5"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34" fillId="0" borderId="0" applyNumberFormat="0" applyFill="0" applyBorder="0" applyAlignment="0" applyProtection="0">
      <alignment vertical="top"/>
      <protection locked="0"/>
    </xf>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8" fillId="0" borderId="0"/>
    <xf numFmtId="43" fontId="8" fillId="0" borderId="0" applyFont="0" applyFill="0" applyBorder="0" applyAlignment="0" applyProtection="0"/>
    <xf numFmtId="170" fontId="8" fillId="0" borderId="0"/>
    <xf numFmtId="0" fontId="20"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9" fontId="7"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9" fontId="7"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9" fontId="1"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9" fontId="1" fillId="0" borderId="0" applyFont="0" applyFill="0" applyBorder="0" applyAlignment="0" applyProtection="0"/>
    <xf numFmtId="43" fontId="8" fillId="0" borderId="0" applyFont="0" applyFill="0" applyBorder="0" applyAlignment="0" applyProtection="0"/>
    <xf numFmtId="170" fontId="1" fillId="0" borderId="0"/>
    <xf numFmtId="9" fontId="1"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9"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9"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9"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170" fontId="5"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8" fillId="0" borderId="0"/>
    <xf numFmtId="170" fontId="8" fillId="0" borderId="0"/>
    <xf numFmtId="170" fontId="1" fillId="0" borderId="0"/>
    <xf numFmtId="43" fontId="8" fillId="0" borderId="0" applyFont="0" applyFill="0" applyBorder="0" applyAlignment="0" applyProtection="0"/>
    <xf numFmtId="170" fontId="8" fillId="0" borderId="0"/>
    <xf numFmtId="170" fontId="8" fillId="0" borderId="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170" fontId="8" fillId="0" borderId="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5" fillId="0" borderId="0"/>
    <xf numFmtId="170" fontId="5" fillId="0" borderId="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0" fontId="9" fillId="0" borderId="0"/>
    <xf numFmtId="0"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0" fontId="9" fillId="0" borderId="0"/>
    <xf numFmtId="0" fontId="9" fillId="0" borderId="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4" fillId="0" borderId="0"/>
    <xf numFmtId="43" fontId="8" fillId="0" borderId="0" applyFont="0" applyFill="0" applyBorder="0" applyAlignment="0" applyProtection="0"/>
    <xf numFmtId="43" fontId="8" fillId="0" borderId="0" applyFont="0" applyFill="0" applyBorder="0" applyAlignment="0" applyProtection="0"/>
    <xf numFmtId="0" fontId="1" fillId="0" borderId="0"/>
    <xf numFmtId="43" fontId="8" fillId="0" borderId="0" applyFont="0" applyFill="0" applyBorder="0" applyAlignment="0" applyProtection="0"/>
    <xf numFmtId="43" fontId="8" fillId="0" borderId="0" applyFont="0" applyFill="0" applyBorder="0" applyAlignment="0" applyProtection="0"/>
    <xf numFmtId="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5" fillId="0" borderId="0"/>
    <xf numFmtId="43" fontId="8" fillId="0" borderId="0" applyFont="0" applyFill="0" applyBorder="0" applyAlignment="0" applyProtection="0"/>
    <xf numFmtId="170" fontId="5" fillId="0" borderId="0"/>
    <xf numFmtId="43" fontId="8" fillId="0" borderId="0" applyFont="0" applyFill="0" applyBorder="0" applyAlignment="0" applyProtection="0"/>
    <xf numFmtId="170" fontId="5" fillId="0" borderId="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5" fillId="0" borderId="0"/>
    <xf numFmtId="43" fontId="8" fillId="0" borderId="0" applyFont="0" applyFill="0" applyBorder="0" applyAlignment="0" applyProtection="0"/>
    <xf numFmtId="170" fontId="8" fillId="0" borderId="0"/>
    <xf numFmtId="170" fontId="8" fillId="0" borderId="0"/>
    <xf numFmtId="170" fontId="5" fillId="0" borderId="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37" fontId="18" fillId="24" borderId="12" applyBorder="0">
      <alignment horizontal="left" vertical="center" indent="2"/>
    </xf>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170" fontId="26" fillId="25"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9" fillId="0" borderId="0"/>
    <xf numFmtId="43" fontId="8" fillId="0" borderId="0" applyFont="0" applyFill="0" applyBorder="0" applyAlignment="0" applyProtection="0"/>
    <xf numFmtId="170" fontId="5"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5" fillId="0" borderId="0"/>
    <xf numFmtId="169" fontId="27"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1" fontId="9" fillId="0" borderId="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5" fillId="0" borderId="0"/>
    <xf numFmtId="170" fontId="8"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5" fillId="0" borderId="0"/>
    <xf numFmtId="170" fontId="5"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0" fontId="1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39" fillId="10"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39" fillId="10"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26" fillId="25"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26" fillId="25"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33" fillId="0" borderId="10" applyNumberFormat="0" applyFill="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26" fillId="25"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26" fillId="25"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40" fillId="0" borderId="0" applyNumberForma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40" fillId="0" borderId="0" applyNumberForma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40" fillId="0" borderId="0" applyNumberForma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170" fontId="8" fillId="0" borderId="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41" fillId="0" borderId="0">
      <alignment horizontal="center"/>
    </xf>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0"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1" fillId="0" borderId="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9" fontId="1" fillId="0" borderId="0" applyFont="0" applyFill="0" applyBorder="0" applyAlignment="0" applyProtection="0"/>
    <xf numFmtId="43" fontId="8" fillId="0" borderId="0" applyFont="0" applyFill="0" applyBorder="0" applyAlignment="0" applyProtection="0"/>
    <xf numFmtId="9" fontId="1" fillId="0" borderId="0" applyFont="0" applyFill="0" applyBorder="0" applyAlignment="0" applyProtection="0"/>
    <xf numFmtId="43" fontId="8" fillId="0" borderId="0" applyFont="0" applyFill="0" applyBorder="0" applyAlignment="0" applyProtection="0"/>
    <xf numFmtId="9"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9" fontId="1"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9"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8" fillId="0" borderId="0"/>
    <xf numFmtId="170" fontId="8"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7"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26" fillId="25"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9"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9"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9" fillId="0" borderId="0" applyFont="0" applyFill="0" applyBorder="0" applyAlignment="0" applyProtection="0"/>
    <xf numFmtId="43" fontId="9"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9" fontId="9" fillId="0" borderId="0" applyFont="0" applyFill="0" applyBorder="0" applyAlignment="0" applyProtection="0"/>
    <xf numFmtId="9" fontId="9"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9" fontId="9" fillId="0" borderId="0" applyFont="0" applyFill="0" applyBorder="0" applyAlignment="0" applyProtection="0"/>
    <xf numFmtId="9" fontId="9"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9" fontId="9" fillId="0" borderId="0" applyFont="0" applyFill="0" applyBorder="0" applyAlignment="0" applyProtection="0"/>
    <xf numFmtId="9" fontId="9" fillId="0" borderId="0" applyFont="0" applyFill="0" applyBorder="0" applyAlignment="0" applyProtection="0"/>
    <xf numFmtId="43" fontId="8" fillId="0" borderId="0" applyFont="0" applyFill="0" applyBorder="0" applyAlignment="0" applyProtection="0"/>
    <xf numFmtId="170" fontId="8" fillId="0" borderId="0"/>
    <xf numFmtId="9" fontId="9" fillId="0" borderId="0" applyFont="0" applyFill="0" applyBorder="0" applyAlignment="0" applyProtection="0"/>
    <xf numFmtId="9"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9" fillId="0" borderId="0" applyFont="0" applyFill="0" applyBorder="0" applyAlignment="0" applyProtection="0"/>
    <xf numFmtId="43" fontId="4"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170" fontId="5"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5" fillId="0" borderId="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5" fillId="0" borderId="0"/>
    <xf numFmtId="166" fontId="17"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1" fillId="0" borderId="0"/>
    <xf numFmtId="170" fontId="1" fillId="0" borderId="0"/>
    <xf numFmtId="43" fontId="8" fillId="0" borderId="0" applyFont="0" applyFill="0" applyBorder="0" applyAlignment="0" applyProtection="0"/>
    <xf numFmtId="170" fontId="8"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0" fontId="1"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170" fontId="8" fillId="0" borderId="0"/>
    <xf numFmtId="170" fontId="1" fillId="0" borderId="0"/>
    <xf numFmtId="170" fontId="1" fillId="0" borderId="0"/>
    <xf numFmtId="43" fontId="8" fillId="0" borderId="0" applyFont="0" applyFill="0" applyBorder="0" applyAlignment="0" applyProtection="0"/>
    <xf numFmtId="170" fontId="8" fillId="0" borderId="0"/>
    <xf numFmtId="170" fontId="8" fillId="0" borderId="0"/>
    <xf numFmtId="170" fontId="8" fillId="0" borderId="0"/>
    <xf numFmtId="170" fontId="1" fillId="0" borderId="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170" fontId="8"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8" fillId="0" borderId="0"/>
    <xf numFmtId="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170" fontId="8" fillId="0" borderId="0"/>
    <xf numFmtId="170" fontId="8" fillId="0" borderId="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9" fillId="0" borderId="0"/>
    <xf numFmtId="170"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1" fillId="0" borderId="0"/>
    <xf numFmtId="170" fontId="1" fillId="0" borderId="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170" fontId="1" fillId="0" borderId="0"/>
    <xf numFmtId="170" fontId="1" fillId="0" borderId="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170" fontId="5" fillId="0" borderId="0"/>
    <xf numFmtId="170" fontId="1" fillId="0" borderId="0"/>
    <xf numFmtId="170" fontId="1" fillId="0" borderId="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5" fillId="0" borderId="0"/>
    <xf numFmtId="170" fontId="1" fillId="0" borderId="0"/>
    <xf numFmtId="170" fontId="1" fillId="0" borderId="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170" fontId="8" fillId="0" borderId="0"/>
    <xf numFmtId="43" fontId="8"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3" fillId="0" borderId="0" applyNumberFormat="0" applyFill="0" applyBorder="0" applyAlignment="0" applyProtection="0">
      <alignment vertical="top"/>
      <protection locked="0"/>
    </xf>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170" fontId="30" fillId="0" borderId="9" applyNumberFormat="0" applyFill="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30" fillId="0" borderId="9" applyNumberFormat="0" applyFill="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44" fillId="0" borderId="13" applyNumberFormat="0" applyFill="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44" fillId="0" borderId="13" applyNumberFormat="0" applyFill="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44" fillId="0" borderId="13" applyNumberFormat="0" applyFill="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36" fillId="0" borderId="11" applyNumberFormat="0" applyFill="0" applyAlignment="0" applyProtection="0"/>
    <xf numFmtId="43" fontId="8" fillId="0" borderId="0" applyFont="0" applyFill="0" applyBorder="0" applyAlignment="0" applyProtection="0"/>
    <xf numFmtId="170" fontId="36" fillId="0" borderId="11" applyNumberFormat="0" applyFill="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36" fillId="0" borderId="11" applyNumberFormat="0" applyFill="0" applyAlignment="0" applyProtection="0"/>
    <xf numFmtId="43" fontId="8" fillId="0" borderId="0" applyFont="0" applyFill="0" applyBorder="0" applyAlignment="0" applyProtection="0"/>
    <xf numFmtId="170" fontId="36" fillId="0" borderId="11" applyNumberFormat="0" applyFill="0" applyAlignment="0" applyProtection="0"/>
    <xf numFmtId="43" fontId="8" fillId="0" borderId="0" applyFont="0" applyFill="0" applyBorder="0" applyAlignment="0" applyProtection="0"/>
    <xf numFmtId="170" fontId="8" fillId="0" borderId="0"/>
    <xf numFmtId="170" fontId="8" fillId="0" borderId="0"/>
    <xf numFmtId="170" fontId="36" fillId="0" borderId="11" applyNumberFormat="0" applyFill="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36" fillId="0" borderId="0" applyNumberForma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170" fontId="36" fillId="0" borderId="0" applyNumberForma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3" fillId="0" borderId="0" applyFont="0" applyFill="0" applyBorder="0" applyAlignment="0" applyProtection="0">
      <alignment vertical="center"/>
    </xf>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8" fillId="0" borderId="0"/>
    <xf numFmtId="170" fontId="8" fillId="0" borderId="0"/>
    <xf numFmtId="170" fontId="5" fillId="0" borderId="0"/>
    <xf numFmtId="170" fontId="5"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1" fillId="0" borderId="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5" fillId="0" borderId="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5" fillId="0" borderId="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41" fillId="0" borderId="0">
      <alignment horizontal="center" textRotation="90"/>
    </xf>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0" fontId="9" fillId="0" borderId="0"/>
    <xf numFmtId="0" fontId="9"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0"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45" fillId="17" borderId="7" applyNumberFormat="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45" fillId="17" borderId="7" applyNumberFormat="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45" fillId="17" borderId="7" applyNumberFormat="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5" fillId="0" borderId="0"/>
    <xf numFmtId="170" fontId="8"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9" fillId="0" borderId="0"/>
    <xf numFmtId="170" fontId="9"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9" fillId="0" borderId="0"/>
    <xf numFmtId="170" fontId="9" fillId="0" borderId="0"/>
    <xf numFmtId="43" fontId="8" fillId="0" borderId="0" applyFont="0" applyFill="0" applyBorder="0" applyAlignment="0" applyProtection="0"/>
    <xf numFmtId="170" fontId="1" fillId="0" borderId="0"/>
    <xf numFmtId="170" fontId="1" fillId="0" borderId="0"/>
    <xf numFmtId="170" fontId="5" fillId="0" borderId="0"/>
    <xf numFmtId="170" fontId="5"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9" fillId="0" borderId="0"/>
    <xf numFmtId="170" fontId="9" fillId="0" borderId="0"/>
    <xf numFmtId="43" fontId="8" fillId="0" borderId="0" applyFont="0" applyFill="0" applyBorder="0" applyAlignment="0" applyProtection="0"/>
    <xf numFmtId="43" fontId="8" fillId="0" borderId="0" applyFont="0" applyFill="0" applyBorder="0" applyAlignment="0" applyProtection="0"/>
    <xf numFmtId="170" fontId="9" fillId="0" borderId="0"/>
    <xf numFmtId="170" fontId="9" fillId="0" borderId="0"/>
    <xf numFmtId="43" fontId="8" fillId="0" borderId="0" applyFont="0" applyFill="0" applyBorder="0" applyAlignment="0" applyProtection="0"/>
    <xf numFmtId="0" fontId="9" fillId="0" borderId="0"/>
    <xf numFmtId="0" fontId="9" fillId="0" borderId="0"/>
    <xf numFmtId="43" fontId="8" fillId="0" borderId="0" applyFont="0" applyFill="0" applyBorder="0" applyAlignment="0" applyProtection="0"/>
    <xf numFmtId="170" fontId="9" fillId="0" borderId="0"/>
    <xf numFmtId="170" fontId="9" fillId="0" borderId="0"/>
    <xf numFmtId="43" fontId="8" fillId="0" borderId="0" applyFont="0" applyFill="0" applyBorder="0" applyAlignment="0" applyProtection="0"/>
    <xf numFmtId="170" fontId="1" fillId="0" borderId="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9"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4" fillId="0" borderId="0" applyNumberForma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4" fillId="0" borderId="0" applyNumberForma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8" fontId="1" fillId="0" borderId="0"/>
    <xf numFmtId="43" fontId="8" fillId="0" borderId="0" applyFont="0" applyFill="0" applyBorder="0" applyAlignment="0" applyProtection="0"/>
    <xf numFmtId="170" fontId="1" fillId="0" borderId="0"/>
    <xf numFmtId="178" fontId="4"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1"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40" fillId="0" borderId="0" applyNumberForma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40" fillId="0" borderId="0" applyNumberForma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170" fontId="8" fillId="0" borderId="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170" fontId="8" fillId="0" borderId="0"/>
    <xf numFmtId="170" fontId="5" fillId="0" borderId="0"/>
    <xf numFmtId="170" fontId="5"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1"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170" fontId="8" fillId="0" borderId="0"/>
    <xf numFmtId="170" fontId="1" fillId="0" borderId="0"/>
    <xf numFmtId="170" fontId="1"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9"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1" fillId="0" borderId="0"/>
    <xf numFmtId="170" fontId="1" fillId="0" borderId="0"/>
    <xf numFmtId="0" fontId="1" fillId="0" borderId="0"/>
    <xf numFmtId="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1"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9" fontId="7"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4" fillId="0" borderId="0" applyNumberFormat="0" applyFill="0" applyBorder="0" applyAlignment="0" applyProtection="0"/>
    <xf numFmtId="170" fontId="9" fillId="0" borderId="0"/>
    <xf numFmtId="170" fontId="9" fillId="0" borderId="0"/>
    <xf numFmtId="170" fontId="5" fillId="0" borderId="0"/>
    <xf numFmtId="170" fontId="8" fillId="0" borderId="0"/>
    <xf numFmtId="43" fontId="8" fillId="0" borderId="0" applyFont="0" applyFill="0" applyBorder="0" applyAlignment="0" applyProtection="0"/>
    <xf numFmtId="170" fontId="1" fillId="0" borderId="0"/>
    <xf numFmtId="170" fontId="9" fillId="0" borderId="0"/>
    <xf numFmtId="170" fontId="9" fillId="0" borderId="0"/>
    <xf numFmtId="170" fontId="5" fillId="0" borderId="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9" fillId="0" borderId="0"/>
    <xf numFmtId="43" fontId="7" fillId="0" borderId="0" applyFont="0" applyFill="0" applyBorder="0" applyAlignment="0" applyProtection="0"/>
    <xf numFmtId="43" fontId="7"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5"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5" fillId="0" borderId="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5"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170" fontId="8" fillId="0" borderId="0"/>
    <xf numFmtId="170" fontId="8" fillId="0" borderId="0"/>
    <xf numFmtId="170" fontId="8" fillId="0" borderId="0"/>
    <xf numFmtId="43" fontId="8" fillId="0" borderId="0" applyFont="0" applyFill="0" applyBorder="0" applyAlignment="0" applyProtection="0"/>
    <xf numFmtId="0" fontId="9"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0" fontId="9"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8" fillId="0" borderId="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8" fillId="0" borderId="0"/>
    <xf numFmtId="43" fontId="8" fillId="0" borderId="0" applyFont="0" applyFill="0" applyBorder="0" applyAlignment="0" applyProtection="0"/>
    <xf numFmtId="170" fontId="1" fillId="0" borderId="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0" fontId="9"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0" fontId="9" fillId="0" borderId="0"/>
    <xf numFmtId="0" fontId="9"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9" fillId="0" borderId="0"/>
    <xf numFmtId="0" fontId="9"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1"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1" fillId="0" borderId="0"/>
    <xf numFmtId="43" fontId="8" fillId="0" borderId="0" applyFont="0" applyFill="0" applyBorder="0" applyAlignment="0" applyProtection="0"/>
    <xf numFmtId="170" fontId="8" fillId="0" borderId="0"/>
    <xf numFmtId="170" fontId="8" fillId="0" borderId="0"/>
    <xf numFmtId="170" fontId="8" fillId="0" borderId="0"/>
    <xf numFmtId="170" fontId="1" fillId="0" borderId="0"/>
    <xf numFmtId="43" fontId="8" fillId="0" borderId="0" applyFont="0" applyFill="0" applyBorder="0" applyAlignment="0" applyProtection="0"/>
    <xf numFmtId="170" fontId="8" fillId="0" borderId="0"/>
    <xf numFmtId="170" fontId="8" fillId="0" borderId="0"/>
    <xf numFmtId="170" fontId="1" fillId="0" borderId="0"/>
    <xf numFmtId="43" fontId="8" fillId="0" borderId="0" applyFont="0" applyFill="0" applyBorder="0" applyAlignment="0" applyProtection="0"/>
    <xf numFmtId="170" fontId="8" fillId="0" borderId="0"/>
    <xf numFmtId="170" fontId="8" fillId="0" borderId="0"/>
    <xf numFmtId="170" fontId="4"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0" fontId="9" fillId="0" borderId="0"/>
    <xf numFmtId="0" fontId="9" fillId="0" borderId="0"/>
    <xf numFmtId="170" fontId="9" fillId="0" borderId="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26" fillId="25" borderId="0" applyNumberFormat="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0" fontId="9" fillId="0" borderId="0"/>
    <xf numFmtId="0" fontId="9" fillId="0" borderId="0"/>
    <xf numFmtId="170"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1" fillId="0" borderId="0"/>
    <xf numFmtId="170" fontId="1" fillId="0" borderId="0"/>
    <xf numFmtId="170" fontId="1" fillId="0" borderId="0"/>
    <xf numFmtId="43" fontId="8" fillId="0" borderId="0" applyFont="0" applyFill="0" applyBorder="0" applyAlignment="0" applyProtection="0"/>
    <xf numFmtId="170" fontId="4" fillId="0" borderId="0"/>
    <xf numFmtId="170" fontId="1" fillId="0" borderId="0"/>
    <xf numFmtId="170" fontId="1" fillId="0" borderId="0"/>
    <xf numFmtId="170" fontId="8" fillId="0" borderId="0"/>
    <xf numFmtId="170" fontId="8" fillId="0" borderId="0"/>
    <xf numFmtId="170" fontId="8" fillId="0" borderId="0"/>
    <xf numFmtId="43" fontId="8" fillId="0" borderId="0" applyFont="0" applyFill="0" applyBorder="0" applyAlignment="0" applyProtection="0"/>
    <xf numFmtId="169" fontId="27"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0" fontId="8" fillId="0" borderId="0"/>
    <xf numFmtId="170" fontId="9" fillId="0" borderId="0"/>
    <xf numFmtId="170"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0" fontId="9" fillId="0" borderId="0"/>
    <xf numFmtId="0"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 fillId="0" borderId="0"/>
    <xf numFmtId="43" fontId="8" fillId="0" borderId="0" applyFont="0" applyFill="0" applyBorder="0" applyAlignment="0" applyProtection="0"/>
    <xf numFmtId="167" fontId="1" fillId="0" borderId="0"/>
    <xf numFmtId="170" fontId="8"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0" fontId="20"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3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1" fillId="0" borderId="0"/>
    <xf numFmtId="170" fontId="1" fillId="0" borderId="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9"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9" fillId="0" borderId="0"/>
    <xf numFmtId="170"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0" fontId="9" fillId="0" borderId="0"/>
    <xf numFmtId="0"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9" fillId="0" borderId="0"/>
    <xf numFmtId="0"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9"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45" fillId="17" borderId="7" applyNumberFormat="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 fillId="0" borderId="0"/>
    <xf numFmtId="43" fontId="8" fillId="0" borderId="0" applyFont="0" applyFill="0" applyBorder="0" applyAlignment="0" applyProtection="0"/>
    <xf numFmtId="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8" fillId="0" borderId="0"/>
    <xf numFmtId="170" fontId="8" fillId="0" borderId="0"/>
    <xf numFmtId="170" fontId="1" fillId="0" borderId="0"/>
    <xf numFmtId="170" fontId="1" fillId="0" borderId="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39" fillId="10"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8"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8"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170" fontId="8"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170" fontId="8" fillId="0" borderId="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170" fontId="8"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170" fontId="8"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170" fontId="8"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170" fontId="5" fillId="0" borderId="0"/>
    <xf numFmtId="170" fontId="5" fillId="0" borderId="0"/>
    <xf numFmtId="170" fontId="1" fillId="0" borderId="0"/>
    <xf numFmtId="170" fontId="1" fillId="0" borderId="0"/>
    <xf numFmtId="170" fontId="1" fillId="0" borderId="0"/>
    <xf numFmtId="43" fontId="4" fillId="0" borderId="0" applyFont="0" applyFill="0" applyBorder="0" applyAlignment="0" applyProtection="0"/>
    <xf numFmtId="170" fontId="1" fillId="0" borderId="0"/>
    <xf numFmtId="170" fontId="1" fillId="0" borderId="0"/>
    <xf numFmtId="170" fontId="1" fillId="0" borderId="0"/>
    <xf numFmtId="43" fontId="4" fillId="0" borderId="0" applyFont="0" applyFill="0" applyBorder="0" applyAlignment="0" applyProtection="0"/>
    <xf numFmtId="170" fontId="1" fillId="0" borderId="0"/>
    <xf numFmtId="170" fontId="1" fillId="0" borderId="0"/>
    <xf numFmtId="170" fontId="1" fillId="0" borderId="0"/>
    <xf numFmtId="43" fontId="9"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1" fillId="0" borderId="0"/>
    <xf numFmtId="170" fontId="1" fillId="0" borderId="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1" fillId="0" borderId="0"/>
    <xf numFmtId="170" fontId="1" fillId="0" borderId="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5" fillId="0" borderId="0"/>
    <xf numFmtId="170" fontId="5" fillId="0" borderId="0"/>
    <xf numFmtId="0" fontId="9" fillId="0" borderId="0"/>
    <xf numFmtId="0" fontId="9" fillId="0" borderId="0"/>
    <xf numFmtId="170" fontId="1" fillId="0" borderId="0"/>
    <xf numFmtId="43" fontId="4" fillId="0" borderId="0" applyFont="0" applyFill="0" applyBorder="0" applyAlignment="0" applyProtection="0"/>
    <xf numFmtId="170" fontId="1" fillId="0" borderId="0"/>
    <xf numFmtId="43" fontId="4" fillId="0" borderId="0" applyFont="0" applyFill="0" applyBorder="0" applyAlignment="0" applyProtection="0"/>
    <xf numFmtId="170" fontId="1" fillId="0" borderId="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1" fillId="0" borderId="0"/>
    <xf numFmtId="170" fontId="1" fillId="0" borderId="0"/>
    <xf numFmtId="170" fontId="8" fillId="0" borderId="0"/>
    <xf numFmtId="43" fontId="9" fillId="0" borderId="0" applyFont="0" applyFill="0" applyBorder="0" applyAlignment="0" applyProtection="0"/>
    <xf numFmtId="43" fontId="9"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1" fillId="0" borderId="0"/>
    <xf numFmtId="170" fontId="1" fillId="0" borderId="0"/>
    <xf numFmtId="170" fontId="8" fillId="0" borderId="0"/>
    <xf numFmtId="43" fontId="9" fillId="0" borderId="0" applyFont="0" applyFill="0" applyBorder="0" applyAlignment="0" applyProtection="0"/>
    <xf numFmtId="43" fontId="9"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1" fillId="0" borderId="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5" fillId="0" borderId="0"/>
    <xf numFmtId="170" fontId="5" fillId="0" borderId="0"/>
    <xf numFmtId="170" fontId="1" fillId="0" borderId="0"/>
    <xf numFmtId="43" fontId="4" fillId="0" borderId="0" applyFont="0" applyFill="0" applyBorder="0" applyAlignment="0" applyProtection="0"/>
    <xf numFmtId="170" fontId="1" fillId="0" borderId="0"/>
    <xf numFmtId="43" fontId="4" fillId="0" borderId="0" applyFont="0" applyFill="0" applyBorder="0" applyAlignment="0" applyProtection="0"/>
    <xf numFmtId="170" fontId="1" fillId="0" borderId="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1" fillId="0" borderId="0"/>
    <xf numFmtId="170" fontId="1" fillId="0" borderId="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1" fillId="0" borderId="0"/>
    <xf numFmtId="170" fontId="1" fillId="0" borderId="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5" fillId="0" borderId="0"/>
    <xf numFmtId="170" fontId="5" fillId="0" borderId="0"/>
    <xf numFmtId="170" fontId="1" fillId="0" borderId="0"/>
    <xf numFmtId="43" fontId="8" fillId="0" borderId="0" applyFont="0" applyFill="0" applyBorder="0" applyAlignment="0" applyProtection="0"/>
    <xf numFmtId="43" fontId="4" fillId="0" borderId="0" applyFont="0" applyFill="0" applyBorder="0" applyAlignment="0" applyProtection="0"/>
    <xf numFmtId="170" fontId="1" fillId="0" borderId="0"/>
    <xf numFmtId="43" fontId="8"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1" fillId="0" borderId="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1" fillId="0" borderId="0"/>
    <xf numFmtId="170" fontId="1" fillId="0" borderId="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170" fontId="1" fillId="0" borderId="0"/>
    <xf numFmtId="170" fontId="1" fillId="0" borderId="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170" fontId="5" fillId="0" borderId="0"/>
    <xf numFmtId="170" fontId="5" fillId="0" borderId="0"/>
    <xf numFmtId="170" fontId="1" fillId="0" borderId="0"/>
    <xf numFmtId="43" fontId="8" fillId="0" borderId="0" applyFont="0" applyFill="0" applyBorder="0" applyAlignment="0" applyProtection="0"/>
    <xf numFmtId="43" fontId="4" fillId="0" borderId="0" applyFont="0" applyFill="0" applyBorder="0" applyAlignment="0" applyProtection="0"/>
    <xf numFmtId="170" fontId="1" fillId="0" borderId="0"/>
    <xf numFmtId="43" fontId="8"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170" fontId="1"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1" fillId="0" borderId="0"/>
    <xf numFmtId="0" fontId="9" fillId="0" borderId="0"/>
    <xf numFmtId="170" fontId="5" fillId="0" borderId="0"/>
    <xf numFmtId="170" fontId="5"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5" fillId="0" borderId="0"/>
    <xf numFmtId="170" fontId="5"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5" fillId="0" borderId="0"/>
    <xf numFmtId="170" fontId="5" fillId="0" borderId="0"/>
    <xf numFmtId="170" fontId="1"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170" fontId="8" fillId="0" borderId="0"/>
    <xf numFmtId="170" fontId="5" fillId="0" borderId="0"/>
    <xf numFmtId="170" fontId="1" fillId="0" borderId="0"/>
    <xf numFmtId="170" fontId="1"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170" fontId="8" fillId="0" borderId="0"/>
    <xf numFmtId="43" fontId="8" fillId="0" borderId="0" applyFont="0" applyFill="0" applyBorder="0" applyAlignment="0" applyProtection="0"/>
    <xf numFmtId="43" fontId="9" fillId="0" borderId="0" applyFont="0" applyFill="0" applyBorder="0" applyAlignment="0" applyProtection="0"/>
    <xf numFmtId="170" fontId="8" fillId="0" borderId="0"/>
    <xf numFmtId="170" fontId="8" fillId="0" borderId="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170" fontId="8" fillId="0" borderId="0"/>
    <xf numFmtId="170" fontId="8" fillId="0" borderId="0"/>
    <xf numFmtId="170" fontId="8" fillId="0" borderId="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1" fillId="0" borderId="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39" fillId="10"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39" fillId="10" borderId="0" applyNumberFormat="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39" fillId="10" borderId="0" applyNumberFormat="0" applyBorder="0" applyAlignment="0" applyProtection="0"/>
    <xf numFmtId="170" fontId="8" fillId="0" borderId="0"/>
    <xf numFmtId="170" fontId="8" fillId="0" borderId="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170" fontId="1" fillId="0" borderId="0"/>
    <xf numFmtId="170" fontId="1"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1"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170" fontId="8" fillId="0" borderId="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170" fontId="8" fillId="0" borderId="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170" fontId="8" fillId="0" borderId="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170" fontId="1" fillId="0" borderId="0"/>
    <xf numFmtId="170" fontId="1" fillId="0" borderId="0"/>
    <xf numFmtId="170" fontId="1" fillId="0" borderId="0"/>
    <xf numFmtId="17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0" fontId="1" fillId="0" borderId="0"/>
    <xf numFmtId="43" fontId="1" fillId="0" borderId="0" applyFont="0" applyFill="0" applyBorder="0" applyAlignment="0" applyProtection="0"/>
    <xf numFmtId="170" fontId="1" fillId="0" borderId="0"/>
    <xf numFmtId="43" fontId="1" fillId="0" borderId="0" applyFont="0" applyFill="0" applyBorder="0" applyAlignment="0" applyProtection="0"/>
    <xf numFmtId="170" fontId="1" fillId="0" borderId="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170" fontId="36" fillId="0" borderId="0" applyNumberForma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170" fontId="36" fillId="0" borderId="0" applyNumberForma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0" fontId="8"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0" fontId="8" fillId="0" borderId="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0" fontId="36" fillId="0" borderId="0" applyNumberForma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1"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1"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1" fillId="0" borderId="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1"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3" fillId="0" borderId="0" applyFont="0" applyFill="0" applyBorder="0" applyAlignment="0" applyProtection="0">
      <alignment vertical="center"/>
    </xf>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8" fillId="0" borderId="0"/>
    <xf numFmtId="43" fontId="4" fillId="0" borderId="0" applyFont="0" applyFill="0" applyBorder="0" applyAlignment="0" applyProtection="0"/>
    <xf numFmtId="170" fontId="8" fillId="0" borderId="0"/>
    <xf numFmtId="43" fontId="4" fillId="0" borderId="0" applyFont="0" applyFill="0" applyBorder="0" applyAlignment="0" applyProtection="0"/>
    <xf numFmtId="170" fontId="8" fillId="0" borderId="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170" fontId="8" fillId="0" borderId="0"/>
    <xf numFmtId="43" fontId="4" fillId="0" borderId="0" applyFont="0" applyFill="0" applyBorder="0" applyAlignment="0" applyProtection="0"/>
    <xf numFmtId="170" fontId="1" fillId="0" borderId="0"/>
    <xf numFmtId="170" fontId="1" fillId="0" borderId="0"/>
    <xf numFmtId="170" fontId="8" fillId="0" borderId="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1" fillId="0" borderId="0"/>
    <xf numFmtId="43" fontId="4" fillId="0" borderId="0" applyFont="0" applyFill="0" applyBorder="0" applyAlignment="0" applyProtection="0"/>
    <xf numFmtId="43" fontId="4" fillId="0" borderId="0" applyFont="0" applyFill="0" applyBorder="0" applyAlignment="0" applyProtection="0"/>
    <xf numFmtId="170" fontId="1" fillId="0" borderId="0"/>
    <xf numFmtId="43" fontId="4" fillId="0" borderId="0" applyFont="0" applyFill="0" applyBorder="0" applyAlignment="0" applyProtection="0"/>
    <xf numFmtId="43" fontId="4" fillId="0" borderId="0" applyFont="0" applyFill="0" applyBorder="0" applyAlignment="0" applyProtection="0"/>
    <xf numFmtId="170" fontId="1" fillId="0" borderId="0"/>
    <xf numFmtId="43" fontId="4" fillId="0" borderId="0" applyFont="0" applyFill="0" applyBorder="0" applyAlignment="0" applyProtection="0"/>
    <xf numFmtId="43" fontId="4" fillId="0" borderId="0" applyFont="0" applyFill="0" applyBorder="0" applyAlignment="0" applyProtection="0"/>
    <xf numFmtId="170" fontId="1" fillId="0" borderId="0"/>
    <xf numFmtId="43" fontId="4" fillId="0" borderId="0" applyFont="0" applyFill="0" applyBorder="0" applyAlignment="0" applyProtection="0"/>
    <xf numFmtId="43" fontId="4"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170" fontId="1"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1" fillId="0" borderId="0"/>
    <xf numFmtId="43" fontId="4" fillId="0" borderId="0" applyFont="0" applyFill="0" applyBorder="0" applyAlignment="0" applyProtection="0"/>
    <xf numFmtId="43" fontId="4" fillId="0" borderId="0" applyFont="0" applyFill="0" applyBorder="0" applyAlignment="0" applyProtection="0"/>
    <xf numFmtId="0" fontId="1"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21" fillId="22" borderId="0">
      <alignment horizontal="right"/>
    </xf>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1"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170" fontId="1" fillId="0" borderId="0"/>
    <xf numFmtId="43" fontId="4" fillId="0" borderId="0" applyFont="0" applyFill="0" applyBorder="0" applyAlignment="0" applyProtection="0"/>
    <xf numFmtId="43" fontId="4" fillId="0" borderId="0" applyFont="0" applyFill="0" applyBorder="0" applyAlignment="0" applyProtection="0"/>
    <xf numFmtId="0" fontId="9"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170" fontId="8" fillId="0" borderId="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1"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1"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170" fontId="8" fillId="0" borderId="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9"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1" fillId="0" borderId="0"/>
    <xf numFmtId="43" fontId="4" fillId="0" borderId="0" applyFont="0" applyFill="0" applyBorder="0" applyAlignment="0" applyProtection="0"/>
    <xf numFmtId="43" fontId="4" fillId="0" borderId="0" applyFont="0" applyFill="0" applyBorder="0" applyAlignment="0" applyProtection="0"/>
    <xf numFmtId="170" fontId="1"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170" fontId="1" fillId="0" borderId="0"/>
    <xf numFmtId="170" fontId="1" fillId="0" borderId="0"/>
    <xf numFmtId="43" fontId="9" fillId="0" borderId="0" applyFont="0" applyFill="0" applyBorder="0" applyAlignment="0" applyProtection="0"/>
    <xf numFmtId="43" fontId="9" fillId="0" borderId="0" applyFont="0" applyFill="0" applyBorder="0" applyAlignment="0" applyProtection="0"/>
    <xf numFmtId="170" fontId="1" fillId="0" borderId="0"/>
    <xf numFmtId="170" fontId="1" fillId="0" borderId="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170" fontId="1" fillId="0" borderId="0"/>
    <xf numFmtId="170" fontId="1" fillId="0" borderId="0"/>
    <xf numFmtId="170" fontId="1" fillId="0" borderId="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alignment vertical="center"/>
    </xf>
    <xf numFmtId="43" fontId="9"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1" fillId="0" borderId="0"/>
    <xf numFmtId="170" fontId="1"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1"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1"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170" fontId="8" fillId="0" borderId="0"/>
    <xf numFmtId="43" fontId="4" fillId="0" borderId="0" applyFont="0" applyFill="0" applyBorder="0" applyAlignment="0" applyProtection="0"/>
    <xf numFmtId="170" fontId="8" fillId="0" borderId="0"/>
    <xf numFmtId="43" fontId="9" fillId="0" borderId="0" applyFont="0" applyFill="0" applyBorder="0" applyAlignment="0" applyProtection="0"/>
    <xf numFmtId="43" fontId="4" fillId="0" borderId="0" applyFont="0" applyFill="0" applyBorder="0" applyAlignment="0" applyProtection="0"/>
    <xf numFmtId="170" fontId="5" fillId="0" borderId="0"/>
    <xf numFmtId="170" fontId="1" fillId="0" borderId="0"/>
    <xf numFmtId="43" fontId="4" fillId="0" borderId="0" applyFont="0" applyFill="0" applyBorder="0" applyAlignment="0" applyProtection="0"/>
    <xf numFmtId="43" fontId="4"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8" fillId="0" borderId="0"/>
    <xf numFmtId="43" fontId="8" fillId="0" borderId="0" applyFont="0" applyFill="0" applyBorder="0" applyAlignment="0" applyProtection="0"/>
    <xf numFmtId="43" fontId="9" fillId="0" borderId="0" applyFont="0" applyFill="0" applyBorder="0" applyAlignment="0" applyProtection="0"/>
    <xf numFmtId="170" fontId="8" fillId="0" borderId="0"/>
    <xf numFmtId="43" fontId="8" fillId="0" borderId="0" applyFont="0" applyFill="0" applyBorder="0" applyAlignment="0" applyProtection="0"/>
    <xf numFmtId="170" fontId="5"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7" fillId="0" borderId="0" applyFont="0" applyFill="0" applyBorder="0" applyAlignment="0" applyProtection="0"/>
    <xf numFmtId="170" fontId="8"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36" fillId="0" borderId="11" applyNumberFormat="0" applyFill="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 fillId="0" borderId="0"/>
    <xf numFmtId="170" fontId="9" fillId="0" borderId="0"/>
    <xf numFmtId="170" fontId="1" fillId="0" borderId="0"/>
    <xf numFmtId="170" fontId="1" fillId="0" borderId="0"/>
    <xf numFmtId="170" fontId="8" fillId="0" borderId="0"/>
    <xf numFmtId="43" fontId="8" fillId="0" borderId="0" applyFont="0" applyFill="0" applyBorder="0" applyAlignment="0" applyProtection="0"/>
    <xf numFmtId="170" fontId="1" fillId="0" borderId="0"/>
    <xf numFmtId="0" fontId="1" fillId="0" borderId="0"/>
    <xf numFmtId="170" fontId="1" fillId="0" borderId="0"/>
    <xf numFmtId="170" fontId="1" fillId="0" borderId="0"/>
    <xf numFmtId="170" fontId="8" fillId="0" borderId="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36" fillId="0" borderId="0" applyNumberForma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9" fillId="0" borderId="0"/>
    <xf numFmtId="170" fontId="9"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8"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8"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8" fillId="0" borderId="0"/>
    <xf numFmtId="170" fontId="8" fillId="0" borderId="0"/>
    <xf numFmtId="170" fontId="8" fillId="0" borderId="0"/>
    <xf numFmtId="43" fontId="8" fillId="0" borderId="0" applyFont="0" applyFill="0" applyBorder="0" applyAlignment="0" applyProtection="0"/>
    <xf numFmtId="170" fontId="5" fillId="0" borderId="0"/>
    <xf numFmtId="170" fontId="5"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170" fontId="8" fillId="0" borderId="0"/>
    <xf numFmtId="43" fontId="8" fillId="0" borderId="0" applyFont="0" applyFill="0" applyBorder="0" applyAlignment="0" applyProtection="0"/>
    <xf numFmtId="170" fontId="8" fillId="0" borderId="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0" fontId="4" fillId="0" borderId="0"/>
    <xf numFmtId="170" fontId="1" fillId="0" borderId="0"/>
    <xf numFmtId="170" fontId="1" fillId="0" borderId="0"/>
    <xf numFmtId="170" fontId="1" fillId="0" borderId="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5" fillId="0" borderId="0"/>
    <xf numFmtId="170" fontId="5"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170" fontId="8" fillId="0" borderId="0"/>
    <xf numFmtId="43" fontId="8" fillId="0" borderId="0" applyFont="0" applyFill="0" applyBorder="0" applyAlignment="0" applyProtection="0"/>
    <xf numFmtId="170" fontId="5" fillId="0" borderId="0"/>
    <xf numFmtId="170" fontId="5"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5"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170" fontId="1" fillId="0" borderId="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1" fillId="0" borderId="0"/>
    <xf numFmtId="170" fontId="1" fillId="0" borderId="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1"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170" fontId="1" fillId="0" borderId="0"/>
    <xf numFmtId="43" fontId="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170" fontId="1" fillId="0" borderId="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9" fillId="0" borderId="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9"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170" fontId="5" fillId="0" borderId="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9" fillId="0" borderId="0"/>
    <xf numFmtId="170" fontId="8"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4" fillId="0" borderId="0" applyFont="0" applyFill="0" applyBorder="0" applyAlignment="0" applyProtection="0"/>
    <xf numFmtId="43" fontId="8" fillId="0" borderId="0" applyFont="0" applyFill="0" applyBorder="0" applyAlignment="0" applyProtection="0"/>
    <xf numFmtId="0"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30" fillId="0" borderId="9" applyNumberFormat="0" applyFill="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30" fillId="0" borderId="9" applyNumberFormat="0" applyFill="0" applyAlignment="0" applyProtection="0"/>
    <xf numFmtId="43" fontId="8" fillId="0" borderId="0" applyFont="0" applyFill="0" applyBorder="0" applyAlignment="0" applyProtection="0"/>
    <xf numFmtId="170" fontId="30" fillId="0" borderId="9" applyNumberFormat="0" applyFill="0" applyAlignment="0" applyProtection="0"/>
    <xf numFmtId="43" fontId="8" fillId="0" borderId="0" applyFont="0" applyFill="0" applyBorder="0" applyAlignment="0" applyProtection="0"/>
    <xf numFmtId="170" fontId="44" fillId="0" borderId="13" applyNumberFormat="0" applyFill="0" applyAlignment="0" applyProtection="0"/>
    <xf numFmtId="43" fontId="8" fillId="0" borderId="0" applyFont="0" applyFill="0" applyBorder="0" applyAlignment="0" applyProtection="0"/>
    <xf numFmtId="43" fontId="8" fillId="0" borderId="0" applyFont="0" applyFill="0" applyBorder="0" applyAlignment="0" applyProtection="0"/>
    <xf numFmtId="170" fontId="44" fillId="0" borderId="13" applyNumberFormat="0" applyFill="0" applyAlignment="0" applyProtection="0"/>
    <xf numFmtId="43" fontId="8" fillId="0" borderId="0" applyFont="0" applyFill="0" applyBorder="0" applyAlignment="0" applyProtection="0"/>
    <xf numFmtId="170" fontId="36" fillId="0" borderId="11" applyNumberFormat="0" applyFill="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1" fillId="0" borderId="0"/>
    <xf numFmtId="170" fontId="1" fillId="0" borderId="0"/>
    <xf numFmtId="43" fontId="8" fillId="0" borderId="0" applyFont="0" applyFill="0" applyBorder="0" applyAlignment="0" applyProtection="0"/>
    <xf numFmtId="170" fontId="8" fillId="0" borderId="0"/>
    <xf numFmtId="170" fontId="9" fillId="0" borderId="0"/>
    <xf numFmtId="170" fontId="9" fillId="0" borderId="0"/>
    <xf numFmtId="43" fontId="8" fillId="0" borderId="0" applyFont="0" applyFill="0" applyBorder="0" applyAlignment="0" applyProtection="0"/>
    <xf numFmtId="170" fontId="8" fillId="0" borderId="0"/>
    <xf numFmtId="170" fontId="9" fillId="0" borderId="0"/>
    <xf numFmtId="170" fontId="9" fillId="0" borderId="0"/>
    <xf numFmtId="170" fontId="9" fillId="0" borderId="0"/>
    <xf numFmtId="170"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170" fontId="8" fillId="0" borderId="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27"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9" fillId="0" borderId="0"/>
    <xf numFmtId="0"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33" fillId="0" borderId="10" applyNumberFormat="0" applyFill="0" applyAlignment="0" applyProtection="0"/>
    <xf numFmtId="170" fontId="1" fillId="0" borderId="0"/>
    <xf numFmtId="43" fontId="8" fillId="0" borderId="0" applyFont="0" applyFill="0" applyBorder="0" applyAlignment="0" applyProtection="0"/>
    <xf numFmtId="170" fontId="33" fillId="0" borderId="10" applyNumberFormat="0" applyFill="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4"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68" fontId="29"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170" fontId="45" fillId="17" borderId="7" applyNumberFormat="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45" fillId="17" borderId="7" applyNumberFormat="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45" fillId="17" borderId="7" applyNumberFormat="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5"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5"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33" fillId="0" borderId="10" applyNumberFormat="0" applyFill="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36" fillId="0" borderId="11" applyNumberFormat="0" applyFill="0" applyAlignment="0" applyProtection="0"/>
    <xf numFmtId="43" fontId="8" fillId="0" borderId="0" applyFont="0" applyFill="0" applyBorder="0" applyAlignment="0" applyProtection="0"/>
    <xf numFmtId="170" fontId="36" fillId="0" borderId="11" applyNumberFormat="0" applyFill="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36" fillId="0" borderId="11" applyNumberFormat="0" applyFill="0" applyAlignment="0" applyProtection="0"/>
    <xf numFmtId="43" fontId="8" fillId="0" borderId="0" applyFont="0" applyFill="0" applyBorder="0" applyAlignment="0" applyProtection="0"/>
    <xf numFmtId="170" fontId="36" fillId="0" borderId="11" applyNumberFormat="0" applyFill="0" applyAlignment="0" applyProtection="0"/>
    <xf numFmtId="43" fontId="8" fillId="0" borderId="0" applyFont="0" applyFill="0" applyBorder="0" applyAlignment="0" applyProtection="0"/>
    <xf numFmtId="43" fontId="8" fillId="0" borderId="0" applyFont="0" applyFill="0" applyBorder="0" applyAlignment="0" applyProtection="0"/>
    <xf numFmtId="170" fontId="36" fillId="0" borderId="11" applyNumberFormat="0" applyFill="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43" fontId="8" fillId="0" borderId="0" applyFont="0" applyFill="0" applyBorder="0" applyAlignment="0" applyProtection="0"/>
    <xf numFmtId="170" fontId="5" fillId="0" borderId="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170" fontId="5" fillId="0" borderId="0"/>
    <xf numFmtId="174" fontId="47" fillId="0" borderId="0" applyBorder="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27"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27"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9" fontId="7" fillId="0" borderId="0" applyFont="0" applyFill="0" applyBorder="0" applyAlignment="0" applyProtection="0">
      <alignment vertical="center"/>
    </xf>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5" fillId="0" borderId="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37"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4"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5" fillId="0" borderId="0"/>
    <xf numFmtId="170" fontId="5" fillId="0" borderId="0"/>
    <xf numFmtId="43" fontId="8" fillId="0" borderId="0" applyFont="0" applyFill="0" applyBorder="0" applyAlignment="0" applyProtection="0"/>
    <xf numFmtId="170" fontId="1" fillId="0" borderId="0"/>
    <xf numFmtId="170" fontId="1" fillId="0" borderId="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5" fillId="0" borderId="0"/>
    <xf numFmtId="170" fontId="5" fillId="0" borderId="0"/>
    <xf numFmtId="43" fontId="8" fillId="0" borderId="0" applyFont="0" applyFill="0" applyBorder="0" applyAlignment="0" applyProtection="0"/>
    <xf numFmtId="170" fontId="1" fillId="0" borderId="0"/>
    <xf numFmtId="170" fontId="1" fillId="0" borderId="0"/>
    <xf numFmtId="170" fontId="5" fillId="0" borderId="0"/>
    <xf numFmtId="170" fontId="5" fillId="0" borderId="0"/>
    <xf numFmtId="170" fontId="8"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5" fillId="0" borderId="0"/>
    <xf numFmtId="170" fontId="5" fillId="0" borderId="0"/>
    <xf numFmtId="170" fontId="8" fillId="0" borderId="0"/>
    <xf numFmtId="0" fontId="32"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5" fillId="0" borderId="0"/>
    <xf numFmtId="170" fontId="5" fillId="0" borderId="0"/>
    <xf numFmtId="43" fontId="8" fillId="0" borderId="0" applyFont="0" applyFill="0" applyBorder="0" applyAlignment="0" applyProtection="0"/>
    <xf numFmtId="170" fontId="1" fillId="0" borderId="0"/>
    <xf numFmtId="170" fontId="1" fillId="0" borderId="0"/>
    <xf numFmtId="0" fontId="9"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170" fontId="5" fillId="0" borderId="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1" fillId="0" borderId="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1" fillId="0" borderId="0" applyFont="0" applyFill="0" applyBorder="0" applyAlignment="0" applyProtection="0"/>
    <xf numFmtId="43" fontId="8" fillId="0" borderId="0" applyFont="0" applyFill="0" applyBorder="0" applyAlignment="0" applyProtection="0"/>
    <xf numFmtId="170" fontId="1" fillId="0" borderId="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1" fillId="0" borderId="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5" fillId="0" borderId="0"/>
    <xf numFmtId="170" fontId="5" fillId="0" borderId="0"/>
    <xf numFmtId="170" fontId="1" fillId="0" borderId="0"/>
    <xf numFmtId="170" fontId="1"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1" fillId="0" borderId="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1" fillId="0" borderId="0"/>
    <xf numFmtId="170" fontId="1"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alignment vertical="center"/>
    </xf>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170" fontId="8"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1" fillId="0" borderId="0"/>
    <xf numFmtId="170" fontId="1"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1"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1" fillId="0" borderId="0"/>
    <xf numFmtId="170" fontId="1"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170" fontId="8" fillId="0" borderId="0"/>
    <xf numFmtId="170" fontId="8"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1" fillId="0" borderId="0"/>
    <xf numFmtId="170" fontId="1"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1" fillId="0" borderId="0"/>
    <xf numFmtId="170" fontId="1" fillId="0" borderId="0"/>
    <xf numFmtId="170" fontId="1" fillId="0" borderId="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1" fillId="0" borderId="0"/>
    <xf numFmtId="170" fontId="1"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1"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170" fontId="1"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1" fillId="0" borderId="0"/>
    <xf numFmtId="170" fontId="1"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170" fontId="1" fillId="0" borderId="0"/>
    <xf numFmtId="170" fontId="1"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170" fontId="8" fillId="0" borderId="0"/>
    <xf numFmtId="170" fontId="8" fillId="0" borderId="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1"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1" fillId="0" borderId="0"/>
    <xf numFmtId="170" fontId="1" fillId="0" borderId="0"/>
    <xf numFmtId="170" fontId="1" fillId="0" borderId="0"/>
    <xf numFmtId="43" fontId="4" fillId="0" borderId="0" applyFont="0" applyFill="0" applyBorder="0" applyAlignment="0" applyProtection="0"/>
    <xf numFmtId="43" fontId="4" fillId="0" borderId="0" applyFont="0" applyFill="0" applyBorder="0" applyAlignment="0" applyProtection="0"/>
    <xf numFmtId="170" fontId="1" fillId="0" borderId="0"/>
    <xf numFmtId="170" fontId="1" fillId="0" borderId="0"/>
    <xf numFmtId="43" fontId="4" fillId="0" borderId="0" applyFont="0" applyFill="0" applyBorder="0" applyAlignment="0" applyProtection="0"/>
    <xf numFmtId="43" fontId="4" fillId="0" borderId="0" applyFont="0" applyFill="0" applyBorder="0" applyAlignment="0" applyProtection="0"/>
    <xf numFmtId="170" fontId="1" fillId="0" borderId="0"/>
    <xf numFmtId="170" fontId="1" fillId="0" borderId="0"/>
    <xf numFmtId="43" fontId="9" fillId="0" borderId="0" applyFont="0" applyFill="0" applyBorder="0" applyAlignment="0" applyProtection="0"/>
    <xf numFmtId="43" fontId="9" fillId="0" borderId="0" applyFont="0" applyFill="0" applyBorder="0" applyAlignment="0" applyProtection="0"/>
    <xf numFmtId="170" fontId="8" fillId="0" borderId="0"/>
    <xf numFmtId="0" fontId="9" fillId="0" borderId="0"/>
    <xf numFmtId="0" fontId="9" fillId="0" borderId="0"/>
    <xf numFmtId="43" fontId="4" fillId="0" borderId="0" applyFont="0" applyFill="0" applyBorder="0" applyAlignment="0" applyProtection="0"/>
    <xf numFmtId="43" fontId="4"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9" fillId="0" borderId="0" applyFont="0" applyFill="0" applyBorder="0" applyAlignment="0" applyProtection="0"/>
    <xf numFmtId="170" fontId="8" fillId="0" borderId="0"/>
    <xf numFmtId="170" fontId="8" fillId="0" borderId="0"/>
    <xf numFmtId="43" fontId="9" fillId="0" borderId="0" applyFont="0" applyFill="0" applyBorder="0" applyAlignment="0" applyProtection="0"/>
    <xf numFmtId="170" fontId="8" fillId="0" borderId="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1"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170" fontId="1" fillId="0" borderId="0"/>
    <xf numFmtId="0" fontId="9"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9" fillId="0" borderId="0" applyFont="0" applyFill="0" applyBorder="0" applyAlignment="0" applyProtection="0"/>
    <xf numFmtId="43" fontId="9" fillId="0" borderId="0" applyFont="0" applyFill="0" applyBorder="0" applyAlignment="0" applyProtection="0"/>
    <xf numFmtId="170" fontId="1" fillId="0" borderId="0"/>
    <xf numFmtId="170" fontId="8" fillId="0" borderId="0"/>
    <xf numFmtId="43" fontId="9" fillId="0" borderId="0" applyFont="0" applyFill="0" applyBorder="0" applyAlignment="0" applyProtection="0"/>
    <xf numFmtId="170" fontId="1"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43" fontId="4"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170" fontId="8" fillId="0" borderId="0"/>
    <xf numFmtId="170" fontId="8" fillId="0" borderId="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170" fontId="8"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170" fontId="1" fillId="0" borderId="0"/>
    <xf numFmtId="43"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170" fontId="8" fillId="0" borderId="0"/>
    <xf numFmtId="43" fontId="9" fillId="0" borderId="0" applyFont="0" applyFill="0" applyBorder="0" applyAlignment="0" applyProtection="0"/>
    <xf numFmtId="43" fontId="9" fillId="0" borderId="0" applyFont="0" applyFill="0" applyBorder="0" applyAlignment="0" applyProtection="0"/>
    <xf numFmtId="170" fontId="1" fillId="0" borderId="0"/>
    <xf numFmtId="43" fontId="9" fillId="0" borderId="0" applyFont="0" applyFill="0" applyBorder="0" applyAlignment="0" applyProtection="0"/>
    <xf numFmtId="43" fontId="9" fillId="0" borderId="0" applyFont="0" applyFill="0" applyBorder="0" applyAlignment="0" applyProtection="0"/>
    <xf numFmtId="170" fontId="1"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1" fillId="0" borderId="0"/>
    <xf numFmtId="43" fontId="9" fillId="0" borderId="0" applyFont="0" applyFill="0" applyBorder="0" applyAlignment="0" applyProtection="0"/>
    <xf numFmtId="43" fontId="9" fillId="0" borderId="0" applyFont="0" applyFill="0" applyBorder="0" applyAlignment="0" applyProtection="0"/>
    <xf numFmtId="170" fontId="1"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170" fontId="8" fillId="0" borderId="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170" fontId="1" fillId="0" borderId="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170" fontId="1" fillId="0" borderId="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0" fontId="8" fillId="0" borderId="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0" fontId="1" fillId="0" borderId="0"/>
    <xf numFmtId="170" fontId="1" fillId="0" borderId="0"/>
    <xf numFmtId="43" fontId="4" fillId="0" borderId="0" applyFont="0" applyFill="0" applyBorder="0" applyAlignment="0" applyProtection="0"/>
    <xf numFmtId="170" fontId="8" fillId="0" borderId="0"/>
    <xf numFmtId="43" fontId="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9" fillId="0" borderId="0"/>
    <xf numFmtId="0" fontId="9"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8" fillId="0" borderId="0"/>
    <xf numFmtId="43" fontId="7"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5" fillId="0" borderId="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5" fillId="0" borderId="0"/>
    <xf numFmtId="170" fontId="8" fillId="0" borderId="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37"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9"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170" fontId="5" fillId="0" borderId="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70" fontId="1"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170" fontId="5" fillId="0" borderId="0"/>
    <xf numFmtId="43" fontId="4" fillId="0" borderId="0" applyFont="0" applyFill="0" applyBorder="0" applyAlignment="0" applyProtection="0"/>
    <xf numFmtId="43" fontId="4" fillId="0" borderId="0" applyFont="0" applyFill="0" applyBorder="0" applyAlignment="0" applyProtection="0"/>
    <xf numFmtId="170" fontId="1" fillId="0" borderId="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70" fontId="5" fillId="0" borderId="0"/>
    <xf numFmtId="43" fontId="4" fillId="0" borderId="0" applyFont="0" applyFill="0" applyBorder="0" applyAlignment="0" applyProtection="0"/>
    <xf numFmtId="43" fontId="4" fillId="0" borderId="0" applyFont="0" applyFill="0" applyBorder="0" applyAlignment="0" applyProtection="0"/>
    <xf numFmtId="170" fontId="9" fillId="0" borderId="0"/>
    <xf numFmtId="170" fontId="5" fillId="0" borderId="0"/>
    <xf numFmtId="43" fontId="4" fillId="0" borderId="0" applyFont="0" applyFill="0" applyBorder="0" applyAlignment="0" applyProtection="0"/>
    <xf numFmtId="43" fontId="4" fillId="0" borderId="0" applyFont="0" applyFill="0" applyBorder="0" applyAlignment="0" applyProtection="0"/>
    <xf numFmtId="170" fontId="9" fillId="0" borderId="0"/>
    <xf numFmtId="170" fontId="9" fillId="0" borderId="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70" fontId="5" fillId="0" borderId="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9" fillId="0" borderId="0"/>
    <xf numFmtId="170" fontId="9" fillId="0" borderId="0"/>
    <xf numFmtId="170" fontId="9" fillId="0" borderId="0"/>
    <xf numFmtId="170" fontId="5" fillId="0" borderId="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9" fillId="0" borderId="0"/>
    <xf numFmtId="170" fontId="9" fillId="0" borderId="0"/>
    <xf numFmtId="170" fontId="9" fillId="0" borderId="0"/>
    <xf numFmtId="170" fontId="9" fillId="0" borderId="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170" fontId="5" fillId="0" borderId="0"/>
    <xf numFmtId="43" fontId="4" fillId="0" borderId="0" applyFont="0" applyFill="0" applyBorder="0" applyAlignment="0" applyProtection="0"/>
    <xf numFmtId="43" fontId="4" fillId="0" borderId="0" applyFont="0" applyFill="0" applyBorder="0" applyAlignment="0" applyProtection="0"/>
    <xf numFmtId="170" fontId="5" fillId="0" borderId="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170" fontId="5" fillId="0" borderId="0"/>
    <xf numFmtId="43" fontId="4" fillId="0" borderId="0" applyFont="0" applyFill="0" applyBorder="0" applyAlignment="0" applyProtection="0"/>
    <xf numFmtId="43" fontId="4" fillId="0" borderId="0" applyFont="0" applyFill="0" applyBorder="0" applyAlignment="0" applyProtection="0"/>
    <xf numFmtId="170" fontId="5" fillId="0" borderId="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5" fillId="0" borderId="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170" fontId="8" fillId="0" borderId="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1" fillId="0" borderId="0"/>
    <xf numFmtId="170" fontId="1" fillId="0" borderId="0"/>
    <xf numFmtId="170" fontId="1" fillId="0" borderId="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1" fillId="0" borderId="0"/>
    <xf numFmtId="170" fontId="1" fillId="0" borderId="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9" fillId="0" borderId="0"/>
    <xf numFmtId="0" fontId="9"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70" fontId="8" fillId="0" borderId="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70" fontId="8" fillId="0" borderId="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170" fontId="8" fillId="0" borderId="0"/>
    <xf numFmtId="43" fontId="7" fillId="0" borderId="0" applyFont="0" applyFill="0" applyBorder="0" applyAlignment="0" applyProtection="0"/>
    <xf numFmtId="43" fontId="7"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70" fontId="8" fillId="0" borderId="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170" fontId="1" fillId="0" borderId="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170" fontId="1" fillId="0" borderId="0"/>
    <xf numFmtId="43" fontId="4" fillId="0" borderId="0" applyFont="0" applyFill="0" applyBorder="0" applyAlignment="0" applyProtection="0"/>
    <xf numFmtId="170" fontId="1" fillId="0" borderId="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0" fontId="8" fillId="0" borderId="0"/>
    <xf numFmtId="170" fontId="8" fillId="0" borderId="0"/>
    <xf numFmtId="43" fontId="7" fillId="0" borderId="0" applyFont="0" applyFill="0" applyBorder="0" applyAlignment="0" applyProtection="0"/>
    <xf numFmtId="43" fontId="1" fillId="0" borderId="0" applyFont="0" applyFill="0" applyBorder="0" applyAlignment="0" applyProtection="0"/>
    <xf numFmtId="170" fontId="8" fillId="0" borderId="0"/>
    <xf numFmtId="170" fontId="8" fillId="0" borderId="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0" fontId="8" fillId="0" borderId="0"/>
    <xf numFmtId="170" fontId="8" fillId="0" borderId="0"/>
    <xf numFmtId="43" fontId="9" fillId="0" borderId="0" applyFont="0" applyFill="0" applyBorder="0" applyAlignment="0" applyProtection="0"/>
    <xf numFmtId="43" fontId="8" fillId="0" borderId="0" applyFont="0" applyFill="0" applyBorder="0" applyAlignment="0" applyProtection="0"/>
    <xf numFmtId="170" fontId="8" fillId="0" borderId="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9" fontId="1"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9" fillId="0" borderId="0"/>
    <xf numFmtId="170" fontId="9"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170" fontId="8" fillId="0" borderId="0"/>
    <xf numFmtId="43" fontId="8" fillId="0" borderId="0" applyFont="0" applyFill="0" applyBorder="0" applyAlignment="0" applyProtection="0"/>
    <xf numFmtId="170" fontId="8" fillId="0" borderId="0"/>
    <xf numFmtId="170" fontId="5" fillId="0" borderId="0"/>
    <xf numFmtId="170" fontId="5"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9"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9"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170" fontId="8" fillId="0" borderId="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170" fontId="8" fillId="0" borderId="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68" fontId="29"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170" fontId="8" fillId="0" borderId="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170" fontId="8" fillId="0" borderId="0"/>
    <xf numFmtId="170" fontId="8" fillId="0" borderId="0"/>
    <xf numFmtId="170" fontId="8" fillId="0" borderId="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64"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9" fillId="0" borderId="0"/>
    <xf numFmtId="170" fontId="9" fillId="0" borderId="0"/>
    <xf numFmtId="43" fontId="8" fillId="0" borderId="0" applyFont="0" applyFill="0" applyBorder="0" applyAlignment="0" applyProtection="0"/>
    <xf numFmtId="0" fontId="9" fillId="0" borderId="0"/>
    <xf numFmtId="0" fontId="9" fillId="0" borderId="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170" fontId="9" fillId="0" borderId="0"/>
    <xf numFmtId="170" fontId="9"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4"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9" fillId="0" borderId="0"/>
    <xf numFmtId="0"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8" fillId="0" borderId="0"/>
    <xf numFmtId="170" fontId="1" fillId="0" borderId="0"/>
    <xf numFmtId="170" fontId="1" fillId="0" borderId="0"/>
    <xf numFmtId="43" fontId="8" fillId="0" borderId="0" applyFont="0" applyFill="0" applyBorder="0" applyAlignment="0" applyProtection="0"/>
    <xf numFmtId="43" fontId="7"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0" fontId="9" fillId="0" borderId="0"/>
    <xf numFmtId="0"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8"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8"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1" fillId="0" borderId="0"/>
    <xf numFmtId="170" fontId="8"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170" fontId="1" fillId="0" borderId="0"/>
    <xf numFmtId="170" fontId="1" fillId="0" borderId="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8" fillId="0" borderId="0"/>
    <xf numFmtId="170" fontId="1" fillId="0" borderId="0"/>
    <xf numFmtId="170" fontId="1" fillId="0" borderId="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4" fillId="0" borderId="0"/>
    <xf numFmtId="170" fontId="4"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4" fillId="0" borderId="0"/>
    <xf numFmtId="170" fontId="4"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1" fillId="0" borderId="0"/>
    <xf numFmtId="170" fontId="8"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1" fillId="0" borderId="0"/>
    <xf numFmtId="43" fontId="8" fillId="0" borderId="0" applyFont="0" applyFill="0" applyBorder="0" applyAlignment="0" applyProtection="0"/>
    <xf numFmtId="170" fontId="8" fillId="0" borderId="0"/>
    <xf numFmtId="170" fontId="1" fillId="0" borderId="0"/>
    <xf numFmtId="43" fontId="8" fillId="0" borderId="0" applyFont="0" applyFill="0" applyBorder="0" applyAlignment="0" applyProtection="0"/>
    <xf numFmtId="0" fontId="1" fillId="0" borderId="0"/>
    <xf numFmtId="170" fontId="1" fillId="0" borderId="0"/>
    <xf numFmtId="170" fontId="4" fillId="0" borderId="0"/>
    <xf numFmtId="170" fontId="4"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4" fillId="0" borderId="0"/>
    <xf numFmtId="170" fontId="4"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33" fillId="0" borderId="10" applyNumberFormat="0" applyFill="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5" fillId="0" borderId="0"/>
    <xf numFmtId="170" fontId="8"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1" fillId="0" borderId="0"/>
    <xf numFmtId="170" fontId="1" fillId="0" borderId="0"/>
    <xf numFmtId="170" fontId="1" fillId="0" borderId="0"/>
    <xf numFmtId="43" fontId="8" fillId="0" borderId="0" applyFont="0" applyFill="0" applyBorder="0" applyAlignment="0" applyProtection="0"/>
    <xf numFmtId="170" fontId="1"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170" fontId="8" fillId="0" borderId="0"/>
    <xf numFmtId="170" fontId="8" fillId="0" borderId="0"/>
    <xf numFmtId="43" fontId="8" fillId="0" borderId="0" applyFont="0" applyFill="0" applyBorder="0" applyAlignment="0" applyProtection="0"/>
    <xf numFmtId="170" fontId="1"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0" fontId="9" fillId="0" borderId="0"/>
    <xf numFmtId="0"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0" fontId="9" fillId="0" borderId="0"/>
    <xf numFmtId="0"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9" fillId="0" borderId="0"/>
    <xf numFmtId="170" fontId="9"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9" fillId="0" borderId="0"/>
    <xf numFmtId="170" fontId="9" fillId="0" borderId="0"/>
    <xf numFmtId="170" fontId="9" fillId="0" borderId="0"/>
    <xf numFmtId="170"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1" fillId="0" borderId="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5" fillId="0" borderId="0"/>
    <xf numFmtId="170" fontId="5" fillId="0" borderId="0"/>
    <xf numFmtId="170" fontId="9" fillId="0" borderId="0"/>
    <xf numFmtId="0" fontId="4"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0" fontId="1" fillId="0" borderId="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0" fontId="1" fillId="0" borderId="0"/>
    <xf numFmtId="170" fontId="1" fillId="0" borderId="0"/>
    <xf numFmtId="170" fontId="1" fillId="0" borderId="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4" fillId="0" borderId="0"/>
    <xf numFmtId="170" fontId="1" fillId="0" borderId="0"/>
    <xf numFmtId="43" fontId="4" fillId="0" borderId="0" applyFont="0" applyFill="0" applyBorder="0" applyAlignment="0" applyProtection="0"/>
    <xf numFmtId="0" fontId="9" fillId="0" borderId="0"/>
    <xf numFmtId="170" fontId="1" fillId="0" borderId="0"/>
    <xf numFmtId="170" fontId="1" fillId="0" borderId="0"/>
    <xf numFmtId="170" fontId="1" fillId="0" borderId="0"/>
    <xf numFmtId="43" fontId="4" fillId="0" borderId="0" applyFont="0" applyFill="0" applyBorder="0" applyAlignment="0" applyProtection="0"/>
    <xf numFmtId="0" fontId="9" fillId="0" borderId="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8" fillId="0" borderId="0"/>
    <xf numFmtId="170" fontId="8" fillId="0" borderId="0"/>
    <xf numFmtId="43" fontId="4" fillId="0" borderId="0" applyFont="0" applyFill="0" applyBorder="0" applyAlignment="0" applyProtection="0"/>
    <xf numFmtId="43" fontId="4" fillId="0" borderId="0" applyFont="0" applyFill="0" applyBorder="0" applyAlignment="0" applyProtection="0"/>
    <xf numFmtId="0" fontId="9" fillId="0" borderId="0"/>
    <xf numFmtId="0" fontId="9"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5" fillId="0" borderId="0"/>
    <xf numFmtId="43" fontId="4" fillId="0" borderId="0" applyFont="0" applyFill="0" applyBorder="0" applyAlignment="0" applyProtection="0"/>
    <xf numFmtId="43" fontId="4" fillId="0" borderId="0" applyFont="0" applyFill="0" applyBorder="0" applyAlignment="0" applyProtection="0"/>
    <xf numFmtId="170" fontId="5"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70" fontId="5" fillId="0" borderId="0"/>
    <xf numFmtId="43" fontId="4" fillId="0" borderId="0" applyFont="0" applyFill="0" applyBorder="0" applyAlignment="0" applyProtection="0"/>
    <xf numFmtId="43" fontId="4" fillId="0" borderId="0" applyFont="0" applyFill="0" applyBorder="0" applyAlignment="0" applyProtection="0"/>
    <xf numFmtId="170" fontId="5" fillId="0" borderId="0"/>
    <xf numFmtId="43" fontId="4" fillId="0" borderId="0" applyFont="0" applyFill="0" applyBorder="0" applyAlignment="0" applyProtection="0"/>
    <xf numFmtId="43" fontId="4" fillId="0" borderId="0" applyFont="0" applyFill="0" applyBorder="0" applyAlignment="0" applyProtection="0"/>
    <xf numFmtId="170" fontId="5" fillId="0" borderId="0"/>
    <xf numFmtId="43" fontId="4" fillId="0" borderId="0" applyFont="0" applyFill="0" applyBorder="0" applyAlignment="0" applyProtection="0"/>
    <xf numFmtId="43" fontId="4" fillId="0" borderId="0" applyFont="0" applyFill="0" applyBorder="0" applyAlignment="0" applyProtection="0"/>
    <xf numFmtId="170" fontId="5"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70" fontId="1" fillId="0" borderId="0"/>
    <xf numFmtId="43" fontId="1" fillId="0" borderId="0" applyFont="0" applyFill="0" applyBorder="0" applyAlignment="0" applyProtection="0"/>
    <xf numFmtId="170" fontId="1" fillId="0" borderId="0"/>
    <xf numFmtId="43" fontId="1" fillId="0" borderId="0" applyFont="0" applyFill="0" applyBorder="0" applyAlignment="0" applyProtection="0"/>
    <xf numFmtId="170" fontId="8" fillId="0" borderId="0"/>
    <xf numFmtId="170" fontId="1" fillId="0" borderId="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170" fontId="8" fillId="0" borderId="0"/>
    <xf numFmtId="43" fontId="7" fillId="0" borderId="0" applyFont="0" applyFill="0" applyBorder="0" applyAlignment="0" applyProtection="0"/>
    <xf numFmtId="170" fontId="5" fillId="0" borderId="0"/>
    <xf numFmtId="170" fontId="8" fillId="0" borderId="0"/>
    <xf numFmtId="43" fontId="1" fillId="0" borderId="0" applyFont="0" applyFill="0" applyBorder="0" applyAlignment="0" applyProtection="0"/>
    <xf numFmtId="170" fontId="1" fillId="0" borderId="0"/>
    <xf numFmtId="170" fontId="1" fillId="0" borderId="0"/>
    <xf numFmtId="43" fontId="1" fillId="0" borderId="0" applyFont="0" applyFill="0" applyBorder="0" applyAlignment="0" applyProtection="0"/>
    <xf numFmtId="170" fontId="5" fillId="0" borderId="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170" fontId="8" fillId="0" borderId="0"/>
    <xf numFmtId="43" fontId="8" fillId="0" borderId="0" applyFont="0" applyFill="0" applyBorder="0" applyAlignment="0" applyProtection="0"/>
    <xf numFmtId="170" fontId="1" fillId="0" borderId="0"/>
    <xf numFmtId="170" fontId="8" fillId="0" borderId="0"/>
    <xf numFmtId="170" fontId="8"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170" fontId="1" fillId="0" borderId="0"/>
    <xf numFmtId="170" fontId="1" fillId="0" borderId="0"/>
    <xf numFmtId="170" fontId="5" fillId="0" borderId="0"/>
    <xf numFmtId="170" fontId="5" fillId="0" borderId="0"/>
    <xf numFmtId="170" fontId="1" fillId="0" borderId="0"/>
    <xf numFmtId="170" fontId="1" fillId="0" borderId="0"/>
    <xf numFmtId="0" fontId="1" fillId="0" borderId="0"/>
    <xf numFmtId="0" fontId="1" fillId="0" borderId="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45" fillId="17" borderId="7" applyNumberFormat="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36" fillId="0" borderId="11" applyNumberFormat="0" applyFill="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1" fillId="0" borderId="0"/>
    <xf numFmtId="170" fontId="1" fillId="0" borderId="0"/>
    <xf numFmtId="43" fontId="8" fillId="0" borderId="0" applyFont="0" applyFill="0" applyBorder="0" applyAlignment="0" applyProtection="0"/>
    <xf numFmtId="170" fontId="8"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168" fontId="29"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3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30" fillId="0" borderId="9" applyNumberFormat="0" applyFill="0" applyAlignment="0" applyProtection="0"/>
    <xf numFmtId="43" fontId="8" fillId="0" borderId="0" applyFont="0" applyFill="0" applyBorder="0" applyAlignment="0" applyProtection="0"/>
    <xf numFmtId="170" fontId="30" fillId="0" borderId="9" applyNumberFormat="0" applyFill="0" applyAlignment="0" applyProtection="0"/>
    <xf numFmtId="43" fontId="8" fillId="0" borderId="0" applyFont="0" applyFill="0" applyBorder="0" applyAlignment="0" applyProtection="0"/>
    <xf numFmtId="170" fontId="30" fillId="0" borderId="9" applyNumberFormat="0" applyFill="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44" fillId="0" borderId="13" applyNumberFormat="0" applyFill="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5"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1"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5" fontId="28" fillId="0" borderId="0"/>
    <xf numFmtId="43" fontId="8" fillId="0" borderId="0" applyFont="0" applyFill="0" applyBorder="0" applyAlignment="0" applyProtection="0"/>
    <xf numFmtId="176" fontId="42" fillId="0" borderId="0" applyFont="0" applyBorder="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9" fontId="7" fillId="0" borderId="0" applyFont="0" applyFill="0" applyBorder="0" applyAlignment="0" applyProtection="0"/>
    <xf numFmtId="43" fontId="8" fillId="0" borderId="0" applyFont="0" applyFill="0" applyBorder="0" applyAlignment="0" applyProtection="0"/>
    <xf numFmtId="9" fontId="7" fillId="0" borderId="0" applyFont="0" applyFill="0" applyBorder="0" applyAlignment="0" applyProtection="0"/>
    <xf numFmtId="43" fontId="8" fillId="0" borderId="0" applyFont="0" applyFill="0" applyBorder="0" applyAlignment="0" applyProtection="0"/>
    <xf numFmtId="9" fontId="7" fillId="0" borderId="0" applyFont="0" applyFill="0" applyBorder="0" applyAlignment="0" applyProtection="0"/>
    <xf numFmtId="43" fontId="8" fillId="0" borderId="0" applyFont="0" applyFill="0" applyBorder="0" applyAlignment="0" applyProtection="0"/>
    <xf numFmtId="9" fontId="4" fillId="0" borderId="0" applyFont="0" applyFill="0" applyBorder="0" applyAlignment="0" applyProtection="0"/>
    <xf numFmtId="43" fontId="8" fillId="0" borderId="0" applyFont="0" applyFill="0" applyBorder="0" applyAlignment="0" applyProtection="0"/>
    <xf numFmtId="9" fontId="4" fillId="0" borderId="0" applyFont="0" applyFill="0" applyBorder="0" applyAlignment="0" applyProtection="0"/>
    <xf numFmtId="43" fontId="8" fillId="0" borderId="0" applyFont="0" applyFill="0" applyBorder="0" applyAlignment="0" applyProtection="0"/>
    <xf numFmtId="9"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9" fillId="0" borderId="0"/>
    <xf numFmtId="170" fontId="9" fillId="0" borderId="0"/>
    <xf numFmtId="170" fontId="8"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1" fillId="0" borderId="0"/>
    <xf numFmtId="170" fontId="1" fillId="0" borderId="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40" fillId="0" borderId="0" applyNumberFormat="0" applyFill="0" applyBorder="0" applyAlignment="0" applyProtection="0"/>
    <xf numFmtId="43" fontId="8" fillId="0" borderId="0" applyFont="0" applyFill="0" applyBorder="0" applyAlignment="0" applyProtection="0"/>
    <xf numFmtId="170" fontId="40" fillId="0" borderId="0" applyNumberForma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1" fillId="0" borderId="0"/>
    <xf numFmtId="170" fontId="9"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22" fillId="0" borderId="0"/>
    <xf numFmtId="170" fontId="1"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2" fontId="27" fillId="0" borderId="0"/>
    <xf numFmtId="170" fontId="1"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8" fillId="0" borderId="0"/>
    <xf numFmtId="170" fontId="8" fillId="0" borderId="0"/>
    <xf numFmtId="180" fontId="46" fillId="0" borderId="0"/>
    <xf numFmtId="170" fontId="1" fillId="0" borderId="0"/>
    <xf numFmtId="170" fontId="1" fillId="0" borderId="0"/>
    <xf numFmtId="43" fontId="8" fillId="0" borderId="0" applyFont="0" applyFill="0" applyBorder="0" applyAlignment="0" applyProtection="0"/>
    <xf numFmtId="170" fontId="1" fillId="0" borderId="0"/>
    <xf numFmtId="170" fontId="1" fillId="0" borderId="0"/>
    <xf numFmtId="170" fontId="1" fillId="0" borderId="0"/>
    <xf numFmtId="43" fontId="8" fillId="0" borderId="0" applyFont="0" applyFill="0" applyBorder="0" applyAlignment="0" applyProtection="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170" fontId="1" fillId="0" borderId="0"/>
    <xf numFmtId="170" fontId="8" fillId="0" borderId="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9" fillId="0" borderId="0"/>
    <xf numFmtId="0" fontId="9"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0" fontId="9" fillId="0" borderId="0"/>
    <xf numFmtId="0"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43" fontId="7"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9" fillId="0" borderId="0"/>
    <xf numFmtId="170"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1" fillId="0" borderId="0"/>
    <xf numFmtId="170" fontId="8"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170" fontId="8" fillId="0" borderId="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0" fontId="9" fillId="0" borderId="0"/>
    <xf numFmtId="0" fontId="9"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9" fillId="0" borderId="0"/>
    <xf numFmtId="0" fontId="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170" fontId="8"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1" fillId="0" borderId="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45" fillId="17" borderId="7" applyNumberFormat="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8" fillId="0" borderId="0"/>
    <xf numFmtId="170" fontId="1" fillId="0" borderId="0"/>
    <xf numFmtId="170" fontId="1" fillId="0" borderId="0"/>
    <xf numFmtId="170" fontId="5" fillId="0" borderId="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170" fontId="8" fillId="0" borderId="0"/>
    <xf numFmtId="170" fontId="5" fillId="0" borderId="0"/>
    <xf numFmtId="0" fontId="20" fillId="0" borderId="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170" fontId="8" fillId="0" borderId="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170" fontId="8" fillId="0" borderId="0"/>
    <xf numFmtId="170" fontId="1"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170" fontId="48" fillId="24" borderId="14" applyNumberFormat="0" applyBorder="0">
      <alignment horizontal="left" vertical="center" indent="1"/>
    </xf>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5" fillId="0" borderId="0"/>
    <xf numFmtId="43" fontId="8" fillId="0" borderId="0" applyFont="0" applyFill="0" applyBorder="0" applyAlignment="0" applyProtection="0"/>
    <xf numFmtId="170" fontId="8"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170" fontId="1" fillId="0" borderId="0"/>
    <xf numFmtId="170" fontId="1" fillId="0" borderId="0"/>
    <xf numFmtId="43" fontId="8" fillId="0" borderId="0" applyFont="0" applyFill="0" applyBorder="0" applyAlignment="0" applyProtection="0"/>
    <xf numFmtId="170" fontId="1"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170" fontId="5" fillId="0" borderId="0"/>
    <xf numFmtId="170" fontId="5" fillId="0" borderId="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170" fontId="5" fillId="0" borderId="0"/>
    <xf numFmtId="170" fontId="5" fillId="0" borderId="0"/>
    <xf numFmtId="43" fontId="8" fillId="0" borderId="0" applyFont="0" applyFill="0" applyBorder="0" applyAlignment="0" applyProtection="0"/>
    <xf numFmtId="170" fontId="5" fillId="0" borderId="0"/>
    <xf numFmtId="170" fontId="5" fillId="0" borderId="0"/>
    <xf numFmtId="170" fontId="8" fillId="0" borderId="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170" fontId="5"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5" fillId="0" borderId="0"/>
    <xf numFmtId="43" fontId="8" fillId="0" borderId="0" applyFont="0" applyFill="0" applyBorder="0" applyAlignment="0" applyProtection="0"/>
    <xf numFmtId="43" fontId="8" fillId="0" borderId="0" applyFont="0" applyFill="0" applyBorder="0" applyAlignment="0" applyProtection="0"/>
    <xf numFmtId="170" fontId="5" fillId="0" borderId="0"/>
    <xf numFmtId="43" fontId="8" fillId="0" borderId="0" applyFont="0" applyFill="0" applyBorder="0" applyAlignment="0" applyProtection="0"/>
    <xf numFmtId="170" fontId="8" fillId="0" borderId="0"/>
    <xf numFmtId="170" fontId="8" fillId="0" borderId="0"/>
    <xf numFmtId="170" fontId="5" fillId="0" borderId="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0" fontId="1" fillId="0" borderId="0"/>
    <xf numFmtId="43" fontId="8" fillId="0" borderId="0" applyFont="0" applyFill="0" applyBorder="0" applyAlignment="0" applyProtection="0"/>
    <xf numFmtId="170" fontId="5" fillId="0" borderId="0"/>
    <xf numFmtId="170" fontId="1" fillId="0" borderId="0"/>
    <xf numFmtId="170" fontId="1" fillId="0" borderId="0"/>
    <xf numFmtId="170" fontId="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170" fontId="8" fillId="0" borderId="0"/>
    <xf numFmtId="170" fontId="8"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70" fontId="8" fillId="0" borderId="0"/>
    <xf numFmtId="170" fontId="1" fillId="0" borderId="0"/>
    <xf numFmtId="170" fontId="1" fillId="0" borderId="0"/>
    <xf numFmtId="43" fontId="7" fillId="0" borderId="0" applyFont="0" applyFill="0" applyBorder="0" applyAlignment="0" applyProtection="0"/>
    <xf numFmtId="43" fontId="7" fillId="0" borderId="0" applyFont="0" applyFill="0" applyBorder="0" applyAlignment="0" applyProtection="0"/>
    <xf numFmtId="170" fontId="8" fillId="0" borderId="0"/>
    <xf numFmtId="170" fontId="1" fillId="0" borderId="0"/>
    <xf numFmtId="170" fontId="1" fillId="0" borderId="0"/>
    <xf numFmtId="43" fontId="7" fillId="0" borderId="0" applyFont="0" applyFill="0" applyBorder="0" applyAlignment="0" applyProtection="0"/>
    <xf numFmtId="43" fontId="7" fillId="0" borderId="0" applyFont="0" applyFill="0" applyBorder="0" applyAlignment="0" applyProtection="0"/>
    <xf numFmtId="170" fontId="8" fillId="0" borderId="0"/>
    <xf numFmtId="0" fontId="9" fillId="0" borderId="0"/>
    <xf numFmtId="0" fontId="9"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0" fontId="8" fillId="0" borderId="0"/>
    <xf numFmtId="170" fontId="8"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70" fontId="1" fillId="0" borderId="0"/>
    <xf numFmtId="43" fontId="1" fillId="0" borderId="0" applyFont="0" applyFill="0" applyBorder="0" applyAlignment="0" applyProtection="0"/>
    <xf numFmtId="170" fontId="5" fillId="0" borderId="0"/>
    <xf numFmtId="170" fontId="5"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170" fontId="8" fillId="0" borderId="0"/>
    <xf numFmtId="170" fontId="1" fillId="0" borderId="0"/>
    <xf numFmtId="170" fontId="1" fillId="0" borderId="0"/>
    <xf numFmtId="43" fontId="7" fillId="0" borderId="0" applyFont="0" applyFill="0" applyBorder="0" applyAlignment="0" applyProtection="0"/>
    <xf numFmtId="43" fontId="1" fillId="0" borderId="0" applyFont="0" applyFill="0" applyBorder="0" applyAlignment="0" applyProtection="0"/>
    <xf numFmtId="170" fontId="1" fillId="0" borderId="0"/>
    <xf numFmtId="170" fontId="1" fillId="0" borderId="0"/>
    <xf numFmtId="43" fontId="7" fillId="0" borderId="0" applyFont="0" applyFill="0" applyBorder="0" applyAlignment="0" applyProtection="0"/>
    <xf numFmtId="43" fontId="1" fillId="0" borderId="0" applyFont="0" applyFill="0" applyBorder="0" applyAlignment="0" applyProtection="0"/>
    <xf numFmtId="0" fontId="9" fillId="0" borderId="0"/>
    <xf numFmtId="0" fontId="9" fillId="0" borderId="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170" fontId="5" fillId="0" borderId="0"/>
    <xf numFmtId="170" fontId="5" fillId="0" borderId="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70" fontId="1" fillId="0" borderId="0"/>
    <xf numFmtId="170" fontId="1" fillId="0" borderId="0"/>
    <xf numFmtId="43" fontId="9" fillId="0" borderId="0" applyFont="0" applyFill="0" applyBorder="0" applyAlignment="0" applyProtection="0"/>
    <xf numFmtId="43" fontId="1" fillId="0" borderId="0" applyFont="0" applyFill="0" applyBorder="0" applyAlignment="0" applyProtection="0"/>
    <xf numFmtId="170" fontId="1" fillId="0" borderId="0"/>
    <xf numFmtId="17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70" fontId="1" fillId="0" borderId="0"/>
    <xf numFmtId="170" fontId="1" fillId="0" borderId="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170" fontId="1"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170" fontId="8" fillId="0" borderId="0"/>
    <xf numFmtId="43" fontId="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170" fontId="9" fillId="0" borderId="0"/>
    <xf numFmtId="170" fontId="9"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75" fontId="49" fillId="0" borderId="0" applyBorder="0" applyProtection="0"/>
    <xf numFmtId="0" fontId="50" fillId="0" borderId="0"/>
    <xf numFmtId="170" fontId="40" fillId="0" borderId="0" applyNumberFormat="0" applyFill="0" applyBorder="0" applyAlignment="0" applyProtection="0"/>
    <xf numFmtId="170" fontId="40" fillId="0" borderId="0" applyNumberFormat="0" applyFill="0" applyBorder="0" applyAlignment="0" applyProtection="0"/>
    <xf numFmtId="170" fontId="40" fillId="0" borderId="0" applyNumberFormat="0" applyFill="0" applyBorder="0" applyAlignment="0" applyProtection="0"/>
    <xf numFmtId="170" fontId="40" fillId="0" borderId="0" applyNumberFormat="0" applyFill="0" applyBorder="0" applyAlignment="0" applyProtection="0"/>
    <xf numFmtId="170" fontId="8" fillId="0" borderId="0"/>
    <xf numFmtId="170" fontId="39" fillId="10" borderId="0" applyNumberFormat="0" applyBorder="0" applyAlignment="0" applyProtection="0"/>
    <xf numFmtId="170" fontId="8" fillId="0" borderId="0"/>
    <xf numFmtId="170" fontId="39" fillId="10" borderId="0" applyNumberFormat="0" applyBorder="0" applyAlignment="0" applyProtection="0"/>
    <xf numFmtId="170" fontId="39" fillId="10" borderId="0" applyNumberFormat="0" applyBorder="0" applyAlignment="0" applyProtection="0"/>
    <xf numFmtId="170" fontId="39" fillId="10" borderId="0" applyNumberFormat="0" applyBorder="0" applyAlignment="0" applyProtection="0"/>
    <xf numFmtId="170" fontId="39" fillId="10" borderId="0" applyNumberFormat="0" applyBorder="0" applyAlignment="0" applyProtection="0"/>
    <xf numFmtId="37" fontId="51" fillId="26" borderId="5" applyBorder="0">
      <alignment horizontal="left" vertical="center" indent="1"/>
    </xf>
    <xf numFmtId="37" fontId="23" fillId="0" borderId="3" applyFill="0">
      <alignment vertical="center"/>
    </xf>
    <xf numFmtId="170" fontId="23" fillId="27" borderId="2" applyNumberFormat="0">
      <alignment horizontal="left" vertical="top" indent="1"/>
    </xf>
    <xf numFmtId="170" fontId="23" fillId="0" borderId="2" applyNumberFormat="0" applyFill="0">
      <alignment horizontal="centerContinuous" vertical="top"/>
    </xf>
    <xf numFmtId="170" fontId="8" fillId="0" borderId="0"/>
    <xf numFmtId="170" fontId="30" fillId="0" borderId="9" applyNumberFormat="0" applyFill="0" applyAlignment="0" applyProtection="0"/>
    <xf numFmtId="170" fontId="30" fillId="0" borderId="9" applyNumberFormat="0" applyFill="0" applyAlignment="0" applyProtection="0"/>
    <xf numFmtId="170" fontId="44" fillId="0" borderId="13" applyNumberFormat="0" applyFill="0" applyAlignment="0" applyProtection="0"/>
    <xf numFmtId="170" fontId="44" fillId="0" borderId="13" applyNumberFormat="0" applyFill="0" applyAlignment="0" applyProtection="0"/>
    <xf numFmtId="170" fontId="44" fillId="0" borderId="13" applyNumberFormat="0" applyFill="0" applyAlignment="0" applyProtection="0"/>
    <xf numFmtId="170" fontId="8" fillId="0" borderId="0"/>
    <xf numFmtId="170" fontId="44" fillId="0" borderId="13" applyNumberFormat="0" applyFill="0" applyAlignment="0" applyProtection="0"/>
    <xf numFmtId="170" fontId="8" fillId="0" borderId="0"/>
    <xf numFmtId="170" fontId="44" fillId="0" borderId="13" applyNumberFormat="0" applyFill="0" applyAlignment="0" applyProtection="0"/>
    <xf numFmtId="170" fontId="36" fillId="0" borderId="11" applyNumberFormat="0" applyFill="0" applyAlignment="0" applyProtection="0"/>
    <xf numFmtId="170" fontId="36" fillId="0" borderId="11" applyNumberFormat="0" applyFill="0" applyAlignment="0" applyProtection="0"/>
    <xf numFmtId="170" fontId="1" fillId="0" borderId="0"/>
    <xf numFmtId="170" fontId="36" fillId="0" borderId="11" applyNumberFormat="0" applyFill="0" applyAlignment="0" applyProtection="0"/>
    <xf numFmtId="170" fontId="36" fillId="0" borderId="11" applyNumberFormat="0" applyFill="0" applyAlignment="0" applyProtection="0"/>
    <xf numFmtId="170" fontId="36" fillId="0" borderId="0" applyNumberFormat="0" applyFill="0" applyBorder="0" applyAlignment="0" applyProtection="0"/>
    <xf numFmtId="170" fontId="36" fillId="0" borderId="0" applyNumberFormat="0" applyFill="0" applyBorder="0" applyAlignment="0" applyProtection="0"/>
    <xf numFmtId="170" fontId="36" fillId="0" borderId="0" applyNumberFormat="0" applyFill="0" applyBorder="0" applyAlignment="0" applyProtection="0"/>
    <xf numFmtId="170" fontId="36" fillId="0" borderId="0" applyNumberFormat="0" applyFill="0" applyBorder="0" applyAlignment="0" applyProtection="0"/>
    <xf numFmtId="170" fontId="36" fillId="0" borderId="0" applyNumberFormat="0" applyFill="0" applyBorder="0" applyAlignment="0" applyProtection="0"/>
    <xf numFmtId="174" fontId="52" fillId="0" borderId="0" applyBorder="0" applyProtection="0">
      <alignment horizontal="center" textRotation="90"/>
    </xf>
    <xf numFmtId="0" fontId="53"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170" fontId="8" fillId="0" borderId="0"/>
    <xf numFmtId="0" fontId="34"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170" fontId="45" fillId="17" borderId="7" applyNumberFormat="0" applyAlignment="0" applyProtection="0"/>
    <xf numFmtId="170" fontId="45" fillId="17" borderId="7" applyNumberFormat="0" applyAlignment="0" applyProtection="0"/>
    <xf numFmtId="170" fontId="8" fillId="0" borderId="0"/>
    <xf numFmtId="170" fontId="8" fillId="0" borderId="0"/>
    <xf numFmtId="170" fontId="45" fillId="17" borderId="7" applyNumberFormat="0" applyAlignment="0" applyProtection="0"/>
    <xf numFmtId="170" fontId="45" fillId="17" borderId="7" applyNumberFormat="0" applyAlignment="0" applyProtection="0"/>
    <xf numFmtId="170" fontId="33" fillId="0" borderId="10" applyNumberFormat="0" applyFill="0" applyAlignment="0" applyProtection="0"/>
    <xf numFmtId="170" fontId="33" fillId="0" borderId="10" applyNumberFormat="0" applyFill="0" applyAlignment="0" applyProtection="0"/>
    <xf numFmtId="170" fontId="33" fillId="0" borderId="10" applyNumberFormat="0" applyFill="0" applyAlignment="0" applyProtection="0"/>
    <xf numFmtId="170" fontId="33" fillId="0" borderId="10" applyNumberFormat="0" applyFill="0" applyAlignment="0" applyProtection="0"/>
    <xf numFmtId="170" fontId="33" fillId="0" borderId="10" applyNumberFormat="0" applyFill="0" applyAlignment="0" applyProtection="0"/>
    <xf numFmtId="170" fontId="26" fillId="25" borderId="0" applyNumberFormat="0" applyBorder="0" applyAlignment="0" applyProtection="0"/>
    <xf numFmtId="0" fontId="27" fillId="0" borderId="0"/>
    <xf numFmtId="0" fontId="27" fillId="0" borderId="0"/>
    <xf numFmtId="0" fontId="27" fillId="0" borderId="0"/>
    <xf numFmtId="170" fontId="5" fillId="0" borderId="0"/>
    <xf numFmtId="170" fontId="5" fillId="0" borderId="0"/>
    <xf numFmtId="170" fontId="5" fillId="0" borderId="0"/>
    <xf numFmtId="170" fontId="8"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1" fillId="0" borderId="0"/>
    <xf numFmtId="170" fontId="1" fillId="0" borderId="0"/>
    <xf numFmtId="170" fontId="8"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1" fillId="0" borderId="0"/>
    <xf numFmtId="170" fontId="1" fillId="0" borderId="0"/>
    <xf numFmtId="170" fontId="1" fillId="0" borderId="0"/>
    <xf numFmtId="170" fontId="1" fillId="0" borderId="0"/>
    <xf numFmtId="170" fontId="1" fillId="0" borderId="0"/>
    <xf numFmtId="170" fontId="5" fillId="0" borderId="0"/>
    <xf numFmtId="170" fontId="1" fillId="0" borderId="0"/>
    <xf numFmtId="170" fontId="1" fillId="0" borderId="0"/>
    <xf numFmtId="170" fontId="1" fillId="0" borderId="0"/>
    <xf numFmtId="170" fontId="5" fillId="0" borderId="0"/>
    <xf numFmtId="172" fontId="15" fillId="0" borderId="0"/>
    <xf numFmtId="170" fontId="1" fillId="0" borderId="0"/>
    <xf numFmtId="170" fontId="1" fillId="0" borderId="0"/>
    <xf numFmtId="170" fontId="1" fillId="0" borderId="0"/>
    <xf numFmtId="170" fontId="1" fillId="0" borderId="0"/>
    <xf numFmtId="170" fontId="9" fillId="0" borderId="0"/>
    <xf numFmtId="170" fontId="1" fillId="0" borderId="0"/>
    <xf numFmtId="170"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1" fillId="0" borderId="0"/>
    <xf numFmtId="170"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1" fillId="0" borderId="0"/>
    <xf numFmtId="170" fontId="5" fillId="0" borderId="0"/>
    <xf numFmtId="0" fontId="1" fillId="0" borderId="0"/>
    <xf numFmtId="170" fontId="1" fillId="0" borderId="0"/>
    <xf numFmtId="170" fontId="1" fillId="0" borderId="0"/>
    <xf numFmtId="0" fontId="1" fillId="0" borderId="0"/>
    <xf numFmtId="170" fontId="1" fillId="0" borderId="0"/>
    <xf numFmtId="170" fontId="1" fillId="0" borderId="0"/>
    <xf numFmtId="0" fontId="1" fillId="0" borderId="0"/>
    <xf numFmtId="170" fontId="8" fillId="0" borderId="0"/>
    <xf numFmtId="0" fontId="9" fillId="0" borderId="0"/>
    <xf numFmtId="0" fontId="9" fillId="0" borderId="0"/>
    <xf numFmtId="170" fontId="8" fillId="0" borderId="0"/>
    <xf numFmtId="170" fontId="1" fillId="0" borderId="0"/>
    <xf numFmtId="170" fontId="1" fillId="0" borderId="0"/>
    <xf numFmtId="170" fontId="8" fillId="0" borderId="0"/>
    <xf numFmtId="0" fontId="1" fillId="0" borderId="0"/>
    <xf numFmtId="170" fontId="8" fillId="0" borderId="0"/>
    <xf numFmtId="170" fontId="1" fillId="0" borderId="0"/>
    <xf numFmtId="170" fontId="1" fillId="0" borderId="0"/>
    <xf numFmtId="170" fontId="5" fillId="0" borderId="0"/>
    <xf numFmtId="170" fontId="8" fillId="0" borderId="0"/>
    <xf numFmtId="170" fontId="1" fillId="0" borderId="0"/>
    <xf numFmtId="170" fontId="1" fillId="0" borderId="0"/>
    <xf numFmtId="170" fontId="8" fillId="0" borderId="0"/>
    <xf numFmtId="170" fontId="1" fillId="0" borderId="0"/>
    <xf numFmtId="170" fontId="1" fillId="0" borderId="0"/>
    <xf numFmtId="170" fontId="8" fillId="0" borderId="0"/>
    <xf numFmtId="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1" fillId="0" borderId="0"/>
    <xf numFmtId="170" fontId="1" fillId="0" borderId="0"/>
    <xf numFmtId="170" fontId="1" fillId="0" borderId="0"/>
    <xf numFmtId="0" fontId="1" fillId="0" borderId="0"/>
    <xf numFmtId="170" fontId="1" fillId="0" borderId="0"/>
    <xf numFmtId="170" fontId="1" fillId="0" borderId="0"/>
    <xf numFmtId="170" fontId="1" fillId="0" borderId="0"/>
    <xf numFmtId="170" fontId="1" fillId="0" borderId="0"/>
    <xf numFmtId="170" fontId="5" fillId="0" borderId="0"/>
    <xf numFmtId="170" fontId="5" fillId="0" borderId="0"/>
    <xf numFmtId="170" fontId="1" fillId="0" borderId="0"/>
    <xf numFmtId="170" fontId="1" fillId="0" borderId="0"/>
    <xf numFmtId="170" fontId="9" fillId="0" borderId="0"/>
    <xf numFmtId="170" fontId="1" fillId="0" borderId="0"/>
    <xf numFmtId="0" fontId="1" fillId="0" borderId="0"/>
    <xf numFmtId="170" fontId="8" fillId="0" borderId="0"/>
    <xf numFmtId="170" fontId="8" fillId="0" borderId="0"/>
    <xf numFmtId="170" fontId="5" fillId="0" borderId="0"/>
    <xf numFmtId="169" fontId="15" fillId="0" borderId="0"/>
    <xf numFmtId="0" fontId="9" fillId="0" borderId="0"/>
    <xf numFmtId="170" fontId="5"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5" fillId="0" borderId="0"/>
    <xf numFmtId="170" fontId="8" fillId="0" borderId="0"/>
    <xf numFmtId="170" fontId="8" fillId="0" borderId="0"/>
    <xf numFmtId="170" fontId="5" fillId="0" borderId="0"/>
    <xf numFmtId="170" fontId="8" fillId="0" borderId="0"/>
    <xf numFmtId="170" fontId="5" fillId="0" borderId="0"/>
    <xf numFmtId="170" fontId="5" fillId="0" borderId="0"/>
    <xf numFmtId="170" fontId="8" fillId="0" borderId="0"/>
    <xf numFmtId="170" fontId="5" fillId="0" borderId="0"/>
    <xf numFmtId="170" fontId="5" fillId="0" borderId="0"/>
    <xf numFmtId="170" fontId="8" fillId="0" borderId="0"/>
    <xf numFmtId="170" fontId="5" fillId="0" borderId="0"/>
    <xf numFmtId="170" fontId="5" fillId="0" borderId="0"/>
    <xf numFmtId="170" fontId="8" fillId="0" borderId="0"/>
    <xf numFmtId="170" fontId="5" fillId="0" borderId="0"/>
    <xf numFmtId="170" fontId="5" fillId="0" borderId="0"/>
    <xf numFmtId="170" fontId="5" fillId="0" borderId="0"/>
    <xf numFmtId="170" fontId="5" fillId="0" borderId="0"/>
    <xf numFmtId="170" fontId="1" fillId="0" borderId="0"/>
    <xf numFmtId="170" fontId="1" fillId="0" borderId="0"/>
    <xf numFmtId="170" fontId="8"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5" fillId="0" borderId="0"/>
    <xf numFmtId="170" fontId="5" fillId="0" borderId="0"/>
    <xf numFmtId="170" fontId="9" fillId="0" borderId="0"/>
    <xf numFmtId="170" fontId="9" fillId="0" borderId="0"/>
    <xf numFmtId="170" fontId="9" fillId="0" borderId="0"/>
    <xf numFmtId="170" fontId="9" fillId="0" borderId="0"/>
    <xf numFmtId="170" fontId="1" fillId="0" borderId="0"/>
    <xf numFmtId="170" fontId="1" fillId="0" borderId="0"/>
    <xf numFmtId="170" fontId="1" fillId="0" borderId="0"/>
    <xf numFmtId="170" fontId="1" fillId="0" borderId="0"/>
    <xf numFmtId="170" fontId="9" fillId="0" borderId="0"/>
    <xf numFmtId="170" fontId="1" fillId="0" borderId="0"/>
    <xf numFmtId="170" fontId="1" fillId="0" borderId="0"/>
    <xf numFmtId="170" fontId="1" fillId="0" borderId="0"/>
    <xf numFmtId="170" fontId="1" fillId="0" borderId="0"/>
    <xf numFmtId="170" fontId="8" fillId="0" borderId="0"/>
    <xf numFmtId="170" fontId="8" fillId="0" borderId="0"/>
    <xf numFmtId="170" fontId="8" fillId="0" borderId="0"/>
    <xf numFmtId="170" fontId="9" fillId="0" borderId="0"/>
    <xf numFmtId="170" fontId="1"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8" fillId="0" borderId="0"/>
    <xf numFmtId="170" fontId="8" fillId="0" borderId="0"/>
    <xf numFmtId="170" fontId="1" fillId="0" borderId="0"/>
    <xf numFmtId="170" fontId="1" fillId="0" borderId="0"/>
    <xf numFmtId="170" fontId="8" fillId="0" borderId="0"/>
    <xf numFmtId="170" fontId="8" fillId="0" borderId="0"/>
    <xf numFmtId="170" fontId="8" fillId="0" borderId="0"/>
    <xf numFmtId="170" fontId="1" fillId="0" borderId="0"/>
    <xf numFmtId="170" fontId="1" fillId="0" borderId="0"/>
    <xf numFmtId="170" fontId="8" fillId="0" borderId="0"/>
    <xf numFmtId="170" fontId="8" fillId="0" borderId="0"/>
    <xf numFmtId="170" fontId="1" fillId="0" borderId="0"/>
    <xf numFmtId="170" fontId="1" fillId="0" borderId="0"/>
    <xf numFmtId="0" fontId="1" fillId="0" borderId="0"/>
    <xf numFmtId="170" fontId="1" fillId="0" borderId="0"/>
    <xf numFmtId="170" fontId="8" fillId="0" borderId="0"/>
    <xf numFmtId="170" fontId="8" fillId="0" borderId="0"/>
    <xf numFmtId="170" fontId="1" fillId="0" borderId="0"/>
    <xf numFmtId="170" fontId="1" fillId="0" borderId="0"/>
    <xf numFmtId="170" fontId="8"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8" fillId="0" borderId="0"/>
    <xf numFmtId="170" fontId="1" fillId="0" borderId="0"/>
    <xf numFmtId="170" fontId="1" fillId="0" borderId="0"/>
    <xf numFmtId="170" fontId="1" fillId="0" borderId="0"/>
    <xf numFmtId="170" fontId="8" fillId="0" borderId="0"/>
    <xf numFmtId="170" fontId="8" fillId="0" borderId="0"/>
    <xf numFmtId="170" fontId="1" fillId="0" borderId="0"/>
    <xf numFmtId="170" fontId="1" fillId="0" borderId="0"/>
    <xf numFmtId="170" fontId="1" fillId="0" borderId="0"/>
    <xf numFmtId="170" fontId="8" fillId="0" borderId="0"/>
    <xf numFmtId="170" fontId="8" fillId="0" borderId="0"/>
    <xf numFmtId="170" fontId="1" fillId="0" borderId="0"/>
    <xf numFmtId="170" fontId="1" fillId="0" borderId="0"/>
    <xf numFmtId="170" fontId="5" fillId="0" borderId="0"/>
    <xf numFmtId="170" fontId="5" fillId="0" borderId="0"/>
    <xf numFmtId="170" fontId="5" fillId="0" borderId="0"/>
    <xf numFmtId="170" fontId="5" fillId="0" borderId="0"/>
    <xf numFmtId="170" fontId="8" fillId="0" borderId="0"/>
    <xf numFmtId="170" fontId="5" fillId="0" borderId="0"/>
    <xf numFmtId="170" fontId="5" fillId="0" borderId="0"/>
    <xf numFmtId="170" fontId="8" fillId="0" borderId="0"/>
    <xf numFmtId="170" fontId="1" fillId="0" borderId="0"/>
    <xf numFmtId="170" fontId="1" fillId="0" borderId="0"/>
    <xf numFmtId="170" fontId="5" fillId="0" borderId="0"/>
    <xf numFmtId="170" fontId="5" fillId="0" borderId="0"/>
    <xf numFmtId="170" fontId="5" fillId="0" borderId="0"/>
    <xf numFmtId="170" fontId="5" fillId="0" borderId="0"/>
    <xf numFmtId="170" fontId="1" fillId="0" borderId="0"/>
    <xf numFmtId="170" fontId="1" fillId="0" borderId="0"/>
    <xf numFmtId="170" fontId="1" fillId="0" borderId="0"/>
    <xf numFmtId="170" fontId="1" fillId="0" borderId="0"/>
    <xf numFmtId="170" fontId="9"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5" fillId="0" borderId="0"/>
    <xf numFmtId="170" fontId="5" fillId="0" borderId="0"/>
    <xf numFmtId="170" fontId="8" fillId="0" borderId="0"/>
    <xf numFmtId="170" fontId="5" fillId="0" borderId="0"/>
    <xf numFmtId="170" fontId="5" fillId="0" borderId="0"/>
    <xf numFmtId="170" fontId="5" fillId="0" borderId="0"/>
    <xf numFmtId="170" fontId="5"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5" fillId="0" borderId="0"/>
    <xf numFmtId="170" fontId="1" fillId="0" borderId="0"/>
    <xf numFmtId="170" fontId="1" fillId="0" borderId="0"/>
    <xf numFmtId="170" fontId="5" fillId="0" borderId="0"/>
    <xf numFmtId="170" fontId="1" fillId="0" borderId="0"/>
    <xf numFmtId="170" fontId="8" fillId="0" borderId="0"/>
    <xf numFmtId="170" fontId="8" fillId="0" borderId="0"/>
    <xf numFmtId="170" fontId="1" fillId="0" borderId="0"/>
    <xf numFmtId="170" fontId="1" fillId="0" borderId="0"/>
    <xf numFmtId="170" fontId="1" fillId="0" borderId="0"/>
    <xf numFmtId="170" fontId="8" fillId="0" borderId="0"/>
    <xf numFmtId="170" fontId="8" fillId="0" borderId="0"/>
    <xf numFmtId="170" fontId="1" fillId="0" borderId="0"/>
    <xf numFmtId="170" fontId="1" fillId="0" borderId="0"/>
    <xf numFmtId="170" fontId="1" fillId="0" borderId="0"/>
    <xf numFmtId="170" fontId="8" fillId="0" borderId="0"/>
    <xf numFmtId="170" fontId="8" fillId="0" borderId="0"/>
    <xf numFmtId="170" fontId="1" fillId="0" borderId="0"/>
    <xf numFmtId="170" fontId="1" fillId="0" borderId="0"/>
    <xf numFmtId="170" fontId="8" fillId="0" borderId="0"/>
    <xf numFmtId="170" fontId="8" fillId="0" borderId="0"/>
    <xf numFmtId="170" fontId="1" fillId="0" borderId="0"/>
    <xf numFmtId="170" fontId="1" fillId="0" borderId="0"/>
    <xf numFmtId="170" fontId="1" fillId="0" borderId="0"/>
    <xf numFmtId="170" fontId="8" fillId="0" borderId="0"/>
    <xf numFmtId="170" fontId="8" fillId="0" borderId="0"/>
    <xf numFmtId="169" fontId="25"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5" fillId="0" borderId="0"/>
    <xf numFmtId="0" fontId="42"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5" fillId="0" borderId="0"/>
    <xf numFmtId="170" fontId="5"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9"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0" fontId="1" fillId="0" borderId="0"/>
    <xf numFmtId="0" fontId="27" fillId="0" borderId="0"/>
    <xf numFmtId="170" fontId="1" fillId="0" borderId="0"/>
    <xf numFmtId="170" fontId="1" fillId="0" borderId="0"/>
    <xf numFmtId="170" fontId="8" fillId="0" borderId="0"/>
    <xf numFmtId="170" fontId="5" fillId="0" borderId="0"/>
    <xf numFmtId="170" fontId="1" fillId="0" borderId="0"/>
    <xf numFmtId="0" fontId="1" fillId="0" borderId="0"/>
    <xf numFmtId="170" fontId="5" fillId="0" borderId="0"/>
    <xf numFmtId="0" fontId="1" fillId="0" borderId="0"/>
    <xf numFmtId="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8" fillId="0" borderId="0"/>
    <xf numFmtId="170" fontId="1" fillId="0" borderId="0"/>
    <xf numFmtId="170" fontId="1" fillId="0" borderId="0"/>
    <xf numFmtId="170" fontId="1" fillId="0" borderId="0"/>
    <xf numFmtId="170" fontId="1" fillId="0" borderId="0"/>
    <xf numFmtId="169" fontId="32" fillId="0" borderId="0"/>
    <xf numFmtId="0" fontId="27" fillId="0" borderId="0"/>
    <xf numFmtId="170" fontId="1" fillId="0" borderId="0"/>
    <xf numFmtId="170" fontId="1" fillId="0" borderId="0"/>
    <xf numFmtId="170" fontId="5" fillId="0" borderId="0"/>
    <xf numFmtId="170" fontId="5" fillId="0" borderId="0"/>
    <xf numFmtId="170" fontId="8" fillId="0" borderId="0"/>
    <xf numFmtId="170" fontId="5" fillId="0" borderId="0"/>
    <xf numFmtId="170" fontId="8" fillId="0" borderId="0"/>
    <xf numFmtId="170" fontId="5" fillId="0" borderId="0"/>
    <xf numFmtId="170" fontId="5" fillId="0" borderId="0"/>
    <xf numFmtId="170" fontId="8" fillId="0" borderId="0"/>
    <xf numFmtId="170" fontId="5" fillId="0" borderId="0"/>
    <xf numFmtId="170" fontId="5" fillId="0" borderId="0"/>
    <xf numFmtId="170" fontId="8" fillId="0" borderId="0"/>
    <xf numFmtId="170" fontId="5" fillId="0" borderId="0"/>
    <xf numFmtId="170" fontId="5" fillId="0" borderId="0"/>
    <xf numFmtId="170" fontId="1" fillId="0" borderId="0"/>
    <xf numFmtId="170" fontId="1" fillId="0" borderId="0"/>
    <xf numFmtId="170" fontId="1" fillId="0" borderId="0"/>
    <xf numFmtId="170" fontId="1" fillId="0" borderId="0"/>
    <xf numFmtId="170" fontId="1" fillId="0" borderId="0"/>
    <xf numFmtId="170" fontId="9" fillId="0" borderId="0"/>
    <xf numFmtId="0" fontId="1" fillId="0" borderId="0"/>
    <xf numFmtId="170" fontId="5" fillId="0" borderId="0"/>
    <xf numFmtId="170" fontId="1" fillId="0" borderId="0"/>
    <xf numFmtId="170" fontId="8" fillId="0" borderId="0"/>
    <xf numFmtId="170" fontId="1" fillId="0" borderId="0"/>
    <xf numFmtId="170" fontId="1" fillId="0" borderId="0"/>
    <xf numFmtId="170" fontId="1"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1" fillId="0" borderId="0"/>
    <xf numFmtId="170" fontId="8" fillId="0" borderId="0"/>
    <xf numFmtId="170" fontId="5" fillId="0" borderId="0"/>
    <xf numFmtId="170" fontId="8" fillId="0" borderId="0"/>
    <xf numFmtId="170" fontId="5" fillId="0" borderId="0"/>
    <xf numFmtId="170" fontId="8" fillId="0" borderId="0"/>
    <xf numFmtId="170" fontId="5"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5" fillId="0" borderId="0"/>
    <xf numFmtId="0" fontId="27" fillId="0" borderId="0"/>
    <xf numFmtId="0" fontId="15" fillId="0" borderId="0"/>
    <xf numFmtId="170" fontId="8" fillId="0" borderId="0"/>
    <xf numFmtId="170" fontId="5" fillId="0" borderId="0"/>
    <xf numFmtId="170" fontId="8" fillId="0" borderId="0"/>
    <xf numFmtId="170" fontId="8" fillId="0" borderId="0"/>
    <xf numFmtId="170" fontId="5" fillId="0" borderId="0"/>
    <xf numFmtId="170" fontId="8" fillId="0" borderId="0"/>
    <xf numFmtId="170" fontId="5" fillId="0" borderId="0"/>
    <xf numFmtId="170" fontId="8" fillId="0" borderId="0"/>
    <xf numFmtId="170" fontId="8" fillId="0" borderId="0"/>
    <xf numFmtId="170" fontId="5" fillId="0" borderId="0"/>
    <xf numFmtId="170" fontId="5" fillId="0" borderId="0"/>
    <xf numFmtId="170" fontId="5" fillId="0" borderId="0"/>
    <xf numFmtId="170" fontId="5" fillId="0" borderId="0"/>
    <xf numFmtId="170" fontId="1" fillId="0" borderId="0"/>
    <xf numFmtId="170" fontId="1" fillId="0" borderId="0"/>
    <xf numFmtId="170" fontId="1" fillId="0" borderId="0"/>
    <xf numFmtId="169" fontId="37" fillId="0" borderId="0"/>
    <xf numFmtId="170" fontId="1" fillId="0" borderId="0"/>
    <xf numFmtId="170" fontId="1" fillId="0" borderId="0"/>
    <xf numFmtId="170" fontId="1" fillId="0" borderId="0"/>
    <xf numFmtId="170" fontId="9" fillId="0" borderId="0"/>
    <xf numFmtId="170" fontId="8" fillId="0" borderId="0"/>
    <xf numFmtId="170" fontId="8" fillId="0" borderId="0"/>
    <xf numFmtId="170" fontId="1" fillId="0" borderId="0"/>
    <xf numFmtId="170" fontId="8" fillId="0" borderId="0"/>
    <xf numFmtId="170" fontId="8" fillId="0" borderId="0"/>
    <xf numFmtId="0" fontId="1" fillId="0" borderId="0"/>
    <xf numFmtId="170" fontId="5"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5" fillId="0" borderId="0"/>
    <xf numFmtId="170" fontId="5" fillId="0" borderId="0"/>
    <xf numFmtId="170" fontId="8" fillId="0" borderId="0"/>
    <xf numFmtId="170" fontId="8" fillId="0" borderId="0"/>
    <xf numFmtId="0" fontId="9"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9" fontId="7" fillId="0" borderId="0" applyFont="0" applyFill="0" applyBorder="0" applyAlignment="0" applyProtection="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9" fillId="0" borderId="0"/>
    <xf numFmtId="170" fontId="9" fillId="0" borderId="0"/>
    <xf numFmtId="170" fontId="9" fillId="0" borderId="0"/>
    <xf numFmtId="170" fontId="9" fillId="0" borderId="0"/>
    <xf numFmtId="170" fontId="8" fillId="0" borderId="0"/>
    <xf numFmtId="170" fontId="8" fillId="0" borderId="0"/>
    <xf numFmtId="170" fontId="9" fillId="0" borderId="0"/>
    <xf numFmtId="170" fontId="9" fillId="0" borderId="0"/>
    <xf numFmtId="170" fontId="9" fillId="0" borderId="0"/>
    <xf numFmtId="170" fontId="9"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0" fontId="4" fillId="0" borderId="0">
      <alignment vertical="center"/>
    </xf>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9" fillId="0" borderId="0"/>
    <xf numFmtId="170" fontId="8" fillId="0" borderId="0"/>
    <xf numFmtId="0" fontId="15"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1" fillId="0" borderId="0"/>
    <xf numFmtId="170" fontId="8" fillId="0" borderId="0"/>
    <xf numFmtId="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5" fillId="0" borderId="0"/>
    <xf numFmtId="170" fontId="5"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8" fillId="0" borderId="0"/>
    <xf numFmtId="170" fontId="8" fillId="0" borderId="0"/>
    <xf numFmtId="170" fontId="8" fillId="0" borderId="0"/>
    <xf numFmtId="170" fontId="1" fillId="0" borderId="0"/>
    <xf numFmtId="170" fontId="1" fillId="0" borderId="0"/>
    <xf numFmtId="170" fontId="5" fillId="0" borderId="0"/>
    <xf numFmtId="170" fontId="5"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8" fillId="0" borderId="0"/>
    <xf numFmtId="170" fontId="8" fillId="0" borderId="0"/>
    <xf numFmtId="170" fontId="1" fillId="0" borderId="0"/>
    <xf numFmtId="170" fontId="9" fillId="0" borderId="0"/>
    <xf numFmtId="170" fontId="8"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9"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1" fillId="0" borderId="0"/>
    <xf numFmtId="170" fontId="8"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9"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5" fillId="0" borderId="0"/>
    <xf numFmtId="170" fontId="5" fillId="0" borderId="0"/>
    <xf numFmtId="170" fontId="8" fillId="0" borderId="0"/>
    <xf numFmtId="170" fontId="8" fillId="0" borderId="0"/>
    <xf numFmtId="170" fontId="8" fillId="0" borderId="0"/>
    <xf numFmtId="170" fontId="8" fillId="0" borderId="0"/>
    <xf numFmtId="170" fontId="5" fillId="0" borderId="0"/>
    <xf numFmtId="170" fontId="5" fillId="0" borderId="0"/>
    <xf numFmtId="170" fontId="8" fillId="0" borderId="0"/>
    <xf numFmtId="170" fontId="8" fillId="0" borderId="0"/>
    <xf numFmtId="170" fontId="8" fillId="0" borderId="0"/>
    <xf numFmtId="170" fontId="8" fillId="0" borderId="0"/>
    <xf numFmtId="170" fontId="5" fillId="0" borderId="0"/>
    <xf numFmtId="170" fontId="5"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5" fillId="0" borderId="0"/>
    <xf numFmtId="170" fontId="8" fillId="0" borderId="0"/>
    <xf numFmtId="170" fontId="8" fillId="0" borderId="0"/>
    <xf numFmtId="170" fontId="8" fillId="0" borderId="0"/>
    <xf numFmtId="170" fontId="8" fillId="0" borderId="0"/>
    <xf numFmtId="170" fontId="5"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0" fontId="8" fillId="0" borderId="0"/>
    <xf numFmtId="170" fontId="8" fillId="0" borderId="0"/>
    <xf numFmtId="170" fontId="8" fillId="0" borderId="0"/>
    <xf numFmtId="170" fontId="9" fillId="0" borderId="0"/>
    <xf numFmtId="170" fontId="8" fillId="0" borderId="0"/>
    <xf numFmtId="170" fontId="8" fillId="0" borderId="0"/>
    <xf numFmtId="170" fontId="9" fillId="0" borderId="0"/>
    <xf numFmtId="170" fontId="9" fillId="0" borderId="0"/>
    <xf numFmtId="170" fontId="8" fillId="0" borderId="0"/>
    <xf numFmtId="170" fontId="8" fillId="0" borderId="0"/>
    <xf numFmtId="170" fontId="1" fillId="0" borderId="0"/>
    <xf numFmtId="170" fontId="1" fillId="0" borderId="0"/>
    <xf numFmtId="170" fontId="5" fillId="0" borderId="0"/>
    <xf numFmtId="170" fontId="5"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8"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8" fillId="0" borderId="0"/>
    <xf numFmtId="170" fontId="1" fillId="0" borderId="0"/>
    <xf numFmtId="173" fontId="46" fillId="0" borderId="0"/>
    <xf numFmtId="170" fontId="1" fillId="0" borderId="0"/>
    <xf numFmtId="170" fontId="1"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5" fillId="0" borderId="0"/>
    <xf numFmtId="170" fontId="5" fillId="0" borderId="0"/>
    <xf numFmtId="170" fontId="1" fillId="0" borderId="0"/>
    <xf numFmtId="170" fontId="1" fillId="0" borderId="0"/>
    <xf numFmtId="170" fontId="8"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8" fillId="0" borderId="0"/>
    <xf numFmtId="170" fontId="5" fillId="0" borderId="0"/>
    <xf numFmtId="170" fontId="5" fillId="0" borderId="0"/>
    <xf numFmtId="170" fontId="1" fillId="0" borderId="0"/>
    <xf numFmtId="170" fontId="8"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8" fillId="0" borderId="0"/>
    <xf numFmtId="170" fontId="5" fillId="0" borderId="0"/>
    <xf numFmtId="170" fontId="5" fillId="0" borderId="0"/>
    <xf numFmtId="170" fontId="8" fillId="0" borderId="0"/>
    <xf numFmtId="170" fontId="8" fillId="0" borderId="0"/>
    <xf numFmtId="170" fontId="5" fillId="0" borderId="0"/>
    <xf numFmtId="170" fontId="5"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5" fillId="0" borderId="0"/>
    <xf numFmtId="170" fontId="5" fillId="0" borderId="0"/>
    <xf numFmtId="170" fontId="8" fillId="0" borderId="0"/>
    <xf numFmtId="170" fontId="8" fillId="0" borderId="0"/>
    <xf numFmtId="170" fontId="8" fillId="0" borderId="0"/>
    <xf numFmtId="170" fontId="8" fillId="0" borderId="0"/>
    <xf numFmtId="170" fontId="5" fillId="0" borderId="0"/>
    <xf numFmtId="170" fontId="5" fillId="0" borderId="0"/>
    <xf numFmtId="170" fontId="8" fillId="0" borderId="0"/>
    <xf numFmtId="170" fontId="8" fillId="0" borderId="0"/>
    <xf numFmtId="170" fontId="5" fillId="0" borderId="0"/>
    <xf numFmtId="170" fontId="8" fillId="0" borderId="0"/>
    <xf numFmtId="170" fontId="8" fillId="0" borderId="0"/>
    <xf numFmtId="170" fontId="1" fillId="0" borderId="0"/>
    <xf numFmtId="170" fontId="5" fillId="0" borderId="0"/>
    <xf numFmtId="170" fontId="8" fillId="0" borderId="0"/>
    <xf numFmtId="170" fontId="5" fillId="0" borderId="0"/>
    <xf numFmtId="170" fontId="8" fillId="0" borderId="0"/>
    <xf numFmtId="170" fontId="5" fillId="0" borderId="0"/>
    <xf numFmtId="170" fontId="8" fillId="0" borderId="0"/>
    <xf numFmtId="170" fontId="5" fillId="0" borderId="0"/>
    <xf numFmtId="170" fontId="8" fillId="0" borderId="0"/>
    <xf numFmtId="170" fontId="5"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5" fillId="0" borderId="0"/>
    <xf numFmtId="0" fontId="4" fillId="0" borderId="0"/>
    <xf numFmtId="0" fontId="4"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1" fillId="0" borderId="0"/>
    <xf numFmtId="170" fontId="5" fillId="0" borderId="0"/>
    <xf numFmtId="170" fontId="1" fillId="0" borderId="0"/>
    <xf numFmtId="170" fontId="5" fillId="0" borderId="0"/>
    <xf numFmtId="170" fontId="1" fillId="0" borderId="0"/>
    <xf numFmtId="170" fontId="1" fillId="0" borderId="0"/>
    <xf numFmtId="170" fontId="1" fillId="0" borderId="0"/>
    <xf numFmtId="170" fontId="5" fillId="0" borderId="0"/>
    <xf numFmtId="0" fontId="4"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5" fillId="0" borderId="0"/>
    <xf numFmtId="170" fontId="5" fillId="0" borderId="0"/>
    <xf numFmtId="170" fontId="5"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9" fillId="0" borderId="0"/>
    <xf numFmtId="178" fontId="1" fillId="0" borderId="0"/>
    <xf numFmtId="170" fontId="5" fillId="0" borderId="0"/>
    <xf numFmtId="170" fontId="8" fillId="0" borderId="0"/>
    <xf numFmtId="170" fontId="1" fillId="0" borderId="0"/>
    <xf numFmtId="170" fontId="1" fillId="0" borderId="0"/>
    <xf numFmtId="170" fontId="5" fillId="0" borderId="0"/>
    <xf numFmtId="170" fontId="8" fillId="0" borderId="0"/>
    <xf numFmtId="170" fontId="1" fillId="0" borderId="0"/>
    <xf numFmtId="170" fontId="1" fillId="0" borderId="0"/>
    <xf numFmtId="170" fontId="1" fillId="0" borderId="0"/>
    <xf numFmtId="170" fontId="1" fillId="0" borderId="0"/>
    <xf numFmtId="170" fontId="5" fillId="0" borderId="0"/>
    <xf numFmtId="170" fontId="1" fillId="0" borderId="0"/>
    <xf numFmtId="170" fontId="1" fillId="0" borderId="0"/>
    <xf numFmtId="170" fontId="5" fillId="0" borderId="0"/>
    <xf numFmtId="170" fontId="1" fillId="0" borderId="0"/>
    <xf numFmtId="170" fontId="1" fillId="0" borderId="0"/>
    <xf numFmtId="170" fontId="5" fillId="0" borderId="0"/>
    <xf numFmtId="170" fontId="1" fillId="0" borderId="0"/>
    <xf numFmtId="170" fontId="1" fillId="0" borderId="0"/>
    <xf numFmtId="170" fontId="5" fillId="0" borderId="0"/>
    <xf numFmtId="170" fontId="5" fillId="0" borderId="0"/>
    <xf numFmtId="170" fontId="1" fillId="0" borderId="0"/>
    <xf numFmtId="170" fontId="1" fillId="0" borderId="0"/>
    <xf numFmtId="170" fontId="5" fillId="0" borderId="0"/>
    <xf numFmtId="170" fontId="5" fillId="0" borderId="0"/>
    <xf numFmtId="170" fontId="1" fillId="0" borderId="0"/>
    <xf numFmtId="170" fontId="1" fillId="0" borderId="0"/>
    <xf numFmtId="170" fontId="5" fillId="0" borderId="0"/>
    <xf numFmtId="170" fontId="5" fillId="0" borderId="0"/>
    <xf numFmtId="170" fontId="1" fillId="0" borderId="0"/>
    <xf numFmtId="170" fontId="1" fillId="0" borderId="0"/>
    <xf numFmtId="170" fontId="5" fillId="0" borderId="0"/>
    <xf numFmtId="170" fontId="5" fillId="0" borderId="0"/>
    <xf numFmtId="170" fontId="1" fillId="0" borderId="0"/>
    <xf numFmtId="170" fontId="1" fillId="0" borderId="0"/>
    <xf numFmtId="170" fontId="5" fillId="0" borderId="0"/>
    <xf numFmtId="170" fontId="5" fillId="0" borderId="0"/>
    <xf numFmtId="170" fontId="1" fillId="0" borderId="0"/>
    <xf numFmtId="170" fontId="1" fillId="0" borderId="0"/>
    <xf numFmtId="170" fontId="5" fillId="0" borderId="0"/>
    <xf numFmtId="170" fontId="5" fillId="0" borderId="0"/>
    <xf numFmtId="170" fontId="1" fillId="0" borderId="0"/>
    <xf numFmtId="170" fontId="1" fillId="0" borderId="0"/>
    <xf numFmtId="170" fontId="5" fillId="0" borderId="0"/>
    <xf numFmtId="170" fontId="5" fillId="0" borderId="0"/>
    <xf numFmtId="170" fontId="1" fillId="0" borderId="0"/>
    <xf numFmtId="170" fontId="1" fillId="0" borderId="0"/>
    <xf numFmtId="170" fontId="5" fillId="0" borderId="0"/>
    <xf numFmtId="170" fontId="5" fillId="0" borderId="0"/>
    <xf numFmtId="170" fontId="1" fillId="0" borderId="0"/>
    <xf numFmtId="170" fontId="1" fillId="0" borderId="0"/>
    <xf numFmtId="170" fontId="8" fillId="0" borderId="0"/>
    <xf numFmtId="170" fontId="5" fillId="0" borderId="0"/>
    <xf numFmtId="170" fontId="1" fillId="0" borderId="0"/>
    <xf numFmtId="170" fontId="1" fillId="0" borderId="0"/>
    <xf numFmtId="170" fontId="4" fillId="0" borderId="0"/>
    <xf numFmtId="170" fontId="5" fillId="0" borderId="0"/>
    <xf numFmtId="170" fontId="1" fillId="0" borderId="0"/>
    <xf numFmtId="170" fontId="1" fillId="0" borderId="0"/>
    <xf numFmtId="0" fontId="7" fillId="0" borderId="0"/>
    <xf numFmtId="170" fontId="5" fillId="0" borderId="0"/>
    <xf numFmtId="170" fontId="1" fillId="0" borderId="0"/>
    <xf numFmtId="170" fontId="1" fillId="0" borderId="0"/>
    <xf numFmtId="170" fontId="5" fillId="0" borderId="0"/>
    <xf numFmtId="170" fontId="5" fillId="0" borderId="0"/>
    <xf numFmtId="170" fontId="9" fillId="0" borderId="0"/>
    <xf numFmtId="170" fontId="5" fillId="0" borderId="0"/>
    <xf numFmtId="170" fontId="1" fillId="0" borderId="0"/>
    <xf numFmtId="170" fontId="1" fillId="0" borderId="0"/>
    <xf numFmtId="170" fontId="1" fillId="0" borderId="0"/>
    <xf numFmtId="170" fontId="1" fillId="0" borderId="0"/>
    <xf numFmtId="170" fontId="1" fillId="0" borderId="0"/>
    <xf numFmtId="170" fontId="9" fillId="0" borderId="0"/>
    <xf numFmtId="170" fontId="5" fillId="0" borderId="0"/>
    <xf numFmtId="170" fontId="1" fillId="0" borderId="0"/>
    <xf numFmtId="170" fontId="1" fillId="0" borderId="0"/>
    <xf numFmtId="170" fontId="9" fillId="0" borderId="0"/>
    <xf numFmtId="170" fontId="5"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9" fillId="0" borderId="0"/>
    <xf numFmtId="0" fontId="9" fillId="0" borderId="0"/>
    <xf numFmtId="170" fontId="1" fillId="0" borderId="0"/>
    <xf numFmtId="170" fontId="1" fillId="0" borderId="0"/>
    <xf numFmtId="170" fontId="5" fillId="0" borderId="0"/>
    <xf numFmtId="170" fontId="5" fillId="0" borderId="0"/>
    <xf numFmtId="170" fontId="1" fillId="0" borderId="0"/>
    <xf numFmtId="170" fontId="1" fillId="0" borderId="0"/>
    <xf numFmtId="170" fontId="5" fillId="0" borderId="0"/>
    <xf numFmtId="170" fontId="5" fillId="0" borderId="0"/>
    <xf numFmtId="170" fontId="1" fillId="0" borderId="0"/>
    <xf numFmtId="170" fontId="1" fillId="0" borderId="0"/>
    <xf numFmtId="170" fontId="5" fillId="0" borderId="0"/>
    <xf numFmtId="170" fontId="5" fillId="0" borderId="0"/>
    <xf numFmtId="170" fontId="1" fillId="0" borderId="0"/>
    <xf numFmtId="170" fontId="1" fillId="0" borderId="0"/>
    <xf numFmtId="170" fontId="5" fillId="0" borderId="0"/>
    <xf numFmtId="170" fontId="5" fillId="0" borderId="0"/>
    <xf numFmtId="170" fontId="1" fillId="0" borderId="0"/>
    <xf numFmtId="170" fontId="1" fillId="0" borderId="0"/>
    <xf numFmtId="170" fontId="5" fillId="0" borderId="0"/>
    <xf numFmtId="170" fontId="1" fillId="0" borderId="0"/>
    <xf numFmtId="170" fontId="1" fillId="0" borderId="0"/>
    <xf numFmtId="170" fontId="5" fillId="0" borderId="0"/>
    <xf numFmtId="170" fontId="1" fillId="0" borderId="0"/>
    <xf numFmtId="170" fontId="9" fillId="0" borderId="0"/>
    <xf numFmtId="170" fontId="5" fillId="0" borderId="0"/>
    <xf numFmtId="170" fontId="1" fillId="0" borderId="0"/>
    <xf numFmtId="170" fontId="4" fillId="0" borderId="0"/>
    <xf numFmtId="170" fontId="5" fillId="0" borderId="0"/>
    <xf numFmtId="170" fontId="5" fillId="0" borderId="0"/>
    <xf numFmtId="170" fontId="5" fillId="0" borderId="0"/>
    <xf numFmtId="170" fontId="5" fillId="0" borderId="0"/>
    <xf numFmtId="170" fontId="5"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9" fillId="0" borderId="0"/>
    <xf numFmtId="0" fontId="9"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1" fillId="0" borderId="0"/>
    <xf numFmtId="170" fontId="5" fillId="0" borderId="0"/>
    <xf numFmtId="170" fontId="5" fillId="0" borderId="0"/>
    <xf numFmtId="170" fontId="5" fillId="0" borderId="0"/>
    <xf numFmtId="170" fontId="9" fillId="0" borderId="0"/>
    <xf numFmtId="170" fontId="9"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9" fillId="0" borderId="0"/>
    <xf numFmtId="0" fontId="9" fillId="0" borderId="0"/>
    <xf numFmtId="170" fontId="8" fillId="0" borderId="0"/>
    <xf numFmtId="170" fontId="1" fillId="0" borderId="0"/>
    <xf numFmtId="170" fontId="1" fillId="0" borderId="0"/>
    <xf numFmtId="170" fontId="8" fillId="0" borderId="0"/>
    <xf numFmtId="170" fontId="8" fillId="0" borderId="0"/>
    <xf numFmtId="170" fontId="1" fillId="0" borderId="0"/>
    <xf numFmtId="170" fontId="1" fillId="0" borderId="0"/>
    <xf numFmtId="170" fontId="8" fillId="0" borderId="0"/>
    <xf numFmtId="0" fontId="9" fillId="0" borderId="0"/>
    <xf numFmtId="0" fontId="9" fillId="0" borderId="0"/>
    <xf numFmtId="170" fontId="5" fillId="0" borderId="0"/>
    <xf numFmtId="170" fontId="5" fillId="0" borderId="0"/>
    <xf numFmtId="170" fontId="8" fillId="0" borderId="0"/>
    <xf numFmtId="170" fontId="1" fillId="0" borderId="0"/>
    <xf numFmtId="170" fontId="1" fillId="0" borderId="0"/>
    <xf numFmtId="170" fontId="8" fillId="0" borderId="0"/>
    <xf numFmtId="170" fontId="1" fillId="0" borderId="0"/>
    <xf numFmtId="170" fontId="1" fillId="0" borderId="0"/>
    <xf numFmtId="170" fontId="8" fillId="0" borderId="0"/>
    <xf numFmtId="170" fontId="8" fillId="0" borderId="0"/>
    <xf numFmtId="170" fontId="8" fillId="0" borderId="0"/>
    <xf numFmtId="170" fontId="1" fillId="0" borderId="0"/>
    <xf numFmtId="170" fontId="8" fillId="0" borderId="0"/>
    <xf numFmtId="170" fontId="1" fillId="0" borderId="0"/>
    <xf numFmtId="170" fontId="1" fillId="0" borderId="0"/>
    <xf numFmtId="170" fontId="5" fillId="0" borderId="0"/>
    <xf numFmtId="170" fontId="5" fillId="0" borderId="0"/>
    <xf numFmtId="170" fontId="8" fillId="0" borderId="0"/>
    <xf numFmtId="0" fontId="9" fillId="0" borderId="0"/>
    <xf numFmtId="0" fontId="9" fillId="0" borderId="0"/>
    <xf numFmtId="170" fontId="8" fillId="0" borderId="0"/>
    <xf numFmtId="170" fontId="9" fillId="0" borderId="0"/>
    <xf numFmtId="170" fontId="9" fillId="0" borderId="0"/>
    <xf numFmtId="170" fontId="8"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9" fillId="0" borderId="0"/>
    <xf numFmtId="0" fontId="9"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1" fillId="0" borderId="0"/>
    <xf numFmtId="170" fontId="1" fillId="0" borderId="0"/>
    <xf numFmtId="170" fontId="1" fillId="0" borderId="0"/>
    <xf numFmtId="170" fontId="1" fillId="0" borderId="0"/>
    <xf numFmtId="170" fontId="1" fillId="0" borderId="0"/>
    <xf numFmtId="0" fontId="9" fillId="0" borderId="0"/>
    <xf numFmtId="0" fontId="9" fillId="0" borderId="0"/>
    <xf numFmtId="170" fontId="8" fillId="0" borderId="0"/>
    <xf numFmtId="170" fontId="9" fillId="0" borderId="0"/>
    <xf numFmtId="170" fontId="9"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9" fillId="0" borderId="0"/>
    <xf numFmtId="0" fontId="9" fillId="0" borderId="0"/>
    <xf numFmtId="170" fontId="9" fillId="0" borderId="0"/>
    <xf numFmtId="170" fontId="9" fillId="0" borderId="0"/>
    <xf numFmtId="170" fontId="1" fillId="0" borderId="0"/>
    <xf numFmtId="170" fontId="1" fillId="0" borderId="0"/>
    <xf numFmtId="170" fontId="9" fillId="0" borderId="0"/>
    <xf numFmtId="170" fontId="9" fillId="0" borderId="0"/>
    <xf numFmtId="170" fontId="9" fillId="0" borderId="0"/>
    <xf numFmtId="170" fontId="1" fillId="0" borderId="0"/>
    <xf numFmtId="170" fontId="1" fillId="0" borderId="0"/>
    <xf numFmtId="170" fontId="9" fillId="0" borderId="0"/>
    <xf numFmtId="170" fontId="9" fillId="0" borderId="0"/>
    <xf numFmtId="170" fontId="5" fillId="0" borderId="0"/>
    <xf numFmtId="170" fontId="1" fillId="0" borderId="0"/>
    <xf numFmtId="170"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9" fillId="0" borderId="0"/>
    <xf numFmtId="170" fontId="9" fillId="0" borderId="0"/>
    <xf numFmtId="170" fontId="4" fillId="0" borderId="0"/>
    <xf numFmtId="170" fontId="5" fillId="0" borderId="0"/>
    <xf numFmtId="170" fontId="9" fillId="0" borderId="0"/>
    <xf numFmtId="170" fontId="9" fillId="0" borderId="0"/>
    <xf numFmtId="170" fontId="4" fillId="0" borderId="0"/>
    <xf numFmtId="170" fontId="5" fillId="0" borderId="0"/>
    <xf numFmtId="170" fontId="1" fillId="0" borderId="0"/>
    <xf numFmtId="170" fontId="1" fillId="0" borderId="0"/>
    <xf numFmtId="170" fontId="9" fillId="0" borderId="0"/>
    <xf numFmtId="170" fontId="9" fillId="0" borderId="0"/>
    <xf numFmtId="170" fontId="1" fillId="0" borderId="0"/>
    <xf numFmtId="170" fontId="5" fillId="0" borderId="0"/>
    <xf numFmtId="170" fontId="1" fillId="0" borderId="0"/>
    <xf numFmtId="170" fontId="1" fillId="0" borderId="0"/>
    <xf numFmtId="170" fontId="8" fillId="0" borderId="0"/>
    <xf numFmtId="170" fontId="9" fillId="0" borderId="0"/>
    <xf numFmtId="170" fontId="9" fillId="0" borderId="0"/>
    <xf numFmtId="170" fontId="4" fillId="0" borderId="0"/>
    <xf numFmtId="170" fontId="5"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5" fillId="0" borderId="0"/>
    <xf numFmtId="170" fontId="5" fillId="0" borderId="0"/>
    <xf numFmtId="170" fontId="8" fillId="0" borderId="0"/>
    <xf numFmtId="170" fontId="8" fillId="0" borderId="0"/>
    <xf numFmtId="170" fontId="5" fillId="0" borderId="0"/>
    <xf numFmtId="170" fontId="5" fillId="0" borderId="0"/>
    <xf numFmtId="170" fontId="8" fillId="0" borderId="0"/>
    <xf numFmtId="170" fontId="5" fillId="0" borderId="0"/>
    <xf numFmtId="170" fontId="5" fillId="0" borderId="0"/>
    <xf numFmtId="170" fontId="5" fillId="0" borderId="0"/>
    <xf numFmtId="170" fontId="5" fillId="0" borderId="0"/>
    <xf numFmtId="170" fontId="8"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1" fillId="0" borderId="0"/>
    <xf numFmtId="170"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9" fillId="0" borderId="0"/>
    <xf numFmtId="0" fontId="9" fillId="0" borderId="0"/>
    <xf numFmtId="170" fontId="1" fillId="0" borderId="0"/>
    <xf numFmtId="170" fontId="1" fillId="0" borderId="0"/>
    <xf numFmtId="170" fontId="1" fillId="0" borderId="0"/>
    <xf numFmtId="170" fontId="9" fillId="0" borderId="0"/>
    <xf numFmtId="170" fontId="9" fillId="0" borderId="0"/>
    <xf numFmtId="170" fontId="5" fillId="0" borderId="0"/>
    <xf numFmtId="170" fontId="5" fillId="0" borderId="0"/>
    <xf numFmtId="170" fontId="8"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1" fillId="0" borderId="0"/>
    <xf numFmtId="170" fontId="1" fillId="0" borderId="0"/>
    <xf numFmtId="170" fontId="5" fillId="0" borderId="0"/>
    <xf numFmtId="170" fontId="5" fillId="0" borderId="0"/>
    <xf numFmtId="170" fontId="1" fillId="0" borderId="0"/>
    <xf numFmtId="170" fontId="1" fillId="0" borderId="0"/>
    <xf numFmtId="170" fontId="9" fillId="0" borderId="0"/>
    <xf numFmtId="170" fontId="9" fillId="0" borderId="0"/>
    <xf numFmtId="170" fontId="5" fillId="0" borderId="0"/>
    <xf numFmtId="170" fontId="5" fillId="0" borderId="0"/>
    <xf numFmtId="170" fontId="1" fillId="0" borderId="0"/>
    <xf numFmtId="170" fontId="5" fillId="0" borderId="0"/>
    <xf numFmtId="170" fontId="5" fillId="0" borderId="0"/>
    <xf numFmtId="170" fontId="5" fillId="0" borderId="0"/>
    <xf numFmtId="170" fontId="5" fillId="0" borderId="0"/>
    <xf numFmtId="170" fontId="8" fillId="0" borderId="0"/>
    <xf numFmtId="170" fontId="9" fillId="0" borderId="0"/>
    <xf numFmtId="170" fontId="9" fillId="0" borderId="0"/>
    <xf numFmtId="170" fontId="9" fillId="0" borderId="0"/>
    <xf numFmtId="170" fontId="9" fillId="0" borderId="0"/>
    <xf numFmtId="170" fontId="8" fillId="0" borderId="0"/>
    <xf numFmtId="170" fontId="9" fillId="0" borderId="0"/>
    <xf numFmtId="170" fontId="9" fillId="0" borderId="0"/>
    <xf numFmtId="170" fontId="9" fillId="0" borderId="0"/>
    <xf numFmtId="170" fontId="9" fillId="0" borderId="0"/>
    <xf numFmtId="170" fontId="8"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1" fillId="0" borderId="0"/>
    <xf numFmtId="170" fontId="1" fillId="0" borderId="0"/>
    <xf numFmtId="170" fontId="5" fillId="0" borderId="0"/>
    <xf numFmtId="170" fontId="5" fillId="0" borderId="0"/>
    <xf numFmtId="170" fontId="5" fillId="0" borderId="0"/>
    <xf numFmtId="170" fontId="5" fillId="0" borderId="0"/>
    <xf numFmtId="170" fontId="9" fillId="0" borderId="0"/>
    <xf numFmtId="170" fontId="9" fillId="0" borderId="0"/>
    <xf numFmtId="170" fontId="9" fillId="0" borderId="0"/>
    <xf numFmtId="170" fontId="4"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1"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5" fillId="0" borderId="0"/>
    <xf numFmtId="170" fontId="9" fillId="0" borderId="0"/>
    <xf numFmtId="170" fontId="9" fillId="0" borderId="0"/>
    <xf numFmtId="170" fontId="5" fillId="0" borderId="0"/>
    <xf numFmtId="170" fontId="5" fillId="0" borderId="0"/>
    <xf numFmtId="170" fontId="1" fillId="0" borderId="0"/>
    <xf numFmtId="170" fontId="1" fillId="0" borderId="0"/>
    <xf numFmtId="170" fontId="5" fillId="0" borderId="0"/>
    <xf numFmtId="170" fontId="5" fillId="0" borderId="0"/>
    <xf numFmtId="170" fontId="5" fillId="0" borderId="0"/>
    <xf numFmtId="170" fontId="5" fillId="0" borderId="0"/>
    <xf numFmtId="170" fontId="8" fillId="0" borderId="0"/>
    <xf numFmtId="170" fontId="5" fillId="0" borderId="0"/>
    <xf numFmtId="170" fontId="9" fillId="0" borderId="0"/>
    <xf numFmtId="170" fontId="9" fillId="0" borderId="0"/>
    <xf numFmtId="170" fontId="9" fillId="0" borderId="0"/>
    <xf numFmtId="170" fontId="5" fillId="0" borderId="0"/>
    <xf numFmtId="170" fontId="9" fillId="0" borderId="0"/>
    <xf numFmtId="170" fontId="9" fillId="0" borderId="0"/>
    <xf numFmtId="170" fontId="9" fillId="0" borderId="0"/>
    <xf numFmtId="170" fontId="5" fillId="0" borderId="0"/>
    <xf numFmtId="170" fontId="9" fillId="0" borderId="0"/>
    <xf numFmtId="170" fontId="9" fillId="0" borderId="0"/>
    <xf numFmtId="170" fontId="9" fillId="0" borderId="0"/>
    <xf numFmtId="170" fontId="5"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8"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8" fontId="4" fillId="0" borderId="0"/>
    <xf numFmtId="170" fontId="8" fillId="0" borderId="0"/>
    <xf numFmtId="170" fontId="1" fillId="0" borderId="0"/>
    <xf numFmtId="170" fontId="1" fillId="0" borderId="0"/>
    <xf numFmtId="0" fontId="1" fillId="0" borderId="0"/>
    <xf numFmtId="168" fontId="29" fillId="0" borderId="0"/>
    <xf numFmtId="0" fontId="1" fillId="0" borderId="0"/>
    <xf numFmtId="0" fontId="1" fillId="0" borderId="0"/>
    <xf numFmtId="170" fontId="1" fillId="0" borderId="0"/>
    <xf numFmtId="170" fontId="1" fillId="0" borderId="0"/>
    <xf numFmtId="170" fontId="1" fillId="0" borderId="0"/>
    <xf numFmtId="0" fontId="1" fillId="0" borderId="0"/>
    <xf numFmtId="0" fontId="9" fillId="0" borderId="0"/>
    <xf numFmtId="0" fontId="4"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69" fontId="25" fillId="0" borderId="0"/>
    <xf numFmtId="170" fontId="1" fillId="0" borderId="0"/>
    <xf numFmtId="170" fontId="1" fillId="0" borderId="0"/>
    <xf numFmtId="170" fontId="1" fillId="0" borderId="0"/>
    <xf numFmtId="0" fontId="9"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2" fontId="27" fillId="0" borderId="0"/>
    <xf numFmtId="170" fontId="1" fillId="0" borderId="0"/>
    <xf numFmtId="170" fontId="1" fillId="0" borderId="0"/>
    <xf numFmtId="170" fontId="8" fillId="0" borderId="0"/>
    <xf numFmtId="170" fontId="1" fillId="0" borderId="0"/>
    <xf numFmtId="170" fontId="1" fillId="0" borderId="0"/>
    <xf numFmtId="0" fontId="1" fillId="0" borderId="0"/>
    <xf numFmtId="0" fontId="1" fillId="0" borderId="0"/>
    <xf numFmtId="0" fontId="9" fillId="0" borderId="0"/>
    <xf numFmtId="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9"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9" fillId="0" borderId="0">
      <alignment vertical="center"/>
    </xf>
    <xf numFmtId="0" fontId="1" fillId="0" borderId="0"/>
    <xf numFmtId="170" fontId="1" fillId="0" borderId="0"/>
    <xf numFmtId="170" fontId="1" fillId="0" borderId="0"/>
    <xf numFmtId="170" fontId="1" fillId="0" borderId="0"/>
    <xf numFmtId="170" fontId="4"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9" fillId="0" borderId="0"/>
    <xf numFmtId="0" fontId="9" fillId="0" borderId="0"/>
    <xf numFmtId="170" fontId="9" fillId="0" borderId="0"/>
    <xf numFmtId="170" fontId="9" fillId="0" borderId="0"/>
    <xf numFmtId="170" fontId="9" fillId="0" borderId="0"/>
    <xf numFmtId="37" fontId="18" fillId="24" borderId="12" applyBorder="0">
      <alignment horizontal="left" vertical="center" indent="2"/>
    </xf>
    <xf numFmtId="170" fontId="9" fillId="0" borderId="0"/>
    <xf numFmtId="170" fontId="9"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9" fillId="0" borderId="0"/>
    <xf numFmtId="170" fontId="9"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9" fillId="0" borderId="0"/>
    <xf numFmtId="170" fontId="9" fillId="0" borderId="0"/>
    <xf numFmtId="170" fontId="1" fillId="0" borderId="0"/>
    <xf numFmtId="170" fontId="1" fillId="0" borderId="0"/>
    <xf numFmtId="170" fontId="1" fillId="0" borderId="0"/>
    <xf numFmtId="170" fontId="1" fillId="0" borderId="0"/>
    <xf numFmtId="170" fontId="8" fillId="0" borderId="0"/>
    <xf numFmtId="170" fontId="9" fillId="0" borderId="0"/>
    <xf numFmtId="170" fontId="9"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9" fillId="0" borderId="0"/>
    <xf numFmtId="170" fontId="9" fillId="0" borderId="0"/>
    <xf numFmtId="170" fontId="1" fillId="0" borderId="0"/>
    <xf numFmtId="170" fontId="1" fillId="0" borderId="0"/>
    <xf numFmtId="170" fontId="1" fillId="0" borderId="0"/>
    <xf numFmtId="170" fontId="1" fillId="0" borderId="0"/>
    <xf numFmtId="170" fontId="1" fillId="0" borderId="0"/>
    <xf numFmtId="0" fontId="9"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9" fillId="0" borderId="0"/>
    <xf numFmtId="170" fontId="1" fillId="0" borderId="0"/>
    <xf numFmtId="170" fontId="1" fillId="0" borderId="0"/>
    <xf numFmtId="0" fontId="9" fillId="0" borderId="0"/>
    <xf numFmtId="170" fontId="9"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8" fillId="0" borderId="0"/>
    <xf numFmtId="170" fontId="1" fillId="0" borderId="0"/>
    <xf numFmtId="170" fontId="1" fillId="0" borderId="0"/>
    <xf numFmtId="170" fontId="5" fillId="0" borderId="0"/>
    <xf numFmtId="170" fontId="5" fillId="0" borderId="0"/>
    <xf numFmtId="170" fontId="8" fillId="0" borderId="0"/>
    <xf numFmtId="170" fontId="9" fillId="0" borderId="0"/>
    <xf numFmtId="170" fontId="9" fillId="0" borderId="0"/>
    <xf numFmtId="170" fontId="8" fillId="0" borderId="0"/>
    <xf numFmtId="170" fontId="1" fillId="0" borderId="0"/>
    <xf numFmtId="170" fontId="1" fillId="0" borderId="0"/>
    <xf numFmtId="170" fontId="5" fillId="0" borderId="0"/>
    <xf numFmtId="170" fontId="5" fillId="0" borderId="0"/>
    <xf numFmtId="170" fontId="5" fillId="0" borderId="0"/>
    <xf numFmtId="170" fontId="5" fillId="0" borderId="0"/>
    <xf numFmtId="170" fontId="1" fillId="0" borderId="0"/>
    <xf numFmtId="170" fontId="5" fillId="0" borderId="0"/>
    <xf numFmtId="170" fontId="5"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5" fillId="0" borderId="0"/>
    <xf numFmtId="170" fontId="5"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5" fillId="0" borderId="0"/>
    <xf numFmtId="170" fontId="5" fillId="0" borderId="0"/>
    <xf numFmtId="170" fontId="1" fillId="0" borderId="0"/>
    <xf numFmtId="170" fontId="1" fillId="0" borderId="0"/>
    <xf numFmtId="170" fontId="5" fillId="0" borderId="0"/>
    <xf numFmtId="170" fontId="5" fillId="0" borderId="0"/>
    <xf numFmtId="170" fontId="1" fillId="0" borderId="0"/>
    <xf numFmtId="170" fontId="5" fillId="0" borderId="0"/>
    <xf numFmtId="170" fontId="5" fillId="0" borderId="0"/>
    <xf numFmtId="170" fontId="8" fillId="0" borderId="0"/>
    <xf numFmtId="170" fontId="1" fillId="0" borderId="0"/>
    <xf numFmtId="170" fontId="5" fillId="0" borderId="0"/>
    <xf numFmtId="170" fontId="5" fillId="0" borderId="0"/>
    <xf numFmtId="170" fontId="1" fillId="0" borderId="0"/>
    <xf numFmtId="170" fontId="5" fillId="0" borderId="0"/>
    <xf numFmtId="170" fontId="5" fillId="0" borderId="0"/>
    <xf numFmtId="170" fontId="1" fillId="0" borderId="0"/>
    <xf numFmtId="170" fontId="5" fillId="0" borderId="0"/>
    <xf numFmtId="170" fontId="5" fillId="0" borderId="0"/>
    <xf numFmtId="170" fontId="9" fillId="0" borderId="0"/>
    <xf numFmtId="170" fontId="1" fillId="0" borderId="0"/>
    <xf numFmtId="170" fontId="1" fillId="0" borderId="0"/>
    <xf numFmtId="170" fontId="5" fillId="0" borderId="0"/>
    <xf numFmtId="170" fontId="1" fillId="0" borderId="0"/>
    <xf numFmtId="170" fontId="8" fillId="0" borderId="0"/>
    <xf numFmtId="170" fontId="9" fillId="0" borderId="0"/>
    <xf numFmtId="170" fontId="9" fillId="0" borderId="0"/>
    <xf numFmtId="170" fontId="8" fillId="0" borderId="0"/>
    <xf numFmtId="170" fontId="1" fillId="0" borderId="0"/>
    <xf numFmtId="170" fontId="1" fillId="0" borderId="0"/>
    <xf numFmtId="170" fontId="8" fillId="0" borderId="0"/>
    <xf numFmtId="170" fontId="9" fillId="0" borderId="0"/>
    <xf numFmtId="170" fontId="9" fillId="0" borderId="0"/>
    <xf numFmtId="170" fontId="1" fillId="0" borderId="0"/>
    <xf numFmtId="170" fontId="1" fillId="0" borderId="0"/>
    <xf numFmtId="170" fontId="8" fillId="0" borderId="0"/>
    <xf numFmtId="170" fontId="9" fillId="0" borderId="0"/>
    <xf numFmtId="170" fontId="9" fillId="0" borderId="0"/>
    <xf numFmtId="170" fontId="1" fillId="0" borderId="0"/>
    <xf numFmtId="170" fontId="1" fillId="0" borderId="0"/>
    <xf numFmtId="170" fontId="1" fillId="0" borderId="0"/>
    <xf numFmtId="170" fontId="8" fillId="0" borderId="0"/>
    <xf numFmtId="170" fontId="5" fillId="0" borderId="0"/>
    <xf numFmtId="170" fontId="8" fillId="0" borderId="0"/>
    <xf numFmtId="170" fontId="5" fillId="0" borderId="0"/>
    <xf numFmtId="170" fontId="5" fillId="0" borderId="0"/>
    <xf numFmtId="170" fontId="1" fillId="0" borderId="0"/>
    <xf numFmtId="170" fontId="1" fillId="0" borderId="0"/>
    <xf numFmtId="170" fontId="1" fillId="0" borderId="0"/>
    <xf numFmtId="170" fontId="1" fillId="0" borderId="0"/>
    <xf numFmtId="170" fontId="9" fillId="0" borderId="0"/>
    <xf numFmtId="170" fontId="9"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1" fillId="0" borderId="0"/>
    <xf numFmtId="170" fontId="5" fillId="0" borderId="0"/>
    <xf numFmtId="170" fontId="5" fillId="0" borderId="0"/>
    <xf numFmtId="170" fontId="8" fillId="0" borderId="0"/>
    <xf numFmtId="170" fontId="5" fillId="0" borderId="0"/>
    <xf numFmtId="170" fontId="5" fillId="0" borderId="0"/>
    <xf numFmtId="170" fontId="1" fillId="0" borderId="0"/>
    <xf numFmtId="170" fontId="1" fillId="0" borderId="0"/>
    <xf numFmtId="170" fontId="1" fillId="0" borderId="0"/>
    <xf numFmtId="170" fontId="1"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9" fillId="0" borderId="0"/>
    <xf numFmtId="170" fontId="1" fillId="0" borderId="0"/>
    <xf numFmtId="170" fontId="5" fillId="0" borderId="0"/>
    <xf numFmtId="170" fontId="5" fillId="0" borderId="0"/>
    <xf numFmtId="170" fontId="5" fillId="0" borderId="0"/>
    <xf numFmtId="170" fontId="5" fillId="0" borderId="0"/>
    <xf numFmtId="170" fontId="8"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9" fillId="0" borderId="0"/>
    <xf numFmtId="170" fontId="9" fillId="0" borderId="0"/>
    <xf numFmtId="170" fontId="9" fillId="0" borderId="0"/>
    <xf numFmtId="170" fontId="9"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5" fillId="0" borderId="0"/>
    <xf numFmtId="170" fontId="5" fillId="0" borderId="0"/>
    <xf numFmtId="170" fontId="5" fillId="0" borderId="0"/>
    <xf numFmtId="170" fontId="5" fillId="0" borderId="0"/>
    <xf numFmtId="170" fontId="9" fillId="0" borderId="0"/>
    <xf numFmtId="170" fontId="1" fillId="0" borderId="0"/>
    <xf numFmtId="170" fontId="5" fillId="0" borderId="0"/>
    <xf numFmtId="170" fontId="1" fillId="0" borderId="0"/>
    <xf numFmtId="170" fontId="5" fillId="0" borderId="0"/>
    <xf numFmtId="170" fontId="5" fillId="0" borderId="0"/>
    <xf numFmtId="170" fontId="5" fillId="0" borderId="0"/>
    <xf numFmtId="0" fontId="9" fillId="0" borderId="0"/>
    <xf numFmtId="170" fontId="1" fillId="0" borderId="0"/>
    <xf numFmtId="170" fontId="8" fillId="0" borderId="0"/>
    <xf numFmtId="170" fontId="9" fillId="0" borderId="0"/>
    <xf numFmtId="170" fontId="9" fillId="0" borderId="0"/>
    <xf numFmtId="170" fontId="8" fillId="0" borderId="0"/>
    <xf numFmtId="170" fontId="1" fillId="0" borderId="0"/>
    <xf numFmtId="170" fontId="1" fillId="0" borderId="0"/>
    <xf numFmtId="170" fontId="8" fillId="0" borderId="0"/>
    <xf numFmtId="170" fontId="1" fillId="0" borderId="0"/>
    <xf numFmtId="170" fontId="1" fillId="0" borderId="0"/>
    <xf numFmtId="170" fontId="8" fillId="0" borderId="0"/>
    <xf numFmtId="170" fontId="1" fillId="0" borderId="0"/>
    <xf numFmtId="170" fontId="1" fillId="0" borderId="0"/>
    <xf numFmtId="170" fontId="8" fillId="0" borderId="0"/>
    <xf numFmtId="170" fontId="1" fillId="0" borderId="0"/>
    <xf numFmtId="170" fontId="1" fillId="0" borderId="0"/>
    <xf numFmtId="170" fontId="8" fillId="0" borderId="0"/>
    <xf numFmtId="0" fontId="9" fillId="0" borderId="0"/>
    <xf numFmtId="0" fontId="9" fillId="0" borderId="0"/>
    <xf numFmtId="170" fontId="8" fillId="0" borderId="0"/>
    <xf numFmtId="170" fontId="1" fillId="0" borderId="0"/>
    <xf numFmtId="170" fontId="1" fillId="0" borderId="0"/>
    <xf numFmtId="170" fontId="8" fillId="0" borderId="0"/>
    <xf numFmtId="170" fontId="1" fillId="0" borderId="0"/>
    <xf numFmtId="170" fontId="1" fillId="0" borderId="0"/>
    <xf numFmtId="170" fontId="8" fillId="0" borderId="0"/>
    <xf numFmtId="170" fontId="9" fillId="0" borderId="0"/>
    <xf numFmtId="170" fontId="9" fillId="0" borderId="0"/>
    <xf numFmtId="170" fontId="1" fillId="0" borderId="0"/>
    <xf numFmtId="170" fontId="1" fillId="0" borderId="0"/>
    <xf numFmtId="170" fontId="1" fillId="0" borderId="0"/>
    <xf numFmtId="170" fontId="1" fillId="0" borderId="0"/>
    <xf numFmtId="170" fontId="5" fillId="0" borderId="0"/>
    <xf numFmtId="170" fontId="5" fillId="0" borderId="0"/>
    <xf numFmtId="170" fontId="5" fillId="0" borderId="0"/>
    <xf numFmtId="170" fontId="5" fillId="0" borderId="0"/>
    <xf numFmtId="170" fontId="5" fillId="0" borderId="0"/>
    <xf numFmtId="170" fontId="8" fillId="0" borderId="0"/>
    <xf numFmtId="170" fontId="5" fillId="0" borderId="0"/>
    <xf numFmtId="170" fontId="5"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5" fillId="0" borderId="0"/>
    <xf numFmtId="170" fontId="5" fillId="0" borderId="0"/>
    <xf numFmtId="170" fontId="9" fillId="0" borderId="0"/>
    <xf numFmtId="170" fontId="1" fillId="0" borderId="0"/>
    <xf numFmtId="170" fontId="5" fillId="0" borderId="0"/>
    <xf numFmtId="170" fontId="5" fillId="0" borderId="0"/>
    <xf numFmtId="170" fontId="5" fillId="0" borderId="0"/>
    <xf numFmtId="170" fontId="5" fillId="0" borderId="0"/>
    <xf numFmtId="170" fontId="5" fillId="0" borderId="0"/>
    <xf numFmtId="170" fontId="1" fillId="0" borderId="0"/>
    <xf numFmtId="170" fontId="1" fillId="0" borderId="0"/>
    <xf numFmtId="0" fontId="9" fillId="0" borderId="0"/>
    <xf numFmtId="170" fontId="8" fillId="0" borderId="0"/>
    <xf numFmtId="170" fontId="9" fillId="0" borderId="0"/>
    <xf numFmtId="170" fontId="1" fillId="0" borderId="0"/>
    <xf numFmtId="170" fontId="1" fillId="0" borderId="0"/>
    <xf numFmtId="170" fontId="1" fillId="0" borderId="0"/>
    <xf numFmtId="170" fontId="1" fillId="0" borderId="0"/>
    <xf numFmtId="0" fontId="9" fillId="0" borderId="0"/>
    <xf numFmtId="170" fontId="1" fillId="0" borderId="0"/>
    <xf numFmtId="170" fontId="1" fillId="0" borderId="0"/>
    <xf numFmtId="170" fontId="1" fillId="0" borderId="0"/>
    <xf numFmtId="170" fontId="1" fillId="0" borderId="0"/>
    <xf numFmtId="0" fontId="9" fillId="0" borderId="0"/>
    <xf numFmtId="170" fontId="9" fillId="0" borderId="0"/>
    <xf numFmtId="170" fontId="1" fillId="0" borderId="0"/>
    <xf numFmtId="170" fontId="1" fillId="0" borderId="0"/>
    <xf numFmtId="170" fontId="1" fillId="0" borderId="0"/>
    <xf numFmtId="170" fontId="1" fillId="0" borderId="0"/>
    <xf numFmtId="170" fontId="1" fillId="0" borderId="0"/>
    <xf numFmtId="0" fontId="7"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8" fillId="0" borderId="0"/>
    <xf numFmtId="170" fontId="1" fillId="0" borderId="0"/>
    <xf numFmtId="170" fontId="1" fillId="0" borderId="0"/>
    <xf numFmtId="170" fontId="8"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5"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9" fontId="1" fillId="0" borderId="0" applyFont="0" applyFill="0" applyBorder="0" applyAlignment="0" applyProtection="0"/>
    <xf numFmtId="170" fontId="8" fillId="0" borderId="0"/>
    <xf numFmtId="9" fontId="1" fillId="0" borderId="0" applyFont="0" applyFill="0" applyBorder="0" applyAlignment="0" applyProtection="0"/>
    <xf numFmtId="170" fontId="8" fillId="0" borderId="0"/>
    <xf numFmtId="9" fontId="1" fillId="0" borderId="0" applyFont="0" applyFill="0" applyBorder="0" applyAlignment="0" applyProtection="0"/>
    <xf numFmtId="170" fontId="8" fillId="0" borderId="0"/>
    <xf numFmtId="9" fontId="1" fillId="0" borderId="0" applyFont="0" applyFill="0" applyBorder="0" applyAlignment="0" applyProtection="0"/>
    <xf numFmtId="170" fontId="8" fillId="0" borderId="0"/>
    <xf numFmtId="170" fontId="8" fillId="0" borderId="0"/>
    <xf numFmtId="170" fontId="8" fillId="0" borderId="0"/>
    <xf numFmtId="9" fontId="1" fillId="0" borderId="0" applyFont="0" applyFill="0" applyBorder="0" applyAlignment="0" applyProtection="0"/>
    <xf numFmtId="170" fontId="8" fillId="0" borderId="0"/>
    <xf numFmtId="170" fontId="8" fillId="0" borderId="0"/>
    <xf numFmtId="170" fontId="8" fillId="0" borderId="0"/>
    <xf numFmtId="9" fontId="1" fillId="0" borderId="0" applyFont="0" applyFill="0" applyBorder="0" applyAlignment="0" applyProtection="0"/>
    <xf numFmtId="170" fontId="8" fillId="0" borderId="0"/>
    <xf numFmtId="9" fontId="1" fillId="0" borderId="0" applyFont="0" applyFill="0" applyBorder="0" applyAlignment="0" applyProtection="0"/>
    <xf numFmtId="170" fontId="8" fillId="0" borderId="0"/>
    <xf numFmtId="9" fontId="1" fillId="0" borderId="0" applyFont="0" applyFill="0" applyBorder="0" applyAlignment="0" applyProtection="0"/>
    <xf numFmtId="170" fontId="8" fillId="0" borderId="0"/>
    <xf numFmtId="9" fontId="1" fillId="0" borderId="0" applyFont="0" applyFill="0" applyBorder="0" applyAlignment="0" applyProtection="0"/>
    <xf numFmtId="170" fontId="8" fillId="0" borderId="0"/>
    <xf numFmtId="9" fontId="1" fillId="0" borderId="0" applyFont="0" applyFill="0" applyBorder="0" applyAlignment="0" applyProtection="0"/>
    <xf numFmtId="170" fontId="8" fillId="0" borderId="0"/>
    <xf numFmtId="9" fontId="1" fillId="0" borderId="0" applyFont="0" applyFill="0" applyBorder="0" applyAlignment="0" applyProtection="0"/>
    <xf numFmtId="170" fontId="8" fillId="0" borderId="0"/>
    <xf numFmtId="170" fontId="8" fillId="0" borderId="0"/>
    <xf numFmtId="9" fontId="1" fillId="0" borderId="0" applyFont="0" applyFill="0" applyBorder="0" applyAlignment="0" applyProtection="0"/>
    <xf numFmtId="170" fontId="8" fillId="0" borderId="0"/>
    <xf numFmtId="9" fontId="1" fillId="0" borderId="0" applyFont="0" applyFill="0" applyBorder="0" applyAlignment="0" applyProtection="0"/>
    <xf numFmtId="170" fontId="8" fillId="0" borderId="0"/>
    <xf numFmtId="9" fontId="1" fillId="0" borderId="0" applyFont="0" applyFill="0" applyBorder="0" applyAlignment="0" applyProtection="0"/>
    <xf numFmtId="170" fontId="8" fillId="0" borderId="0"/>
    <xf numFmtId="9" fontId="1" fillId="0" borderId="0" applyFont="0" applyFill="0" applyBorder="0" applyAlignment="0" applyProtection="0"/>
    <xf numFmtId="170" fontId="8" fillId="0" borderId="0"/>
    <xf numFmtId="170" fontId="8" fillId="0" borderId="0"/>
    <xf numFmtId="170" fontId="8" fillId="0" borderId="0"/>
    <xf numFmtId="9" fontId="1" fillId="0" borderId="0" applyFont="0" applyFill="0" applyBorder="0" applyAlignment="0" applyProtection="0"/>
    <xf numFmtId="170" fontId="8" fillId="0" borderId="0"/>
    <xf numFmtId="170" fontId="8" fillId="0" borderId="0"/>
    <xf numFmtId="170" fontId="8" fillId="0" borderId="0"/>
    <xf numFmtId="9" fontId="1" fillId="0" borderId="0" applyFont="0" applyFill="0" applyBorder="0" applyAlignment="0" applyProtection="0"/>
    <xf numFmtId="170" fontId="8" fillId="0" borderId="0"/>
    <xf numFmtId="9" fontId="1" fillId="0" borderId="0" applyFont="0" applyFill="0" applyBorder="0" applyAlignment="0" applyProtection="0"/>
    <xf numFmtId="170" fontId="8" fillId="0" borderId="0"/>
    <xf numFmtId="9" fontId="1" fillId="0" borderId="0" applyFont="0" applyFill="0" applyBorder="0" applyAlignment="0" applyProtection="0"/>
    <xf numFmtId="170" fontId="8" fillId="0" borderId="0"/>
    <xf numFmtId="9" fontId="1" fillId="0" borderId="0" applyFont="0" applyFill="0" applyBorder="0" applyAlignment="0" applyProtection="0"/>
    <xf numFmtId="170" fontId="8" fillId="0" borderId="0"/>
    <xf numFmtId="9" fontId="1" fillId="0" borderId="0" applyFont="0" applyFill="0" applyBorder="0" applyAlignment="0" applyProtection="0"/>
    <xf numFmtId="170" fontId="8" fillId="0" borderId="0"/>
    <xf numFmtId="9" fontId="1" fillId="0" borderId="0" applyFont="0" applyFill="0" applyBorder="0" applyAlignment="0" applyProtection="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9" fontId="1" fillId="0" borderId="0" applyFont="0" applyFill="0" applyBorder="0" applyAlignment="0" applyProtection="0"/>
    <xf numFmtId="170" fontId="8" fillId="0" borderId="0"/>
    <xf numFmtId="9" fontId="1" fillId="0" borderId="0" applyFont="0" applyFill="0" applyBorder="0" applyAlignment="0" applyProtection="0"/>
    <xf numFmtId="170" fontId="8" fillId="0" borderId="0"/>
    <xf numFmtId="9" fontId="1" fillId="0" borderId="0" applyFont="0" applyFill="0" applyBorder="0" applyAlignment="0" applyProtection="0"/>
    <xf numFmtId="170" fontId="8" fillId="0" borderId="0"/>
    <xf numFmtId="170" fontId="8" fillId="0" borderId="0"/>
    <xf numFmtId="170" fontId="8" fillId="0" borderId="0"/>
    <xf numFmtId="9" fontId="1" fillId="0" borderId="0" applyFont="0" applyFill="0" applyBorder="0" applyAlignment="0" applyProtection="0"/>
    <xf numFmtId="0" fontId="1" fillId="0" borderId="0"/>
    <xf numFmtId="170" fontId="8" fillId="0" borderId="0"/>
    <xf numFmtId="170" fontId="8" fillId="0" borderId="0"/>
    <xf numFmtId="170" fontId="8" fillId="0" borderId="0"/>
    <xf numFmtId="9" fontId="1" fillId="0" borderId="0" applyFont="0" applyFill="0" applyBorder="0" applyAlignment="0" applyProtection="0"/>
    <xf numFmtId="170" fontId="1" fillId="0" borderId="0"/>
    <xf numFmtId="170" fontId="8" fillId="0" borderId="0"/>
    <xf numFmtId="9" fontId="1" fillId="0" borderId="0" applyFont="0" applyFill="0" applyBorder="0" applyAlignment="0" applyProtection="0"/>
    <xf numFmtId="170" fontId="1" fillId="0" borderId="0"/>
    <xf numFmtId="170" fontId="8" fillId="0" borderId="0"/>
    <xf numFmtId="9" fontId="1" fillId="0" borderId="0" applyFont="0" applyFill="0" applyBorder="0" applyAlignment="0" applyProtection="0"/>
    <xf numFmtId="170" fontId="1" fillId="0" borderId="0"/>
    <xf numFmtId="170" fontId="8" fillId="0" borderId="0"/>
    <xf numFmtId="9" fontId="1" fillId="0" borderId="0" applyFont="0" applyFill="0" applyBorder="0" applyAlignment="0" applyProtection="0"/>
    <xf numFmtId="170" fontId="1" fillId="0" borderId="0"/>
    <xf numFmtId="170" fontId="8" fillId="0" borderId="0"/>
    <xf numFmtId="9" fontId="1" fillId="0" borderId="0" applyFont="0" applyFill="0" applyBorder="0" applyAlignment="0" applyProtection="0"/>
    <xf numFmtId="170" fontId="1" fillId="0" borderId="0"/>
    <xf numFmtId="170" fontId="8" fillId="0" borderId="0"/>
    <xf numFmtId="9" fontId="1" fillId="0" borderId="0" applyFont="0" applyFill="0" applyBorder="0" applyAlignment="0" applyProtection="0"/>
    <xf numFmtId="170" fontId="1" fillId="0" borderId="0"/>
    <xf numFmtId="170" fontId="8" fillId="0" borderId="0"/>
    <xf numFmtId="9" fontId="1" fillId="0" borderId="0" applyFont="0" applyFill="0" applyBorder="0" applyAlignment="0" applyProtection="0"/>
    <xf numFmtId="170" fontId="1"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0" fontId="1" fillId="0" borderId="0"/>
    <xf numFmtId="170" fontId="9" fillId="0" borderId="0"/>
    <xf numFmtId="170" fontId="9" fillId="0" borderId="0"/>
    <xf numFmtId="170" fontId="1" fillId="0" borderId="0"/>
    <xf numFmtId="170" fontId="5" fillId="0" borderId="0"/>
    <xf numFmtId="0" fontId="1" fillId="0" borderId="0"/>
    <xf numFmtId="170" fontId="1" fillId="0" borderId="0"/>
    <xf numFmtId="0" fontId="1" fillId="0" borderId="0"/>
    <xf numFmtId="0" fontId="1" fillId="0" borderId="0"/>
    <xf numFmtId="170" fontId="5" fillId="0" borderId="0"/>
    <xf numFmtId="170" fontId="5" fillId="0" borderId="0"/>
    <xf numFmtId="170" fontId="5" fillId="0" borderId="0"/>
    <xf numFmtId="170" fontId="5" fillId="0" borderId="0"/>
    <xf numFmtId="170" fontId="5" fillId="0" borderId="0"/>
    <xf numFmtId="0" fontId="27"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69" fontId="27" fillId="0" borderId="0"/>
    <xf numFmtId="170" fontId="9" fillId="0" borderId="0"/>
    <xf numFmtId="170" fontId="1" fillId="0" borderId="0"/>
    <xf numFmtId="170" fontId="5" fillId="0" borderId="0"/>
    <xf numFmtId="0" fontId="1" fillId="0" borderId="0"/>
    <xf numFmtId="170" fontId="1" fillId="0" borderId="0"/>
    <xf numFmtId="170" fontId="5" fillId="0" borderId="0"/>
    <xf numFmtId="170" fontId="5" fillId="0" borderId="0"/>
    <xf numFmtId="170" fontId="5" fillId="0" borderId="0"/>
    <xf numFmtId="0" fontId="4"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9"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9"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0" fontId="1"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1"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8" fillId="0" borderId="0"/>
    <xf numFmtId="170" fontId="8" fillId="0" borderId="0"/>
    <xf numFmtId="170" fontId="1" fillId="0" borderId="0"/>
    <xf numFmtId="170" fontId="1" fillId="0" borderId="0"/>
    <xf numFmtId="170" fontId="8" fillId="0" borderId="0"/>
    <xf numFmtId="170" fontId="1" fillId="0" borderId="0"/>
    <xf numFmtId="170" fontId="1" fillId="0" borderId="0"/>
    <xf numFmtId="170" fontId="8" fillId="0" borderId="0"/>
    <xf numFmtId="170" fontId="8" fillId="0" borderId="0"/>
    <xf numFmtId="170" fontId="8"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8" fillId="0" borderId="0"/>
    <xf numFmtId="170" fontId="1" fillId="0" borderId="0"/>
    <xf numFmtId="170" fontId="1" fillId="0" borderId="0"/>
    <xf numFmtId="170" fontId="8" fillId="0" borderId="0"/>
    <xf numFmtId="170" fontId="1" fillId="0" borderId="0"/>
    <xf numFmtId="170" fontId="1" fillId="0" borderId="0"/>
    <xf numFmtId="170" fontId="8"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9"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37" fontId="25"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81" fontId="46"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4"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4"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9" fillId="0" borderId="0"/>
    <xf numFmtId="170" fontId="9" fillId="0" borderId="0"/>
    <xf numFmtId="0" fontId="32" fillId="0" borderId="0"/>
    <xf numFmtId="169" fontId="9" fillId="0" borderId="0"/>
    <xf numFmtId="169" fontId="9" fillId="0" borderId="0"/>
    <xf numFmtId="170" fontId="1" fillId="0" borderId="0"/>
    <xf numFmtId="170" fontId="1" fillId="0" borderId="0"/>
    <xf numFmtId="170" fontId="4" fillId="0" borderId="0"/>
    <xf numFmtId="170" fontId="4"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4" fillId="0" borderId="0"/>
    <xf numFmtId="170" fontId="4"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8" fontId="1" fillId="0" borderId="0"/>
    <xf numFmtId="170" fontId="1" fillId="0" borderId="0"/>
    <xf numFmtId="170" fontId="1" fillId="0" borderId="0"/>
    <xf numFmtId="170" fontId="1" fillId="0" borderId="0"/>
    <xf numFmtId="170" fontId="4" fillId="0" borderId="0"/>
    <xf numFmtId="170" fontId="1" fillId="0" borderId="0"/>
    <xf numFmtId="170" fontId="1" fillId="0" borderId="0"/>
    <xf numFmtId="170" fontId="1" fillId="0" borderId="0"/>
    <xf numFmtId="170" fontId="1" fillId="0" borderId="0"/>
    <xf numFmtId="170" fontId="1" fillId="0" borderId="0"/>
    <xf numFmtId="170" fontId="17"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4" fillId="0" borderId="0">
      <alignment vertical="center"/>
    </xf>
    <xf numFmtId="170" fontId="1" fillId="0" borderId="0"/>
    <xf numFmtId="170" fontId="1" fillId="0" borderId="0"/>
    <xf numFmtId="170" fontId="1" fillId="0" borderId="0"/>
    <xf numFmtId="170" fontId="1" fillId="0" borderId="0"/>
    <xf numFmtId="170" fontId="9" fillId="0" borderId="0"/>
    <xf numFmtId="170" fontId="1" fillId="0" borderId="0"/>
    <xf numFmtId="170" fontId="1" fillId="0" borderId="0"/>
    <xf numFmtId="170" fontId="9" fillId="0" borderId="0"/>
    <xf numFmtId="170" fontId="1" fillId="0" borderId="0"/>
    <xf numFmtId="170" fontId="1" fillId="0" borderId="0"/>
    <xf numFmtId="170" fontId="9" fillId="0" borderId="0"/>
    <xf numFmtId="170" fontId="1" fillId="0" borderId="0"/>
    <xf numFmtId="170" fontId="9" fillId="0" borderId="0"/>
    <xf numFmtId="170" fontId="1"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3" fontId="46"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1"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8"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9"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1" fillId="0" borderId="0"/>
    <xf numFmtId="170" fontId="1" fillId="0" borderId="0"/>
    <xf numFmtId="170" fontId="1" fillId="0" borderId="0"/>
    <xf numFmtId="170" fontId="9" fillId="0" borderId="0"/>
    <xf numFmtId="170" fontId="9" fillId="0" borderId="0"/>
    <xf numFmtId="170" fontId="9"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1" fillId="0" borderId="0"/>
    <xf numFmtId="170" fontId="1" fillId="0" borderId="0"/>
    <xf numFmtId="170" fontId="1" fillId="0" borderId="0"/>
    <xf numFmtId="170" fontId="8" fillId="0" borderId="0"/>
    <xf numFmtId="170" fontId="9" fillId="0" borderId="0"/>
    <xf numFmtId="170" fontId="9" fillId="0" borderId="0"/>
    <xf numFmtId="170" fontId="9"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9"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9"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55" fillId="0" borderId="0"/>
    <xf numFmtId="170" fontId="1" fillId="0" borderId="0"/>
    <xf numFmtId="170" fontId="1" fillId="0" borderId="0"/>
    <xf numFmtId="170" fontId="1" fillId="0" borderId="0"/>
    <xf numFmtId="170" fontId="1" fillId="0" borderId="0"/>
    <xf numFmtId="0" fontId="9" fillId="0" borderId="0"/>
    <xf numFmtId="170" fontId="1" fillId="0" borderId="0"/>
    <xf numFmtId="170" fontId="1" fillId="0" borderId="0"/>
    <xf numFmtId="170" fontId="1" fillId="0" borderId="0"/>
    <xf numFmtId="170" fontId="1" fillId="0" borderId="0"/>
    <xf numFmtId="178" fontId="4" fillId="0" borderId="0"/>
    <xf numFmtId="170" fontId="1" fillId="0" borderId="0"/>
    <xf numFmtId="178" fontId="4"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0" fontId="1" fillId="0" borderId="0"/>
    <xf numFmtId="0" fontId="1" fillId="0" borderId="0"/>
    <xf numFmtId="0" fontId="1" fillId="0" borderId="0"/>
    <xf numFmtId="0" fontId="1" fillId="0" borderId="0"/>
    <xf numFmtId="0" fontId="1" fillId="0" borderId="0"/>
    <xf numFmtId="170" fontId="9"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9"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0" fontId="4" fillId="0" borderId="0"/>
    <xf numFmtId="170" fontId="1" fillId="0" borderId="0"/>
    <xf numFmtId="9" fontId="4" fillId="0" borderId="0" applyFont="0" applyFill="0" applyBorder="0" applyAlignment="0" applyProtection="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9" fontId="7" fillId="0" borderId="0" applyFont="0" applyFill="0" applyBorder="0" applyAlignment="0" applyProtection="0"/>
    <xf numFmtId="170" fontId="1" fillId="0" borderId="0"/>
    <xf numFmtId="170" fontId="1" fillId="0" borderId="0"/>
    <xf numFmtId="170" fontId="1" fillId="0" borderId="0"/>
    <xf numFmtId="170" fontId="1" fillId="0" borderId="0"/>
    <xf numFmtId="9" fontId="7" fillId="0" borderId="0" applyFont="0" applyFill="0" applyBorder="0" applyAlignment="0" applyProtection="0"/>
    <xf numFmtId="170" fontId="1" fillId="0" borderId="0"/>
    <xf numFmtId="170" fontId="1" fillId="0" borderId="0"/>
    <xf numFmtId="170" fontId="1" fillId="0" borderId="0"/>
    <xf numFmtId="170" fontId="1" fillId="0" borderId="0"/>
    <xf numFmtId="9" fontId="7" fillId="0" borderId="0" applyFont="0" applyFill="0" applyBorder="0" applyAlignment="0" applyProtection="0"/>
    <xf numFmtId="170" fontId="1" fillId="0" borderId="0"/>
    <xf numFmtId="170" fontId="1" fillId="0" borderId="0"/>
    <xf numFmtId="9" fontId="7" fillId="0" borderId="0" applyFont="0" applyFill="0" applyBorder="0" applyAlignment="0" applyProtection="0"/>
    <xf numFmtId="170" fontId="1" fillId="0" borderId="0"/>
    <xf numFmtId="170" fontId="1" fillId="0" borderId="0"/>
    <xf numFmtId="9" fontId="4" fillId="0" borderId="0" applyFont="0" applyFill="0" applyBorder="0" applyAlignment="0" applyProtection="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9" fillId="0" borderId="0"/>
    <xf numFmtId="0" fontId="56" fillId="0" borderId="0"/>
    <xf numFmtId="170" fontId="9" fillId="0" borderId="0"/>
    <xf numFmtId="0" fontId="4" fillId="0" borderId="0"/>
    <xf numFmtId="170" fontId="9" fillId="0" borderId="0"/>
    <xf numFmtId="0" fontId="4" fillId="0" borderId="0">
      <alignment vertical="center"/>
    </xf>
    <xf numFmtId="170" fontId="9"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9"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9" fillId="0" borderId="0"/>
    <xf numFmtId="170" fontId="9" fillId="0" borderId="0"/>
    <xf numFmtId="170" fontId="1" fillId="0" borderId="0"/>
    <xf numFmtId="170" fontId="1" fillId="0" borderId="0"/>
    <xf numFmtId="170" fontId="9"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8" fillId="0" borderId="0"/>
    <xf numFmtId="170" fontId="1" fillId="0" borderId="0"/>
    <xf numFmtId="170" fontId="1" fillId="0" borderId="0"/>
    <xf numFmtId="170" fontId="8" fillId="0" borderId="0"/>
    <xf numFmtId="170" fontId="1" fillId="0" borderId="0"/>
    <xf numFmtId="170" fontId="1" fillId="0" borderId="0"/>
    <xf numFmtId="170" fontId="8" fillId="0" borderId="0"/>
    <xf numFmtId="170" fontId="1" fillId="0" borderId="0"/>
    <xf numFmtId="170" fontId="1" fillId="0" borderId="0"/>
    <xf numFmtId="170" fontId="8"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8" fontId="7" fillId="0" borderId="0">
      <alignment vertical="center"/>
    </xf>
    <xf numFmtId="0" fontId="7" fillId="0" borderId="0">
      <alignment vertical="center"/>
    </xf>
    <xf numFmtId="178" fontId="7" fillId="0" borderId="0">
      <alignment vertical="center"/>
    </xf>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9" fillId="0" borderId="0"/>
    <xf numFmtId="178" fontId="7" fillId="0" borderId="0">
      <alignment vertical="center"/>
    </xf>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7" fillId="0" borderId="0">
      <alignment vertical="center"/>
    </xf>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4" fillId="0" borderId="0"/>
    <xf numFmtId="170" fontId="1" fillId="0" borderId="0"/>
    <xf numFmtId="170" fontId="1" fillId="0" borderId="0"/>
    <xf numFmtId="170" fontId="1" fillId="0" borderId="0"/>
    <xf numFmtId="170" fontId="1" fillId="0" borderId="0"/>
    <xf numFmtId="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2" fontId="15" fillId="0" borderId="0"/>
    <xf numFmtId="170" fontId="1" fillId="0" borderId="0"/>
    <xf numFmtId="170" fontId="1" fillId="0" borderId="0"/>
    <xf numFmtId="170" fontId="9"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1" fillId="0" borderId="0"/>
    <xf numFmtId="170" fontId="8" fillId="0" borderId="0"/>
    <xf numFmtId="0" fontId="9" fillId="0" borderId="0"/>
    <xf numFmtId="170" fontId="9"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8" fillId="0" borderId="0"/>
    <xf numFmtId="170" fontId="1" fillId="0" borderId="0"/>
    <xf numFmtId="170" fontId="1" fillId="0" borderId="0"/>
    <xf numFmtId="170" fontId="1" fillId="0" borderId="0"/>
    <xf numFmtId="170" fontId="8" fillId="0" borderId="0"/>
    <xf numFmtId="170" fontId="8" fillId="0" borderId="0"/>
    <xf numFmtId="170" fontId="1" fillId="0" borderId="0"/>
    <xf numFmtId="170" fontId="1" fillId="0" borderId="0"/>
    <xf numFmtId="170" fontId="1" fillId="0" borderId="0"/>
    <xf numFmtId="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1" fillId="0" borderId="0"/>
    <xf numFmtId="170" fontId="1" fillId="0" borderId="0"/>
    <xf numFmtId="170" fontId="8"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8"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8" fillId="0" borderId="0"/>
    <xf numFmtId="170" fontId="1" fillId="0" borderId="0"/>
    <xf numFmtId="170" fontId="1" fillId="0" borderId="0"/>
    <xf numFmtId="170" fontId="1" fillId="0" borderId="0"/>
    <xf numFmtId="170" fontId="8"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8"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1" fillId="0" borderId="0"/>
    <xf numFmtId="0" fontId="9" fillId="0" borderId="0"/>
    <xf numFmtId="0" fontId="1" fillId="0" borderId="0"/>
    <xf numFmtId="0" fontId="3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8" fontId="1" fillId="0" borderId="0"/>
    <xf numFmtId="178"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8" fillId="0" borderId="0"/>
    <xf numFmtId="170" fontId="1" fillId="0" borderId="0"/>
    <xf numFmtId="170" fontId="1" fillId="0" borderId="0"/>
    <xf numFmtId="170" fontId="1" fillId="0" borderId="0"/>
    <xf numFmtId="170" fontId="8"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1" fillId="0" borderId="0"/>
    <xf numFmtId="170" fontId="1" fillId="0" borderId="0"/>
    <xf numFmtId="170" fontId="1" fillId="0" borderId="0"/>
    <xf numFmtId="0" fontId="1" fillId="0" borderId="0"/>
    <xf numFmtId="0" fontId="1" fillId="0" borderId="0"/>
    <xf numFmtId="0" fontId="1" fillId="0" borderId="0"/>
    <xf numFmtId="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8"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8" fillId="0" borderId="0"/>
    <xf numFmtId="170" fontId="1" fillId="0" borderId="0"/>
    <xf numFmtId="170" fontId="1" fillId="0" borderId="0"/>
    <xf numFmtId="170" fontId="1" fillId="0" borderId="0"/>
    <xf numFmtId="170" fontId="8"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8"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9" fillId="0" borderId="0"/>
    <xf numFmtId="0" fontId="1" fillId="0" borderId="0"/>
    <xf numFmtId="0" fontId="1" fillId="0" borderId="0"/>
    <xf numFmtId="170" fontId="1" fillId="0" borderId="0"/>
    <xf numFmtId="170" fontId="1" fillId="0" borderId="0"/>
    <xf numFmtId="170" fontId="1" fillId="0" borderId="0"/>
    <xf numFmtId="170" fontId="1" fillId="0" borderId="0"/>
    <xf numFmtId="0" fontId="4" fillId="0" borderId="0"/>
    <xf numFmtId="170" fontId="1" fillId="0" borderId="0"/>
    <xf numFmtId="0" fontId="9" fillId="0" borderId="0"/>
    <xf numFmtId="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22"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9" fillId="0" borderId="0"/>
    <xf numFmtId="170" fontId="1" fillId="0" borderId="0"/>
    <xf numFmtId="0" fontId="4" fillId="0" borderId="0"/>
    <xf numFmtId="170" fontId="1" fillId="0" borderId="0"/>
    <xf numFmtId="170" fontId="1" fillId="0" borderId="0"/>
    <xf numFmtId="170" fontId="8" fillId="0" borderId="0"/>
    <xf numFmtId="0" fontId="4" fillId="0" borderId="0"/>
    <xf numFmtId="170" fontId="1" fillId="0" borderId="0"/>
    <xf numFmtId="170" fontId="8" fillId="0" borderId="0"/>
    <xf numFmtId="0" fontId="1" fillId="0" borderId="0"/>
    <xf numFmtId="170" fontId="1" fillId="0" borderId="0"/>
    <xf numFmtId="0" fontId="7" fillId="0" borderId="0">
      <alignment vertical="center"/>
    </xf>
    <xf numFmtId="170" fontId="1" fillId="0" borderId="0"/>
    <xf numFmtId="0" fontId="7" fillId="0" borderId="0"/>
    <xf numFmtId="170" fontId="1"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9" fillId="0" borderId="0"/>
    <xf numFmtId="169" fontId="37" fillId="0" borderId="0"/>
    <xf numFmtId="0" fontId="6" fillId="0" borderId="0"/>
    <xf numFmtId="170" fontId="1" fillId="0" borderId="0"/>
    <xf numFmtId="0" fontId="1" fillId="0" borderId="0"/>
    <xf numFmtId="170" fontId="1" fillId="0" borderId="0"/>
    <xf numFmtId="170" fontId="1" fillId="0" borderId="0"/>
    <xf numFmtId="170" fontId="1" fillId="0" borderId="0"/>
    <xf numFmtId="0" fontId="1" fillId="0" borderId="0"/>
    <xf numFmtId="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0" fontId="56" fillId="0" borderId="0"/>
    <xf numFmtId="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1" fontId="9" fillId="0" borderId="0"/>
    <xf numFmtId="171" fontId="9" fillId="0" borderId="0"/>
    <xf numFmtId="170" fontId="8" fillId="0" borderId="0"/>
    <xf numFmtId="170" fontId="8" fillId="0" borderId="0"/>
    <xf numFmtId="170" fontId="8" fillId="0" borderId="0"/>
    <xf numFmtId="170" fontId="8" fillId="0" borderId="0"/>
    <xf numFmtId="171" fontId="9" fillId="0" borderId="0"/>
    <xf numFmtId="171" fontId="9" fillId="0" borderId="0"/>
    <xf numFmtId="170" fontId="8" fillId="0" borderId="0"/>
    <xf numFmtId="170" fontId="8" fillId="0" borderId="0"/>
    <xf numFmtId="171" fontId="9" fillId="0" borderId="0"/>
    <xf numFmtId="171" fontId="9" fillId="0" borderId="0"/>
    <xf numFmtId="170" fontId="9"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1" fillId="0" borderId="0"/>
    <xf numFmtId="170" fontId="4"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9" fontId="4" fillId="0" borderId="0" applyFont="0" applyFill="0" applyBorder="0" applyAlignment="0" applyProtection="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9" fontId="7" fillId="0" borderId="0" applyFont="0" applyFill="0" applyBorder="0" applyAlignment="0" applyProtection="0"/>
    <xf numFmtId="9" fontId="7" fillId="0" borderId="0" applyFont="0" applyFill="0" applyBorder="0" applyAlignment="0" applyProtection="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9" fontId="7" fillId="0" borderId="0" applyFont="0" applyFill="0" applyBorder="0" applyAlignment="0" applyProtection="0"/>
    <xf numFmtId="9" fontId="7" fillId="0" borderId="0" applyFont="0" applyFill="0" applyBorder="0" applyAlignment="0" applyProtection="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8" fillId="0" borderId="0"/>
    <xf numFmtId="170" fontId="1" fillId="0" borderId="0"/>
    <xf numFmtId="170" fontId="1" fillId="0" borderId="0"/>
    <xf numFmtId="170" fontId="8" fillId="0" borderId="0"/>
    <xf numFmtId="170" fontId="8" fillId="0" borderId="0"/>
    <xf numFmtId="170" fontId="1" fillId="0" borderId="0"/>
    <xf numFmtId="170" fontId="1" fillId="0" borderId="0"/>
    <xf numFmtId="170" fontId="8" fillId="0" borderId="0"/>
    <xf numFmtId="170" fontId="8" fillId="0" borderId="0"/>
    <xf numFmtId="170" fontId="1" fillId="0" borderId="0"/>
    <xf numFmtId="170" fontId="1" fillId="0" borderId="0"/>
    <xf numFmtId="170" fontId="8" fillId="0" borderId="0"/>
    <xf numFmtId="170" fontId="8" fillId="0" borderId="0"/>
    <xf numFmtId="170" fontId="1"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9" fontId="4" fillId="0" borderId="0" applyFont="0" applyFill="0" applyBorder="0" applyAlignment="0" applyProtection="0"/>
    <xf numFmtId="9" fontId="4" fillId="0" borderId="0" applyFont="0" applyFill="0" applyBorder="0" applyAlignment="0" applyProtection="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5" fillId="0" borderId="0"/>
    <xf numFmtId="170" fontId="5"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5" fillId="0" borderId="0"/>
    <xf numFmtId="170" fontId="5"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5" fillId="0" borderId="0"/>
    <xf numFmtId="170" fontId="5"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9"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1" fontId="9" fillId="0" borderId="0"/>
    <xf numFmtId="171" fontId="9" fillId="0" borderId="0"/>
    <xf numFmtId="170" fontId="8" fillId="0" borderId="0"/>
    <xf numFmtId="170" fontId="8" fillId="0" borderId="0"/>
    <xf numFmtId="171" fontId="9" fillId="0" borderId="0"/>
    <xf numFmtId="171" fontId="9" fillId="0" borderId="0"/>
    <xf numFmtId="170" fontId="8" fillId="0" borderId="0"/>
    <xf numFmtId="170" fontId="8" fillId="0" borderId="0"/>
    <xf numFmtId="170" fontId="8" fillId="0" borderId="0"/>
    <xf numFmtId="170" fontId="8" fillId="0" borderId="0"/>
    <xf numFmtId="170" fontId="8" fillId="0" borderId="0"/>
    <xf numFmtId="170" fontId="5" fillId="0" borderId="0"/>
    <xf numFmtId="170" fontId="5"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0" fontId="1" fillId="0" borderId="0"/>
    <xf numFmtId="0" fontId="1" fillId="0" borderId="0"/>
    <xf numFmtId="0" fontId="1" fillId="0" borderId="0"/>
    <xf numFmtId="0" fontId="1" fillId="0" borderId="0"/>
    <xf numFmtId="170" fontId="9" fillId="0" borderId="0"/>
    <xf numFmtId="170" fontId="8" fillId="0" borderId="0"/>
    <xf numFmtId="170" fontId="9" fillId="0" borderId="0"/>
    <xf numFmtId="0" fontId="1" fillId="0" borderId="0"/>
    <xf numFmtId="0" fontId="1" fillId="0" borderId="0"/>
    <xf numFmtId="170" fontId="1" fillId="0" borderId="0"/>
    <xf numFmtId="170" fontId="1" fillId="0" borderId="0"/>
    <xf numFmtId="170" fontId="4" fillId="0" borderId="0"/>
    <xf numFmtId="170" fontId="4" fillId="0" borderId="0"/>
    <xf numFmtId="170" fontId="1" fillId="0" borderId="0"/>
    <xf numFmtId="170" fontId="1" fillId="0" borderId="0"/>
    <xf numFmtId="170" fontId="4" fillId="0" borderId="0"/>
    <xf numFmtId="170" fontId="4" fillId="0" borderId="0"/>
    <xf numFmtId="170" fontId="1" fillId="0" borderId="0"/>
    <xf numFmtId="170" fontId="1" fillId="0" borderId="0"/>
    <xf numFmtId="170" fontId="4" fillId="0" borderId="0"/>
    <xf numFmtId="170" fontId="4" fillId="0" borderId="0"/>
    <xf numFmtId="170" fontId="1" fillId="0" borderId="0"/>
    <xf numFmtId="170" fontId="1" fillId="0" borderId="0"/>
    <xf numFmtId="170" fontId="4" fillId="0" borderId="0"/>
    <xf numFmtId="170" fontId="4" fillId="0" borderId="0"/>
    <xf numFmtId="170" fontId="9"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1" fillId="0" borderId="0"/>
    <xf numFmtId="170" fontId="8" fillId="0" borderId="0"/>
    <xf numFmtId="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5" fillId="0" borderId="0"/>
    <xf numFmtId="170" fontId="5"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5" fillId="0" borderId="0"/>
    <xf numFmtId="170" fontId="5" fillId="0" borderId="0"/>
    <xf numFmtId="170" fontId="9" fillId="0" borderId="0"/>
    <xf numFmtId="170" fontId="1" fillId="0" borderId="0"/>
    <xf numFmtId="170" fontId="8" fillId="0" borderId="0"/>
    <xf numFmtId="0" fontId="1" fillId="0" borderId="0"/>
    <xf numFmtId="0" fontId="1" fillId="0" borderId="0"/>
    <xf numFmtId="170" fontId="8" fillId="0" borderId="0"/>
    <xf numFmtId="170" fontId="8" fillId="0" borderId="0"/>
    <xf numFmtId="170" fontId="8" fillId="0" borderId="0"/>
    <xf numFmtId="170" fontId="8" fillId="0" borderId="0"/>
    <xf numFmtId="170" fontId="5" fillId="0" borderId="0"/>
    <xf numFmtId="170" fontId="5" fillId="0" borderId="0"/>
    <xf numFmtId="170" fontId="8" fillId="0" borderId="0"/>
    <xf numFmtId="170" fontId="8" fillId="0" borderId="0"/>
    <xf numFmtId="170" fontId="8" fillId="0" borderId="0"/>
    <xf numFmtId="170" fontId="8" fillId="0" borderId="0"/>
    <xf numFmtId="170" fontId="5" fillId="0" borderId="0"/>
    <xf numFmtId="170" fontId="5" fillId="0" borderId="0"/>
    <xf numFmtId="170" fontId="8" fillId="0" borderId="0"/>
    <xf numFmtId="170" fontId="8" fillId="0" borderId="0"/>
    <xf numFmtId="170" fontId="5" fillId="0" borderId="0"/>
    <xf numFmtId="170" fontId="5" fillId="0" borderId="0"/>
    <xf numFmtId="170" fontId="8" fillId="0" borderId="0"/>
    <xf numFmtId="170" fontId="5" fillId="0" borderId="0"/>
    <xf numFmtId="170" fontId="5"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9" fillId="0" borderId="0"/>
    <xf numFmtId="170" fontId="8" fillId="0" borderId="0"/>
    <xf numFmtId="170" fontId="8" fillId="0" borderId="0"/>
    <xf numFmtId="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9"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8" fillId="0" borderId="0"/>
    <xf numFmtId="170" fontId="1" fillId="0" borderId="0"/>
    <xf numFmtId="170" fontId="1" fillId="0" borderId="0"/>
    <xf numFmtId="170" fontId="8" fillId="0" borderId="0"/>
    <xf numFmtId="170" fontId="8" fillId="0" borderId="0"/>
    <xf numFmtId="0" fontId="1" fillId="0" borderId="0"/>
    <xf numFmtId="0" fontId="1" fillId="0" borderId="0"/>
    <xf numFmtId="170" fontId="8"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1" fillId="0" borderId="0"/>
    <xf numFmtId="170" fontId="4" fillId="0" borderId="0"/>
    <xf numFmtId="170" fontId="1" fillId="0" borderId="0"/>
    <xf numFmtId="170" fontId="1" fillId="0" borderId="0"/>
    <xf numFmtId="170" fontId="1" fillId="0" borderId="0"/>
    <xf numFmtId="170" fontId="4" fillId="0" borderId="0"/>
    <xf numFmtId="170" fontId="1" fillId="0" borderId="0"/>
    <xf numFmtId="170" fontId="1" fillId="0" borderId="0"/>
    <xf numFmtId="170" fontId="1" fillId="0" borderId="0"/>
    <xf numFmtId="170" fontId="4" fillId="0" borderId="0"/>
    <xf numFmtId="170" fontId="1" fillId="0" borderId="0"/>
    <xf numFmtId="170" fontId="1" fillId="0" borderId="0"/>
    <xf numFmtId="170" fontId="1" fillId="0" borderId="0"/>
    <xf numFmtId="170" fontId="4" fillId="0" borderId="0"/>
    <xf numFmtId="170" fontId="8" fillId="0" borderId="0"/>
    <xf numFmtId="170" fontId="9" fillId="0" borderId="0"/>
    <xf numFmtId="170" fontId="8" fillId="0" borderId="0"/>
    <xf numFmtId="170" fontId="9" fillId="0" borderId="0"/>
    <xf numFmtId="170" fontId="8" fillId="0" borderId="0"/>
    <xf numFmtId="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9" fillId="0" borderId="0"/>
    <xf numFmtId="170" fontId="9"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81" fontId="46"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9"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8"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4" fillId="0" borderId="0"/>
    <xf numFmtId="0" fontId="4" fillId="0" borderId="0"/>
    <xf numFmtId="0" fontId="4"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9"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3" fontId="4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1" fillId="0" borderId="0"/>
    <xf numFmtId="170" fontId="1" fillId="0" borderId="0"/>
    <xf numFmtId="0" fontId="1" fillId="0" borderId="0"/>
    <xf numFmtId="0" fontId="1" fillId="0" borderId="0"/>
    <xf numFmtId="0" fontId="1" fillId="0" borderId="0"/>
    <xf numFmtId="0" fontId="1" fillId="0" borderId="0"/>
    <xf numFmtId="0" fontId="1" fillId="0" borderId="0"/>
    <xf numFmtId="170" fontId="1" fillId="0" borderId="0"/>
    <xf numFmtId="0" fontId="1" fillId="0" borderId="0"/>
    <xf numFmtId="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8" fontId="1" fillId="0" borderId="0"/>
    <xf numFmtId="178" fontId="1" fillId="0" borderId="0"/>
    <xf numFmtId="0" fontId="1" fillId="0" borderId="0"/>
    <xf numFmtId="0" fontId="1" fillId="0" borderId="0"/>
    <xf numFmtId="0" fontId="1" fillId="0" borderId="0"/>
    <xf numFmtId="170" fontId="1" fillId="0" borderId="0"/>
    <xf numFmtId="170" fontId="1" fillId="0" borderId="0"/>
    <xf numFmtId="0" fontId="9" fillId="0" borderId="0"/>
    <xf numFmtId="170" fontId="1" fillId="0" borderId="0"/>
    <xf numFmtId="0" fontId="9" fillId="0" borderId="0"/>
    <xf numFmtId="170" fontId="1" fillId="0" borderId="0"/>
    <xf numFmtId="0" fontId="1" fillId="0" borderId="0"/>
    <xf numFmtId="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9" fillId="0" borderId="0"/>
    <xf numFmtId="170" fontId="1" fillId="0" borderId="0"/>
    <xf numFmtId="170" fontId="1" fillId="0" borderId="0"/>
    <xf numFmtId="170" fontId="1" fillId="0" borderId="0"/>
    <xf numFmtId="170" fontId="1" fillId="0" borderId="0"/>
    <xf numFmtId="0" fontId="1" fillId="0" borderId="0"/>
    <xf numFmtId="170" fontId="9" fillId="0" borderId="0"/>
    <xf numFmtId="0" fontId="4" fillId="0" borderId="0"/>
    <xf numFmtId="170" fontId="1" fillId="0" borderId="0"/>
    <xf numFmtId="170" fontId="1" fillId="0" borderId="0"/>
    <xf numFmtId="170" fontId="1" fillId="0" borderId="0"/>
    <xf numFmtId="170" fontId="1" fillId="0" borderId="0"/>
    <xf numFmtId="170" fontId="1" fillId="0" borderId="0"/>
    <xf numFmtId="170" fontId="5" fillId="0" borderId="0"/>
    <xf numFmtId="170" fontId="1" fillId="0" borderId="0"/>
    <xf numFmtId="170" fontId="1" fillId="0" borderId="0"/>
    <xf numFmtId="170" fontId="1" fillId="0" borderId="0"/>
    <xf numFmtId="170" fontId="1" fillId="0" borderId="0"/>
    <xf numFmtId="170" fontId="9" fillId="0" borderId="0"/>
    <xf numFmtId="170" fontId="8" fillId="0" borderId="0"/>
    <xf numFmtId="170" fontId="8" fillId="0" borderId="0"/>
    <xf numFmtId="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1" fillId="0" borderId="0"/>
    <xf numFmtId="170" fontId="8" fillId="0" borderId="0"/>
    <xf numFmtId="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8"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8" fillId="0" borderId="0"/>
    <xf numFmtId="181" fontId="46" fillId="0" borderId="0"/>
    <xf numFmtId="170" fontId="1" fillId="0" borderId="0"/>
    <xf numFmtId="170" fontId="1"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0" fontId="9"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0" fontId="4" fillId="0" borderId="0"/>
    <xf numFmtId="0" fontId="4"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9" fillId="0" borderId="0"/>
    <xf numFmtId="170" fontId="8" fillId="0" borderId="0"/>
    <xf numFmtId="170" fontId="8" fillId="0" borderId="0"/>
    <xf numFmtId="170" fontId="1" fillId="0" borderId="0"/>
    <xf numFmtId="170" fontId="8" fillId="0" borderId="0"/>
    <xf numFmtId="170" fontId="1" fillId="0" borderId="0"/>
    <xf numFmtId="170" fontId="8" fillId="0" borderId="0"/>
    <xf numFmtId="0" fontId="1"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9" fillId="0" borderId="0"/>
    <xf numFmtId="170" fontId="8" fillId="0" borderId="0"/>
    <xf numFmtId="170" fontId="8" fillId="0" borderId="0"/>
    <xf numFmtId="170" fontId="1" fillId="0" borderId="0"/>
    <xf numFmtId="170" fontId="8" fillId="0" borderId="0"/>
    <xf numFmtId="170" fontId="1" fillId="0" borderId="0"/>
    <xf numFmtId="170" fontId="8" fillId="0" borderId="0"/>
    <xf numFmtId="0" fontId="1"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9" fillId="0" borderId="0"/>
    <xf numFmtId="170" fontId="9" fillId="0" borderId="0"/>
    <xf numFmtId="170" fontId="1" fillId="0" borderId="0"/>
    <xf numFmtId="170" fontId="1" fillId="0" borderId="0"/>
    <xf numFmtId="171" fontId="9" fillId="0" borderId="0"/>
    <xf numFmtId="171" fontId="9" fillId="0" borderId="0"/>
    <xf numFmtId="170" fontId="1" fillId="0" borderId="0"/>
    <xf numFmtId="170" fontId="1" fillId="0" borderId="0"/>
    <xf numFmtId="172" fontId="15" fillId="0" borderId="0"/>
    <xf numFmtId="171" fontId="9"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5"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5"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9" fontId="7" fillId="0" borderId="0" applyFont="0" applyFill="0" applyBorder="0" applyAlignment="0" applyProtection="0"/>
    <xf numFmtId="9" fontId="7" fillId="0" borderId="0" applyFont="0" applyFill="0" applyBorder="0" applyAlignment="0" applyProtection="0"/>
    <xf numFmtId="170" fontId="8" fillId="0" borderId="0"/>
    <xf numFmtId="170" fontId="8" fillId="0" borderId="0"/>
    <xf numFmtId="170" fontId="1" fillId="0" borderId="0"/>
    <xf numFmtId="170" fontId="1" fillId="0" borderId="0"/>
    <xf numFmtId="170" fontId="8" fillId="0" borderId="0"/>
    <xf numFmtId="170" fontId="8" fillId="0" borderId="0"/>
    <xf numFmtId="170" fontId="8" fillId="0" borderId="0"/>
    <xf numFmtId="9" fontId="7" fillId="0" borderId="0" applyFont="0" applyFill="0" applyBorder="0" applyAlignment="0" applyProtection="0"/>
    <xf numFmtId="9" fontId="7" fillId="0" borderId="0" applyFont="0" applyFill="0" applyBorder="0" applyAlignment="0" applyProtection="0"/>
    <xf numFmtId="170" fontId="8" fillId="0" borderId="0"/>
    <xf numFmtId="9" fontId="7" fillId="0" borderId="0" applyFont="0" applyFill="0" applyBorder="0" applyAlignment="0" applyProtection="0"/>
    <xf numFmtId="9" fontId="7" fillId="0" borderId="0" applyFont="0" applyFill="0" applyBorder="0" applyAlignment="0" applyProtection="0"/>
    <xf numFmtId="170" fontId="8" fillId="0" borderId="0"/>
    <xf numFmtId="9" fontId="7" fillId="0" borderId="0" applyFont="0" applyFill="0" applyBorder="0" applyAlignment="0" applyProtection="0"/>
    <xf numFmtId="9" fontId="7" fillId="0" borderId="0" applyFont="0" applyFill="0" applyBorder="0" applyAlignment="0" applyProtection="0"/>
    <xf numFmtId="170" fontId="8" fillId="0" borderId="0"/>
    <xf numFmtId="170" fontId="8" fillId="0" borderId="0"/>
    <xf numFmtId="170" fontId="8" fillId="0" borderId="0"/>
    <xf numFmtId="170" fontId="8" fillId="0" borderId="0"/>
    <xf numFmtId="170" fontId="8" fillId="0" borderId="0"/>
    <xf numFmtId="9" fontId="7" fillId="0" borderId="0" applyFont="0" applyFill="0" applyBorder="0" applyAlignment="0" applyProtection="0"/>
    <xf numFmtId="9" fontId="7" fillId="0" borderId="0" applyFont="0" applyFill="0" applyBorder="0" applyAlignment="0" applyProtection="0"/>
    <xf numFmtId="170" fontId="8" fillId="0" borderId="0"/>
    <xf numFmtId="170" fontId="8" fillId="0" borderId="0"/>
    <xf numFmtId="9" fontId="7" fillId="0" borderId="0" applyFont="0" applyFill="0" applyBorder="0" applyAlignment="0" applyProtection="0"/>
    <xf numFmtId="9" fontId="7" fillId="0" borderId="0" applyFont="0" applyFill="0" applyBorder="0" applyAlignment="0" applyProtection="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5"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5"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1" fillId="0" borderId="0"/>
    <xf numFmtId="170" fontId="1" fillId="0" borderId="0"/>
    <xf numFmtId="170" fontId="9" fillId="0" borderId="0"/>
    <xf numFmtId="0" fontId="1" fillId="0" borderId="0"/>
    <xf numFmtId="0" fontId="4" fillId="0" borderId="0"/>
    <xf numFmtId="0" fontId="4" fillId="0" borderId="0"/>
    <xf numFmtId="168" fontId="29"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1" fillId="0" borderId="0"/>
    <xf numFmtId="0" fontId="1" fillId="0" borderId="0"/>
    <xf numFmtId="0" fontId="1" fillId="0" borderId="0"/>
    <xf numFmtId="170" fontId="1" fillId="0" borderId="0"/>
    <xf numFmtId="178"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9" fillId="0" borderId="0"/>
    <xf numFmtId="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9"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9"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9"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0" fontId="1" fillId="0" borderId="0"/>
    <xf numFmtId="170" fontId="8" fillId="0" borderId="0"/>
    <xf numFmtId="170" fontId="1" fillId="0" borderId="0"/>
    <xf numFmtId="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1" fillId="0" borderId="0"/>
    <xf numFmtId="170" fontId="8" fillId="0" borderId="0"/>
    <xf numFmtId="170" fontId="8"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8" fillId="0" borderId="0"/>
    <xf numFmtId="170" fontId="1" fillId="0" borderId="0"/>
    <xf numFmtId="170" fontId="1" fillId="0" borderId="0"/>
    <xf numFmtId="170" fontId="1" fillId="0" borderId="0"/>
    <xf numFmtId="170" fontId="1" fillId="0" borderId="0"/>
    <xf numFmtId="170" fontId="8"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8" fillId="0" borderId="0"/>
    <xf numFmtId="170" fontId="8" fillId="0" borderId="0"/>
    <xf numFmtId="170" fontId="1" fillId="0" borderId="0"/>
    <xf numFmtId="0" fontId="9" fillId="0" borderId="0"/>
    <xf numFmtId="170" fontId="1" fillId="0" borderId="0"/>
    <xf numFmtId="170" fontId="8" fillId="0" borderId="0"/>
    <xf numFmtId="170" fontId="8" fillId="0" borderId="0"/>
    <xf numFmtId="170" fontId="8" fillId="0" borderId="0"/>
    <xf numFmtId="170" fontId="1" fillId="0" borderId="0"/>
    <xf numFmtId="170" fontId="1" fillId="0" borderId="0"/>
    <xf numFmtId="0" fontId="9" fillId="0" borderId="0"/>
    <xf numFmtId="170" fontId="1" fillId="0" borderId="0"/>
    <xf numFmtId="170" fontId="8" fillId="0" borderId="0"/>
    <xf numFmtId="170" fontId="8" fillId="0" borderId="0"/>
    <xf numFmtId="170" fontId="8" fillId="0" borderId="0"/>
    <xf numFmtId="170" fontId="1" fillId="0" borderId="0"/>
    <xf numFmtId="0" fontId="9" fillId="0" borderId="0"/>
    <xf numFmtId="170" fontId="1" fillId="0" borderId="0"/>
    <xf numFmtId="170" fontId="8" fillId="0" borderId="0"/>
    <xf numFmtId="170" fontId="8" fillId="0" borderId="0"/>
    <xf numFmtId="170" fontId="8" fillId="0" borderId="0"/>
    <xf numFmtId="170" fontId="1" fillId="0" borderId="0"/>
    <xf numFmtId="0" fontId="9" fillId="0" borderId="0"/>
    <xf numFmtId="170" fontId="1" fillId="0" borderId="0"/>
    <xf numFmtId="170" fontId="8" fillId="0" borderId="0"/>
    <xf numFmtId="170" fontId="9" fillId="0" borderId="0"/>
    <xf numFmtId="170" fontId="8" fillId="0" borderId="0"/>
    <xf numFmtId="170" fontId="9" fillId="0" borderId="0"/>
    <xf numFmtId="170" fontId="8" fillId="0" borderId="0"/>
    <xf numFmtId="170" fontId="1" fillId="0" borderId="0"/>
    <xf numFmtId="170" fontId="1" fillId="0" borderId="0"/>
    <xf numFmtId="170" fontId="1" fillId="0" borderId="0"/>
    <xf numFmtId="0" fontId="1" fillId="0" borderId="0"/>
    <xf numFmtId="0" fontId="1" fillId="0" borderId="0"/>
    <xf numFmtId="170" fontId="8" fillId="0" borderId="0"/>
    <xf numFmtId="170" fontId="1" fillId="0" borderId="0"/>
    <xf numFmtId="170" fontId="1" fillId="0" borderId="0"/>
    <xf numFmtId="170" fontId="1" fillId="0" borderId="0"/>
    <xf numFmtId="170" fontId="9" fillId="0" borderId="0"/>
    <xf numFmtId="0" fontId="4" fillId="0" borderId="0"/>
    <xf numFmtId="170" fontId="8" fillId="0" borderId="0"/>
    <xf numFmtId="170" fontId="8" fillId="0" borderId="0"/>
    <xf numFmtId="170" fontId="8" fillId="0" borderId="0"/>
    <xf numFmtId="170" fontId="8" fillId="0" borderId="0"/>
    <xf numFmtId="0" fontId="9" fillId="0" borderId="0"/>
    <xf numFmtId="0" fontId="9" fillId="0" borderId="0"/>
    <xf numFmtId="0" fontId="9" fillId="0" borderId="0"/>
    <xf numFmtId="0" fontId="9" fillId="0" borderId="0"/>
    <xf numFmtId="0" fontId="9" fillId="0" borderId="0"/>
    <xf numFmtId="0" fontId="4" fillId="0" borderId="0"/>
    <xf numFmtId="170" fontId="8" fillId="0" borderId="0"/>
    <xf numFmtId="170" fontId="8" fillId="0" borderId="0"/>
    <xf numFmtId="170" fontId="8" fillId="0" borderId="0"/>
    <xf numFmtId="170" fontId="8" fillId="0" borderId="0"/>
    <xf numFmtId="0" fontId="4" fillId="0" borderId="0"/>
    <xf numFmtId="0" fontId="9" fillId="0" borderId="0"/>
    <xf numFmtId="170" fontId="8" fillId="0" borderId="0"/>
    <xf numFmtId="170" fontId="8" fillId="0" borderId="0"/>
    <xf numFmtId="170" fontId="8" fillId="0" borderId="0"/>
    <xf numFmtId="170" fontId="8" fillId="0" borderId="0"/>
    <xf numFmtId="0" fontId="4" fillId="0" borderId="0"/>
    <xf numFmtId="0" fontId="9" fillId="0" borderId="0"/>
    <xf numFmtId="170" fontId="8" fillId="0" borderId="0"/>
    <xf numFmtId="170" fontId="8" fillId="0" borderId="0"/>
    <xf numFmtId="170" fontId="8" fillId="0" borderId="0"/>
    <xf numFmtId="170" fontId="8" fillId="0" borderId="0"/>
    <xf numFmtId="0" fontId="9" fillId="0" borderId="0"/>
    <xf numFmtId="0" fontId="9" fillId="0" borderId="0"/>
    <xf numFmtId="0" fontId="9" fillId="0" borderId="0"/>
    <xf numFmtId="170" fontId="4" fillId="0" borderId="0"/>
    <xf numFmtId="170" fontId="8" fillId="0" borderId="0"/>
    <xf numFmtId="170" fontId="5" fillId="0" borderId="0"/>
    <xf numFmtId="170" fontId="5" fillId="0" borderId="0"/>
    <xf numFmtId="170" fontId="9" fillId="0" borderId="0"/>
    <xf numFmtId="170" fontId="8" fillId="0" borderId="0"/>
    <xf numFmtId="170" fontId="1" fillId="0" borderId="0"/>
    <xf numFmtId="170" fontId="8" fillId="0" borderId="0"/>
    <xf numFmtId="170" fontId="8" fillId="0" borderId="0"/>
    <xf numFmtId="170" fontId="8" fillId="0" borderId="0"/>
    <xf numFmtId="170" fontId="8" fillId="0" borderId="0"/>
    <xf numFmtId="170" fontId="1" fillId="0" borderId="0"/>
    <xf numFmtId="170" fontId="1" fillId="0" borderId="0"/>
    <xf numFmtId="170" fontId="8" fillId="0" borderId="0"/>
    <xf numFmtId="170" fontId="8" fillId="0" borderId="0"/>
    <xf numFmtId="0" fontId="1" fillId="0" borderId="0"/>
    <xf numFmtId="170" fontId="8" fillId="0" borderId="0"/>
    <xf numFmtId="170" fontId="1" fillId="0" borderId="0"/>
    <xf numFmtId="0" fontId="1" fillId="0" borderId="0"/>
    <xf numFmtId="170" fontId="5" fillId="0" borderId="0"/>
    <xf numFmtId="170" fontId="5" fillId="0" borderId="0"/>
    <xf numFmtId="170" fontId="1" fillId="0" borderId="0"/>
    <xf numFmtId="170" fontId="8" fillId="0" borderId="0"/>
    <xf numFmtId="170" fontId="8" fillId="0" borderId="0"/>
    <xf numFmtId="170" fontId="8" fillId="0" borderId="0"/>
    <xf numFmtId="170" fontId="8" fillId="0" borderId="0"/>
    <xf numFmtId="170" fontId="1" fillId="0" borderId="0"/>
    <xf numFmtId="170" fontId="5" fillId="0" borderId="0"/>
    <xf numFmtId="170" fontId="5" fillId="0" borderId="0"/>
    <xf numFmtId="170" fontId="1" fillId="0" borderId="0"/>
    <xf numFmtId="170" fontId="8" fillId="0" borderId="0"/>
    <xf numFmtId="170" fontId="8" fillId="0" borderId="0"/>
    <xf numFmtId="170" fontId="5" fillId="0" borderId="0"/>
    <xf numFmtId="170" fontId="5" fillId="0" borderId="0"/>
    <xf numFmtId="170" fontId="8" fillId="0" borderId="0"/>
    <xf numFmtId="170" fontId="1" fillId="0" borderId="0"/>
    <xf numFmtId="170" fontId="5" fillId="0" borderId="0"/>
    <xf numFmtId="170" fontId="1" fillId="0" borderId="0"/>
    <xf numFmtId="0" fontId="9"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9" fillId="0" borderId="0"/>
    <xf numFmtId="170" fontId="8" fillId="0" borderId="0"/>
    <xf numFmtId="170" fontId="1" fillId="0" borderId="0"/>
    <xf numFmtId="170" fontId="1" fillId="0" borderId="0"/>
    <xf numFmtId="170" fontId="1" fillId="0" borderId="0"/>
    <xf numFmtId="170" fontId="1" fillId="0" borderId="0"/>
    <xf numFmtId="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2" fontId="15" fillId="0" borderId="0"/>
    <xf numFmtId="170"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9"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9"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9" fillId="0" borderId="0"/>
    <xf numFmtId="170" fontId="5" fillId="0" borderId="0"/>
    <xf numFmtId="170" fontId="5" fillId="0" borderId="0"/>
    <xf numFmtId="0" fontId="1" fillId="0" borderId="0"/>
    <xf numFmtId="0" fontId="1" fillId="0" borderId="0"/>
    <xf numFmtId="172" fontId="15" fillId="0" borderId="0"/>
    <xf numFmtId="170" fontId="9" fillId="0" borderId="0"/>
    <xf numFmtId="170" fontId="1" fillId="0" borderId="0"/>
    <xf numFmtId="170" fontId="1" fillId="0" borderId="0"/>
    <xf numFmtId="0" fontId="1" fillId="0" borderId="0"/>
    <xf numFmtId="170" fontId="9" fillId="0" borderId="0"/>
    <xf numFmtId="170" fontId="9"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8" fillId="0" borderId="0"/>
    <xf numFmtId="170" fontId="4" fillId="0" borderId="0"/>
    <xf numFmtId="170" fontId="4" fillId="0" borderId="0"/>
    <xf numFmtId="170" fontId="8" fillId="0" borderId="0"/>
    <xf numFmtId="170" fontId="9" fillId="0" borderId="0"/>
    <xf numFmtId="170" fontId="8" fillId="0" borderId="0"/>
    <xf numFmtId="170" fontId="8" fillId="0" borderId="0"/>
    <xf numFmtId="170" fontId="8" fillId="0" borderId="0"/>
    <xf numFmtId="170" fontId="1" fillId="0" borderId="0"/>
    <xf numFmtId="170" fontId="8"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8" fillId="0" borderId="0"/>
    <xf numFmtId="170" fontId="9" fillId="0" borderId="0"/>
    <xf numFmtId="170" fontId="8" fillId="0" borderId="0"/>
    <xf numFmtId="170" fontId="8" fillId="0" borderId="0"/>
    <xf numFmtId="0" fontId="1" fillId="0" borderId="0"/>
    <xf numFmtId="0" fontId="1" fillId="0" borderId="0"/>
    <xf numFmtId="170" fontId="8" fillId="0" borderId="0"/>
    <xf numFmtId="170" fontId="8" fillId="0" borderId="0"/>
    <xf numFmtId="0" fontId="4" fillId="0" borderId="0"/>
    <xf numFmtId="0" fontId="1" fillId="0" borderId="0"/>
    <xf numFmtId="170" fontId="8" fillId="0" borderId="0"/>
    <xf numFmtId="170" fontId="8" fillId="0" borderId="0"/>
    <xf numFmtId="0" fontId="35" fillId="0" borderId="0"/>
    <xf numFmtId="0" fontId="1" fillId="0" borderId="0"/>
    <xf numFmtId="170" fontId="8" fillId="0" borderId="0"/>
    <xf numFmtId="170" fontId="8" fillId="0" borderId="0"/>
    <xf numFmtId="169" fontId="37" fillId="0" borderId="0"/>
    <xf numFmtId="0" fontId="1" fillId="0" borderId="0"/>
    <xf numFmtId="170" fontId="8" fillId="0" borderId="0"/>
    <xf numFmtId="170" fontId="8" fillId="0" borderId="0"/>
    <xf numFmtId="170" fontId="1" fillId="0" borderId="0"/>
    <xf numFmtId="170" fontId="9"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4" fillId="0" borderId="0"/>
    <xf numFmtId="0" fontId="4" fillId="0" borderId="0"/>
    <xf numFmtId="170" fontId="8" fillId="0" borderId="0"/>
    <xf numFmtId="170" fontId="8" fillId="0" borderId="0"/>
    <xf numFmtId="0" fontId="4" fillId="0" borderId="0"/>
    <xf numFmtId="0" fontId="4" fillId="0" borderId="0"/>
    <xf numFmtId="170" fontId="8" fillId="0" borderId="0"/>
    <xf numFmtId="170" fontId="8" fillId="0" borderId="0"/>
    <xf numFmtId="0" fontId="4" fillId="0" borderId="0"/>
    <xf numFmtId="0" fontId="4" fillId="0" borderId="0"/>
    <xf numFmtId="170" fontId="8" fillId="0" borderId="0"/>
    <xf numFmtId="170" fontId="8" fillId="0" borderId="0"/>
    <xf numFmtId="0" fontId="4" fillId="0" borderId="0"/>
    <xf numFmtId="0" fontId="4" fillId="0" borderId="0"/>
    <xf numFmtId="170" fontId="8" fillId="0" borderId="0"/>
    <xf numFmtId="170" fontId="8" fillId="0" borderId="0"/>
    <xf numFmtId="0" fontId="4" fillId="0" borderId="0"/>
    <xf numFmtId="0" fontId="4" fillId="0" borderId="0"/>
    <xf numFmtId="170" fontId="8" fillId="0" borderId="0"/>
    <xf numFmtId="170" fontId="8" fillId="0" borderId="0"/>
    <xf numFmtId="170" fontId="1" fillId="0" borderId="0"/>
    <xf numFmtId="170" fontId="9"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4" fillId="0" borderId="0"/>
    <xf numFmtId="0" fontId="4" fillId="0" borderId="0"/>
    <xf numFmtId="170" fontId="8" fillId="0" borderId="0"/>
    <xf numFmtId="170" fontId="8" fillId="0" borderId="0"/>
    <xf numFmtId="0" fontId="4" fillId="0" borderId="0"/>
    <xf numFmtId="0" fontId="4" fillId="0" borderId="0"/>
    <xf numFmtId="170" fontId="8" fillId="0" borderId="0"/>
    <xf numFmtId="170" fontId="8" fillId="0" borderId="0"/>
    <xf numFmtId="0" fontId="4" fillId="0" borderId="0"/>
    <xf numFmtId="0" fontId="4" fillId="0" borderId="0"/>
    <xf numFmtId="170" fontId="8" fillId="0" borderId="0"/>
    <xf numFmtId="170" fontId="8" fillId="0" borderId="0"/>
    <xf numFmtId="0" fontId="4" fillId="0" borderId="0"/>
    <xf numFmtId="0" fontId="4" fillId="0" borderId="0"/>
    <xf numFmtId="170" fontId="8" fillId="0" borderId="0"/>
    <xf numFmtId="170" fontId="8" fillId="0" borderId="0"/>
    <xf numFmtId="170" fontId="1" fillId="0" borderId="0"/>
    <xf numFmtId="170" fontId="9"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4" fillId="0" borderId="0"/>
    <xf numFmtId="0" fontId="4" fillId="0" borderId="0"/>
    <xf numFmtId="170" fontId="1" fillId="0" borderId="0"/>
    <xf numFmtId="0" fontId="4" fillId="0" borderId="0"/>
    <xf numFmtId="0" fontId="4" fillId="0" borderId="0"/>
    <xf numFmtId="170" fontId="1" fillId="0" borderId="0"/>
    <xf numFmtId="0" fontId="4" fillId="0" borderId="0"/>
    <xf numFmtId="0" fontId="4" fillId="0" borderId="0"/>
    <xf numFmtId="170" fontId="1" fillId="0" borderId="0"/>
    <xf numFmtId="0" fontId="4" fillId="0" borderId="0"/>
    <xf numFmtId="0" fontId="4" fillId="0" borderId="0"/>
    <xf numFmtId="170" fontId="1" fillId="0" borderId="0"/>
    <xf numFmtId="0" fontId="4" fillId="0" borderId="0"/>
    <xf numFmtId="0" fontId="4" fillId="0" borderId="0"/>
    <xf numFmtId="170" fontId="1" fillId="0" borderId="0"/>
    <xf numFmtId="172" fontId="1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9"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5" fillId="0" borderId="0"/>
    <xf numFmtId="170" fontId="5" fillId="0" borderId="0"/>
    <xf numFmtId="170" fontId="1" fillId="0" borderId="0"/>
    <xf numFmtId="170" fontId="5" fillId="0" borderId="0"/>
    <xf numFmtId="179" fontId="37" fillId="0" borderId="0"/>
    <xf numFmtId="170" fontId="5" fillId="0" borderId="0"/>
    <xf numFmtId="179" fontId="37" fillId="0" borderId="0"/>
    <xf numFmtId="170" fontId="9" fillId="0" borderId="0"/>
    <xf numFmtId="0" fontId="1" fillId="0" borderId="0"/>
    <xf numFmtId="0" fontId="1" fillId="0" borderId="0"/>
    <xf numFmtId="0" fontId="35" fillId="0" borderId="0"/>
    <xf numFmtId="0" fontId="1" fillId="0" borderId="0"/>
    <xf numFmtId="0" fontId="1" fillId="0" borderId="0"/>
    <xf numFmtId="0" fontId="1" fillId="0" borderId="0"/>
    <xf numFmtId="169" fontId="37" fillId="0" borderId="0"/>
    <xf numFmtId="43" fontId="37" fillId="0" borderId="0"/>
    <xf numFmtId="43" fontId="37" fillId="0" borderId="0"/>
    <xf numFmtId="43" fontId="37" fillId="0" borderId="0"/>
    <xf numFmtId="43" fontId="37" fillId="0" borderId="0"/>
    <xf numFmtId="43" fontId="37" fillId="0" borderId="0"/>
    <xf numFmtId="43" fontId="37" fillId="0" borderId="0"/>
    <xf numFmtId="43" fontId="37" fillId="0" borderId="0"/>
    <xf numFmtId="0" fontId="4" fillId="0" borderId="0"/>
    <xf numFmtId="0" fontId="1" fillId="0" borderId="0"/>
    <xf numFmtId="0" fontId="1" fillId="0" borderId="0"/>
    <xf numFmtId="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1" fillId="0" borderId="0"/>
    <xf numFmtId="170" fontId="1" fillId="0" borderId="0"/>
    <xf numFmtId="17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1" fillId="0" borderId="0"/>
    <xf numFmtId="170" fontId="1" fillId="0" borderId="0"/>
    <xf numFmtId="17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 fillId="0" borderId="0"/>
    <xf numFmtId="17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 fillId="0" borderId="0"/>
    <xf numFmtId="17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0" fontId="1" fillId="0" borderId="0"/>
    <xf numFmtId="170" fontId="1" fillId="0" borderId="0"/>
    <xf numFmtId="170" fontId="1" fillId="0" borderId="0"/>
    <xf numFmtId="170" fontId="1" fillId="0" borderId="0"/>
    <xf numFmtId="0" fontId="1" fillId="0" borderId="0"/>
    <xf numFmtId="0" fontId="4" fillId="0" borderId="0"/>
    <xf numFmtId="0" fontId="4" fillId="0" borderId="0"/>
    <xf numFmtId="0" fontId="4" fillId="0" borderId="0"/>
    <xf numFmtId="0" fontId="4" fillId="0" borderId="0"/>
    <xf numFmtId="172" fontId="15" fillId="0" borderId="0"/>
    <xf numFmtId="171" fontId="9" fillId="0" borderId="0"/>
    <xf numFmtId="171" fontId="9" fillId="0" borderId="0"/>
    <xf numFmtId="171" fontId="9" fillId="0" borderId="0"/>
    <xf numFmtId="171" fontId="9" fillId="0" borderId="0"/>
    <xf numFmtId="171" fontId="9"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1" fillId="0" borderId="0"/>
    <xf numFmtId="171" fontId="9" fillId="0" borderId="0"/>
    <xf numFmtId="171" fontId="9" fillId="0" borderId="0"/>
    <xf numFmtId="171" fontId="9" fillId="0" borderId="0"/>
    <xf numFmtId="171" fontId="9" fillId="0" borderId="0"/>
    <xf numFmtId="171" fontId="9" fillId="0" borderId="0"/>
    <xf numFmtId="171" fontId="9"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1" fillId="0" borderId="0"/>
    <xf numFmtId="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1" fillId="0" borderId="0"/>
    <xf numFmtId="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0" fontId="1" fillId="0" borderId="0"/>
    <xf numFmtId="0" fontId="1" fillId="0" borderId="0"/>
    <xf numFmtId="170" fontId="1" fillId="0" borderId="0"/>
    <xf numFmtId="170" fontId="1" fillId="0" borderId="0"/>
    <xf numFmtId="170" fontId="1" fillId="0" borderId="0"/>
    <xf numFmtId="170" fontId="1" fillId="0" borderId="0"/>
    <xf numFmtId="0" fontId="1" fillId="0" borderId="0"/>
    <xf numFmtId="0" fontId="1" fillId="0" borderId="0"/>
    <xf numFmtId="172" fontId="27"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1" fillId="0" borderId="0"/>
    <xf numFmtId="0" fontId="9" fillId="0" borderId="0"/>
    <xf numFmtId="0" fontId="9" fillId="0" borderId="0"/>
    <xf numFmtId="0" fontId="1"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0" fontId="5" fillId="0" borderId="0"/>
    <xf numFmtId="172" fontId="27" fillId="0" borderId="0"/>
    <xf numFmtId="170" fontId="5" fillId="0" borderId="0"/>
    <xf numFmtId="170" fontId="5"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4"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4" fillId="28" borderId="15" applyNumberFormat="0" applyFont="0" applyAlignment="0" applyProtection="0"/>
    <xf numFmtId="170" fontId="4"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4" fillId="28" borderId="15" applyNumberFormat="0" applyFont="0" applyAlignment="0" applyProtection="0"/>
    <xf numFmtId="170" fontId="1" fillId="0" borderId="0"/>
    <xf numFmtId="170" fontId="7"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1" fillId="0" borderId="0"/>
    <xf numFmtId="170" fontId="7"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7" fillId="28" borderId="15" applyNumberFormat="0" applyFont="0" applyAlignment="0" applyProtection="0"/>
    <xf numFmtId="170" fontId="1" fillId="0" borderId="0"/>
    <xf numFmtId="170" fontId="7" fillId="28" borderId="15" applyNumberFormat="0" applyFont="0" applyAlignment="0" applyProtection="0"/>
    <xf numFmtId="170" fontId="7" fillId="28" borderId="15" applyNumberFormat="0" applyFont="0" applyAlignment="0" applyProtection="0"/>
    <xf numFmtId="170" fontId="1" fillId="0" borderId="0"/>
    <xf numFmtId="170" fontId="7" fillId="28" borderId="15" applyNumberFormat="0" applyFont="0" applyAlignment="0" applyProtection="0"/>
    <xf numFmtId="170" fontId="1" fillId="0" borderId="0"/>
    <xf numFmtId="170" fontId="7" fillId="28" borderId="15" applyNumberFormat="0" applyFont="0" applyAlignment="0" applyProtection="0"/>
    <xf numFmtId="170" fontId="1" fillId="0" borderId="0"/>
    <xf numFmtId="170" fontId="7" fillId="28" borderId="15" applyNumberFormat="0" applyFont="0" applyAlignment="0" applyProtection="0"/>
    <xf numFmtId="170" fontId="7" fillId="28" borderId="15" applyNumberFormat="0" applyFont="0" applyAlignment="0" applyProtection="0"/>
    <xf numFmtId="170" fontId="1" fillId="0" borderId="0"/>
    <xf numFmtId="170" fontId="1" fillId="0" borderId="0"/>
    <xf numFmtId="170" fontId="1" fillId="0" borderId="0"/>
    <xf numFmtId="170" fontId="1" fillId="0" borderId="0"/>
    <xf numFmtId="0" fontId="1" fillId="29" borderId="1" applyNumberFormat="0" applyFont="0" applyAlignment="0" applyProtection="0"/>
    <xf numFmtId="170" fontId="57" fillId="22" borderId="16" applyNumberFormat="0" applyAlignment="0" applyProtection="0"/>
    <xf numFmtId="170" fontId="57" fillId="22" borderId="16" applyNumberFormat="0" applyAlignment="0" applyProtection="0"/>
    <xf numFmtId="170" fontId="57" fillId="22" borderId="16" applyNumberFormat="0" applyAlignment="0" applyProtection="0"/>
    <xf numFmtId="170" fontId="57" fillId="22" borderId="16" applyNumberFormat="0" applyAlignment="0" applyProtection="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40" fontId="17" fillId="24" borderId="0">
      <alignment horizontal="right"/>
    </xf>
    <xf numFmtId="170" fontId="58" fillId="28" borderId="0">
      <alignment horizontal="center"/>
    </xf>
    <xf numFmtId="170" fontId="59" fillId="30" borderId="4"/>
    <xf numFmtId="170" fontId="60" fillId="0" borderId="0" applyBorder="0">
      <alignment horizontal="centerContinuous"/>
    </xf>
    <xf numFmtId="170" fontId="61" fillId="0" borderId="0" applyBorder="0">
      <alignment horizontal="centerContinuous"/>
    </xf>
    <xf numFmtId="9" fontId="9"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9" fillId="0" borderId="0" applyFont="0" applyFill="0" applyBorder="0" applyAlignment="0" applyProtection="0"/>
    <xf numFmtId="9" fontId="1"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1"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1" fillId="0" borderId="0"/>
    <xf numFmtId="9" fontId="7"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170" fontId="1" fillId="0" borderId="0"/>
    <xf numFmtId="170" fontId="1" fillId="0" borderId="0"/>
    <xf numFmtId="9" fontId="7" fillId="0" borderId="0" applyFont="0" applyFill="0" applyBorder="0" applyAlignment="0" applyProtection="0"/>
    <xf numFmtId="9" fontId="7" fillId="0" borderId="0" applyFont="0" applyFill="0" applyBorder="0" applyAlignment="0" applyProtection="0"/>
    <xf numFmtId="170" fontId="1" fillId="0" borderId="0"/>
    <xf numFmtId="170" fontId="1" fillId="0" borderId="0"/>
    <xf numFmtId="9" fontId="7" fillId="0" borderId="0" applyFont="0" applyFill="0" applyBorder="0" applyAlignment="0" applyProtection="0"/>
    <xf numFmtId="9" fontId="7" fillId="0" borderId="0" applyFont="0" applyFill="0" applyBorder="0" applyAlignment="0" applyProtection="0"/>
    <xf numFmtId="170" fontId="1" fillId="0" borderId="0"/>
    <xf numFmtId="170" fontId="1" fillId="0" borderId="0"/>
    <xf numFmtId="9" fontId="7" fillId="0" borderId="0" applyFont="0" applyFill="0" applyBorder="0" applyAlignment="0" applyProtection="0"/>
    <xf numFmtId="9" fontId="7" fillId="0" borderId="0" applyFont="0" applyFill="0" applyBorder="0" applyAlignment="0" applyProtection="0"/>
    <xf numFmtId="170" fontId="1" fillId="0" borderId="0"/>
    <xf numFmtId="170" fontId="1" fillId="0" borderId="0"/>
    <xf numFmtId="9" fontId="7" fillId="0" borderId="0" applyFont="0" applyFill="0" applyBorder="0" applyAlignment="0" applyProtection="0"/>
    <xf numFmtId="9" fontId="7" fillId="0" borderId="0" applyFont="0" applyFill="0" applyBorder="0" applyAlignment="0" applyProtection="0"/>
    <xf numFmtId="170" fontId="1" fillId="0" borderId="0"/>
    <xf numFmtId="170" fontId="1" fillId="0" borderId="0"/>
    <xf numFmtId="9" fontId="7"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1" fillId="0" borderId="0"/>
    <xf numFmtId="170" fontId="1"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1" fillId="0" borderId="0"/>
    <xf numFmtId="170" fontId="1" fillId="0" borderId="0"/>
    <xf numFmtId="9" fontId="7" fillId="0" borderId="0" applyFont="0" applyFill="0" applyBorder="0" applyAlignment="0" applyProtection="0"/>
    <xf numFmtId="9" fontId="7" fillId="0" borderId="0" applyFont="0" applyFill="0" applyBorder="0" applyAlignment="0" applyProtection="0"/>
    <xf numFmtId="170" fontId="1" fillId="0" borderId="0"/>
    <xf numFmtId="170" fontId="1"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1" fillId="0" borderId="0"/>
    <xf numFmtId="170" fontId="1" fillId="0" borderId="0"/>
    <xf numFmtId="9" fontId="7" fillId="0" borderId="0" applyFont="0" applyFill="0" applyBorder="0" applyAlignment="0" applyProtection="0"/>
    <xf numFmtId="9" fontId="7" fillId="0" borderId="0" applyFont="0" applyFill="0" applyBorder="0" applyAlignment="0" applyProtection="0"/>
    <xf numFmtId="170" fontId="1" fillId="0" borderId="0"/>
    <xf numFmtId="170" fontId="1" fillId="0" borderId="0"/>
    <xf numFmtId="170" fontId="1" fillId="0" borderId="0"/>
    <xf numFmtId="170" fontId="1" fillId="0" borderId="0"/>
    <xf numFmtId="9" fontId="7" fillId="0" borderId="0" applyFont="0" applyFill="0" applyBorder="0" applyAlignment="0" applyProtection="0"/>
    <xf numFmtId="9" fontId="7" fillId="0" borderId="0" applyFont="0" applyFill="0" applyBorder="0" applyAlignment="0" applyProtection="0"/>
    <xf numFmtId="170" fontId="1" fillId="0" borderId="0"/>
    <xf numFmtId="170" fontId="1"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1" fillId="0" borderId="0"/>
    <xf numFmtId="170" fontId="1" fillId="0" borderId="0"/>
    <xf numFmtId="9" fontId="7" fillId="0" borderId="0" applyFont="0" applyFill="0" applyBorder="0" applyAlignment="0" applyProtection="0"/>
    <xf numFmtId="9" fontId="7" fillId="0" borderId="0" applyFont="0" applyFill="0" applyBorder="0" applyAlignment="0" applyProtection="0"/>
    <xf numFmtId="170" fontId="1" fillId="0" borderId="0"/>
    <xf numFmtId="170" fontId="1" fillId="0" borderId="0"/>
    <xf numFmtId="9" fontId="7" fillId="0" borderId="0" applyFont="0" applyFill="0" applyBorder="0" applyAlignment="0" applyProtection="0"/>
    <xf numFmtId="9" fontId="7" fillId="0" borderId="0" applyFont="0" applyFill="0" applyBorder="0" applyAlignment="0" applyProtection="0"/>
    <xf numFmtId="170" fontId="1" fillId="0" borderId="0"/>
    <xf numFmtId="170" fontId="1" fillId="0" borderId="0"/>
    <xf numFmtId="9" fontId="7" fillId="0" borderId="0" applyFont="0" applyFill="0" applyBorder="0" applyAlignment="0" applyProtection="0"/>
    <xf numFmtId="9" fontId="7" fillId="0" borderId="0" applyFont="0" applyFill="0" applyBorder="0" applyAlignment="0" applyProtection="0"/>
    <xf numFmtId="170" fontId="1" fillId="0" borderId="0"/>
    <xf numFmtId="170" fontId="1" fillId="0" borderId="0"/>
    <xf numFmtId="9" fontId="7" fillId="0" borderId="0" applyFont="0" applyFill="0" applyBorder="0" applyAlignment="0" applyProtection="0"/>
    <xf numFmtId="9" fontId="7" fillId="0" borderId="0" applyFont="0" applyFill="0" applyBorder="0" applyAlignment="0" applyProtection="0"/>
    <xf numFmtId="170" fontId="1" fillId="0" borderId="0"/>
    <xf numFmtId="170" fontId="1"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1"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9" fillId="0" borderId="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7"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70" fontId="1" fillId="0" borderId="0"/>
    <xf numFmtId="9" fontId="9"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9" fillId="0" borderId="0" applyFont="0" applyFill="0" applyBorder="0" applyAlignment="0" applyProtection="0"/>
    <xf numFmtId="9" fontId="7" fillId="0" borderId="0" applyFont="0" applyFill="0" applyBorder="0" applyAlignment="0" applyProtection="0"/>
    <xf numFmtId="9" fontId="9" fillId="0" borderId="0" applyFont="0" applyFill="0" applyBorder="0" applyAlignment="0" applyProtection="0"/>
    <xf numFmtId="9" fontId="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9" fillId="0" borderId="0" applyFont="0" applyFill="0" applyBorder="0" applyAlignment="0" applyProtection="0"/>
    <xf numFmtId="170" fontId="62" fillId="6" borderId="0">
      <alignment horizontal="left" indent="1"/>
    </xf>
    <xf numFmtId="0" fontId="63" fillId="0" borderId="0"/>
    <xf numFmtId="178" fontId="63" fillId="0" borderId="0"/>
    <xf numFmtId="178" fontId="47" fillId="0" borderId="0" applyBorder="0" applyProtection="0"/>
    <xf numFmtId="0" fontId="1" fillId="0" borderId="0"/>
    <xf numFmtId="0" fontId="1" fillId="0" borderId="0"/>
    <xf numFmtId="170" fontId="64" fillId="6" borderId="0" applyBorder="0">
      <alignment horizontal="left" vertical="center" indent="1"/>
    </xf>
    <xf numFmtId="170" fontId="65" fillId="0" borderId="0" applyNumberFormat="0" applyFill="0" applyBorder="0" applyAlignment="0" applyProtection="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66" fillId="0" borderId="17" applyNumberFormat="0" applyFill="0" applyAlignment="0" applyProtection="0"/>
    <xf numFmtId="170" fontId="66" fillId="0" borderId="17" applyNumberFormat="0" applyFill="0" applyAlignment="0" applyProtection="0"/>
    <xf numFmtId="170" fontId="66" fillId="0" borderId="17" applyNumberFormat="0" applyFill="0" applyAlignment="0" applyProtection="0"/>
    <xf numFmtId="170" fontId="66" fillId="0" borderId="17" applyNumberFormat="0" applyFill="0" applyAlignment="0" applyProtection="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1" fillId="0" borderId="0"/>
    <xf numFmtId="170" fontId="67" fillId="0" borderId="0" applyNumberFormat="0" applyFill="0" applyBorder="0" applyAlignment="0" applyProtection="0"/>
    <xf numFmtId="170" fontId="1" fillId="0" borderId="0"/>
    <xf numFmtId="17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7" fillId="0" borderId="0">
      <alignment vertical="center"/>
    </xf>
    <xf numFmtId="43" fontId="4"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alignment vertical="center"/>
    </xf>
    <xf numFmtId="43" fontId="4" fillId="0" borderId="0" applyFont="0" applyFill="0" applyBorder="0" applyAlignment="0" applyProtection="0"/>
    <xf numFmtId="178" fontId="4" fillId="0" borderId="0"/>
    <xf numFmtId="0" fontId="7" fillId="0" borderId="0">
      <alignment vertical="center"/>
    </xf>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alignment vertical="center"/>
    </xf>
    <xf numFmtId="0" fontId="1" fillId="0" borderId="0"/>
    <xf numFmtId="0" fontId="1" fillId="0" borderId="0"/>
    <xf numFmtId="0" fontId="4" fillId="0" borderId="0"/>
    <xf numFmtId="0" fontId="1" fillId="0" borderId="0"/>
    <xf numFmtId="43" fontId="1" fillId="0" borderId="0" applyFont="0" applyFill="0" applyBorder="0" applyAlignment="0" applyProtection="0">
      <alignment vertical="center"/>
    </xf>
    <xf numFmtId="41" fontId="1" fillId="0" borderId="0" applyFont="0" applyFill="0" applyBorder="0" applyAlignment="0" applyProtection="0">
      <alignment vertical="center"/>
    </xf>
    <xf numFmtId="0" fontId="1" fillId="0" borderId="0"/>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0" fontId="1" fillId="0" borderId="0"/>
    <xf numFmtId="0" fontId="1" fillId="0" borderId="0"/>
    <xf numFmtId="0" fontId="1" fillId="0" borderId="0"/>
    <xf numFmtId="0" fontId="4" fillId="0" borderId="0"/>
    <xf numFmtId="0" fontId="1" fillId="0" borderId="0"/>
    <xf numFmtId="178" fontId="7" fillId="0" borderId="0">
      <alignment vertical="center"/>
    </xf>
    <xf numFmtId="0" fontId="1" fillId="0" borderId="0"/>
    <xf numFmtId="0" fontId="6" fillId="0" borderId="0"/>
    <xf numFmtId="43" fontId="1" fillId="0" borderId="0" applyFont="0" applyFill="0" applyBorder="0" applyAlignment="0" applyProtection="0">
      <alignment vertical="center"/>
    </xf>
    <xf numFmtId="178" fontId="1" fillId="0" borderId="0"/>
    <xf numFmtId="0" fontId="4" fillId="0" borderId="0"/>
    <xf numFmtId="0" fontId="1" fillId="0" borderId="0"/>
    <xf numFmtId="178" fontId="1" fillId="0" borderId="0"/>
    <xf numFmtId="0" fontId="1" fillId="0" borderId="0"/>
    <xf numFmtId="0" fontId="1" fillId="0" borderId="0"/>
    <xf numFmtId="43" fontId="1" fillId="0" borderId="0" applyFont="0" applyFill="0" applyBorder="0" applyAlignment="0" applyProtection="0">
      <alignment vertical="center"/>
    </xf>
    <xf numFmtId="0" fontId="7" fillId="0" borderId="0">
      <alignment vertical="center"/>
    </xf>
    <xf numFmtId="0" fontId="1" fillId="0" borderId="0"/>
    <xf numFmtId="0" fontId="1" fillId="0" borderId="0"/>
    <xf numFmtId="0" fontId="7" fillId="0" borderId="0">
      <alignment vertical="center"/>
    </xf>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170" fontId="9" fillId="0" borderId="0"/>
    <xf numFmtId="170" fontId="9" fillId="0" borderId="0"/>
    <xf numFmtId="170" fontId="9"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alignment vertical="center"/>
    </xf>
    <xf numFmtId="0" fontId="1" fillId="0" borderId="0"/>
    <xf numFmtId="0" fontId="1" fillId="0" borderId="0"/>
    <xf numFmtId="0" fontId="1" fillId="0" borderId="0"/>
    <xf numFmtId="172" fontId="27" fillId="0" borderId="0"/>
    <xf numFmtId="9" fontId="1" fillId="0" borderId="0" applyFont="0" applyFill="0" applyBorder="0" applyAlignment="0" applyProtection="0"/>
    <xf numFmtId="44" fontId="1" fillId="0" borderId="0" applyFont="0" applyFill="0" applyBorder="0" applyAlignment="0" applyProtection="0"/>
  </cellStyleXfs>
  <cellXfs count="384">
    <xf numFmtId="0" fontId="0" fillId="0" borderId="0" xfId="0"/>
    <xf numFmtId="0" fontId="68" fillId="0" borderId="18" xfId="0" applyFont="1" applyBorder="1" applyAlignment="1">
      <alignment horizontal="right" vertical="center" indent="1"/>
    </xf>
    <xf numFmtId="0" fontId="68" fillId="0" borderId="0" xfId="0" applyFont="1" applyAlignment="1">
      <alignment horizontal="left" vertical="center" wrapText="1" indent="1"/>
    </xf>
    <xf numFmtId="0" fontId="6" fillId="0" borderId="0" xfId="0" applyFont="1" applyAlignment="1">
      <alignment horizontal="left" vertical="center" wrapText="1" indent="1"/>
    </xf>
    <xf numFmtId="0" fontId="6" fillId="0" borderId="0" xfId="0" applyFont="1"/>
    <xf numFmtId="0" fontId="6" fillId="0" borderId="0" xfId="0" applyFont="1" applyAlignment="1">
      <alignment horizontal="center" vertical="center" wrapText="1"/>
    </xf>
    <xf numFmtId="166" fontId="71" fillId="0" borderId="0" xfId="0" applyNumberFormat="1" applyFont="1" applyAlignment="1">
      <alignment horizontal="center" vertical="center"/>
    </xf>
    <xf numFmtId="166" fontId="6" fillId="0" borderId="0" xfId="0" applyNumberFormat="1" applyFont="1" applyAlignment="1">
      <alignment horizontal="center" vertical="center"/>
    </xf>
    <xf numFmtId="166" fontId="69" fillId="0" borderId="0" xfId="0" applyNumberFormat="1" applyFont="1" applyAlignment="1">
      <alignment horizontal="center" vertical="center"/>
    </xf>
    <xf numFmtId="0" fontId="70" fillId="2" borderId="20" xfId="0" applyFont="1" applyFill="1" applyBorder="1" applyAlignment="1">
      <alignment horizontal="center" vertical="center"/>
    </xf>
    <xf numFmtId="9" fontId="0" fillId="0" borderId="0" xfId="54225" applyFont="1"/>
    <xf numFmtId="0" fontId="0" fillId="0" borderId="0" xfId="0" applyAlignment="1">
      <alignment horizontal="center"/>
    </xf>
    <xf numFmtId="0" fontId="0" fillId="0" borderId="22" xfId="0" applyBorder="1"/>
    <xf numFmtId="0" fontId="0" fillId="31" borderId="22" xfId="0" applyFill="1" applyBorder="1"/>
    <xf numFmtId="2" fontId="0" fillId="0" borderId="0" xfId="0" applyNumberFormat="1"/>
    <xf numFmtId="0" fontId="0" fillId="0" borderId="0" xfId="0" quotePrefix="1"/>
    <xf numFmtId="182" fontId="0" fillId="0" borderId="0" xfId="54225" applyNumberFormat="1" applyFont="1"/>
    <xf numFmtId="0" fontId="6" fillId="31" borderId="22" xfId="0" applyFont="1" applyFill="1" applyBorder="1" applyAlignment="1">
      <alignment horizontal="center" vertical="center" wrapText="1"/>
    </xf>
    <xf numFmtId="0" fontId="6" fillId="0" borderId="22" xfId="0" applyFont="1" applyBorder="1" applyAlignment="1">
      <alignment horizontal="center" vertical="center" wrapText="1"/>
    </xf>
    <xf numFmtId="165" fontId="2" fillId="0" borderId="0" xfId="1" applyNumberFormat="1" applyFont="1" applyFill="1" applyBorder="1" applyAlignment="1">
      <alignment horizontal="right" vertical="center"/>
    </xf>
    <xf numFmtId="165" fontId="3" fillId="0" borderId="0" xfId="1" applyNumberFormat="1" applyFont="1" applyFill="1" applyBorder="1" applyAlignment="1">
      <alignment horizontal="right" vertical="center"/>
    </xf>
    <xf numFmtId="0" fontId="74" fillId="0" borderId="0" xfId="0" applyFont="1" applyAlignment="1">
      <alignment horizontal="right" vertical="center"/>
    </xf>
    <xf numFmtId="0" fontId="2" fillId="0" borderId="0" xfId="0" applyFont="1" applyAlignment="1">
      <alignment horizontal="right" vertical="center"/>
    </xf>
    <xf numFmtId="0" fontId="3" fillId="0" borderId="0" xfId="0" applyFont="1" applyAlignment="1">
      <alignment horizontal="right" vertical="center"/>
    </xf>
    <xf numFmtId="165" fontId="6" fillId="0" borderId="0" xfId="1" applyNumberFormat="1" applyFont="1" applyFill="1" applyBorder="1" applyAlignment="1">
      <alignment horizontal="right" vertical="center"/>
    </xf>
    <xf numFmtId="0" fontId="2" fillId="0" borderId="0" xfId="0" applyFont="1" applyAlignment="1">
      <alignment vertical="center" wrapText="1"/>
    </xf>
    <xf numFmtId="165" fontId="3" fillId="0" borderId="0" xfId="1" applyNumberFormat="1" applyFont="1" applyAlignment="1">
      <alignment horizontal="right" vertical="center"/>
    </xf>
    <xf numFmtId="0" fontId="75" fillId="2" borderId="0" xfId="0" applyFont="1" applyFill="1" applyAlignment="1">
      <alignment horizontal="center" vertical="top" wrapText="1"/>
    </xf>
    <xf numFmtId="0" fontId="75" fillId="2" borderId="0" xfId="0" applyFont="1" applyFill="1" applyAlignment="1">
      <alignment horizontal="right" vertical="top" wrapText="1"/>
    </xf>
    <xf numFmtId="0" fontId="76" fillId="2" borderId="0" xfId="0" applyFont="1" applyFill="1" applyAlignment="1">
      <alignment horizontal="center" vertical="top" wrapText="1"/>
    </xf>
    <xf numFmtId="0" fontId="76" fillId="2" borderId="23" xfId="0" applyFont="1" applyFill="1" applyBorder="1" applyAlignment="1">
      <alignment horizontal="center" vertical="top" wrapText="1"/>
    </xf>
    <xf numFmtId="0" fontId="76" fillId="2" borderId="0" xfId="0" applyFont="1" applyFill="1" applyAlignment="1">
      <alignment horizontal="right" vertical="top" wrapText="1"/>
    </xf>
    <xf numFmtId="0" fontId="75" fillId="2" borderId="2" xfId="0" applyFont="1" applyFill="1" applyBorder="1" applyAlignment="1">
      <alignment vertical="top" wrapText="1"/>
    </xf>
    <xf numFmtId="0" fontId="75" fillId="2" borderId="2" xfId="0" applyFont="1" applyFill="1" applyBorder="1" applyAlignment="1">
      <alignment horizontal="center" vertical="top" wrapText="1"/>
    </xf>
    <xf numFmtId="0" fontId="76" fillId="2" borderId="2" xfId="0" applyFont="1" applyFill="1" applyBorder="1" applyAlignment="1">
      <alignment horizontal="right" vertical="center"/>
    </xf>
    <xf numFmtId="0" fontId="75" fillId="2" borderId="2" xfId="0" applyFont="1" applyFill="1" applyBorder="1" applyAlignment="1">
      <alignment horizontal="right" vertical="top"/>
    </xf>
    <xf numFmtId="0" fontId="76" fillId="0" borderId="0" xfId="0" applyFont="1" applyAlignment="1">
      <alignment vertical="center" wrapText="1"/>
    </xf>
    <xf numFmtId="165" fontId="76" fillId="0" borderId="0" xfId="1" applyNumberFormat="1" applyFont="1" applyFill="1" applyBorder="1" applyAlignment="1">
      <alignment vertical="center" wrapText="1"/>
    </xf>
    <xf numFmtId="0" fontId="75" fillId="0" borderId="0" xfId="0" applyFont="1" applyAlignment="1">
      <alignment horizontal="center" vertical="center" wrapText="1"/>
    </xf>
    <xf numFmtId="165" fontId="76" fillId="0" borderId="0" xfId="1" applyNumberFormat="1" applyFont="1" applyFill="1" applyBorder="1" applyAlignment="1">
      <alignment horizontal="right" vertical="center"/>
    </xf>
    <xf numFmtId="0" fontId="76" fillId="0" borderId="0" xfId="0" applyFont="1" applyAlignment="1">
      <alignment horizontal="left" vertical="center" wrapText="1"/>
    </xf>
    <xf numFmtId="165" fontId="74" fillId="0" borderId="0" xfId="1" applyNumberFormat="1" applyFont="1" applyFill="1" applyBorder="1" applyAlignment="1">
      <alignment horizontal="right" vertical="center"/>
    </xf>
    <xf numFmtId="165" fontId="2" fillId="0" borderId="0" xfId="1" quotePrefix="1" applyNumberFormat="1" applyFont="1" applyFill="1" applyBorder="1" applyAlignment="1">
      <alignment horizontal="right" vertical="center"/>
    </xf>
    <xf numFmtId="0" fontId="76" fillId="2" borderId="0" xfId="0" applyFont="1" applyFill="1" applyAlignment="1">
      <alignment horizontal="left" vertical="top" wrapText="1" indent="1"/>
    </xf>
    <xf numFmtId="0" fontId="76" fillId="2" borderId="0" xfId="0" applyFont="1" applyFill="1" applyAlignment="1">
      <alignment horizontal="left" vertical="top" wrapText="1"/>
    </xf>
    <xf numFmtId="0" fontId="77" fillId="2" borderId="0" xfId="0" applyFont="1" applyFill="1" applyAlignment="1">
      <alignment horizontal="center" vertical="top" wrapText="1"/>
    </xf>
    <xf numFmtId="0" fontId="76" fillId="2" borderId="23" xfId="0" applyFont="1" applyFill="1" applyBorder="1" applyAlignment="1">
      <alignment horizontal="right" vertical="top" wrapText="1"/>
    </xf>
    <xf numFmtId="0" fontId="76" fillId="0" borderId="0" xfId="0" applyFont="1" applyAlignment="1">
      <alignment horizontal="left" vertical="center" wrapText="1" indent="1"/>
    </xf>
    <xf numFmtId="0" fontId="2" fillId="0" borderId="0" xfId="0" applyFont="1" applyAlignment="1">
      <alignment horizontal="left" vertical="center" wrapText="1" indent="1"/>
    </xf>
    <xf numFmtId="0" fontId="68" fillId="0" borderId="0" xfId="0" applyFont="1" applyAlignment="1">
      <alignment horizontal="left" vertical="top" wrapText="1" indent="1"/>
    </xf>
    <xf numFmtId="0" fontId="70" fillId="0" borderId="0" xfId="0" applyFont="1" applyAlignment="1">
      <alignment vertical="top" wrapText="1"/>
    </xf>
    <xf numFmtId="0" fontId="69" fillId="0" borderId="0" xfId="0" applyFont="1" applyAlignment="1">
      <alignment horizontal="center" vertical="top" wrapText="1"/>
    </xf>
    <xf numFmtId="165" fontId="70" fillId="0" borderId="0" xfId="1" applyNumberFormat="1" applyFont="1" applyFill="1" applyBorder="1" applyAlignment="1">
      <alignment horizontal="right" vertical="center"/>
    </xf>
    <xf numFmtId="0" fontId="68" fillId="0" borderId="0" xfId="0" applyFont="1" applyAlignment="1">
      <alignment horizontal="center" vertical="top" wrapText="1"/>
    </xf>
    <xf numFmtId="0" fontId="69" fillId="0" borderId="18" xfId="0" applyFont="1" applyBorder="1" applyAlignment="1">
      <alignment vertical="top" wrapText="1"/>
    </xf>
    <xf numFmtId="0" fontId="69" fillId="0" borderId="18" xfId="0" applyFont="1" applyBorder="1" applyAlignment="1">
      <alignment horizontal="right" vertical="top" indent="1"/>
    </xf>
    <xf numFmtId="165" fontId="68" fillId="0" borderId="0" xfId="1" applyNumberFormat="1" applyFont="1" applyFill="1" applyBorder="1" applyAlignment="1">
      <alignment vertical="center" wrapText="1"/>
    </xf>
    <xf numFmtId="165" fontId="68" fillId="0" borderId="0" xfId="1" applyNumberFormat="1" applyFont="1" applyFill="1" applyBorder="1" applyAlignment="1">
      <alignment horizontal="right" vertical="center"/>
    </xf>
    <xf numFmtId="165" fontId="71" fillId="0" borderId="0" xfId="1" applyNumberFormat="1" applyFont="1" applyFill="1" applyBorder="1" applyAlignment="1">
      <alignment vertical="center"/>
    </xf>
    <xf numFmtId="165" fontId="71" fillId="0" borderId="0" xfId="1" applyNumberFormat="1" applyFont="1" applyFill="1" applyBorder="1" applyAlignment="1">
      <alignment horizontal="right" vertical="center"/>
    </xf>
    <xf numFmtId="165" fontId="6" fillId="0" borderId="0" xfId="1" quotePrefix="1" applyNumberFormat="1" applyFont="1" applyFill="1" applyBorder="1" applyAlignment="1">
      <alignment horizontal="right" vertical="center"/>
    </xf>
    <xf numFmtId="165" fontId="6" fillId="0" borderId="0" xfId="1" applyNumberFormat="1" applyFont="1" applyFill="1" applyAlignment="1">
      <alignment horizontal="right" vertical="center"/>
    </xf>
    <xf numFmtId="165" fontId="70" fillId="0" borderId="0" xfId="1" applyNumberFormat="1" applyFont="1" applyFill="1" applyBorder="1" applyAlignment="1">
      <alignment vertical="center" wrapText="1"/>
    </xf>
    <xf numFmtId="165" fontId="6" fillId="0" borderId="0" xfId="1" applyNumberFormat="1" applyFont="1" applyFill="1" applyAlignment="1">
      <alignment vertical="center"/>
    </xf>
    <xf numFmtId="165" fontId="3" fillId="0" borderId="0" xfId="1" applyNumberFormat="1" applyFont="1" applyFill="1" applyAlignment="1">
      <alignment horizontal="right" vertical="center"/>
    </xf>
    <xf numFmtId="165" fontId="2" fillId="0" borderId="0" xfId="1" applyNumberFormat="1" applyFont="1" applyBorder="1" applyAlignment="1">
      <alignment horizontal="right" vertical="center"/>
    </xf>
    <xf numFmtId="0" fontId="73" fillId="34" borderId="2" xfId="0" applyFont="1" applyFill="1" applyBorder="1" applyAlignment="1">
      <alignment horizontal="center" vertical="center"/>
    </xf>
    <xf numFmtId="0" fontId="6" fillId="0" borderId="0" xfId="0" applyFont="1" applyAlignment="1">
      <alignment vertical="center"/>
    </xf>
    <xf numFmtId="165" fontId="3" fillId="0" borderId="0" xfId="1" applyNumberFormat="1" applyFont="1" applyFill="1" applyBorder="1" applyAlignment="1">
      <alignment vertical="center"/>
    </xf>
    <xf numFmtId="165" fontId="6" fillId="0" borderId="0" xfId="1" applyNumberFormat="1" applyFont="1" applyFill="1" applyBorder="1" applyAlignment="1">
      <alignment vertical="center"/>
    </xf>
    <xf numFmtId="165" fontId="3" fillId="0" borderId="0" xfId="1" applyNumberFormat="1" applyFont="1" applyFill="1" applyAlignment="1">
      <alignment vertical="center"/>
    </xf>
    <xf numFmtId="2" fontId="6" fillId="0" borderId="0" xfId="1" applyNumberFormat="1" applyFont="1" applyFill="1" applyBorder="1" applyAlignment="1">
      <alignment horizontal="center" vertical="center"/>
    </xf>
    <xf numFmtId="2" fontId="6" fillId="0" borderId="0" xfId="0" applyNumberFormat="1" applyFont="1" applyAlignment="1">
      <alignment vertical="center"/>
    </xf>
    <xf numFmtId="2" fontId="3" fillId="0" borderId="0" xfId="1" applyNumberFormat="1" applyFont="1" applyFill="1" applyBorder="1" applyAlignment="1">
      <alignment vertical="center"/>
    </xf>
    <xf numFmtId="2" fontId="6" fillId="0" borderId="0" xfId="1" applyNumberFormat="1" applyFont="1" applyFill="1" applyBorder="1" applyAlignment="1">
      <alignment vertical="center"/>
    </xf>
    <xf numFmtId="0" fontId="73" fillId="32" borderId="21" xfId="0" applyFont="1" applyFill="1" applyBorder="1" applyAlignment="1">
      <alignment horizontal="center" vertical="center"/>
    </xf>
    <xf numFmtId="2" fontId="3" fillId="0" borderId="0" xfId="1" applyNumberFormat="1" applyFont="1" applyFill="1" applyBorder="1" applyAlignment="1">
      <alignment horizontal="right" vertical="center"/>
    </xf>
    <xf numFmtId="2" fontId="6" fillId="0" borderId="0" xfId="1" applyNumberFormat="1" applyFont="1" applyFill="1" applyBorder="1" applyAlignment="1">
      <alignment horizontal="right" vertical="center"/>
    </xf>
    <xf numFmtId="2" fontId="0" fillId="0" borderId="0" xfId="0" applyNumberFormat="1" applyAlignment="1">
      <alignment horizontal="center" vertical="center"/>
    </xf>
    <xf numFmtId="2" fontId="2" fillId="0" borderId="0" xfId="1" applyNumberFormat="1" applyFont="1" applyBorder="1" applyAlignment="1">
      <alignment horizontal="right" vertical="center"/>
    </xf>
    <xf numFmtId="0" fontId="73" fillId="34" borderId="18" xfId="0" applyFont="1" applyFill="1" applyBorder="1" applyAlignment="1">
      <alignment horizontal="center" vertical="center"/>
    </xf>
    <xf numFmtId="0" fontId="79" fillId="34" borderId="2" xfId="0" applyFont="1" applyFill="1" applyBorder="1" applyAlignment="1">
      <alignment horizontal="center" vertical="center" wrapText="1"/>
    </xf>
    <xf numFmtId="0" fontId="80" fillId="34" borderId="0" xfId="0" applyFont="1" applyFill="1" applyAlignment="1">
      <alignment horizontal="center" vertical="center"/>
    </xf>
    <xf numFmtId="0" fontId="77" fillId="0" borderId="0" xfId="0" applyFont="1" applyAlignment="1">
      <alignment horizontal="center" vertical="center"/>
    </xf>
    <xf numFmtId="0" fontId="78" fillId="0" borderId="0" xfId="0" applyFont="1" applyAlignment="1">
      <alignment horizontal="center" vertical="top"/>
    </xf>
    <xf numFmtId="0" fontId="77" fillId="0" borderId="2" xfId="0" applyFont="1" applyBorder="1" applyAlignment="1">
      <alignment horizontal="left" vertical="center"/>
    </xf>
    <xf numFmtId="0" fontId="83" fillId="0" borderId="2" xfId="0" applyFont="1" applyBorder="1"/>
    <xf numFmtId="0" fontId="77" fillId="2" borderId="0" xfId="0" applyFont="1" applyFill="1" applyAlignment="1">
      <alignment horizontal="left" vertical="center"/>
    </xf>
    <xf numFmtId="0" fontId="83" fillId="2" borderId="0" xfId="0" applyFont="1" applyFill="1"/>
    <xf numFmtId="0" fontId="76" fillId="2" borderId="0" xfId="0" quotePrefix="1" applyFont="1" applyFill="1" applyAlignment="1">
      <alignment horizontal="center" vertical="top" wrapText="1"/>
    </xf>
    <xf numFmtId="0" fontId="75" fillId="2" borderId="0" xfId="0" applyFont="1" applyFill="1" applyAlignment="1">
      <alignment vertical="top" wrapText="1"/>
    </xf>
    <xf numFmtId="0" fontId="76" fillId="2" borderId="2" xfId="0" applyFont="1" applyFill="1" applyBorder="1" applyAlignment="1">
      <alignment horizontal="right" vertical="center" wrapText="1"/>
    </xf>
    <xf numFmtId="0" fontId="75" fillId="2" borderId="2" xfId="0" applyFont="1" applyFill="1" applyBorder="1" applyAlignment="1">
      <alignment horizontal="center" vertical="center" wrapText="1"/>
    </xf>
    <xf numFmtId="0" fontId="75" fillId="2" borderId="2" xfId="0" applyFont="1" applyFill="1" applyBorder="1" applyAlignment="1">
      <alignment horizontal="right" vertical="center" wrapText="1"/>
    </xf>
    <xf numFmtId="0" fontId="76" fillId="36" borderId="0" xfId="0" applyFont="1" applyFill="1" applyAlignment="1">
      <alignment vertical="center" wrapText="1"/>
    </xf>
    <xf numFmtId="0" fontId="3" fillId="36" borderId="0" xfId="0" applyFont="1" applyFill="1" applyAlignment="1">
      <alignment vertical="center"/>
    </xf>
    <xf numFmtId="165" fontId="77" fillId="36" borderId="0" xfId="1" applyNumberFormat="1" applyFont="1" applyFill="1" applyBorder="1" applyAlignment="1">
      <alignment horizontal="right" vertical="center"/>
    </xf>
    <xf numFmtId="165" fontId="3" fillId="36" borderId="0" xfId="0" applyNumberFormat="1" applyFont="1" applyFill="1" applyAlignment="1">
      <alignment vertical="center"/>
    </xf>
    <xf numFmtId="165" fontId="83" fillId="36" borderId="0" xfId="1" applyNumberFormat="1" applyFont="1" applyFill="1" applyAlignment="1">
      <alignment vertical="center"/>
    </xf>
    <xf numFmtId="0" fontId="83" fillId="36" borderId="0" xfId="0" applyFont="1" applyFill="1" applyAlignment="1">
      <alignment vertical="center"/>
    </xf>
    <xf numFmtId="0" fontId="83" fillId="0" borderId="0" xfId="0" applyFont="1" applyAlignment="1">
      <alignment vertical="center"/>
    </xf>
    <xf numFmtId="0" fontId="3" fillId="0" borderId="0" xfId="0" applyFont="1" applyAlignment="1">
      <alignment vertical="center"/>
    </xf>
    <xf numFmtId="165" fontId="2" fillId="0" borderId="0" xfId="1" applyNumberFormat="1" applyFont="1" applyBorder="1" applyAlignment="1">
      <alignment vertical="center"/>
    </xf>
    <xf numFmtId="165" fontId="3" fillId="0" borderId="0" xfId="0" applyNumberFormat="1" applyFont="1" applyAlignment="1">
      <alignment vertical="center"/>
    </xf>
    <xf numFmtId="165" fontId="3" fillId="0" borderId="0" xfId="1" applyNumberFormat="1" applyFont="1" applyBorder="1" applyAlignment="1">
      <alignment horizontal="right" vertical="center"/>
    </xf>
    <xf numFmtId="165" fontId="3" fillId="0" borderId="0" xfId="1" applyNumberFormat="1" applyFont="1" applyAlignment="1">
      <alignment vertical="center"/>
    </xf>
    <xf numFmtId="165" fontId="83" fillId="0" borderId="0" xfId="1" applyNumberFormat="1" applyFont="1" applyAlignment="1">
      <alignment vertical="center"/>
    </xf>
    <xf numFmtId="165" fontId="2" fillId="0" borderId="0" xfId="1" quotePrefix="1" applyNumberFormat="1" applyFont="1" applyBorder="1" applyAlignment="1">
      <alignment horizontal="right" vertical="center"/>
    </xf>
    <xf numFmtId="1" fontId="3" fillId="0" borderId="0" xfId="0" applyNumberFormat="1" applyFont="1" applyAlignment="1">
      <alignment horizontal="right" vertical="center"/>
    </xf>
    <xf numFmtId="183" fontId="2" fillId="0" borderId="0" xfId="1" applyNumberFormat="1" applyFont="1" applyBorder="1" applyAlignment="1">
      <alignment horizontal="right" vertical="center"/>
    </xf>
    <xf numFmtId="43" fontId="83" fillId="0" borderId="0" xfId="0" applyNumberFormat="1" applyFont="1" applyAlignment="1">
      <alignment vertical="center"/>
    </xf>
    <xf numFmtId="0" fontId="83" fillId="0" borderId="0" xfId="0" applyFont="1"/>
    <xf numFmtId="0" fontId="77" fillId="2" borderId="23" xfId="0" applyFont="1" applyFill="1" applyBorder="1" applyAlignment="1">
      <alignment vertical="top" wrapText="1"/>
    </xf>
    <xf numFmtId="0" fontId="77" fillId="2" borderId="23" xfId="0" applyFont="1" applyFill="1" applyBorder="1" applyAlignment="1">
      <alignment horizontal="center" vertical="top" wrapText="1"/>
    </xf>
    <xf numFmtId="0" fontId="75" fillId="2" borderId="2" xfId="0" applyFont="1" applyFill="1" applyBorder="1" applyAlignment="1">
      <alignment horizontal="right" vertical="top" wrapText="1"/>
    </xf>
    <xf numFmtId="184" fontId="2" fillId="0" borderId="0" xfId="1" applyNumberFormat="1" applyFont="1" applyBorder="1" applyAlignment="1">
      <alignment horizontal="right" vertical="center"/>
    </xf>
    <xf numFmtId="184" fontId="3" fillId="0" borderId="0" xfId="0" applyNumberFormat="1" applyFont="1" applyAlignment="1">
      <alignment vertical="center"/>
    </xf>
    <xf numFmtId="0" fontId="2" fillId="0" borderId="0" xfId="0" applyFont="1" applyAlignment="1">
      <alignment vertical="top" wrapText="1"/>
    </xf>
    <xf numFmtId="165" fontId="83" fillId="0" borderId="0" xfId="0" applyNumberFormat="1" applyFont="1" applyAlignment="1">
      <alignment vertical="center"/>
    </xf>
    <xf numFmtId="165" fontId="83" fillId="0" borderId="0" xfId="0" applyNumberFormat="1" applyFont="1"/>
    <xf numFmtId="0" fontId="83" fillId="2" borderId="0" xfId="0" applyFont="1" applyFill="1" applyAlignment="1">
      <alignment vertical="top"/>
    </xf>
    <xf numFmtId="0" fontId="84" fillId="2" borderId="0" xfId="0" applyFont="1" applyFill="1" applyAlignment="1">
      <alignment vertical="top"/>
    </xf>
    <xf numFmtId="0" fontId="76" fillId="2" borderId="2" xfId="0" applyFont="1" applyFill="1" applyBorder="1" applyAlignment="1">
      <alignment horizontal="right" vertical="center" indent="1"/>
    </xf>
    <xf numFmtId="0" fontId="84" fillId="2" borderId="2" xfId="0" applyFont="1" applyFill="1" applyBorder="1" applyAlignment="1">
      <alignment vertical="top"/>
    </xf>
    <xf numFmtId="183" fontId="77" fillId="36" borderId="0" xfId="1" applyNumberFormat="1" applyFont="1" applyFill="1" applyBorder="1" applyAlignment="1">
      <alignment horizontal="right" vertical="center"/>
    </xf>
    <xf numFmtId="183" fontId="3" fillId="0" borderId="0" xfId="0" applyNumberFormat="1" applyFont="1" applyAlignment="1">
      <alignment vertical="center"/>
    </xf>
    <xf numFmtId="0" fontId="83" fillId="2" borderId="23" xfId="0" applyFont="1" applyFill="1" applyBorder="1"/>
    <xf numFmtId="0" fontId="75" fillId="2" borderId="2" xfId="0" applyFont="1" applyFill="1" applyBorder="1" applyAlignment="1">
      <alignment horizontal="left" vertical="top" wrapText="1" indent="1"/>
    </xf>
    <xf numFmtId="165" fontId="77" fillId="36" borderId="0" xfId="1" applyNumberFormat="1" applyFont="1" applyFill="1" applyBorder="1" applyAlignment="1">
      <alignment horizontal="left" vertical="center" indent="1"/>
    </xf>
    <xf numFmtId="165" fontId="3" fillId="0" borderId="0" xfId="0" applyNumberFormat="1" applyFont="1" applyAlignment="1">
      <alignment horizontal="right" vertical="center"/>
    </xf>
    <xf numFmtId="0" fontId="2" fillId="0" borderId="2" xfId="0" applyFont="1" applyBorder="1" applyAlignment="1">
      <alignment vertical="center" wrapText="1"/>
    </xf>
    <xf numFmtId="165" fontId="77" fillId="36" borderId="0" xfId="1" applyNumberFormat="1" applyFont="1" applyFill="1" applyBorder="1" applyAlignment="1">
      <alignment horizontal="left" vertical="center"/>
    </xf>
    <xf numFmtId="165" fontId="3" fillId="0" borderId="0" xfId="1" applyNumberFormat="1" applyFont="1" applyFill="1" applyBorder="1" applyAlignment="1">
      <alignment horizontal="left" vertical="center"/>
    </xf>
    <xf numFmtId="0" fontId="85" fillId="0" borderId="0" xfId="0" applyFont="1"/>
    <xf numFmtId="0" fontId="76" fillId="36" borderId="0" xfId="0" applyFont="1" applyFill="1" applyAlignment="1">
      <alignment horizontal="left" vertical="center" wrapText="1" indent="1"/>
    </xf>
    <xf numFmtId="165" fontId="77" fillId="36" borderId="0" xfId="1" applyNumberFormat="1" applyFont="1" applyFill="1" applyAlignment="1">
      <alignment horizontal="right" vertical="center"/>
    </xf>
    <xf numFmtId="0" fontId="77" fillId="3" borderId="0" xfId="0" applyFont="1" applyFill="1" applyAlignment="1">
      <alignment horizontal="left" vertical="center"/>
    </xf>
    <xf numFmtId="0" fontId="83" fillId="3" borderId="0" xfId="0" applyFont="1" applyFill="1"/>
    <xf numFmtId="0" fontId="77" fillId="3" borderId="0" xfId="0" applyFont="1" applyFill="1" applyAlignment="1">
      <alignment horizontal="left" vertical="top" wrapText="1" indent="1"/>
    </xf>
    <xf numFmtId="0" fontId="77" fillId="3" borderId="0" xfId="0" applyFont="1" applyFill="1" applyAlignment="1">
      <alignment horizontal="center" vertical="top" wrapText="1"/>
    </xf>
    <xf numFmtId="0" fontId="83" fillId="3" borderId="0" xfId="0" applyFont="1" applyFill="1" applyAlignment="1">
      <alignment vertical="top"/>
    </xf>
    <xf numFmtId="0" fontId="77" fillId="3" borderId="0" xfId="0" applyFont="1" applyFill="1" applyAlignment="1">
      <alignment horizontal="right" vertical="top" wrapText="1"/>
    </xf>
    <xf numFmtId="0" fontId="78" fillId="3" borderId="2" xfId="0" applyFont="1" applyFill="1" applyBorder="1" applyAlignment="1">
      <alignment horizontal="center" vertical="top" wrapText="1"/>
    </xf>
    <xf numFmtId="0" fontId="78" fillId="3" borderId="2" xfId="0" applyFont="1" applyFill="1" applyBorder="1" applyAlignment="1">
      <alignment horizontal="left" vertical="top" wrapText="1" indent="1"/>
    </xf>
    <xf numFmtId="0" fontId="77" fillId="3" borderId="2" xfId="0" applyFont="1" applyFill="1" applyBorder="1" applyAlignment="1">
      <alignment horizontal="right" vertical="center" indent="1"/>
    </xf>
    <xf numFmtId="0" fontId="84" fillId="3" borderId="2" xfId="0" applyFont="1" applyFill="1" applyBorder="1" applyAlignment="1">
      <alignment vertical="top"/>
    </xf>
    <xf numFmtId="0" fontId="77" fillId="3" borderId="2" xfId="0" applyFont="1" applyFill="1" applyBorder="1" applyAlignment="1">
      <alignment horizontal="right" vertical="center" wrapText="1"/>
    </xf>
    <xf numFmtId="0" fontId="77" fillId="0" borderId="0" xfId="0" applyFont="1" applyAlignment="1">
      <alignment vertical="center" wrapText="1"/>
    </xf>
    <xf numFmtId="0" fontId="77" fillId="0" borderId="0" xfId="0" applyFont="1" applyAlignment="1">
      <alignment horizontal="left" vertical="center" wrapText="1" indent="1"/>
    </xf>
    <xf numFmtId="165" fontId="77" fillId="0" borderId="0" xfId="1" applyNumberFormat="1" applyFont="1" applyFill="1" applyBorder="1" applyAlignment="1">
      <alignment horizontal="right" vertical="center"/>
    </xf>
    <xf numFmtId="183" fontId="77" fillId="0" borderId="0" xfId="0" applyNumberFormat="1" applyFont="1" applyAlignment="1">
      <alignment vertical="center"/>
    </xf>
    <xf numFmtId="183" fontId="77" fillId="0" borderId="0" xfId="1" applyNumberFormat="1" applyFont="1" applyFill="1" applyBorder="1" applyAlignment="1">
      <alignment horizontal="right" vertical="center"/>
    </xf>
    <xf numFmtId="165" fontId="77" fillId="0" borderId="0" xfId="1" applyNumberFormat="1" applyFont="1" applyFill="1" applyAlignment="1">
      <alignment horizontal="right" vertical="center"/>
    </xf>
    <xf numFmtId="165" fontId="83" fillId="0" borderId="0" xfId="1" applyNumberFormat="1" applyFont="1" applyFill="1" applyAlignment="1">
      <alignment vertical="center"/>
    </xf>
    <xf numFmtId="0" fontId="3" fillId="0" borderId="0" xfId="0" applyFont="1" applyAlignment="1">
      <alignment horizontal="left" vertical="center" wrapText="1" indent="1"/>
    </xf>
    <xf numFmtId="0" fontId="68" fillId="0" borderId="18" xfId="0" applyFont="1" applyBorder="1" applyAlignment="1">
      <alignment horizontal="left" vertical="center"/>
    </xf>
    <xf numFmtId="0" fontId="0" fillId="0" borderId="18" xfId="0" applyBorder="1"/>
    <xf numFmtId="0" fontId="68" fillId="0" borderId="0" xfId="0" applyFont="1" applyAlignment="1">
      <alignment horizontal="left" vertical="center"/>
    </xf>
    <xf numFmtId="0" fontId="6" fillId="0" borderId="0" xfId="0" applyFont="1" applyAlignment="1">
      <alignment horizontal="center" vertical="top" wrapText="1"/>
    </xf>
    <xf numFmtId="0" fontId="68" fillId="0" borderId="0" xfId="0" applyFont="1" applyAlignment="1">
      <alignment horizontal="center" vertical="center" wrapText="1"/>
    </xf>
    <xf numFmtId="0" fontId="0" fillId="0" borderId="0" xfId="0" applyAlignment="1">
      <alignment vertical="top"/>
    </xf>
    <xf numFmtId="0" fontId="68" fillId="0" borderId="0" xfId="0" applyFont="1" applyAlignment="1">
      <alignment horizontal="right" vertical="top" wrapText="1"/>
    </xf>
    <xf numFmtId="0" fontId="69" fillId="0" borderId="18" xfId="0" applyFont="1" applyBorder="1" applyAlignment="1">
      <alignment horizontal="center" vertical="top" wrapText="1"/>
    </xf>
    <xf numFmtId="0" fontId="69" fillId="0" borderId="18" xfId="0" applyFont="1" applyBorder="1" applyAlignment="1">
      <alignment horizontal="left" vertical="top" wrapText="1" indent="1"/>
    </xf>
    <xf numFmtId="0" fontId="86" fillId="0" borderId="18" xfId="0" applyFont="1" applyBorder="1" applyAlignment="1">
      <alignment vertical="top"/>
    </xf>
    <xf numFmtId="0" fontId="68" fillId="0" borderId="18" xfId="0" applyFont="1" applyBorder="1" applyAlignment="1">
      <alignment horizontal="right" vertical="center" wrapText="1"/>
    </xf>
    <xf numFmtId="0" fontId="68" fillId="0" borderId="0" xfId="0" applyFont="1" applyAlignment="1">
      <alignment vertical="center" wrapText="1"/>
    </xf>
    <xf numFmtId="183" fontId="68" fillId="0" borderId="0" xfId="0" applyNumberFormat="1" applyFont="1" applyAlignment="1">
      <alignment vertical="center"/>
    </xf>
    <xf numFmtId="0" fontId="0" fillId="0" borderId="0" xfId="0" applyAlignment="1">
      <alignment vertical="center"/>
    </xf>
    <xf numFmtId="165" fontId="68" fillId="0" borderId="0" xfId="1" applyNumberFormat="1" applyFont="1" applyFill="1" applyAlignment="1">
      <alignment horizontal="right" vertical="center"/>
    </xf>
    <xf numFmtId="183" fontId="6" fillId="0" borderId="0" xfId="0" applyNumberFormat="1" applyFont="1" applyAlignment="1">
      <alignment vertical="center"/>
    </xf>
    <xf numFmtId="165" fontId="0" fillId="0" borderId="0" xfId="0" applyNumberFormat="1" applyAlignment="1">
      <alignment vertical="center"/>
    </xf>
    <xf numFmtId="165" fontId="6" fillId="0" borderId="0" xfId="0" applyNumberFormat="1" applyFont="1" applyAlignment="1">
      <alignment vertical="center"/>
    </xf>
    <xf numFmtId="0" fontId="77" fillId="3" borderId="0" xfId="0" applyFont="1" applyFill="1" applyAlignment="1">
      <alignment horizontal="center" vertical="center" wrapText="1"/>
    </xf>
    <xf numFmtId="0" fontId="77" fillId="3" borderId="0" xfId="0" applyFont="1" applyFill="1" applyAlignment="1">
      <alignment horizontal="left" vertical="center" wrapText="1"/>
    </xf>
    <xf numFmtId="0" fontId="77" fillId="3" borderId="0" xfId="0" applyFont="1" applyFill="1" applyAlignment="1">
      <alignment horizontal="right" vertical="center" wrapText="1"/>
    </xf>
    <xf numFmtId="0" fontId="83" fillId="3" borderId="0" xfId="0" applyFont="1" applyFill="1" applyAlignment="1">
      <alignment vertical="center"/>
    </xf>
    <xf numFmtId="0" fontId="78" fillId="3" borderId="2" xfId="0" applyFont="1" applyFill="1" applyBorder="1" applyAlignment="1">
      <alignment vertical="top" wrapText="1"/>
    </xf>
    <xf numFmtId="0" fontId="78" fillId="3" borderId="2" xfId="0" applyFont="1" applyFill="1" applyBorder="1" applyAlignment="1">
      <alignment horizontal="center" vertical="center" wrapText="1"/>
    </xf>
    <xf numFmtId="0" fontId="78" fillId="3" borderId="2" xfId="0" applyFont="1" applyFill="1" applyBorder="1" applyAlignment="1">
      <alignment horizontal="right" vertical="center" wrapText="1"/>
    </xf>
    <xf numFmtId="0" fontId="77" fillId="0" borderId="0" xfId="0" applyFont="1" applyAlignment="1">
      <alignment horizontal="left" vertical="center" wrapText="1"/>
    </xf>
    <xf numFmtId="0" fontId="3" fillId="0" borderId="0" xfId="0" applyFont="1" applyAlignment="1">
      <alignment vertical="center" wrapText="1"/>
    </xf>
    <xf numFmtId="183" fontId="3" fillId="0" borderId="0" xfId="1" applyNumberFormat="1" applyFont="1" applyFill="1" applyBorder="1" applyAlignment="1">
      <alignment horizontal="right" vertical="center"/>
    </xf>
    <xf numFmtId="0" fontId="6" fillId="0" borderId="18" xfId="0" applyFont="1" applyBorder="1"/>
    <xf numFmtId="0" fontId="68" fillId="0" borderId="0" xfId="0" applyFont="1" applyAlignment="1">
      <alignment horizontal="right" vertical="center" wrapText="1"/>
    </xf>
    <xf numFmtId="183" fontId="68" fillId="0" borderId="0" xfId="1" applyNumberFormat="1" applyFont="1" applyFill="1" applyBorder="1" applyAlignment="1">
      <alignment horizontal="right" vertical="center"/>
    </xf>
    <xf numFmtId="183" fontId="6" fillId="0" borderId="0" xfId="1" applyNumberFormat="1" applyFont="1" applyFill="1" applyBorder="1" applyAlignment="1">
      <alignment horizontal="right" vertical="center"/>
    </xf>
    <xf numFmtId="43" fontId="6" fillId="0" borderId="0" xfId="0" applyNumberFormat="1" applyFont="1" applyAlignment="1">
      <alignment vertical="center"/>
    </xf>
    <xf numFmtId="0" fontId="77" fillId="3" borderId="23" xfId="0" applyFont="1" applyFill="1" applyBorder="1" applyAlignment="1">
      <alignment horizontal="left" vertical="center"/>
    </xf>
    <xf numFmtId="0" fontId="83" fillId="3" borderId="23" xfId="0" applyFont="1" applyFill="1" applyBorder="1"/>
    <xf numFmtId="0" fontId="77" fillId="3" borderId="0" xfId="0" applyFont="1" applyFill="1" applyAlignment="1">
      <alignment vertical="top" wrapText="1"/>
    </xf>
    <xf numFmtId="0" fontId="78" fillId="3" borderId="2" xfId="0" applyFont="1" applyFill="1" applyBorder="1" applyAlignment="1">
      <alignment horizontal="right" vertical="top" wrapText="1"/>
    </xf>
    <xf numFmtId="165" fontId="77" fillId="0" borderId="0" xfId="1" applyNumberFormat="1" applyFont="1" applyFill="1" applyBorder="1" applyAlignment="1">
      <alignment horizontal="left" vertical="center"/>
    </xf>
    <xf numFmtId="0" fontId="3" fillId="0" borderId="0" xfId="0" applyFont="1" applyAlignment="1">
      <alignment vertical="top" wrapText="1"/>
    </xf>
    <xf numFmtId="165" fontId="3" fillId="0" borderId="0" xfId="0" applyNumberFormat="1" applyFont="1"/>
    <xf numFmtId="0" fontId="3" fillId="0" borderId="2" xfId="0" applyFont="1" applyBorder="1" applyAlignment="1">
      <alignment vertical="center" wrapText="1"/>
    </xf>
    <xf numFmtId="0" fontId="69" fillId="0" borderId="18" xfId="0" applyFont="1" applyBorder="1" applyAlignment="1">
      <alignment horizontal="center" vertical="top"/>
    </xf>
    <xf numFmtId="0" fontId="68" fillId="0" borderId="0" xfId="0" applyFont="1" applyAlignment="1">
      <alignment vertical="top" wrapText="1"/>
    </xf>
    <xf numFmtId="0" fontId="69" fillId="0" borderId="18" xfId="0" applyFont="1" applyBorder="1" applyAlignment="1">
      <alignment horizontal="right" vertical="top" wrapText="1"/>
    </xf>
    <xf numFmtId="165" fontId="68" fillId="0" borderId="0" xfId="1" applyNumberFormat="1" applyFont="1" applyFill="1" applyBorder="1" applyAlignment="1">
      <alignment horizontal="left" vertical="center"/>
    </xf>
    <xf numFmtId="165" fontId="68" fillId="0" borderId="0" xfId="0" applyNumberFormat="1" applyFont="1" applyAlignment="1">
      <alignment vertical="center"/>
    </xf>
    <xf numFmtId="0" fontId="68" fillId="0" borderId="0" xfId="0" applyFont="1" applyAlignment="1">
      <alignment horizontal="left" vertical="center" wrapText="1"/>
    </xf>
    <xf numFmtId="184" fontId="6" fillId="0" borderId="0" xfId="0" applyNumberFormat="1" applyFont="1" applyAlignment="1">
      <alignment vertical="center"/>
    </xf>
    <xf numFmtId="165" fontId="6" fillId="0" borderId="0" xfId="1" applyNumberFormat="1" applyFont="1" applyFill="1" applyBorder="1" applyAlignment="1">
      <alignment horizontal="left" vertical="center"/>
    </xf>
    <xf numFmtId="165" fontId="6" fillId="0" borderId="0" xfId="0" applyNumberFormat="1" applyFont="1" applyAlignment="1">
      <alignment horizontal="right" vertical="center"/>
    </xf>
    <xf numFmtId="0" fontId="6" fillId="0" borderId="0" xfId="0" applyFont="1" applyAlignment="1">
      <alignment vertical="top" wrapText="1"/>
    </xf>
    <xf numFmtId="165" fontId="6" fillId="0" borderId="0" xfId="0" applyNumberFormat="1" applyFont="1"/>
    <xf numFmtId="0" fontId="6" fillId="0" borderId="0" xfId="0" applyFont="1" applyAlignment="1">
      <alignment vertical="center" wrapText="1"/>
    </xf>
    <xf numFmtId="0" fontId="6" fillId="0" borderId="18" xfId="0" applyFont="1" applyBorder="1" applyAlignment="1">
      <alignment vertical="center" wrapText="1"/>
    </xf>
    <xf numFmtId="0" fontId="68" fillId="0" borderId="0" xfId="0" applyFont="1"/>
    <xf numFmtId="184" fontId="3" fillId="0" borderId="0" xfId="1" applyNumberFormat="1" applyFont="1" applyFill="1" applyBorder="1" applyAlignment="1">
      <alignment horizontal="right" vertical="center"/>
    </xf>
    <xf numFmtId="165" fontId="6" fillId="0" borderId="0" xfId="1" applyNumberFormat="1" applyFont="1" applyBorder="1" applyAlignment="1">
      <alignment horizontal="right" vertical="center"/>
    </xf>
    <xf numFmtId="165" fontId="77" fillId="0" borderId="0" xfId="1" applyNumberFormat="1" applyFont="1" applyFill="1" applyBorder="1" applyAlignment="1">
      <alignment vertical="center"/>
    </xf>
    <xf numFmtId="165" fontId="3" fillId="0" borderId="0" xfId="0" applyNumberFormat="1" applyFont="1" applyAlignment="1">
      <alignment horizontal="right"/>
    </xf>
    <xf numFmtId="0" fontId="3" fillId="0" borderId="2" xfId="0" applyFont="1" applyBorder="1"/>
    <xf numFmtId="0" fontId="3" fillId="0" borderId="0" xfId="0" applyFont="1"/>
    <xf numFmtId="0" fontId="68" fillId="0" borderId="18" xfId="0" applyFont="1" applyBorder="1" applyAlignment="1">
      <alignment vertical="center" wrapText="1"/>
    </xf>
    <xf numFmtId="0" fontId="69" fillId="0" borderId="18" xfId="0" applyFont="1" applyBorder="1" applyAlignment="1">
      <alignment horizontal="right" vertical="center" wrapText="1"/>
    </xf>
    <xf numFmtId="165" fontId="68" fillId="0" borderId="0" xfId="1" applyNumberFormat="1" applyFont="1" applyFill="1" applyBorder="1" applyAlignment="1">
      <alignment vertical="center"/>
    </xf>
    <xf numFmtId="184" fontId="6" fillId="0" borderId="0" xfId="1" applyNumberFormat="1" applyFont="1" applyFill="1" applyBorder="1" applyAlignment="1">
      <alignment horizontal="right" vertical="center"/>
    </xf>
    <xf numFmtId="165" fontId="6" fillId="0" borderId="0" xfId="0" applyNumberFormat="1" applyFont="1" applyAlignment="1">
      <alignment horizontal="right"/>
    </xf>
    <xf numFmtId="165" fontId="6" fillId="0" borderId="0" xfId="1" applyNumberFormat="1" applyFont="1" applyAlignment="1">
      <alignment vertical="center"/>
    </xf>
    <xf numFmtId="2" fontId="76" fillId="2" borderId="0" xfId="0" applyNumberFormat="1" applyFont="1" applyFill="1" applyAlignment="1">
      <alignment vertical="top" wrapText="1"/>
    </xf>
    <xf numFmtId="2" fontId="0" fillId="0" borderId="0" xfId="0" applyNumberFormat="1" applyAlignment="1">
      <alignment horizontal="center"/>
    </xf>
    <xf numFmtId="2" fontId="2" fillId="0" borderId="0" xfId="0" applyNumberFormat="1" applyFont="1" applyAlignment="1">
      <alignment horizontal="left" vertical="center" wrapText="1" indent="1"/>
    </xf>
    <xf numFmtId="2" fontId="3" fillId="0" borderId="0" xfId="0" applyNumberFormat="1" applyFont="1" applyAlignment="1">
      <alignment vertical="center"/>
    </xf>
    <xf numFmtId="2" fontId="2" fillId="0" borderId="0" xfId="1" applyNumberFormat="1" applyFont="1" applyBorder="1" applyAlignment="1">
      <alignment vertical="center"/>
    </xf>
    <xf numFmtId="2" fontId="83" fillId="0" borderId="0" xfId="1" applyNumberFormat="1" applyFont="1" applyAlignment="1">
      <alignment vertical="center"/>
    </xf>
    <xf numFmtId="0" fontId="68" fillId="0" borderId="0" xfId="0" applyFont="1" applyAlignment="1">
      <alignment horizontal="right" vertical="center" indent="1"/>
    </xf>
    <xf numFmtId="0" fontId="68" fillId="0" borderId="0" xfId="0" applyFont="1" applyAlignment="1">
      <alignment horizontal="center" vertical="center"/>
    </xf>
    <xf numFmtId="0" fontId="76" fillId="2" borderId="2" xfId="0" applyFont="1" applyFill="1" applyBorder="1" applyAlignment="1">
      <alignment horizontal="center" vertical="center"/>
    </xf>
    <xf numFmtId="0" fontId="68" fillId="0" borderId="18" xfId="0" applyFont="1" applyBorder="1" applyAlignment="1">
      <alignment horizontal="center" vertical="center"/>
    </xf>
    <xf numFmtId="2" fontId="2" fillId="0" borderId="0" xfId="0" applyNumberFormat="1" applyFont="1" applyAlignment="1">
      <alignment horizontal="center" vertical="center" wrapText="1"/>
    </xf>
    <xf numFmtId="2" fontId="2" fillId="0" borderId="0" xfId="1" applyNumberFormat="1" applyFont="1" applyBorder="1" applyAlignment="1">
      <alignment horizontal="center" vertical="center"/>
    </xf>
    <xf numFmtId="2" fontId="3" fillId="0" borderId="0" xfId="0" applyNumberFormat="1" applyFont="1" applyAlignment="1">
      <alignment horizontal="center" vertical="center"/>
    </xf>
    <xf numFmtId="2" fontId="76" fillId="2" borderId="0" xfId="0" applyNumberFormat="1" applyFont="1" applyFill="1" applyAlignment="1">
      <alignment horizontal="center" vertical="center" wrapText="1"/>
    </xf>
    <xf numFmtId="0" fontId="0" fillId="0" borderId="0" xfId="0" applyAlignment="1">
      <alignment horizontal="center" vertical="center"/>
    </xf>
    <xf numFmtId="2" fontId="83" fillId="0" borderId="0" xfId="0" applyNumberFormat="1" applyFont="1" applyAlignment="1">
      <alignment horizontal="center" vertical="center"/>
    </xf>
    <xf numFmtId="2" fontId="2" fillId="2" borderId="0" xfId="0" applyNumberFormat="1" applyFont="1" applyFill="1" applyAlignment="1">
      <alignment horizontal="center" vertical="center" wrapText="1"/>
    </xf>
    <xf numFmtId="2" fontId="68" fillId="0" borderId="0" xfId="0" applyNumberFormat="1" applyFont="1" applyAlignment="1">
      <alignment horizontal="center" vertical="center"/>
    </xf>
    <xf numFmtId="0" fontId="0" fillId="0" borderId="27" xfId="0" applyBorder="1" applyAlignment="1">
      <alignment horizontal="center"/>
    </xf>
    <xf numFmtId="2" fontId="0" fillId="0" borderId="27" xfId="0" applyNumberFormat="1" applyBorder="1" applyAlignment="1">
      <alignment horizontal="center"/>
    </xf>
    <xf numFmtId="0" fontId="0" fillId="0" borderId="27" xfId="0" applyBorder="1"/>
    <xf numFmtId="9" fontId="0" fillId="0" borderId="27" xfId="54225" applyFont="1" applyBorder="1" applyAlignment="1">
      <alignment horizontal="center"/>
    </xf>
    <xf numFmtId="2" fontId="2" fillId="2" borderId="0" xfId="0" applyNumberFormat="1" applyFont="1" applyFill="1" applyAlignment="1">
      <alignment horizontal="left" vertical="center" wrapText="1" indent="1"/>
    </xf>
    <xf numFmtId="0" fontId="68" fillId="0" borderId="27" xfId="0" applyFont="1" applyBorder="1" applyAlignment="1">
      <alignment horizontal="center" vertical="center"/>
    </xf>
    <xf numFmtId="0" fontId="0" fillId="0" borderId="27" xfId="0" applyBorder="1" applyAlignment="1">
      <alignment horizontal="center" vertical="center"/>
    </xf>
    <xf numFmtId="2" fontId="6" fillId="0" borderId="27" xfId="1" applyNumberFormat="1" applyFont="1" applyFill="1" applyBorder="1" applyAlignment="1">
      <alignment horizontal="center" vertical="center"/>
    </xf>
    <xf numFmtId="2" fontId="0" fillId="0" borderId="27" xfId="0" applyNumberFormat="1" applyBorder="1" applyAlignment="1">
      <alignment horizontal="center" vertical="center"/>
    </xf>
    <xf numFmtId="9" fontId="6" fillId="0" borderId="27" xfId="54225" applyFont="1" applyFill="1" applyBorder="1" applyAlignment="1">
      <alignment horizontal="center" vertical="center"/>
    </xf>
    <xf numFmtId="9" fontId="0" fillId="0" borderId="27" xfId="54225" applyFont="1" applyBorder="1" applyAlignment="1">
      <alignment horizontal="center" vertical="center"/>
    </xf>
    <xf numFmtId="0" fontId="0" fillId="0" borderId="27" xfId="0" applyBorder="1" applyAlignment="1">
      <alignment horizontal="center" vertical="center" wrapText="1"/>
    </xf>
    <xf numFmtId="44" fontId="6" fillId="0" borderId="0" xfId="54226" applyFont="1" applyAlignment="1">
      <alignment horizontal="center" vertical="center"/>
    </xf>
    <xf numFmtId="44" fontId="71" fillId="0" borderId="0" xfId="54226" applyFont="1" applyAlignment="1">
      <alignment horizontal="center" vertical="center"/>
    </xf>
    <xf numFmtId="44" fontId="6" fillId="0" borderId="0" xfId="54226" applyFont="1" applyBorder="1" applyAlignment="1">
      <alignment horizontal="center" vertical="center"/>
    </xf>
    <xf numFmtId="44" fontId="2" fillId="0" borderId="0" xfId="54226" applyFont="1" applyFill="1" applyBorder="1" applyAlignment="1">
      <alignment horizontal="center" vertical="center"/>
    </xf>
    <xf numFmtId="44" fontId="6" fillId="0" borderId="0" xfId="54226" applyFont="1" applyFill="1" applyBorder="1" applyAlignment="1">
      <alignment horizontal="center" vertical="center"/>
    </xf>
    <xf numFmtId="44" fontId="3" fillId="0" borderId="0" xfId="54226" applyFont="1" applyFill="1" applyAlignment="1">
      <alignment horizontal="center" vertical="center"/>
    </xf>
    <xf numFmtId="44" fontId="3" fillId="0" borderId="0" xfId="54226" applyFont="1" applyFill="1" applyBorder="1" applyAlignment="1">
      <alignment horizontal="center" vertical="center"/>
    </xf>
    <xf numFmtId="44" fontId="0" fillId="0" borderId="0" xfId="54226" applyFont="1" applyAlignment="1">
      <alignment horizontal="center" vertical="center"/>
    </xf>
    <xf numFmtId="44" fontId="2" fillId="0" borderId="0" xfId="54226" quotePrefix="1" applyFont="1" applyFill="1" applyBorder="1" applyAlignment="1">
      <alignment horizontal="center" vertical="center"/>
    </xf>
    <xf numFmtId="44" fontId="6" fillId="0" borderId="0" xfId="54226" quotePrefix="1" applyFont="1" applyFill="1" applyBorder="1" applyAlignment="1">
      <alignment horizontal="center" vertical="center"/>
    </xf>
    <xf numFmtId="44" fontId="2" fillId="0" borderId="0" xfId="54226" applyFont="1" applyFill="1" applyAlignment="1">
      <alignment horizontal="center" vertical="center"/>
    </xf>
    <xf numFmtId="44" fontId="3" fillId="0" borderId="26" xfId="54226" applyFont="1" applyFill="1" applyBorder="1" applyAlignment="1">
      <alignment horizontal="center" vertical="center"/>
    </xf>
    <xf numFmtId="9" fontId="3" fillId="0" borderId="0" xfId="54225" applyFont="1" applyFill="1" applyAlignment="1">
      <alignment horizontal="center" vertical="center"/>
    </xf>
    <xf numFmtId="0" fontId="81" fillId="33" borderId="19" xfId="0" applyFont="1" applyFill="1" applyBorder="1" applyAlignment="1">
      <alignment horizontal="center" vertical="center" wrapText="1"/>
    </xf>
    <xf numFmtId="44" fontId="82" fillId="33" borderId="19" xfId="54226" applyFont="1" applyFill="1" applyBorder="1" applyAlignment="1">
      <alignment horizontal="center" vertical="center"/>
    </xf>
    <xf numFmtId="44" fontId="81" fillId="33" borderId="19" xfId="54226" applyFont="1" applyFill="1" applyBorder="1" applyAlignment="1">
      <alignment horizontal="center" vertical="center"/>
    </xf>
    <xf numFmtId="44" fontId="82" fillId="35" borderId="24" xfId="54226" applyFont="1" applyFill="1" applyBorder="1" applyAlignment="1">
      <alignment horizontal="center" vertical="center"/>
    </xf>
    <xf numFmtId="0" fontId="81" fillId="31" borderId="19" xfId="0" applyFont="1" applyFill="1" applyBorder="1" applyAlignment="1">
      <alignment horizontal="center" vertical="center" wrapText="1"/>
    </xf>
    <xf numFmtId="44" fontId="82" fillId="31" borderId="19" xfId="54226" applyFont="1" applyFill="1" applyBorder="1" applyAlignment="1">
      <alignment horizontal="center" vertical="center"/>
    </xf>
    <xf numFmtId="44" fontId="81" fillId="31" borderId="19" xfId="54226" applyFont="1" applyFill="1" applyBorder="1" applyAlignment="1">
      <alignment horizontal="center" vertical="center"/>
    </xf>
    <xf numFmtId="44" fontId="82" fillId="35" borderId="0" xfId="54226" applyFont="1" applyFill="1" applyBorder="1" applyAlignment="1">
      <alignment horizontal="center" vertical="center"/>
    </xf>
    <xf numFmtId="0" fontId="81" fillId="35" borderId="19" xfId="0" applyFont="1" applyFill="1" applyBorder="1" applyAlignment="1">
      <alignment horizontal="center" vertical="center" wrapText="1"/>
    </xf>
    <xf numFmtId="44" fontId="82" fillId="35" borderId="19" xfId="54226" applyFont="1" applyFill="1" applyBorder="1" applyAlignment="1">
      <alignment horizontal="center" vertical="center"/>
    </xf>
    <xf numFmtId="44" fontId="81" fillId="35" borderId="19" xfId="54226" applyFont="1" applyFill="1" applyBorder="1" applyAlignment="1">
      <alignment horizontal="center" vertical="center"/>
    </xf>
    <xf numFmtId="0" fontId="72" fillId="32" borderId="0" xfId="0" applyFont="1" applyFill="1" applyAlignment="1">
      <alignment horizontal="center" vertical="center"/>
    </xf>
    <xf numFmtId="44" fontId="0" fillId="0" borderId="0" xfId="54226" applyFont="1" applyAlignment="1">
      <alignment horizontal="center"/>
    </xf>
    <xf numFmtId="0" fontId="2" fillId="0" borderId="0" xfId="0" applyFont="1" applyAlignment="1">
      <alignment horizontal="center" vertical="center" wrapText="1"/>
    </xf>
    <xf numFmtId="44" fontId="3" fillId="0" borderId="27" xfId="54226" applyFont="1" applyFill="1" applyBorder="1" applyAlignment="1">
      <alignment horizontal="center" vertical="center"/>
    </xf>
    <xf numFmtId="9" fontId="3" fillId="0" borderId="27" xfId="54225" applyFont="1" applyFill="1" applyBorder="1" applyAlignment="1">
      <alignment horizontal="center" vertical="center"/>
    </xf>
    <xf numFmtId="44" fontId="77" fillId="36" borderId="0" xfId="54226" applyFont="1" applyFill="1" applyBorder="1" applyAlignment="1">
      <alignment horizontal="center" vertical="center"/>
    </xf>
    <xf numFmtId="44" fontId="68" fillId="0" borderId="0" xfId="54226" applyFont="1" applyFill="1" applyBorder="1" applyAlignment="1">
      <alignment horizontal="center" vertical="center"/>
    </xf>
    <xf numFmtId="44" fontId="2" fillId="0" borderId="0" xfId="54226" applyFont="1" applyBorder="1" applyAlignment="1">
      <alignment horizontal="center" vertical="center"/>
    </xf>
    <xf numFmtId="44" fontId="3" fillId="0" borderId="0" xfId="54226" applyFont="1" applyAlignment="1">
      <alignment horizontal="center" vertical="center"/>
    </xf>
    <xf numFmtId="44" fontId="6" fillId="0" borderId="0" xfId="54226" applyFont="1" applyFill="1" applyAlignment="1">
      <alignment horizontal="center" vertical="center"/>
    </xf>
    <xf numFmtId="44" fontId="0" fillId="0" borderId="0" xfId="0" applyNumberFormat="1" applyAlignment="1">
      <alignment horizontal="center" vertical="center"/>
    </xf>
    <xf numFmtId="9" fontId="0" fillId="0" borderId="0" xfId="54225" applyFont="1" applyAlignment="1">
      <alignment horizontal="center" vertical="center"/>
    </xf>
    <xf numFmtId="9" fontId="77" fillId="36" borderId="0" xfId="54225" applyFont="1" applyFill="1" applyBorder="1" applyAlignment="1">
      <alignment horizontal="center" vertical="center"/>
    </xf>
    <xf numFmtId="9" fontId="2" fillId="0" borderId="0" xfId="54225" applyFont="1" applyAlignment="1">
      <alignment horizontal="center" vertical="center" wrapText="1"/>
    </xf>
    <xf numFmtId="9" fontId="2" fillId="0" borderId="0" xfId="54225" applyFont="1" applyBorder="1" applyAlignment="1">
      <alignment horizontal="center" vertical="center"/>
    </xf>
    <xf numFmtId="9" fontId="3" fillId="0" borderId="0" xfId="54225" applyFont="1" applyFill="1" applyBorder="1" applyAlignment="1">
      <alignment horizontal="center" vertical="center"/>
    </xf>
    <xf numFmtId="9" fontId="6" fillId="0" borderId="0" xfId="54225" applyFont="1" applyFill="1" applyBorder="1" applyAlignment="1">
      <alignment horizontal="center" vertical="center"/>
    </xf>
    <xf numFmtId="9" fontId="3" fillId="0" borderId="0" xfId="54225" applyFont="1" applyAlignment="1">
      <alignment horizontal="center" vertical="center"/>
    </xf>
    <xf numFmtId="9" fontId="6" fillId="0" borderId="0" xfId="54225" applyFont="1" applyAlignment="1">
      <alignment horizontal="center" vertical="center"/>
    </xf>
    <xf numFmtId="9" fontId="6" fillId="0" borderId="0" xfId="54225" applyFont="1" applyAlignment="1">
      <alignment horizontal="center" vertical="center" wrapText="1"/>
    </xf>
    <xf numFmtId="9" fontId="72" fillId="32" borderId="26" xfId="54225" applyFont="1" applyFill="1" applyBorder="1" applyAlignment="1">
      <alignment horizontal="center" vertical="center"/>
    </xf>
    <xf numFmtId="9" fontId="77" fillId="36" borderId="26" xfId="54225" applyFont="1" applyFill="1" applyBorder="1" applyAlignment="1">
      <alignment horizontal="center" vertical="center"/>
    </xf>
    <xf numFmtId="9" fontId="2" fillId="0" borderId="26" xfId="54225" applyFont="1" applyBorder="1" applyAlignment="1">
      <alignment horizontal="center" vertical="center" wrapText="1"/>
    </xf>
    <xf numFmtId="9" fontId="2" fillId="31" borderId="26" xfId="54225" applyFont="1" applyFill="1" applyBorder="1" applyAlignment="1">
      <alignment horizontal="center" vertical="center" wrapText="1"/>
    </xf>
    <xf numFmtId="0" fontId="0" fillId="0" borderId="27" xfId="54225" applyNumberFormat="1" applyFont="1" applyBorder="1" applyAlignment="1">
      <alignment horizontal="center" vertical="center"/>
    </xf>
    <xf numFmtId="0" fontId="0" fillId="0" borderId="27" xfId="1" applyNumberFormat="1" applyFont="1" applyBorder="1" applyAlignment="1">
      <alignment horizontal="center" vertical="center"/>
    </xf>
    <xf numFmtId="0" fontId="76" fillId="36" borderId="0" xfId="0" applyFont="1" applyFill="1" applyAlignment="1">
      <alignment horizontal="center" vertical="center" wrapText="1"/>
    </xf>
    <xf numFmtId="0" fontId="76" fillId="2" borderId="0" xfId="0" applyFont="1" applyFill="1" applyAlignment="1">
      <alignment horizontal="center" vertical="center" wrapText="1"/>
    </xf>
    <xf numFmtId="165" fontId="83" fillId="0" borderId="0" xfId="0" applyNumberFormat="1" applyFont="1" applyAlignment="1">
      <alignment horizontal="center" vertical="center"/>
    </xf>
    <xf numFmtId="44" fontId="0" fillId="0" borderId="27" xfId="54226" applyFont="1" applyBorder="1" applyAlignment="1">
      <alignment horizontal="center" vertical="center"/>
    </xf>
    <xf numFmtId="2" fontId="68" fillId="0" borderId="0" xfId="0" applyNumberFormat="1" applyFont="1" applyAlignment="1">
      <alignment horizontal="center" vertical="center" wrapText="1"/>
    </xf>
    <xf numFmtId="0" fontId="0" fillId="0" borderId="0" xfId="0" pivotButton="1"/>
    <xf numFmtId="0" fontId="0" fillId="0" borderId="0" xfId="0" applyAlignment="1">
      <alignment horizontal="left"/>
    </xf>
    <xf numFmtId="2" fontId="76" fillId="0" borderId="0" xfId="0" applyNumberFormat="1" applyFont="1" applyAlignment="1">
      <alignment horizontal="center" vertical="center" wrapText="1"/>
    </xf>
    <xf numFmtId="2" fontId="76" fillId="0" borderId="0" xfId="0" quotePrefix="1" applyNumberFormat="1" applyFont="1" applyAlignment="1">
      <alignment horizontal="center" vertical="center" wrapText="1"/>
    </xf>
    <xf numFmtId="44" fontId="77" fillId="0" borderId="0" xfId="54226" applyFont="1" applyFill="1" applyBorder="1" applyAlignment="1">
      <alignment horizontal="center" vertical="center"/>
    </xf>
    <xf numFmtId="10" fontId="0" fillId="0" borderId="0" xfId="0" applyNumberFormat="1"/>
    <xf numFmtId="0" fontId="72" fillId="32" borderId="26" xfId="0" applyFont="1" applyFill="1" applyBorder="1" applyAlignment="1">
      <alignment horizontal="center" vertical="center"/>
    </xf>
    <xf numFmtId="44" fontId="3" fillId="0" borderId="28" xfId="54226" applyFont="1" applyFill="1" applyBorder="1" applyAlignment="1">
      <alignment horizontal="center" vertical="center"/>
    </xf>
    <xf numFmtId="9" fontId="3" fillId="0" borderId="30" xfId="54225" applyFont="1" applyFill="1" applyBorder="1" applyAlignment="1">
      <alignment horizontal="center" vertical="center"/>
    </xf>
    <xf numFmtId="0" fontId="72" fillId="0" borderId="0" xfId="0" applyFont="1" applyAlignment="1">
      <alignment horizontal="center" vertical="center"/>
    </xf>
    <xf numFmtId="0" fontId="72" fillId="32" borderId="31" xfId="0" applyFont="1" applyFill="1" applyBorder="1" applyAlignment="1">
      <alignment horizontal="center" vertical="center"/>
    </xf>
    <xf numFmtId="0" fontId="72" fillId="32" borderId="32" xfId="0" applyFont="1" applyFill="1" applyBorder="1" applyAlignment="1">
      <alignment horizontal="center" vertical="center"/>
    </xf>
    <xf numFmtId="44" fontId="82" fillId="0" borderId="0" xfId="54226" applyFont="1" applyFill="1" applyBorder="1" applyAlignment="1">
      <alignment horizontal="center" vertical="center"/>
    </xf>
    <xf numFmtId="0" fontId="72" fillId="32" borderId="26" xfId="0" applyFont="1" applyFill="1" applyBorder="1" applyAlignment="1">
      <alignment horizontal="center"/>
    </xf>
    <xf numFmtId="0" fontId="72" fillId="0" borderId="0" xfId="0" applyFont="1" applyAlignment="1">
      <alignment horizontal="center"/>
    </xf>
    <xf numFmtId="0" fontId="72" fillId="32" borderId="32" xfId="0" applyFont="1" applyFill="1" applyBorder="1" applyAlignment="1">
      <alignment horizontal="center"/>
    </xf>
    <xf numFmtId="0" fontId="72" fillId="32" borderId="27" xfId="0" applyFont="1" applyFill="1" applyBorder="1" applyAlignment="1">
      <alignment horizontal="center"/>
    </xf>
    <xf numFmtId="44" fontId="0" fillId="0" borderId="0" xfId="0" applyNumberFormat="1"/>
    <xf numFmtId="0" fontId="0" fillId="0" borderId="0" xfId="0" applyAlignment="1">
      <alignment horizontal="right"/>
    </xf>
    <xf numFmtId="44" fontId="70" fillId="0" borderId="0" xfId="54226" applyFont="1" applyAlignment="1">
      <alignment horizontal="center" vertical="center"/>
    </xf>
    <xf numFmtId="0" fontId="87" fillId="0" borderId="0" xfId="0" applyFont="1"/>
    <xf numFmtId="44" fontId="71" fillId="0" borderId="0" xfId="54226" applyFont="1" applyFill="1" applyBorder="1" applyAlignment="1">
      <alignment horizontal="center" vertical="center"/>
    </xf>
    <xf numFmtId="165" fontId="0" fillId="0" borderId="0" xfId="0" applyNumberFormat="1"/>
    <xf numFmtId="2" fontId="0" fillId="0" borderId="0" xfId="0" applyNumberFormat="1" applyAlignment="1">
      <alignment horizontal="center"/>
    </xf>
    <xf numFmtId="0" fontId="0" fillId="0" borderId="27" xfId="0" applyBorder="1" applyAlignment="1">
      <alignment horizontal="center"/>
    </xf>
    <xf numFmtId="2" fontId="76" fillId="2" borderId="0" xfId="0" applyNumberFormat="1" applyFont="1" applyFill="1" applyAlignment="1">
      <alignment horizontal="center" vertical="center" wrapText="1"/>
    </xf>
    <xf numFmtId="2" fontId="68" fillId="0" borderId="0" xfId="0" applyNumberFormat="1" applyFont="1" applyAlignment="1">
      <alignment horizontal="center" vertical="center" wrapText="1"/>
    </xf>
    <xf numFmtId="2" fontId="76" fillId="2" borderId="0" xfId="0" quotePrefix="1" applyNumberFormat="1" applyFont="1" applyFill="1" applyAlignment="1">
      <alignment horizontal="center" vertical="center" wrapText="1"/>
    </xf>
    <xf numFmtId="2" fontId="0" fillId="0" borderId="27" xfId="0" applyNumberFormat="1" applyBorder="1" applyAlignment="1">
      <alignment horizontal="center" vertical="center"/>
    </xf>
    <xf numFmtId="2" fontId="76" fillId="2" borderId="27" xfId="0" applyNumberFormat="1" applyFont="1" applyFill="1" applyBorder="1" applyAlignment="1">
      <alignment horizontal="center" vertical="center" wrapText="1"/>
    </xf>
    <xf numFmtId="9" fontId="0" fillId="0" borderId="0" xfId="54225" applyFont="1" applyAlignment="1">
      <alignment horizontal="center" vertical="center"/>
    </xf>
    <xf numFmtId="9" fontId="0" fillId="0" borderId="28" xfId="54225" applyFont="1" applyBorder="1" applyAlignment="1">
      <alignment horizontal="center" vertical="center"/>
    </xf>
    <xf numFmtId="9" fontId="0" fillId="0" borderId="29" xfId="54225" applyFont="1" applyBorder="1" applyAlignment="1">
      <alignment horizontal="center" vertical="center"/>
    </xf>
    <xf numFmtId="9" fontId="0" fillId="0" borderId="30" xfId="54225" applyFont="1" applyBorder="1" applyAlignment="1">
      <alignment horizontal="center" vertical="center"/>
    </xf>
    <xf numFmtId="0" fontId="76" fillId="2" borderId="0" xfId="0" applyFont="1" applyFill="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0" xfId="0" applyAlignment="1">
      <alignment horizontal="center" vertical="center"/>
    </xf>
    <xf numFmtId="0" fontId="0" fillId="0" borderId="0" xfId="0" applyAlignment="1">
      <alignment horizontal="center"/>
    </xf>
    <xf numFmtId="0" fontId="76" fillId="2" borderId="23" xfId="0" applyFont="1" applyFill="1" applyBorder="1" applyAlignment="1">
      <alignment horizontal="center" vertical="top" wrapText="1"/>
    </xf>
    <xf numFmtId="0" fontId="76" fillId="2" borderId="23" xfId="0" quotePrefix="1" applyFont="1" applyFill="1" applyBorder="1" applyAlignment="1">
      <alignment horizontal="center" vertical="top" wrapText="1"/>
    </xf>
    <xf numFmtId="0" fontId="76" fillId="2" borderId="0" xfId="0" applyFont="1" applyFill="1" applyAlignment="1">
      <alignment horizontal="left" vertical="top" wrapText="1"/>
    </xf>
    <xf numFmtId="0" fontId="77" fillId="2" borderId="0" xfId="0" applyFont="1" applyFill="1" applyAlignment="1">
      <alignment horizontal="center" vertical="top" wrapText="1"/>
    </xf>
    <xf numFmtId="0" fontId="68" fillId="0" borderId="0" xfId="0" applyFont="1" applyAlignment="1">
      <alignment horizontal="left" vertical="top" wrapText="1"/>
    </xf>
    <xf numFmtId="0" fontId="68" fillId="0" borderId="18" xfId="0" applyFont="1" applyBorder="1" applyAlignment="1">
      <alignment horizontal="center" vertical="top" wrapText="1"/>
    </xf>
    <xf numFmtId="0" fontId="68" fillId="0" borderId="0" xfId="0" applyFont="1" applyAlignment="1">
      <alignment horizontal="center" vertical="top" wrapText="1"/>
    </xf>
    <xf numFmtId="0" fontId="68" fillId="0" borderId="0" xfId="0" quotePrefix="1" applyFont="1" applyAlignment="1">
      <alignment horizontal="center" vertical="top" wrapText="1"/>
    </xf>
    <xf numFmtId="0" fontId="68" fillId="0" borderId="0" xfId="0" applyFont="1" applyAlignment="1">
      <alignment horizontal="center" vertical="center"/>
    </xf>
    <xf numFmtId="0" fontId="69" fillId="0" borderId="0" xfId="0" applyFont="1" applyAlignment="1">
      <alignment horizontal="center" vertical="top"/>
    </xf>
    <xf numFmtId="0" fontId="6" fillId="0" borderId="25" xfId="0" applyFont="1" applyBorder="1" applyAlignment="1">
      <alignment horizontal="center" vertical="top" wrapText="1"/>
    </xf>
    <xf numFmtId="0" fontId="6" fillId="0" borderId="18" xfId="0" applyFont="1" applyBorder="1" applyAlignment="1">
      <alignment horizontal="center" vertical="top" wrapText="1"/>
    </xf>
    <xf numFmtId="0" fontId="68" fillId="0" borderId="0" xfId="0" applyFont="1" applyAlignment="1">
      <alignment horizontal="left" vertical="top" wrapText="1" indent="1"/>
    </xf>
    <xf numFmtId="0" fontId="68" fillId="0" borderId="0" xfId="0" applyFont="1" applyAlignment="1">
      <alignment horizontal="center" vertical="center" wrapText="1"/>
    </xf>
    <xf numFmtId="0" fontId="77" fillId="0" borderId="0" xfId="0" applyFont="1" applyAlignment="1">
      <alignment horizontal="center" vertical="center"/>
    </xf>
    <xf numFmtId="0" fontId="78" fillId="0" borderId="0" xfId="0" applyFont="1" applyAlignment="1">
      <alignment horizontal="center" vertical="top"/>
    </xf>
    <xf numFmtId="0" fontId="3" fillId="3" borderId="23" xfId="0" applyFont="1" applyFill="1" applyBorder="1" applyAlignment="1">
      <alignment horizontal="center" vertical="top" wrapText="1"/>
    </xf>
    <xf numFmtId="0" fontId="3" fillId="3" borderId="2" xfId="0" applyFont="1" applyFill="1" applyBorder="1" applyAlignment="1">
      <alignment horizontal="center" vertical="top" wrapText="1"/>
    </xf>
    <xf numFmtId="0" fontId="77" fillId="3" borderId="0" xfId="0" applyFont="1" applyFill="1" applyAlignment="1">
      <alignment horizontal="left" vertical="top" wrapText="1" indent="1"/>
    </xf>
    <xf numFmtId="0" fontId="77" fillId="3" borderId="0" xfId="0" applyFont="1" applyFill="1" applyAlignment="1">
      <alignment horizontal="center" vertical="top" wrapText="1"/>
    </xf>
    <xf numFmtId="0" fontId="77" fillId="3" borderId="23" xfId="0" applyFont="1" applyFill="1" applyBorder="1" applyAlignment="1">
      <alignment horizontal="center" vertical="top" wrapText="1"/>
    </xf>
    <xf numFmtId="0" fontId="76" fillId="2" borderId="0" xfId="0" applyFont="1" applyFill="1" applyAlignment="1">
      <alignment horizontal="left" vertical="top" wrapText="1" indent="1"/>
    </xf>
    <xf numFmtId="0" fontId="3" fillId="2" borderId="2" xfId="0" applyFont="1" applyFill="1" applyBorder="1" applyAlignment="1">
      <alignment horizontal="center" vertical="top" wrapText="1"/>
    </xf>
    <xf numFmtId="0" fontId="76" fillId="2" borderId="0" xfId="0" applyFont="1" applyFill="1" applyAlignment="1">
      <alignment horizontal="center" vertical="top" wrapText="1"/>
    </xf>
    <xf numFmtId="0" fontId="77" fillId="3" borderId="0" xfId="0" applyFont="1" applyFill="1" applyAlignment="1">
      <alignment horizontal="center" vertical="center" wrapText="1"/>
    </xf>
    <xf numFmtId="0" fontId="77" fillId="3" borderId="0" xfId="0" quotePrefix="1" applyFont="1" applyFill="1" applyAlignment="1">
      <alignment horizontal="center" vertical="center" wrapText="1"/>
    </xf>
    <xf numFmtId="0" fontId="69" fillId="0" borderId="0" xfId="0" applyFont="1" applyAlignment="1">
      <alignment horizontal="center" vertical="center"/>
    </xf>
    <xf numFmtId="0" fontId="6" fillId="0" borderId="0" xfId="0" applyFont="1" applyAlignment="1">
      <alignment horizontal="center" vertical="top" wrapText="1"/>
    </xf>
    <xf numFmtId="0" fontId="68" fillId="0" borderId="0" xfId="0" quotePrefix="1" applyFont="1" applyAlignment="1">
      <alignment horizontal="center" vertical="center" wrapText="1"/>
    </xf>
    <xf numFmtId="0" fontId="78" fillId="0" borderId="0" xfId="0" applyFont="1" applyAlignment="1">
      <alignment horizontal="center" vertical="center"/>
    </xf>
    <xf numFmtId="0" fontId="76" fillId="2" borderId="0" xfId="0" quotePrefix="1" applyFont="1" applyFill="1" applyAlignment="1">
      <alignment horizontal="center" vertical="top" wrapText="1"/>
    </xf>
    <xf numFmtId="0" fontId="68" fillId="0" borderId="0" xfId="0" applyFont="1" applyAlignment="1">
      <alignment horizontal="left" vertical="center" wrapText="1"/>
    </xf>
    <xf numFmtId="0" fontId="68" fillId="0" borderId="18" xfId="0" applyFont="1" applyBorder="1" applyAlignment="1">
      <alignment horizontal="center" vertical="center" wrapText="1"/>
    </xf>
    <xf numFmtId="0" fontId="77" fillId="3" borderId="23" xfId="0" applyFont="1" applyFill="1" applyBorder="1" applyAlignment="1">
      <alignment horizontal="center" vertical="center" wrapText="1"/>
    </xf>
    <xf numFmtId="0" fontId="77" fillId="3" borderId="2" xfId="0" applyFont="1" applyFill="1" applyBorder="1" applyAlignment="1">
      <alignment horizontal="center" vertical="center" wrapText="1"/>
    </xf>
    <xf numFmtId="0" fontId="77" fillId="3" borderId="0" xfId="0" applyFont="1" applyFill="1" applyAlignment="1">
      <alignment horizontal="left" vertical="center" wrapText="1"/>
    </xf>
    <xf numFmtId="0" fontId="77" fillId="2" borderId="23" xfId="0" applyFont="1" applyFill="1" applyBorder="1" applyAlignment="1">
      <alignment horizontal="center" vertical="top" wrapText="1"/>
    </xf>
  </cellXfs>
  <cellStyles count="54227">
    <cellStyle name="20% - Accent1 2" xfId="243" xr:uid="{F25F3AB9-CD7E-4F11-A0F4-B91205D48DC3}"/>
    <cellStyle name="20% - Accent1 2 10" xfId="53" xr:uid="{982CCE9B-A165-4A24-989B-7F94856F5AE6}"/>
    <cellStyle name="20% - Accent1 2 11" xfId="107" xr:uid="{683D3218-9DF9-43F7-8486-62A4EADAC1FF}"/>
    <cellStyle name="20% - Accent1 2 12" xfId="117" xr:uid="{DA3FD920-6949-434C-818C-024D651B3A30}"/>
    <cellStyle name="20% - Accent1 2 13" xfId="49" xr:uid="{2B6EC53D-56C0-45EC-B4A8-95FE939F4BD0}"/>
    <cellStyle name="20% - Accent1 2 14" xfId="246" xr:uid="{A8B72FF1-B751-456E-9F9F-F24087F44C2F}"/>
    <cellStyle name="20% - Accent1 2 15" xfId="256" xr:uid="{D06ADA37-7A66-4B50-9AF7-85E344A275CA}"/>
    <cellStyle name="20% - Accent1 2 16" xfId="135" xr:uid="{D500A303-668C-4798-81CC-855CCFB954AA}"/>
    <cellStyle name="20% - Accent1 2 17" xfId="257" xr:uid="{39107AB4-4E20-4E89-8FC3-7160C60BA745}"/>
    <cellStyle name="20% - Accent1 2 18" xfId="264" xr:uid="{88A9B7F7-328C-4249-9676-BD1A0E11DD55}"/>
    <cellStyle name="20% - Accent1 2 19" xfId="267" xr:uid="{60AB3958-77C2-471A-86D0-5379BB0FE9F7}"/>
    <cellStyle name="20% - Accent1 2 2" xfId="81" xr:uid="{B674C9EF-D7C0-4E82-8760-02BD5E8D1267}"/>
    <cellStyle name="20% - Accent1 2 20" xfId="255" xr:uid="{A81C443A-0AA7-409D-9EFD-B892AD9E3105}"/>
    <cellStyle name="20% - Accent1 2 3" xfId="210" xr:uid="{AF4E83D8-1F9B-4DB3-B623-2E377466C1AC}"/>
    <cellStyle name="20% - Accent1 2 4" xfId="217" xr:uid="{1EA51914-451E-494B-AD3F-9E225B5B7CD5}"/>
    <cellStyle name="20% - Accent1 2 5" xfId="233" xr:uid="{931DBAF1-B0FA-4219-8E4D-DA8D6AA47F20}"/>
    <cellStyle name="20% - Accent1 2 6" xfId="269" xr:uid="{45CB6C21-F1CF-49CE-89B4-4B913DE4C0D3}"/>
    <cellStyle name="20% - Accent1 2 7" xfId="270" xr:uid="{624184F6-8772-4237-AA31-4B4E477A8C01}"/>
    <cellStyle name="20% - Accent1 2 8" xfId="273" xr:uid="{40B5E0E2-102A-4796-841D-597C626C98BC}"/>
    <cellStyle name="20% - Accent1 2 9" xfId="299" xr:uid="{AA5B8D3A-CF8B-43E4-9F08-5C445B758DF5}"/>
    <cellStyle name="20% - Accent1 3" xfId="309" xr:uid="{60F6E325-9C3E-464B-A6E6-D22385F453BF}"/>
    <cellStyle name="20% - Accent1 3 2" xfId="313" xr:uid="{0E1B6071-BF72-4120-96C8-6EB45F3FC770}"/>
    <cellStyle name="20% - Accent1 4" xfId="322" xr:uid="{1DD37F8B-43B7-42D4-B61A-EA81907E6D0A}"/>
    <cellStyle name="20% - Accent1 4 2" xfId="323" xr:uid="{405129A5-C324-4C98-ADB9-DE48C1414BFC}"/>
    <cellStyle name="20% - Accent1 5" xfId="328" xr:uid="{EBDDC11B-1FF8-465A-AA29-A3345C7FF9C7}"/>
    <cellStyle name="20% - Accent1 5 2" xfId="330" xr:uid="{D4038738-CFBD-464E-8645-5F47F1262875}"/>
    <cellStyle name="20% - Accent1 6" xfId="338" xr:uid="{7C5EAA11-D560-4CB7-81D6-384E371CC364}"/>
    <cellStyle name="20% - Accent2 2" xfId="339" xr:uid="{2EF4409E-5F53-48F0-BC74-C0DF79F3E092}"/>
    <cellStyle name="20% - Accent2 2 10" xfId="343" xr:uid="{71B246B6-814C-4B09-A57D-19B2CFD3FDC4}"/>
    <cellStyle name="20% - Accent2 2 11" xfId="344" xr:uid="{D368C040-A749-4FE7-84D3-BAB88D7B6465}"/>
    <cellStyle name="20% - Accent2 2 12" xfId="361" xr:uid="{557252B6-8F5B-4CD3-BB4E-D9F0CF15203E}"/>
    <cellStyle name="20% - Accent2 2 13" xfId="368" xr:uid="{200C0B2B-AFE5-4881-8044-36A1874F4F00}"/>
    <cellStyle name="20% - Accent2 2 14" xfId="369" xr:uid="{C5A4B19B-FECE-4C76-9916-62C96242307C}"/>
    <cellStyle name="20% - Accent2 2 15" xfId="370" xr:uid="{6A96CB81-5A5A-416A-938F-055D49A81A3F}"/>
    <cellStyle name="20% - Accent2 2 16" xfId="141" xr:uid="{B4741A5A-48EF-4E4F-8D8F-19144F7C613A}"/>
    <cellStyle name="20% - Accent2 2 17" xfId="374" xr:uid="{1189A7FB-659B-4E3E-B7AD-D254F0B98BF5}"/>
    <cellStyle name="20% - Accent2 2 18" xfId="376" xr:uid="{29E4EEBB-9D09-4778-81D1-4BB0CB2364FB}"/>
    <cellStyle name="20% - Accent2 2 19" xfId="381" xr:uid="{B85AC728-394E-4F57-BECA-E70865C01140}"/>
    <cellStyle name="20% - Accent2 2 2" xfId="386" xr:uid="{DAA126A2-2803-468A-B828-BBE1D87F6273}"/>
    <cellStyle name="20% - Accent2 2 20" xfId="371" xr:uid="{49375D64-4664-418B-864E-70769377FDCF}"/>
    <cellStyle name="20% - Accent2 2 3" xfId="391" xr:uid="{089F633F-1645-48BE-BB24-A65638A9111E}"/>
    <cellStyle name="20% - Accent2 2 4" xfId="399" xr:uid="{093BD220-0F16-41BD-ACFF-675C8D2F3C06}"/>
    <cellStyle name="20% - Accent2 2 5" xfId="404" xr:uid="{CCC8A2A7-2CA8-406F-85D7-C8C239687236}"/>
    <cellStyle name="20% - Accent2 2 6" xfId="409" xr:uid="{768EAA99-30F3-447A-B090-D32AC98275C3}"/>
    <cellStyle name="20% - Accent2 2 7" xfId="428" xr:uid="{DE67B6AC-D392-4211-A5D6-6CD53978728F}"/>
    <cellStyle name="20% - Accent2 2 8" xfId="446" xr:uid="{F5C56AA6-D2B7-4CA4-93DB-DE392FBF0E6D}"/>
    <cellStyle name="20% - Accent2 2 9" xfId="459" xr:uid="{1CAAE721-A3A7-4570-BC76-4D3856CAD87B}"/>
    <cellStyle name="20% - Accent2 3" xfId="462" xr:uid="{BF88EF11-0C54-4D76-B263-3F5EDD86CA48}"/>
    <cellStyle name="20% - Accent2 3 2" xfId="466" xr:uid="{20CE564F-C7D0-4B06-BA84-CA919BD717AC}"/>
    <cellStyle name="20% - Accent2 4" xfId="469" xr:uid="{0F64A1E4-3FE6-4224-9664-D337D7D30B3F}"/>
    <cellStyle name="20% - Accent2 4 2" xfId="472" xr:uid="{B06C37FE-62CD-4CBC-A06C-2934D15FFFD8}"/>
    <cellStyle name="20% - Accent2 5" xfId="476" xr:uid="{1955CED7-0EF0-4DD3-B6B0-B37627A0CDC9}"/>
    <cellStyle name="20% - Accent2 5 2" xfId="480" xr:uid="{06C5FC3A-CE7E-4DB4-B780-C98AFB9A539C}"/>
    <cellStyle name="20% - Accent2 6" xfId="488" xr:uid="{09495DA6-8762-4966-B5C0-D914E596CF8B}"/>
    <cellStyle name="20% - Accent3 2" xfId="113" xr:uid="{061D9247-D2AC-427C-82BC-683AC235FCF7}"/>
    <cellStyle name="20% - Accent3 2 10" xfId="188" xr:uid="{5310474B-9809-4E08-99C9-492D0C747177}"/>
    <cellStyle name="20% - Accent3 2 11" xfId="198" xr:uid="{79204FA3-09FC-4604-AFCB-0309B56D594C}"/>
    <cellStyle name="20% - Accent3 2 12" xfId="201" xr:uid="{6804DECC-C738-4A93-BFD4-744FB559A178}"/>
    <cellStyle name="20% - Accent3 2 13" xfId="212" xr:uid="{15359500-F8A1-4987-9831-4378ACA45F8B}"/>
    <cellStyle name="20% - Accent3 2 14" xfId="229" xr:uid="{F404921F-71ED-4FD7-8056-BF2E3FA73626}"/>
    <cellStyle name="20% - Accent3 2 15" xfId="493" xr:uid="{981B227F-5FD7-4BB5-9768-9080753E57BB}"/>
    <cellStyle name="20% - Accent3 2 16" xfId="502" xr:uid="{36A14E1F-0C97-4B63-BEFA-948EB3503888}"/>
    <cellStyle name="20% - Accent3 2 17" xfId="506" xr:uid="{7021F0AE-A5FB-444B-BA54-CF6C57CCD248}"/>
    <cellStyle name="20% - Accent3 2 18" xfId="508" xr:uid="{8B4A988D-EDCE-411D-8906-C1405BBD4DC9}"/>
    <cellStyle name="20% - Accent3 2 19" xfId="509" xr:uid="{105F4003-09F4-4C00-A198-BFEC6EE1D2B1}"/>
    <cellStyle name="20% - Accent3 2 2" xfId="510" xr:uid="{E2C699D1-A348-4548-A636-BDCA7144E9E4}"/>
    <cellStyle name="20% - Accent3 2 20" xfId="494" xr:uid="{FBBBC94E-29F6-4DEA-B2FE-108578A623B8}"/>
    <cellStyle name="20% - Accent3 2 3" xfId="511" xr:uid="{9A4FBAC8-C4E5-4C64-92CD-A9E25D76C639}"/>
    <cellStyle name="20% - Accent3 2 4" xfId="512" xr:uid="{599E5233-DDBC-44DB-A63D-8C1BE2EDE172}"/>
    <cellStyle name="20% - Accent3 2 5" xfId="513" xr:uid="{1A2A8D3A-45D5-4D11-88FD-4BB60048A331}"/>
    <cellStyle name="20% - Accent3 2 6" xfId="105" xr:uid="{3CCA5990-C768-42B9-9916-3B08BF30A1D6}"/>
    <cellStyle name="20% - Accent3 2 7" xfId="67" xr:uid="{6EA4585A-5956-44BB-8F71-34100540EDAB}"/>
    <cellStyle name="20% - Accent3 2 8" xfId="112" xr:uid="{0FF2E295-0EEC-4A59-915E-C6B1DE41240F}"/>
    <cellStyle name="20% - Accent3 2 9" xfId="131" xr:uid="{8990189C-5470-4B02-A500-A20B4403C08A}"/>
    <cellStyle name="20% - Accent3 3" xfId="126" xr:uid="{D5E1ABBD-AB64-44B0-8EEE-0D3D25C67700}"/>
    <cellStyle name="20% - Accent3 3 2" xfId="514" xr:uid="{BA6E02D3-D0EA-4C81-896E-BDB42A42F235}"/>
    <cellStyle name="20% - Accent3 4" xfId="523" xr:uid="{1634D2ED-5168-46B7-87DF-207920076533}"/>
    <cellStyle name="20% - Accent3 4 2" xfId="524" xr:uid="{A6752AD0-DF5C-4B80-AA89-02C525C10D2D}"/>
    <cellStyle name="20% - Accent3 5" xfId="535" xr:uid="{70410B3A-1EB9-4D1D-8993-4BDF9E9229E1}"/>
    <cellStyle name="20% - Accent3 5 2" xfId="543" xr:uid="{6A089EBE-B363-4B88-8CF0-D5294C03D383}"/>
    <cellStyle name="20% - Accent3 6" xfId="551" xr:uid="{4A5909C3-962F-41FF-BFE1-80B6D01CFA63}"/>
    <cellStyle name="20% - Accent4 2" xfId="554" xr:uid="{C041434D-C008-4EAD-8520-9AE2E2AA4884}"/>
    <cellStyle name="20% - Accent4 2 10" xfId="272" xr:uid="{2C0A1F5D-F93D-41B1-B208-8CAD32ADD66F}"/>
    <cellStyle name="20% - Accent4 2 11" xfId="295" xr:uid="{03074B99-1F36-4013-BD83-3EE23B4CC002}"/>
    <cellStyle name="20% - Accent4 2 12" xfId="574" xr:uid="{EC0981C2-7FFE-4474-A4BE-D1E3CD877CE2}"/>
    <cellStyle name="20% - Accent4 2 13" xfId="588" xr:uid="{AE472FE6-EABC-4FE6-9EA7-1628E3CA58E8}"/>
    <cellStyle name="20% - Accent4 2 14" xfId="602" xr:uid="{7233BC00-D87A-437D-A0A8-A4ED9CC29FAE}"/>
    <cellStyle name="20% - Accent4 2 15" xfId="615" xr:uid="{A495B64F-E410-4AF8-BABA-3B963580907A}"/>
    <cellStyle name="20% - Accent4 2 16" xfId="625" xr:uid="{B740BC6C-163A-4AC7-A28B-A2EA1F6BF49C}"/>
    <cellStyle name="20% - Accent4 2 17" xfId="632" xr:uid="{DC09A4B2-8EC7-41E9-B09B-FCA5C2006919}"/>
    <cellStyle name="20% - Accent4 2 18" xfId="639" xr:uid="{3B17CDA3-F7F0-4C0A-9168-38F976AAA844}"/>
    <cellStyle name="20% - Accent4 2 19" xfId="649" xr:uid="{A6C01A44-8DA2-49A8-AE68-8F4879E13EC3}"/>
    <cellStyle name="20% - Accent4 2 2" xfId="651" xr:uid="{1BA09689-2692-4148-8D80-87D2F99163F7}"/>
    <cellStyle name="20% - Accent4 2 20" xfId="616" xr:uid="{B342E5FB-7405-4F72-A58A-D155E4ED4B3D}"/>
    <cellStyle name="20% - Accent4 2 3" xfId="653" xr:uid="{1F68AE8D-6531-4B4C-9A31-812C3610FC48}"/>
    <cellStyle name="20% - Accent4 2 4" xfId="657" xr:uid="{63582413-6D23-441D-BD5F-9601C2192422}"/>
    <cellStyle name="20% - Accent4 2 5" xfId="661" xr:uid="{6F6784DC-5081-45DE-A143-E07C83C49EF2}"/>
    <cellStyle name="20% - Accent4 2 6" xfId="664" xr:uid="{399224F4-9AE6-41F0-892D-D0E8A5D6C318}"/>
    <cellStyle name="20% - Accent4 2 7" xfId="667" xr:uid="{BD80CF0F-37DF-46E8-BC25-CE16D31E485F}"/>
    <cellStyle name="20% - Accent4 2 8" xfId="669" xr:uid="{33854B28-795E-4E88-8F7E-68186CBCAEE7}"/>
    <cellStyle name="20% - Accent4 2 9" xfId="671" xr:uid="{BEA9FB07-A121-4C3B-8647-E4E01BA88AE6}"/>
    <cellStyle name="20% - Accent4 3" xfId="674" xr:uid="{E5E321D3-77DB-4D92-8A78-89E769E1A526}"/>
    <cellStyle name="20% - Accent4 3 2" xfId="247" xr:uid="{B88179AB-C9A8-480D-B59F-BE6C28B107C3}"/>
    <cellStyle name="20% - Accent4 4" xfId="675" xr:uid="{29C08C0F-8752-4A25-BC1C-EF463C826D0D}"/>
    <cellStyle name="20% - Accent4 4 2" xfId="683" xr:uid="{2F0EEFC1-17CE-4EDE-A713-F4C6A9081F1B}"/>
    <cellStyle name="20% - Accent4 5" xfId="685" xr:uid="{9A226568-EA64-48C5-8AD0-5862710F9EA6}"/>
    <cellStyle name="20% - Accent4 5 2" xfId="351" xr:uid="{E50EA926-7472-44B6-8023-C1C9D4E3EAE3}"/>
    <cellStyle name="20% - Accent4 6" xfId="688" xr:uid="{D88266F8-3BEB-4043-BB38-8A1A1C97BCA6}"/>
    <cellStyle name="20% - Accent5 2" xfId="701" xr:uid="{B5D082D1-CF6C-46FA-AF13-36F7F0629517}"/>
    <cellStyle name="20% - Accent5 2 10" xfId="708" xr:uid="{45CA65FB-F056-423D-828B-F2264F4C7226}"/>
    <cellStyle name="20% - Accent5 2 11" xfId="711" xr:uid="{2D45604E-8121-4D79-9196-48AADC4654AA}"/>
    <cellStyle name="20% - Accent5 2 12" xfId="722" xr:uid="{51B1ABF4-6056-433E-A6D9-D9A8C4A42A41}"/>
    <cellStyle name="20% - Accent5 2 13" xfId="730" xr:uid="{AA944A53-5471-46C5-BAF3-687948391D0C}"/>
    <cellStyle name="20% - Accent5 2 14" xfId="734" xr:uid="{AF83BA93-5511-4B3C-A470-C82F270F7CEE}"/>
    <cellStyle name="20% - Accent5 2 15" xfId="738" xr:uid="{23179A5C-99AA-4E61-8688-6EC8DB8D14DA}"/>
    <cellStyle name="20% - Accent5 2 16" xfId="743" xr:uid="{C0D7BE3A-38C3-4EE8-9F1A-FB901D17287B}"/>
    <cellStyle name="20% - Accent5 2 17" xfId="746" xr:uid="{585B85D9-AA66-47EE-924D-AD538343CB0A}"/>
    <cellStyle name="20% - Accent5 2 18" xfId="749" xr:uid="{E4AAA937-67E3-4831-8E12-A4FEAF72694F}"/>
    <cellStyle name="20% - Accent5 2 19" xfId="754" xr:uid="{64790A28-BCBC-45A8-81F9-4219027D6469}"/>
    <cellStyle name="20% - Accent5 2 2" xfId="761" xr:uid="{F7B37019-0837-49BA-BB5B-CA4435E80003}"/>
    <cellStyle name="20% - Accent5 2 20" xfId="739" xr:uid="{8D0F1FBF-5145-4954-9D8D-CAD1D9231801}"/>
    <cellStyle name="20% - Accent5 2 3" xfId="765" xr:uid="{060354F2-BCB1-4677-8791-74F3C73583D2}"/>
    <cellStyle name="20% - Accent5 2 4" xfId="776" xr:uid="{D9D5FBF1-796A-4813-85B1-59D6B341E49C}"/>
    <cellStyle name="20% - Accent5 2 5" xfId="786" xr:uid="{7185CF68-99CC-4453-8A6C-71432CA60414}"/>
    <cellStyle name="20% - Accent5 2 6" xfId="795" xr:uid="{8C139247-266E-4665-B203-8A73AD59E2CC}"/>
    <cellStyle name="20% - Accent5 2 7" xfId="798" xr:uid="{BDE18D8A-DAC6-4CBD-BD6A-34F12A98AB74}"/>
    <cellStyle name="20% - Accent5 2 8" xfId="801" xr:uid="{CD709E62-9CAF-4DE8-8C8D-425198964423}"/>
    <cellStyle name="20% - Accent5 2 9" xfId="805" xr:uid="{738CA65F-70AB-43D9-A5D9-2666C151DEE0}"/>
    <cellStyle name="20% - Accent5 3" xfId="806" xr:uid="{213D222E-B9D7-4B9C-9EDB-A348FA3739DB}"/>
    <cellStyle name="20% - Accent5 3 2" xfId="194" xr:uid="{7415380B-0DD0-48F7-9E9F-ECA23A53760D}"/>
    <cellStyle name="20% - Accent5 4" xfId="808" xr:uid="{D723472C-1534-4789-992C-A7C3D06055FF}"/>
    <cellStyle name="20% - Accent5 4 2" xfId="813" xr:uid="{2B3BDE94-5E34-4030-91F4-CD3885AA6E7F}"/>
    <cellStyle name="20% - Accent5 5" xfId="818" xr:uid="{4C81056E-C3FA-4D10-AB4A-1AEF5DE35268}"/>
    <cellStyle name="20% - Accent5 5 2" xfId="645" xr:uid="{FB5F8CE4-8B40-4C3F-92BE-9D18662370F5}"/>
    <cellStyle name="20% - Accent5 6" xfId="823" xr:uid="{515A4D1D-17B5-4655-B991-8691A96E184B}"/>
    <cellStyle name="20% - Accent6 2" xfId="824" xr:uid="{363103DC-F176-46AA-A4B2-6C7341D4503A}"/>
    <cellStyle name="20% - Accent6 2 10" xfId="829" xr:uid="{EEB70920-CE5A-44CB-B58B-43B10552CB31}"/>
    <cellStyle name="20% - Accent6 2 11" xfId="387" xr:uid="{2E06CA95-59BD-4235-8BC9-1346360D6597}"/>
    <cellStyle name="20% - Accent6 2 12" xfId="396" xr:uid="{0258F901-A51E-42CC-980F-0B5BAFACDAED}"/>
    <cellStyle name="20% - Accent6 2 13" xfId="402" xr:uid="{71B81317-4941-4FA4-BCF1-F5E939D85183}"/>
    <cellStyle name="20% - Accent6 2 14" xfId="407" xr:uid="{E6090364-B1EC-468B-9849-53574006EB10}"/>
    <cellStyle name="20% - Accent6 2 15" xfId="412" xr:uid="{478D3883-B6C4-43EC-8C3C-46667978945D}"/>
    <cellStyle name="20% - Accent6 2 16" xfId="431" xr:uid="{41DDA8BD-82DC-4A07-9A6F-5789573C8E37}"/>
    <cellStyle name="20% - Accent6 2 17" xfId="448" xr:uid="{746469C2-B589-46C8-A553-151E637AA929}"/>
    <cellStyle name="20% - Accent6 2 18" xfId="461" xr:uid="{2995E71A-CD1B-4C6D-BEBC-4E88EBD99EB8}"/>
    <cellStyle name="20% - Accent6 2 19" xfId="843" xr:uid="{CAD14DA3-B75D-493A-BE80-9C78687B9E01}"/>
    <cellStyle name="20% - Accent6 2 2" xfId="845" xr:uid="{0835C113-F977-4B2D-B823-B1777389D356}"/>
    <cellStyle name="20% - Accent6 2 20" xfId="413" xr:uid="{222AF974-F028-47D8-BA4D-0A8C0D32939E}"/>
    <cellStyle name="20% - Accent6 2 3" xfId="849" xr:uid="{96C13C78-B74E-480C-886A-AFC9852959CC}"/>
    <cellStyle name="20% - Accent6 2 4" xfId="852" xr:uid="{3A0D2042-0060-4B2C-AC33-A6021664F75C}"/>
    <cellStyle name="20% - Accent6 2 5" xfId="855" xr:uid="{09346D40-8355-4E8A-A49C-0319D83D85EB}"/>
    <cellStyle name="20% - Accent6 2 6" xfId="858" xr:uid="{52144D71-E802-4731-8644-EF6DA3B8C831}"/>
    <cellStyle name="20% - Accent6 2 7" xfId="863" xr:uid="{65997C21-FE14-4E1D-952E-117C2AFB7980}"/>
    <cellStyle name="20% - Accent6 2 8" xfId="704" xr:uid="{38155119-FA42-4AC6-8A7E-0F10C9ADD2AC}"/>
    <cellStyle name="20% - Accent6 2 9" xfId="710" xr:uid="{5E524122-ACF4-46F3-8B42-57D8788544A2}"/>
    <cellStyle name="20% - Accent6 3" xfId="173" xr:uid="{AA059DF0-DE4D-453D-A3D1-0FA715502B34}"/>
    <cellStyle name="20% - Accent6 3 2" xfId="865" xr:uid="{C58D0BCD-A978-4EF4-811B-5C6D1A35B9E8}"/>
    <cellStyle name="20% - Accent6 4" xfId="868" xr:uid="{B6726C61-ACF6-44D1-BB34-E346C6CF0919}"/>
    <cellStyle name="20% - Accent6 4 2" xfId="59" xr:uid="{441D23C9-05DC-4AA0-8602-1FED6E0AB72B}"/>
    <cellStyle name="20% - Accent6 5" xfId="872" xr:uid="{26EE389A-4D98-461A-B201-FF57ED3777E0}"/>
    <cellStyle name="20% - Accent6 5 2" xfId="87" xr:uid="{50CE2A3B-6E17-40ED-B886-8B85FA099655}"/>
    <cellStyle name="20% - Accent6 6" xfId="882" xr:uid="{B6A7E6B4-CFDF-4F85-BDF8-B49F791AA4F8}"/>
    <cellStyle name="40% - Accent1 2" xfId="896" xr:uid="{5A826627-F60E-4588-B79F-57F6E83E2B91}"/>
    <cellStyle name="40% - Accent1 2 10" xfId="904" xr:uid="{A376857A-0730-4085-B89C-E594A40E63F7}"/>
    <cellStyle name="40% - Accent1 2 11" xfId="909" xr:uid="{AB5FA935-08B3-4172-8249-316D91F70B6E}"/>
    <cellStyle name="40% - Accent1 2 12" xfId="913" xr:uid="{D03BF2D2-19C1-401E-A14F-8DB688E35E36}"/>
    <cellStyle name="40% - Accent1 2 13" xfId="916" xr:uid="{7497C783-0D86-48EC-B607-230EF0D4C85D}"/>
    <cellStyle name="40% - Accent1 2 14" xfId="919" xr:uid="{ED7574FE-16AC-4BE7-9A56-E8187069380E}"/>
    <cellStyle name="40% - Accent1 2 15" xfId="922" xr:uid="{A23BD95B-116E-4119-84DD-C3A05D8754AE}"/>
    <cellStyle name="40% - Accent1 2 16" xfId="927" xr:uid="{A2B9CD9D-F79C-402E-948A-28E17F796A30}"/>
    <cellStyle name="40% - Accent1 2 17" xfId="930" xr:uid="{C0F5FCDA-ACEA-41D5-B960-D2679EA74562}"/>
    <cellStyle name="40% - Accent1 2 18" xfId="931" xr:uid="{1ED10BBB-E1DC-4BC4-9E47-03C919416A23}"/>
    <cellStyle name="40% - Accent1 2 19" xfId="933" xr:uid="{3E5DB015-69B2-4EA5-9F7F-F1C5083C4EA6}"/>
    <cellStyle name="40% - Accent1 2 2" xfId="941" xr:uid="{46B452A9-19A4-42FF-9028-48C4D6179137}"/>
    <cellStyle name="40% - Accent1 2 20" xfId="923" xr:uid="{11E14346-692D-4918-A743-3D10E22BEF8A}"/>
    <cellStyle name="40% - Accent1 2 3" xfId="947" xr:uid="{FBBB80E8-2B52-4964-88DA-B3E00E5FC3AF}"/>
    <cellStyle name="40% - Accent1 2 4" xfId="949" xr:uid="{CE53C03D-FE16-4016-8BB5-92532A706F57}"/>
    <cellStyle name="40% - Accent1 2 5" xfId="677" xr:uid="{DA2A8B17-FEF7-4B87-BA44-532080570941}"/>
    <cellStyle name="40% - Accent1 2 6" xfId="960" xr:uid="{D0B4B456-8542-45F1-8B28-0E61A71FAACB}"/>
    <cellStyle name="40% - Accent1 2 7" xfId="972" xr:uid="{F6F1C84E-253B-4A1A-AE60-18F5D7C5F5DE}"/>
    <cellStyle name="40% - Accent1 2 8" xfId="983" xr:uid="{3677E563-7959-461F-BE07-31D499A71D05}"/>
    <cellStyle name="40% - Accent1 2 9" xfId="984" xr:uid="{261A964E-D77F-4837-A253-3990BB9AD0A8}"/>
    <cellStyle name="40% - Accent1 3" xfId="989" xr:uid="{5F7EE2EB-934D-4BBB-ACF6-EBC465E76DE6}"/>
    <cellStyle name="40% - Accent1 3 2" xfId="1003" xr:uid="{F7646AC3-9A32-4250-BA83-0B17C476B4F9}"/>
    <cellStyle name="40% - Accent1 4" xfId="468" xr:uid="{BB3F1571-F034-4995-ADBB-D6FC6632BBD6}"/>
    <cellStyle name="40% - Accent1 4 2" xfId="1011" xr:uid="{96D5C5EB-D276-4140-8DB3-4C4A416FBFA0}"/>
    <cellStyle name="40% - Accent1 5" xfId="1015" xr:uid="{C6BABB7E-0770-41D1-878E-0DB4BAE98C18}"/>
    <cellStyle name="40% - Accent1 5 2" xfId="1021" xr:uid="{34748713-3ED3-4E78-A9A3-55F3D7072262}"/>
    <cellStyle name="40% - Accent1 6" xfId="169" xr:uid="{56DD7B53-89D9-4F74-98B6-FFF270A0C4B9}"/>
    <cellStyle name="40% - Accent2 2" xfId="1022" xr:uid="{7CE9D095-E3A2-4509-B5BB-5AD85085B462}"/>
    <cellStyle name="40% - Accent2 2 10" xfId="1026" xr:uid="{D3EFB7DF-1652-443E-93AD-3CEE3592918D}"/>
    <cellStyle name="40% - Accent2 2 11" xfId="1029" xr:uid="{9A3CD1E2-700D-462C-A8B2-8D0DC319CA42}"/>
    <cellStyle name="40% - Accent2 2 12" xfId="1034" xr:uid="{BAB4E97F-F6DC-4D22-B3D2-C5F2EC59C0C5}"/>
    <cellStyle name="40% - Accent2 2 13" xfId="1037" xr:uid="{34B1DBB1-8B1E-47C5-9A03-CFA39FEC0527}"/>
    <cellStyle name="40% - Accent2 2 14" xfId="1041" xr:uid="{E0A1264D-A521-4F5D-9902-CB242DFBC404}"/>
    <cellStyle name="40% - Accent2 2 15" xfId="1044" xr:uid="{7329302D-104F-4524-BDF4-E5148396BC4F}"/>
    <cellStyle name="40% - Accent2 2 16" xfId="1047" xr:uid="{EA9C3395-550B-4397-8305-5E7A4545C07A}"/>
    <cellStyle name="40% - Accent2 2 17" xfId="541" xr:uid="{C4CF3418-249B-44E8-86CC-2E2554F873F3}"/>
    <cellStyle name="40% - Accent2 2 18" xfId="1054" xr:uid="{09E7FC44-032F-444F-A4DF-49115113302B}"/>
    <cellStyle name="40% - Accent2 2 19" xfId="1061" xr:uid="{B52C9F20-03F0-4416-9853-77FADF9D44E6}"/>
    <cellStyle name="40% - Accent2 2 2" xfId="1064" xr:uid="{3721E982-0DC7-4470-A27F-2CE2787DA031}"/>
    <cellStyle name="40% - Accent2 2 20" xfId="1045" xr:uid="{AC0A708B-C1BF-4EE2-849E-51F674792841}"/>
    <cellStyle name="40% - Accent2 2 3" xfId="1066" xr:uid="{83883993-437C-483C-AE87-6D024328D918}"/>
    <cellStyle name="40% - Accent2 2 4" xfId="1067" xr:uid="{C3CDA570-2188-4A6F-9F45-C38D2F396577}"/>
    <cellStyle name="40% - Accent2 2 5" xfId="810" xr:uid="{36F15E11-5E36-49E7-A35D-CCC07CA21F62}"/>
    <cellStyle name="40% - Accent2 2 6" xfId="1071" xr:uid="{48C9524B-2770-4F5D-8703-E1DE072F446D}"/>
    <cellStyle name="40% - Accent2 2 7" xfId="1078" xr:uid="{54AFA4EB-7D68-47B6-A50E-220A119D6E5E}"/>
    <cellStyle name="40% - Accent2 2 8" xfId="1080" xr:uid="{5C84FFB0-2D61-46F2-A13E-FC1576D28AF1}"/>
    <cellStyle name="40% - Accent2 2 9" xfId="1087" xr:uid="{408AB65B-6EFE-49A1-8C35-9556CD10951C}"/>
    <cellStyle name="40% - Accent2 3" xfId="1091" xr:uid="{A872BD78-7DDC-4987-B230-87845D8CEC3A}"/>
    <cellStyle name="40% - Accent2 3 2" xfId="622" xr:uid="{0AF7316A-8F75-483F-BD68-CF137BA0EC69}"/>
    <cellStyle name="40% - Accent2 4" xfId="473" xr:uid="{990ED986-9ECB-44AF-820B-609328F39074}"/>
    <cellStyle name="40% - Accent2 4 2" xfId="1093" xr:uid="{08F2721B-68D7-4CC9-A005-3F18999E894D}"/>
    <cellStyle name="40% - Accent2 5" xfId="1094" xr:uid="{846C16E1-6F9B-47C9-B295-445370A85CCB}"/>
    <cellStyle name="40% - Accent2 5 2" xfId="726" xr:uid="{EC45F6C1-DEA0-495B-BD79-A72558757279}"/>
    <cellStyle name="40% - Accent2 6" xfId="1099" xr:uid="{FA950235-51C4-44CF-8CA8-09C9DDE151F7}"/>
    <cellStyle name="40% - Accent3 2" xfId="336" xr:uid="{F2E1DE26-507B-4D03-BCE9-EE18723E97E8}"/>
    <cellStyle name="40% - Accent3 2 10" xfId="1109" xr:uid="{A5B8C38B-6E98-4672-A6A8-BA3C5E5C02C6}"/>
    <cellStyle name="40% - Accent3 2 11" xfId="152" xr:uid="{888CB923-42E7-4E9E-8FD1-590279F8040F}"/>
    <cellStyle name="40% - Accent3 2 12" xfId="1111" xr:uid="{8DF0FA42-5BF2-4475-AE63-2283345B412C}"/>
    <cellStyle name="40% - Accent3 2 13" xfId="1120" xr:uid="{FD341667-EDFF-4E01-BF13-9FA98C1002D1}"/>
    <cellStyle name="40% - Accent3 2 14" xfId="1130" xr:uid="{23159937-6E19-4775-9C3F-C778835152C0}"/>
    <cellStyle name="40% - Accent3 2 15" xfId="1141" xr:uid="{412738BE-AD28-42DD-BF84-16A4C2D08591}"/>
    <cellStyle name="40% - Accent3 2 16" xfId="1149" xr:uid="{28D0DE2D-56EB-4038-A31B-56A8E495796C}"/>
    <cellStyle name="40% - Accent3 2 17" xfId="1151" xr:uid="{6106D03A-094E-4194-92CB-43B283688C59}"/>
    <cellStyle name="40% - Accent3 2 18" xfId="1153" xr:uid="{489007BF-2EF3-4E34-9482-FBC39FFB7D2B}"/>
    <cellStyle name="40% - Accent3 2 19" xfId="1154" xr:uid="{290B3328-A16E-446F-9208-3C89D42407DB}"/>
    <cellStyle name="40% - Accent3 2 2" xfId="1157" xr:uid="{281F0353-939C-4A27-869E-651027310EC9}"/>
    <cellStyle name="40% - Accent3 2 20" xfId="1142" xr:uid="{C4FF1D10-6BA1-40EB-BB24-C2074A0B6F97}"/>
    <cellStyle name="40% - Accent3 2 3" xfId="1159" xr:uid="{F7650117-A915-465D-B9FF-27BD01188AFF}"/>
    <cellStyle name="40% - Accent3 2 4" xfId="1161" xr:uid="{298B98D7-66A5-41CD-9DA8-2C54C7AC4E1A}"/>
    <cellStyle name="40% - Accent3 2 5" xfId="54" xr:uid="{B92CA605-4FCA-4D99-A72A-7C97A9FF4161}"/>
    <cellStyle name="40% - Accent3 2 6" xfId="1163" xr:uid="{47F8C307-A5A1-443A-B8DC-2D31ABF9BFED}"/>
    <cellStyle name="40% - Accent3 2 7" xfId="1170" xr:uid="{7B077B96-56F7-40ED-A530-F0B747A6839F}"/>
    <cellStyle name="40% - Accent3 2 8" xfId="1173" xr:uid="{1C2D7C74-C9DF-490B-8DC0-5E502A73FB15}"/>
    <cellStyle name="40% - Accent3 2 9" xfId="1176" xr:uid="{225FEED1-D9CE-46A7-A47C-993BC1305364}"/>
    <cellStyle name="40% - Accent3 3" xfId="1180" xr:uid="{67B9000D-3C73-4BE5-BAA4-6792462809B6}"/>
    <cellStyle name="40% - Accent3 3 2" xfId="1188" xr:uid="{C5744409-E501-4159-A622-A5CA27C38179}"/>
    <cellStyle name="40% - Accent3 4" xfId="482" xr:uid="{8F5207FC-CE93-4E9B-A6FC-203182961419}"/>
    <cellStyle name="40% - Accent3 4 2" xfId="1190" xr:uid="{23A2CC32-CF7F-4EC5-BB56-5F1727270193}"/>
    <cellStyle name="40% - Accent3 5" xfId="1192" xr:uid="{408C6A7E-BB72-43D4-BCA8-B1B0A3782560}"/>
    <cellStyle name="40% - Accent3 5 2" xfId="1193" xr:uid="{7A67BD0D-0752-4399-A768-FBFDBD7166FA}"/>
    <cellStyle name="40% - Accent3 6" xfId="1202" xr:uid="{39384133-7D6E-4E9C-8414-7180621FBF1D}"/>
    <cellStyle name="40% - Accent4 2" xfId="485" xr:uid="{9CAB1E0C-20EE-435E-B364-D1DCC5321424}"/>
    <cellStyle name="40% - Accent4 2 10" xfId="1207" xr:uid="{C5C5CC08-2ACA-4892-A606-767E2EDD1453}"/>
    <cellStyle name="40% - Accent4 2 11" xfId="1214" xr:uid="{58B230A5-B78C-4CB0-A221-C1C96BA7E955}"/>
    <cellStyle name="40% - Accent4 2 12" xfId="1229" xr:uid="{FE8F17AD-0CE2-46FF-803C-041DA3F1F99A}"/>
    <cellStyle name="40% - Accent4 2 13" xfId="1232" xr:uid="{AE1DF61D-3E39-46C0-B979-61DE941BB8E9}"/>
    <cellStyle name="40% - Accent4 2 14" xfId="1233" xr:uid="{4CC51EE3-4E3D-4B87-8A16-B858B53DAB55}"/>
    <cellStyle name="40% - Accent4 2 15" xfId="1234" xr:uid="{02B56EFF-DA0A-4B60-9E35-A5AF9B955290}"/>
    <cellStyle name="40% - Accent4 2 16" xfId="1239" xr:uid="{3C763C8C-EAF5-4F89-970B-8CF6A5ECD109}"/>
    <cellStyle name="40% - Accent4 2 17" xfId="1243" xr:uid="{D33B75FB-40C3-4ECE-ACCF-1E2F67C51D15}"/>
    <cellStyle name="40% - Accent4 2 18" xfId="1248" xr:uid="{B1EF85AD-D888-4AB0-92ED-550F509124F5}"/>
    <cellStyle name="40% - Accent4 2 19" xfId="1255" xr:uid="{17B970CB-6DF0-4697-86F6-2786AF60441A}"/>
    <cellStyle name="40% - Accent4 2 2" xfId="1261" xr:uid="{14A1F036-BCAB-49A1-8019-52149176F0B4}"/>
    <cellStyle name="40% - Accent4 2 20" xfId="1235" xr:uid="{C6382FEF-E6B5-438F-9EB0-9DFD1B20A31B}"/>
    <cellStyle name="40% - Accent4 2 3" xfId="1271" xr:uid="{1F1B3BCB-892D-49EF-8D07-301AF95A4C31}"/>
    <cellStyle name="40% - Accent4 2 4" xfId="1276" xr:uid="{65E8C11B-1569-41D3-90E9-EDE4C226C6AF}"/>
    <cellStyle name="40% - Accent4 2 5" xfId="1286" xr:uid="{0DADD21E-03AA-425A-A76C-7919821F7F32}"/>
    <cellStyle name="40% - Accent4 2 6" xfId="1292" xr:uid="{B995AB98-D9F7-4018-B3FD-45FE99FF12E8}"/>
    <cellStyle name="40% - Accent4 2 7" xfId="1295" xr:uid="{94FDBE69-8F21-4FE0-BFA9-FB2C2AFB3910}"/>
    <cellStyle name="40% - Accent4 2 8" xfId="1300" xr:uid="{C1D66A58-B6A5-4C78-88DF-8C1BAB1ACBFE}"/>
    <cellStyle name="40% - Accent4 2 9" xfId="1306" xr:uid="{D3033A84-5D3D-462E-BCCA-0EB0D4BA5B8D}"/>
    <cellStyle name="40% - Accent4 3" xfId="1313" xr:uid="{3006D1BE-2580-4348-A9A4-C4E7E270E59E}"/>
    <cellStyle name="40% - Accent4 3 2" xfId="1322" xr:uid="{95898F9F-B8D2-45AC-9FCC-73F35F49AF1E}"/>
    <cellStyle name="40% - Accent4 4" xfId="1258" xr:uid="{46118D60-043F-44F1-8731-E0B9A9DC8F72}"/>
    <cellStyle name="40% - Accent4 4 2" xfId="1335" xr:uid="{F17680C7-0FEA-43AD-89D7-18D3008367A4}"/>
    <cellStyle name="40% - Accent4 5" xfId="1264" xr:uid="{DA1ADF14-9600-479C-B064-6371CFC1FAA2}"/>
    <cellStyle name="40% - Accent4 5 2" xfId="181" xr:uid="{6A739AC8-76FE-4C43-B530-777390290A0F}"/>
    <cellStyle name="40% - Accent4 6" xfId="1283" xr:uid="{EACD8E31-31D3-4FCC-8669-1A34DA05D6C9}"/>
    <cellStyle name="40% - Accent5 2" xfId="549" xr:uid="{91297D62-C388-4DF4-81C0-9F1870B23835}"/>
    <cellStyle name="40% - Accent5 2 10" xfId="762" xr:uid="{608B9EEC-68F5-491D-8073-430620C4D767}"/>
    <cellStyle name="40% - Accent5 2 11" xfId="771" xr:uid="{8E2A4490-CC82-4C45-9A91-174E7CE2EF12}"/>
    <cellStyle name="40% - Accent5 2 12" xfId="779" xr:uid="{3FD027F7-54B1-4ACF-95D5-5FC78BFB7EF4}"/>
    <cellStyle name="40% - Accent5 2 13" xfId="788" xr:uid="{000CA7DF-B6B5-4692-BF7A-DC9119F19DF8}"/>
    <cellStyle name="40% - Accent5 2 14" xfId="796" xr:uid="{1B50B5EC-3AAD-4E91-9FBB-F2ACAA2122AC}"/>
    <cellStyle name="40% - Accent5 2 15" xfId="799" xr:uid="{B951F64D-5E4F-4C4D-81BC-E5416649F576}"/>
    <cellStyle name="40% - Accent5 2 16" xfId="804" xr:uid="{0FD8D254-1A89-4171-87B9-3D8E4CE6F992}"/>
    <cellStyle name="40% - Accent5 2 17" xfId="1339" xr:uid="{82660043-82AE-4FA3-A36B-2FACC9819E1C}"/>
    <cellStyle name="40% - Accent5 2 18" xfId="1018" xr:uid="{D77D49B6-1754-46FB-BC31-A7332C724511}"/>
    <cellStyle name="40% - Accent5 2 19" xfId="1341" xr:uid="{7C340937-4BB7-43A0-AD1F-3B4135A7DDCE}"/>
    <cellStyle name="40% - Accent5 2 2" xfId="1343" xr:uid="{5FF3A953-61FF-4576-AA9D-819650DA569C}"/>
    <cellStyle name="40% - Accent5 2 20" xfId="800" xr:uid="{583C4146-70DA-4B5A-B718-7C11C920209F}"/>
    <cellStyle name="40% - Accent5 2 3" xfId="1349" xr:uid="{77B1FC9C-4190-429F-8795-9BD86DEA485F}"/>
    <cellStyle name="40% - Accent5 2 4" xfId="1353" xr:uid="{DC0EECB9-EBA0-4FFC-92C7-0CEEF4AB0D8F}"/>
    <cellStyle name="40% - Accent5 2 5" xfId="1356" xr:uid="{E2FF2D9B-FC17-4E49-B318-B4622B5A91CA}"/>
    <cellStyle name="40% - Accent5 2 6" xfId="1359" xr:uid="{1B22475B-47CD-4F57-B029-1C28FFAED66B}"/>
    <cellStyle name="40% - Accent5 2 7" xfId="1360" xr:uid="{24D6D2DF-F2A3-4665-A5DE-54BFAE69E046}"/>
    <cellStyle name="40% - Accent5 2 8" xfId="1362" xr:uid="{61CAC51F-C44A-4D91-AB08-21439D0CE271}"/>
    <cellStyle name="40% - Accent5 2 9" xfId="1365" xr:uid="{66291D14-70C8-413E-99E5-B8D16A6655C9}"/>
    <cellStyle name="40% - Accent5 3" xfId="1372" xr:uid="{7E09B218-4FFB-4F7E-BE11-589FC633C13E}"/>
    <cellStyle name="40% - Accent5 3 2" xfId="1129" xr:uid="{C72D3EF1-2629-4A36-8587-D1DCBA183AB4}"/>
    <cellStyle name="40% - Accent5 4" xfId="1320" xr:uid="{5CFB5380-F89D-4F86-B0D9-45EDDBDC5361}"/>
    <cellStyle name="40% - Accent5 4 2" xfId="40" xr:uid="{1CF9CA99-5FB2-4FBF-A6A8-C9262BAA4CF7}"/>
    <cellStyle name="40% - Accent5 5" xfId="1374" xr:uid="{E750E310-2480-4711-9B56-4069BBECFA35}"/>
    <cellStyle name="40% - Accent5 5 2" xfId="1208" xr:uid="{93482474-C13E-43D0-925D-43C440654637}"/>
    <cellStyle name="40% - Accent5 6" xfId="1379" xr:uid="{D87AAA64-72D0-40E1-9478-492B9D69220C}"/>
    <cellStyle name="40% - Accent6 2" xfId="697" xr:uid="{23D0879E-0431-4B14-8DA7-966D81668BA6}"/>
    <cellStyle name="40% - Accent6 2 10" xfId="1086" xr:uid="{A5167692-7AF3-47F9-9C22-5A9BDA1E68FB}"/>
    <cellStyle name="40% - Accent6 2 11" xfId="1382" xr:uid="{ABCBE194-CBCE-48D2-B95D-8D3747672D1D}"/>
    <cellStyle name="40% - Accent6 2 12" xfId="1385" xr:uid="{89D8E4AA-7DA9-4CBE-9973-1C642DD9E89E}"/>
    <cellStyle name="40% - Accent6 2 13" xfId="1389" xr:uid="{58B1FF78-F927-4765-90A2-92E4EF69CF12}"/>
    <cellStyle name="40% - Accent6 2 14" xfId="1394" xr:uid="{35966104-2A31-4E89-9E7A-B8AAEEF4FE6D}"/>
    <cellStyle name="40% - Accent6 2 15" xfId="1397" xr:uid="{469A7E65-923B-4217-9D9F-1FB1B17F9B1C}"/>
    <cellStyle name="40% - Accent6 2 16" xfId="83" xr:uid="{F6D4A32E-6C88-422A-9B2A-A5CA9590C1C7}"/>
    <cellStyle name="40% - Accent6 2 17" xfId="206" xr:uid="{19509ADC-AC86-4441-AB44-420B48F8F1B0}"/>
    <cellStyle name="40% - Accent6 2 18" xfId="219" xr:uid="{54A8BD55-36E5-4C06-8833-60A03C13154F}"/>
    <cellStyle name="40% - Accent6 2 19" xfId="234" xr:uid="{E34DDEC0-E7DF-41CD-9E06-102252FDE776}"/>
    <cellStyle name="40% - Accent6 2 2" xfId="1401" xr:uid="{A53B7FD0-97BE-45EB-B879-FC953AAE448E}"/>
    <cellStyle name="40% - Accent6 2 20" xfId="1398" xr:uid="{219EBCE1-F71B-4418-B86D-201EF4F13CCA}"/>
    <cellStyle name="40% - Accent6 2 3" xfId="1408" xr:uid="{767CE475-36AD-481F-8370-EDA3F766FE89}"/>
    <cellStyle name="40% - Accent6 2 4" xfId="1414" xr:uid="{496C0DA8-613E-40B6-8DD3-BF336C453CFC}"/>
    <cellStyle name="40% - Accent6 2 5" xfId="1416" xr:uid="{1C30B210-37D6-4AB1-B7DC-5E1C930F69CC}"/>
    <cellStyle name="40% - Accent6 2 6" xfId="1417" xr:uid="{A011AE23-6510-4150-8B6C-88537DFA1B24}"/>
    <cellStyle name="40% - Accent6 2 7" xfId="1420" xr:uid="{33F87CCE-09BC-4CC2-A1B4-CEC5E394E18B}"/>
    <cellStyle name="40% - Accent6 2 8" xfId="161" xr:uid="{2F484ADD-298D-4B2C-A562-73AB7F805C17}"/>
    <cellStyle name="40% - Accent6 2 9" xfId="26" xr:uid="{76479DEF-BA24-491F-BFC7-16BDE1DBA1D9}"/>
    <cellStyle name="40% - Accent6 3" xfId="1434" xr:uid="{225660C3-9845-4428-9D03-B26843095D12}"/>
    <cellStyle name="40% - Accent6 3 2" xfId="180" xr:uid="{ED747445-5AF6-4E7E-8B68-C6B6679176AC}"/>
    <cellStyle name="40% - Accent6 4" xfId="1334" xr:uid="{2FE1F127-5E66-444C-A63A-E857534BDA7B}"/>
    <cellStyle name="40% - Accent6 4 2" xfId="1441" xr:uid="{7A8FC98C-B855-41D8-9DB1-5A97B55834C9}"/>
    <cellStyle name="40% - Accent6 5" xfId="1459" xr:uid="{95D06E6E-5A1F-4E56-B0D2-EF4FB5D7FA76}"/>
    <cellStyle name="40% - Accent6 5 2" xfId="215" xr:uid="{A2EE91FB-1CB6-4079-9119-76B47ECAEB15}"/>
    <cellStyle name="40% - Accent6 6" xfId="1470" xr:uid="{E011CFA3-AA3D-436D-9B42-4C4E19F99C4E}"/>
    <cellStyle name="60% - Accent1 2" xfId="1481" xr:uid="{9F68C81D-D9D3-43E6-A468-183FB2CFF320}"/>
    <cellStyle name="60% - Accent1 2 2" xfId="686" xr:uid="{56BDF55D-4641-49A2-AAE4-E490F83F1938}"/>
    <cellStyle name="60% - Accent1 2 3" xfId="692" xr:uid="{66423B75-6D4D-48E2-8491-9487EA1CFF95}"/>
    <cellStyle name="60% - Accent1 2 4" xfId="1426" xr:uid="{A3CC9257-49EE-4AD4-9B10-D4CE04BD1305}"/>
    <cellStyle name="60% - Accent1 2 5" xfId="1326" xr:uid="{066D8867-5D93-42AA-91D6-C45AD880D0E0}"/>
    <cellStyle name="60% - Accent1 2 6" xfId="1451" xr:uid="{AEEF0056-EB68-4FA0-BAD6-72029B73B386}"/>
    <cellStyle name="60% - Accent1 2 7" xfId="1462" xr:uid="{E6830725-D9AA-446D-9541-59724727CF30}"/>
    <cellStyle name="60% - Accent1 3" xfId="1482" xr:uid="{AC1332EE-4890-452A-8F68-826BC53A6D1B}"/>
    <cellStyle name="60% - Accent1 4" xfId="1487" xr:uid="{D362E616-D872-4A0D-AE89-8D3724DB8366}"/>
    <cellStyle name="60% - Accent1 5" xfId="1496" xr:uid="{34260107-D10E-4A3E-BE75-D3423B0A23DA}"/>
    <cellStyle name="60% - Accent1 6" xfId="1507" xr:uid="{E7D9A6EF-A4F8-4721-B69B-C199A9F3C9EB}"/>
    <cellStyle name="60% - Accent2 2" xfId="397" xr:uid="{0D30EF0C-1A7C-4216-9B55-72EA1A5B3AE4}"/>
    <cellStyle name="60% - Accent2 2 2" xfId="1510" xr:uid="{E40CFA36-6328-410F-96D5-8AF8CD0A0517}"/>
    <cellStyle name="60% - Accent2 2 3" xfId="1514" xr:uid="{E8325FD0-3C58-4E50-8B33-51D3821D3EB8}"/>
    <cellStyle name="60% - Accent2 2 4" xfId="1518" xr:uid="{FB3444D4-22D7-4A3A-8BF7-537EC4FFCFCA}"/>
    <cellStyle name="60% - Accent2 2 5" xfId="38" xr:uid="{47174C21-1860-4639-8CDD-6BB9B4121976}"/>
    <cellStyle name="60% - Accent2 2 6" xfId="1524" xr:uid="{B31FC28C-26DF-4973-92DE-FCABD4A45154}"/>
    <cellStyle name="60% - Accent2 2 7" xfId="1530" xr:uid="{C0DDF20F-7A32-41EF-AED4-21A1367603FE}"/>
    <cellStyle name="60% - Accent2 3" xfId="403" xr:uid="{26512296-031A-41C0-9889-A0669D8A6B33}"/>
    <cellStyle name="60% - Accent2 4" xfId="408" xr:uid="{EB8F8D15-CA3A-4A5F-A96D-1D4E81CB2E0A}"/>
    <cellStyle name="60% - Accent2 5" xfId="424" xr:uid="{1436C4E8-B3D5-40E7-9D3B-D70D63153895}"/>
    <cellStyle name="60% - Accent2 6" xfId="442" xr:uid="{BBC65DEC-55D5-49BD-815F-1DB2FCEC08C8}"/>
    <cellStyle name="60% - Accent3 2" xfId="167" xr:uid="{CA841ECE-7A64-4B2E-A1E9-39B95DED2AEE}"/>
    <cellStyle name="60% - Accent3 2 2" xfId="1534" xr:uid="{8CA17F85-035C-43CF-A105-FB30FD551AC6}"/>
    <cellStyle name="60% - Accent3 2 3" xfId="69" xr:uid="{D017EF0E-3677-4F8A-8713-BF8DB1915A1F}"/>
    <cellStyle name="60% - Accent3 2 4" xfId="1535" xr:uid="{0B6A9B9D-26F6-4EC7-9D01-28DB4917A1F9}"/>
    <cellStyle name="60% - Accent3 2 5" xfId="1436" xr:uid="{E8BD1282-BE43-446D-AD6C-43C906A2400B}"/>
    <cellStyle name="60% - Accent3 2 6" xfId="1538" xr:uid="{F4E5F324-42D3-4CA3-8757-2457F57EB325}"/>
    <cellStyle name="60% - Accent3 2 7" xfId="1540" xr:uid="{80AE1706-D815-42B7-AFEB-54CD4EDD3BB2}"/>
    <cellStyle name="60% - Accent3 3" xfId="1544" xr:uid="{83083721-4E83-40F0-9945-E6D8702731AC}"/>
    <cellStyle name="60% - Accent3 4" xfId="1550" xr:uid="{C27323F3-F657-4453-AAA3-01538B34B1F9}"/>
    <cellStyle name="60% - Accent3 5" xfId="1566" xr:uid="{3A8EA4D6-3D33-49DE-8DAF-995B25DA8AA7}"/>
    <cellStyle name="60% - Accent3 6" xfId="1571" xr:uid="{6A4C875D-0855-418D-B7C0-DF20394B7C10}"/>
    <cellStyle name="60% - Accent4 2" xfId="1096" xr:uid="{F6265799-97F7-44DA-9CD1-C09DE619B09E}"/>
    <cellStyle name="60% - Accent4 2 2" xfId="1578" xr:uid="{510CDA9F-7AFF-4C5D-8438-D39C6F53D8B8}"/>
    <cellStyle name="60% - Accent4 2 3" xfId="1582" xr:uid="{A74EF0E6-6BB2-453D-8867-A433E9C14AED}"/>
    <cellStyle name="60% - Accent4 2 4" xfId="1588" xr:uid="{DA03C44F-B26D-4036-BCB2-924D3834F3FA}"/>
    <cellStyle name="60% - Accent4 2 5" xfId="1477" xr:uid="{895FD3CF-8F65-4AE5-9E16-AF03EB4F5EE2}"/>
    <cellStyle name="60% - Accent4 2 6" xfId="1486" xr:uid="{DF96DACD-0543-49A8-B8A6-52941E291694}"/>
    <cellStyle name="60% - Accent4 2 7" xfId="1488" xr:uid="{D5F10475-E66F-4152-A7DF-BA3D483B1518}"/>
    <cellStyle name="60% - Accent4 3" xfId="1590" xr:uid="{38E5E514-90D0-498C-83F2-A6CE4960096C}"/>
    <cellStyle name="60% - Accent4 4" xfId="1592" xr:uid="{02A15CCC-F16A-4018-B8D6-2753840880C1}"/>
    <cellStyle name="60% - Accent4 5" xfId="1595" xr:uid="{2A0171D4-2F9B-4783-AD89-8EC2CFB0A71C}"/>
    <cellStyle name="60% - Accent4 6" xfId="1600" xr:uid="{134525A0-F4FC-49AD-81FC-62738059AB2B}"/>
    <cellStyle name="60% - Accent5 2" xfId="1197" xr:uid="{A3BD355E-F18B-454F-94C5-DF673EE43FBE}"/>
    <cellStyle name="60% - Accent5 2 2" xfId="1605" xr:uid="{DB7FF445-5AA4-4FA7-ABA3-9053A64E5C08}"/>
    <cellStyle name="60% - Accent5 2 3" xfId="1610" xr:uid="{E1D496EF-3A36-42E7-81EF-281647BAAA71}"/>
    <cellStyle name="60% - Accent5 2 4" xfId="1615" xr:uid="{DD287B60-BA65-47EC-BE95-36A82350A958}"/>
    <cellStyle name="60% - Accent5 2 5" xfId="1619" xr:uid="{94B98D6A-97D9-4C10-AD06-D3B28E74DE5A}"/>
    <cellStyle name="60% - Accent5 2 6" xfId="1621" xr:uid="{433942BD-4BD3-44DA-84A8-E0A91133FE6F}"/>
    <cellStyle name="60% - Accent5 2 7" xfId="1625" xr:uid="{2514B0C0-E41A-4213-9B8C-F41D1D5C4AB2}"/>
    <cellStyle name="60% - Accent5 3" xfId="1628" xr:uid="{6FF05233-EACB-4ABD-910A-B5D8F0DC8A0C}"/>
    <cellStyle name="60% - Accent5 4" xfId="1632" xr:uid="{6D0368CF-C19B-4F3E-A658-866CA6F2F4D3}"/>
    <cellStyle name="60% - Accent5 5" xfId="1637" xr:uid="{ABD7B756-79FB-4503-8313-51C41DA999AC}"/>
    <cellStyle name="60% - Accent5 6" xfId="1641" xr:uid="{ADEBE46E-8CE4-472C-A36A-1809A0D3B9F8}"/>
    <cellStyle name="60% - Accent6 2" xfId="1275" xr:uid="{8F820006-9116-4B18-AD8C-48E10AC5EE81}"/>
    <cellStyle name="60% - Accent6 2 2" xfId="1646" xr:uid="{2EA189A0-7A00-4469-B9F2-6D0EDCE9362C}"/>
    <cellStyle name="60% - Accent6 2 3" xfId="1648" xr:uid="{BBFDEBD4-FA53-45D1-AAE1-C6BF214D4219}"/>
    <cellStyle name="60% - Accent6 2 4" xfId="1652" xr:uid="{6B94F6FA-B55B-4FD0-B169-84396613F1EE}"/>
    <cellStyle name="60% - Accent6 2 5" xfId="1654" xr:uid="{093BA517-DF77-4F51-B271-A18CDFDFF15A}"/>
    <cellStyle name="60% - Accent6 2 6" xfId="1657" xr:uid="{40FC0A79-8800-468E-B3A5-BE9ED7888F00}"/>
    <cellStyle name="60% - Accent6 2 7" xfId="27" xr:uid="{907B6343-2062-4AB5-AADA-15AE3ADF1782}"/>
    <cellStyle name="60% - Accent6 3" xfId="1285" xr:uid="{FB7203E2-E0BA-4E83-9797-EB2AA470EAE0}"/>
    <cellStyle name="60% - Accent6 4" xfId="1291" xr:uid="{99BBDCA9-6EA2-427C-9F75-DC5AE5D45FDE}"/>
    <cellStyle name="60% - Accent6 5" xfId="1297" xr:uid="{A36B9039-89C8-4693-B89F-6310F73D9E18}"/>
    <cellStyle name="60% - Accent6 6" xfId="1302" xr:uid="{87252002-9509-45D8-A9BC-E848588605D6}"/>
    <cellStyle name="Accent1 2" xfId="1661" xr:uid="{DFBD912B-B062-4D8B-9980-730C79576834}"/>
    <cellStyle name="Accent1 2 2" xfId="1663" xr:uid="{1C1AD65D-2865-4377-A49B-3A192C9D9FB3}"/>
    <cellStyle name="Accent1 2 3" xfId="1665" xr:uid="{7FE04F85-8083-4FD2-BAE9-5D6701C59203}"/>
    <cellStyle name="Accent1 2 4" xfId="241" xr:uid="{50094FB9-AD2B-407A-862B-D52315F7A9F1}"/>
    <cellStyle name="Accent1 2 5" xfId="305" xr:uid="{E12EE8AF-5B15-4AD0-87A4-0F74A070ED0C}"/>
    <cellStyle name="Accent1 2 6" xfId="317" xr:uid="{1861EBF6-B9FE-4F70-8221-03570EB6E0AB}"/>
    <cellStyle name="Accent1 2 7" xfId="325" xr:uid="{05D7B9F3-26CD-4825-9FCE-891CE56B891B}"/>
    <cellStyle name="Accent1 3" xfId="1668" xr:uid="{12AA8956-C46E-4993-AE69-27F9A0D9650A}"/>
    <cellStyle name="Accent1 4" xfId="1670" xr:uid="{5040E66A-A4E2-44C9-8AD4-64ED6F922ED0}"/>
    <cellStyle name="Accent1 5" xfId="1672" xr:uid="{3E1B58E8-0C1F-4DF6-BBD1-8AC48DD80254}"/>
    <cellStyle name="Accent1 6" xfId="1673" xr:uid="{8ED521E0-1EBD-404C-B2D8-5261907FBA03}"/>
    <cellStyle name="Accent2 2" xfId="372" xr:uid="{8F8B6D42-47F0-4AF8-BDC6-2EDD4E0BE857}"/>
    <cellStyle name="Accent2 2 2" xfId="238" xr:uid="{71D74D2C-89CE-4179-9AC9-26138680C34D}"/>
    <cellStyle name="Accent2 2 3" xfId="1024" xr:uid="{343659BD-792E-47A9-9075-14B833DBB022}"/>
    <cellStyle name="Accent2 2 4" xfId="1028" xr:uid="{8BAF9FD2-EDB6-47D7-A6F6-309A06C95EAE}"/>
    <cellStyle name="Accent2 2 5" xfId="1032" xr:uid="{B9621383-1E50-4B88-AE55-B1116555F05E}"/>
    <cellStyle name="Accent2 2 6" xfId="1039" xr:uid="{BD97F1A1-FB04-4C31-AE70-A46B5AA4CDE6}"/>
    <cellStyle name="Accent2 2 7" xfId="1043" xr:uid="{3644B300-E645-48EA-9461-47B31C68C87A}"/>
    <cellStyle name="Accent2 3" xfId="375" xr:uid="{231F5D3A-5847-48C6-8B15-493CA0C37CAB}"/>
    <cellStyle name="Accent2 4" xfId="378" xr:uid="{8FE42A3F-6E35-43BC-B8B7-F3EDF0EF7E7C}"/>
    <cellStyle name="Accent2 5" xfId="1674" xr:uid="{B0958BE6-A627-48F3-945D-0783D43A623E}"/>
    <cellStyle name="Accent2 6" xfId="1675" xr:uid="{F491042E-7D54-40D0-A9ED-DA0F1AC6E953}"/>
    <cellStyle name="Accent3 2" xfId="1419" xr:uid="{9A2DF964-C37D-479B-9A83-478A961C1DA2}"/>
    <cellStyle name="Accent3 2 2" xfId="1238" xr:uid="{866E8F34-71AE-4CDF-8F44-1D344FA02445}"/>
    <cellStyle name="Accent3 2 3" xfId="1241" xr:uid="{52F1161E-5048-4219-B5AD-CCF40FF246DE}"/>
    <cellStyle name="Accent3 2 4" xfId="1246" xr:uid="{8F0393F5-876A-4400-93FD-2636044C0CE3}"/>
    <cellStyle name="Accent3 2 5" xfId="1253" xr:uid="{29C58692-3035-44D2-AAB2-C2F3E2BA7C34}"/>
    <cellStyle name="Accent3 2 6" xfId="1677" xr:uid="{C703B14A-C084-4E78-83FA-9AEB63B6966A}"/>
    <cellStyle name="Accent3 2 7" xfId="991" xr:uid="{8EDADA59-E0DB-4024-ABB4-26582278B122}"/>
    <cellStyle name="Accent3 3" xfId="160" xr:uid="{BD767AC8-9174-42F9-B08C-FE948FCEED16}"/>
    <cellStyle name="Accent3 4" xfId="24" xr:uid="{8DB788B0-C915-4DBB-85C3-65E7DEE07ED0}"/>
    <cellStyle name="Accent3 5" xfId="1678" xr:uid="{C8158382-04D2-4F41-908F-53632C379BC5}"/>
    <cellStyle name="Accent3 6" xfId="1680" xr:uid="{E18C27F0-7978-4493-8EE5-32E196C633C0}"/>
    <cellStyle name="Accent4 2" xfId="226" xr:uid="{BB2BBE8D-183F-491F-A839-FE7D402DF21C}"/>
    <cellStyle name="Accent4 2 2" xfId="285" xr:uid="{A7A2C1D4-713B-46E0-8B03-A26FA0060CEE}"/>
    <cellStyle name="Accent4 2 3" xfId="571" xr:uid="{47D7C76C-DFC9-464C-BE62-DAF2FC42FABE}"/>
    <cellStyle name="Accent4 2 4" xfId="587" xr:uid="{4858EF79-9F17-409D-921A-B3513B7B8B44}"/>
    <cellStyle name="Accent4 2 5" xfId="597" xr:uid="{B2C0BD75-E239-4C9E-802F-B007714BD3B6}"/>
    <cellStyle name="Accent4 2 6" xfId="610" xr:uid="{2BAD878D-FD3B-4190-9A11-854BBBEA2CDA}"/>
    <cellStyle name="Accent4 2 7" xfId="618" xr:uid="{9E23509B-55B2-43E0-B143-9517C4DA6344}"/>
    <cellStyle name="Accent4 3" xfId="492" xr:uid="{57721A30-F781-4F5C-8712-F2DB47BA65C6}"/>
    <cellStyle name="Accent4 4" xfId="500" xr:uid="{1A7682B6-21E6-440C-97C1-A656FD5A957C}"/>
    <cellStyle name="Accent4 5" xfId="504" xr:uid="{FDC22A53-A3CC-4CDB-AA41-BC58CA228690}"/>
    <cellStyle name="Accent4 6" xfId="507" xr:uid="{5510074E-B20F-45C0-8AC7-5E2C565762FA}"/>
    <cellStyle name="Accent5 2" xfId="1691" xr:uid="{F91F1B43-115A-405F-B60E-688A0D031D00}"/>
    <cellStyle name="Accent5 2 2" xfId="455" xr:uid="{ACB7EB61-C6F5-4DB7-8E52-5EA3D22CE09A}"/>
    <cellStyle name="Accent5 2 3" xfId="840" xr:uid="{E3490F85-7453-47EB-A489-6170AB3ABADE}"/>
    <cellStyle name="Accent5 2 4" xfId="1699" xr:uid="{BDFCA6A5-1409-4D2E-B465-C021861B7AB1}"/>
    <cellStyle name="Accent5 2 5" xfId="1705" xr:uid="{608D2CA6-4189-45E2-8899-CB9CD757304E}"/>
    <cellStyle name="Accent5 2 6" xfId="104" xr:uid="{C6D37DB9-3C04-49F5-8529-0D21EA8B2CA4}"/>
    <cellStyle name="Accent5 2 7" xfId="1183" xr:uid="{C9985C85-8CAF-4B82-A087-658F1A393114}"/>
    <cellStyle name="Accent5 3" xfId="1712" xr:uid="{6D8C2B3B-D261-412A-B114-9CFA67553376}"/>
    <cellStyle name="Accent5 4" xfId="1718" xr:uid="{37DAA6DD-0AA5-4D5E-8D90-EE7FC32B34B4}"/>
    <cellStyle name="Accent5 5" xfId="1722" xr:uid="{DC7968C2-94DC-4854-80FA-F411746E2FCF}"/>
    <cellStyle name="Accent5 6" xfId="1725" xr:uid="{A41F1F94-1F1E-477D-8530-78B429AF37F6}"/>
    <cellStyle name="Accent6 2" xfId="280" xr:uid="{3EF56700-CA0C-46D7-8BEE-A4227D9DA711}"/>
    <cellStyle name="Accent6 2 2" xfId="124" xr:uid="{32D7E358-78A1-45FA-B00D-D28FECC6C054}"/>
    <cellStyle name="Accent6 2 3" xfId="521" xr:uid="{12E3A466-BA88-4E2C-937F-B4901C01E629}"/>
    <cellStyle name="Accent6 2 4" xfId="530" xr:uid="{24369074-93D2-4BB0-AD55-3E30354C0A35}"/>
    <cellStyle name="Accent6 2 5" xfId="548" xr:uid="{0A816980-B630-4A49-9855-DA646CB46ED9}"/>
    <cellStyle name="Accent6 2 6" xfId="1371" xr:uid="{8E6452B7-7514-45B4-92AC-00BEBB1C7629}"/>
    <cellStyle name="Accent6 2 7" xfId="1317" xr:uid="{7D8FC54F-3EFA-4B93-87B7-0BE81FEB3CDF}"/>
    <cellStyle name="Accent6 3" xfId="558" xr:uid="{F239E711-7199-4045-88B7-3674692F9109}"/>
    <cellStyle name="Accent6 4" xfId="578" xr:uid="{73FC8C54-8E80-41F0-9305-49E58AA7AE30}"/>
    <cellStyle name="Accent6 5" xfId="590" xr:uid="{94492482-1B6A-41FC-B56D-B51AD54A4E72}"/>
    <cellStyle name="Accent6 6" xfId="605" xr:uid="{F866CDBF-3B98-4DC8-8142-810067C270CF}"/>
    <cellStyle name="amount" xfId="815" xr:uid="{C10D4733-6248-4855-BAA9-2033C82C050C}"/>
    <cellStyle name="Bad 2" xfId="1532" xr:uid="{B1EA47EA-0E43-492F-B432-13F070502DAC}"/>
    <cellStyle name="Bad 2 2" xfId="1729" xr:uid="{315DAC04-0C94-47FB-9FE4-9D7D862FC96B}"/>
    <cellStyle name="Bad 2 3" xfId="1733" xr:uid="{3BE7D823-48AB-4DFA-B30E-2BC97F55DE3D}"/>
    <cellStyle name="Bad 2 4" xfId="1735" xr:uid="{695527B7-616F-4CD0-8E91-116A3614F7C2}"/>
    <cellStyle name="Bad 2 5" xfId="1737" xr:uid="{C523A6F5-6B79-4E24-95C5-140C0E1D16B2}"/>
    <cellStyle name="Bad 2 6" xfId="1005" xr:uid="{A5618122-119B-42ED-993D-C38040483FD0}"/>
    <cellStyle name="Bad 2 7" xfId="1740" xr:uid="{2D97C21F-3069-443F-A774-6699DB64FB37}"/>
    <cellStyle name="Bad 3" xfId="1742" xr:uid="{786EB819-A76B-4D66-964A-2948A1DA8D1E}"/>
    <cellStyle name="Bad 4" xfId="1744" xr:uid="{1541AA47-284D-4ACC-B707-115B1D134B22}"/>
    <cellStyle name="Bad 5" xfId="1440" xr:uid="{53F99EBB-D455-43C0-802D-B919083746E7}"/>
    <cellStyle name="Bad 6" xfId="1745" xr:uid="{111422CA-A4F4-4FFB-8356-5A6B0A539C2E}"/>
    <cellStyle name="Body text" xfId="1747" xr:uid="{F8D48257-CBED-4D13-BC36-8F6AE2B94E87}"/>
    <cellStyle name="Calculation 2" xfId="1751" xr:uid="{D80E94EE-43F4-4814-A5A7-E32C27F257E0}"/>
    <cellStyle name="Calculation 2 2" xfId="1758" xr:uid="{7DD7C5F2-0CB1-4656-A4D9-45C019282C28}"/>
    <cellStyle name="Calculation 2 2 2" xfId="1764" xr:uid="{725E21A5-6237-4B61-875A-F9A19B9FA023}"/>
    <cellStyle name="Calculation 2 2 3" xfId="1769" xr:uid="{BEFFA1BF-33B9-4B51-8C6D-34815A70D734}"/>
    <cellStyle name="Calculation 2 3" xfId="1774" xr:uid="{9483E276-B731-4EE3-A5F2-E930C9632232}"/>
    <cellStyle name="Calculation 2 4" xfId="940" xr:uid="{0A269504-FC52-4700-8028-27C2EC798D45}"/>
    <cellStyle name="Calculation 2 5" xfId="946" xr:uid="{63316316-3E47-4624-B5BA-C66DFE74701E}"/>
    <cellStyle name="Calculation 2 6" xfId="954" xr:uid="{97F6CBC4-7C5B-4E6C-BCBF-715F43CFE7ED}"/>
    <cellStyle name="Calculation 2 7" xfId="682" xr:uid="{F52BC835-E4B9-45E2-956E-7DCC7CA98172}"/>
    <cellStyle name="Calculation 3" xfId="1779" xr:uid="{1B6A9772-9721-4F82-AC5B-6012AE594285}"/>
    <cellStyle name="Calculation 4" xfId="1788" xr:uid="{53658488-DD70-46B2-ADE1-9E2B2AC5B097}"/>
    <cellStyle name="Calculation 5" xfId="1791" xr:uid="{1B5CD23A-07E8-4BD7-BE74-FFF4684A14D6}"/>
    <cellStyle name="Calculation 6" xfId="1793" xr:uid="{490E8BC0-F46C-41BA-8A20-0E0B8143D62C}"/>
    <cellStyle name="Check Cell 2" xfId="1796" xr:uid="{4B6F6F67-FD94-439B-BC9C-65A04A32C54E}"/>
    <cellStyle name="Check Cell 2 2" xfId="1105" xr:uid="{109AD9FD-AAE6-46D6-AEA7-32EE8BCA9D18}"/>
    <cellStyle name="Check Cell 2 3" xfId="150" xr:uid="{F970C591-2CDA-49D3-A5A4-25661762CACC}"/>
    <cellStyle name="Check Cell 2 4" xfId="1119" xr:uid="{F1CB1B67-DCBA-4880-868A-EB3DBDBC628F}"/>
    <cellStyle name="Check Cell 2 5" xfId="1128" xr:uid="{35C5E25D-6C1B-4076-A33D-753655733825}"/>
    <cellStyle name="Check Cell 2 6" xfId="1140" xr:uid="{7F4C5C04-F394-40F3-8631-A1D315E115F9}"/>
    <cellStyle name="Check Cell 2 7" xfId="1147" xr:uid="{3D7311FC-BDBD-46C5-A9C9-457B188359AB}"/>
    <cellStyle name="Check Cell 3" xfId="1797" xr:uid="{5AB01497-A2FB-4469-9C96-E3CAC792FD7E}"/>
    <cellStyle name="Check Cell 4" xfId="1800" xr:uid="{3E3B9E5E-3F45-47DF-86F1-C5E4D59ED4EF}"/>
    <cellStyle name="Check Cell 5" xfId="1802" xr:uid="{E21C5172-90D4-4222-AEAB-63EA0C4A717E}"/>
    <cellStyle name="Check Cell 6" xfId="1804" xr:uid="{2A65557F-56A6-4441-B504-DB41C2694B28}"/>
    <cellStyle name="Comma" xfId="1" builtinId="3"/>
    <cellStyle name="Comma  - Style1" xfId="1812" xr:uid="{3B42E389-92E6-414B-87AF-8D4B32946830}"/>
    <cellStyle name="Comma  - Style2" xfId="1815" xr:uid="{DEE1A263-5C7A-4090-BFC0-EBB3F8582C4A}"/>
    <cellStyle name="Comma  - Style3" xfId="1825" xr:uid="{FE92B097-D657-460C-9240-55FF738D7964}"/>
    <cellStyle name="Comma  - Style4" xfId="1830" xr:uid="{90FAAE85-1A10-4B3F-A7EA-147C3A8FF79F}"/>
    <cellStyle name="Comma  - Style5" xfId="1836" xr:uid="{1580A04D-04BC-46C2-9650-01F904C65376}"/>
    <cellStyle name="Comma  - Style6" xfId="1843" xr:uid="{DD3F9CB8-E8D6-4BC2-988D-49BB486F6AE0}"/>
    <cellStyle name="Comma  - Style7" xfId="1846" xr:uid="{272D8C35-B822-4C68-9F6B-5F08978249A5}"/>
    <cellStyle name="Comma  - Style8" xfId="1847" xr:uid="{D487D453-E894-423E-B500-149A10EA23F8}"/>
    <cellStyle name="Comma [0] 10" xfId="1854" xr:uid="{6BBED675-5750-4C35-9A6E-E609EABBAA21}"/>
    <cellStyle name="Comma [0] 10 2" xfId="1864" xr:uid="{F7E6E90F-49E7-4455-97DB-E8B69AF8A476}"/>
    <cellStyle name="Comma [0] 11" xfId="1875" xr:uid="{F40CDE00-FD4C-4658-A0D5-D01BE1733B87}"/>
    <cellStyle name="Comma [0] 11 2" xfId="1883" xr:uid="{1F359CA4-460F-4CB0-9FFE-04E4BB18954E}"/>
    <cellStyle name="Comma [0] 12" xfId="1887" xr:uid="{F97D6316-3C73-4B60-8B52-30DF8BE36F38}"/>
    <cellStyle name="Comma [0] 13" xfId="54170" xr:uid="{7FCED4A7-BD80-4169-B65E-46F0192A89CB}"/>
    <cellStyle name="Comma [0] 2" xfId="1892" xr:uid="{419E0CB9-41A1-43EE-B30C-9D0DFD46746D}"/>
    <cellStyle name="Comma [0] 2 2" xfId="1893" xr:uid="{6B85C6B1-FD18-48F3-AA5C-E9A689B6445C}"/>
    <cellStyle name="Comma [0] 2 2 2" xfId="1894" xr:uid="{498C68C6-89F2-477C-AE43-D772F3E70FE2}"/>
    <cellStyle name="Comma [0] 2 2 3" xfId="1895" xr:uid="{6F0733FB-0CC7-4D6F-81FD-2FA62DEB08C1}"/>
    <cellStyle name="Comma [0] 2 3" xfId="1897" xr:uid="{E129F287-5869-4149-B4E4-B2F1CBB643A0}"/>
    <cellStyle name="Comma [0] 2 4" xfId="1900" xr:uid="{0C233673-408C-447C-943B-30EB0509F5B7}"/>
    <cellStyle name="Comma [0] 3" xfId="1905" xr:uid="{EEC9F469-E45E-4029-BEA1-370ADC820FE8}"/>
    <cellStyle name="Comma [0] 4" xfId="1910" xr:uid="{74A9327A-51A4-4475-91A2-40F75F31A40D}"/>
    <cellStyle name="Comma [0] 5" xfId="1911" xr:uid="{B18656C9-6892-4B31-8518-6EDC7F9F1F47}"/>
    <cellStyle name="Comma [0] 6" xfId="1912" xr:uid="{8D462DF1-A371-4B50-802A-76C3ACA40EA3}"/>
    <cellStyle name="Comma [0] 7" xfId="1913" xr:uid="{AE098DA4-9F6B-43E8-89A2-9A8D395DA3B6}"/>
    <cellStyle name="Comma [0] 8" xfId="1916" xr:uid="{1219E256-E871-477B-B25E-1DD740217503}"/>
    <cellStyle name="Comma [0] 9" xfId="1930" xr:uid="{7A4F7A6D-663B-43C6-819A-C1840CDAE7E3}"/>
    <cellStyle name="Comma 10" xfId="1942" xr:uid="{AB49CEA5-6C26-4CAD-8E47-A15EFF6F0267}"/>
    <cellStyle name="Comma 10 2" xfId="1946" xr:uid="{A282B26A-29B1-4089-A301-0183BDF0B67D}"/>
    <cellStyle name="Comma 10 2 2" xfId="1948" xr:uid="{10F49266-CE30-4CA7-BC53-36B0B03FF996}"/>
    <cellStyle name="Comma 10 3" xfId="1952" xr:uid="{7E91CECE-4712-4493-A95F-1B19AB5BB4ED}"/>
    <cellStyle name="Comma 10 4" xfId="1956" xr:uid="{6959ADC6-E05E-4ADF-8C98-195A8B36DDB8}"/>
    <cellStyle name="Comma 10 5" xfId="1958" xr:uid="{F9291198-26D0-44EA-9B98-0BD941535BC4}"/>
    <cellStyle name="Comma 10 5 2" xfId="1961" xr:uid="{3C3ADF9B-9C8C-42FE-9BE4-191CA42FE073}"/>
    <cellStyle name="Comma 10 5 3" xfId="1962" xr:uid="{585663AB-4472-45D9-B8BC-7707622BEF46}"/>
    <cellStyle name="Comma 10 5 4" xfId="54195" xr:uid="{B6E64D49-96EF-4220-8557-13DE71D63BCE}"/>
    <cellStyle name="Comma 10 6" xfId="1964" xr:uid="{644B1510-8217-4595-8AE1-310DD15E6107}"/>
    <cellStyle name="Comma 10 7" xfId="1965" xr:uid="{36179AE4-61C7-429B-9281-D6F6ADD9EBD5}"/>
    <cellStyle name="Comma 10 8" xfId="1966" xr:uid="{9900E083-5574-4D7D-ABFA-87AC9F936C25}"/>
    <cellStyle name="Comma 100" xfId="1971" xr:uid="{0B0C65A4-5128-42AB-A007-4AFA2AD0D4D1}"/>
    <cellStyle name="Comma 100 2" xfId="1981" xr:uid="{D5C8ACC2-E597-42A3-BB3A-5F02BBCEC48A}"/>
    <cellStyle name="Comma 101" xfId="1990" xr:uid="{4E16CC68-20F0-450C-8F8B-AAEFDD077774}"/>
    <cellStyle name="Comma 101 2" xfId="1994" xr:uid="{65F25575-7BA5-4E67-A70A-8D6051EC117F}"/>
    <cellStyle name="Comma 102" xfId="1999" xr:uid="{C60940F1-CC06-4F4D-B54C-68BFF577AFF4}"/>
    <cellStyle name="Comma 102 2" xfId="2005" xr:uid="{1AF9EDBA-8188-44BD-BCFF-2E7E146A8B9B}"/>
    <cellStyle name="Comma 103" xfId="2007" xr:uid="{00F2AA83-FA65-4546-AB1D-898F7AE675BA}"/>
    <cellStyle name="Comma 103 2" xfId="2011" xr:uid="{46680139-1311-4F55-AA5E-30937C85CCF1}"/>
    <cellStyle name="Comma 104" xfId="2014" xr:uid="{2849A8A4-31AF-4AE5-BB1D-BF80FC376C43}"/>
    <cellStyle name="Comma 104 2" xfId="2018" xr:uid="{03425F2C-3153-4394-8F9E-E2CB0846C8BF}"/>
    <cellStyle name="Comma 105" xfId="2021" xr:uid="{3BDCB52E-73AB-44E7-BB1E-6568A0601F4A}"/>
    <cellStyle name="Comma 105 2" xfId="2023" xr:uid="{74D2341E-CF24-42BA-91DD-C43E4B3C486D}"/>
    <cellStyle name="Comma 106" xfId="2027" xr:uid="{126F3C70-E648-42A9-87B6-9A3BDC9144CE}"/>
    <cellStyle name="Comma 106 2" xfId="2034" xr:uid="{A4A9AAD2-A3D6-4032-A50B-AEF1DEA39F56}"/>
    <cellStyle name="Comma 107" xfId="2037" xr:uid="{F904544A-74FD-460B-A58F-5A67B83E981B}"/>
    <cellStyle name="Comma 107 2" xfId="2048" xr:uid="{0D4BCD9B-DFDC-4D71-BC54-A03EB3DD46C6}"/>
    <cellStyle name="Comma 108" xfId="2052" xr:uid="{2EDB835D-3DF0-4F0C-81E3-0A5FB191F552}"/>
    <cellStyle name="Comma 108 2" xfId="2055" xr:uid="{F9483D40-4236-4B18-BDE7-E23FF3883011}"/>
    <cellStyle name="Comma 109" xfId="2058" xr:uid="{24BF3E9E-04DD-4D8B-B56C-7EB88CDFAD3F}"/>
    <cellStyle name="Comma 109 2" xfId="2061" xr:uid="{0AE9D14F-C5FA-404A-AACA-F51924E376AD}"/>
    <cellStyle name="Comma 11" xfId="2065" xr:uid="{481669A0-5415-419F-92F6-9E13543227E2}"/>
    <cellStyle name="Comma 11 2" xfId="2068" xr:uid="{268A4FCE-4C4E-4203-9123-9D7AC5A8A9B6}"/>
    <cellStyle name="Comma 11 2 2" xfId="2070" xr:uid="{020FF88A-40E5-4E62-B7FB-BD61FBD62D1A}"/>
    <cellStyle name="Comma 11 2 2 2" xfId="2071" xr:uid="{1C14EC6D-9913-4E4F-A8CE-F48EDD406A51}"/>
    <cellStyle name="Comma 11 2 2 2 2" xfId="2072" xr:uid="{56C0A14B-9A85-4018-B39B-D55B6013242E}"/>
    <cellStyle name="Comma 11 2 2 2 2 2" xfId="2077" xr:uid="{9AD53823-B9C9-4D4E-9545-75A29402248D}"/>
    <cellStyle name="Comma 11 2 2 2 2 2 2" xfId="2082" xr:uid="{6A31BD5A-0B7E-4444-A562-A590A24972E1}"/>
    <cellStyle name="Comma 11 2 2 2 2 3" xfId="2087" xr:uid="{08F49CA0-3DBB-415B-A3FF-2B981B118A7F}"/>
    <cellStyle name="Comma 11 2 2 2 3" xfId="2088" xr:uid="{D30B7E93-F12E-4AB2-A881-D446B8802F61}"/>
    <cellStyle name="Comma 11 2 2 2 3 2" xfId="2094" xr:uid="{624D8891-8670-42C2-990A-211A53861DE7}"/>
    <cellStyle name="Comma 11 2 2 2 3 2 2" xfId="2101" xr:uid="{5D1FE92E-0772-438E-BA4E-C9DAAB2C5BAD}"/>
    <cellStyle name="Comma 11 2 2 2 3 3" xfId="2105" xr:uid="{057D185D-C639-41C9-9B7E-FEC68A06A91A}"/>
    <cellStyle name="Comma 11 2 2 2 3 4" xfId="2109" xr:uid="{6E3D7DFD-A629-41B2-BBE2-65094EF59452}"/>
    <cellStyle name="Comma 11 2 2 2 4" xfId="2113" xr:uid="{5DC09FBD-A529-4042-A761-CCE549E11E95}"/>
    <cellStyle name="Comma 11 2 2 2 4 2" xfId="2119" xr:uid="{0D39F502-8E5E-4CE0-9113-1B59E909493C}"/>
    <cellStyle name="Comma 11 2 2 2 5" xfId="2129" xr:uid="{DC65E531-8479-48EB-84F6-666D5EB79C77}"/>
    <cellStyle name="Comma 11 2 2 3" xfId="2133" xr:uid="{23AB17B1-E557-4FCB-907F-7212D132E2C2}"/>
    <cellStyle name="Comma 11 2 2 3 2" xfId="2135" xr:uid="{AFB63B59-6ED5-443D-A2F2-86C32DB8A049}"/>
    <cellStyle name="Comma 11 2 2 3 2 2" xfId="2139" xr:uid="{8E30E20D-B80B-4B34-956F-B72BDA2B5FAC}"/>
    <cellStyle name="Comma 11 2 2 3 3" xfId="2141" xr:uid="{4B35A310-0735-4AE1-810B-25B99EA8E6B1}"/>
    <cellStyle name="Comma 11 2 2 4" xfId="2146" xr:uid="{CAB99E52-2B4A-46AC-8371-D0A64AC15891}"/>
    <cellStyle name="Comma 11 2 2 4 2" xfId="2150" xr:uid="{A511AAD1-E2C5-4F6B-B234-EF85163189E4}"/>
    <cellStyle name="Comma 11 2 2 4 2 2" xfId="2153" xr:uid="{C1FCA2E3-88C1-45CC-83D8-B6C12AE28EC8}"/>
    <cellStyle name="Comma 11 2 2 4 3" xfId="2156" xr:uid="{60D4D9A6-3E0C-4932-AE3B-F6F10F411963}"/>
    <cellStyle name="Comma 11 2 2 5" xfId="2159" xr:uid="{50444152-37F3-4B42-8847-051C00C3E1A1}"/>
    <cellStyle name="Comma 11 2 2 5 2" xfId="2162" xr:uid="{1D611F97-1918-48A2-B484-11DD3D10F792}"/>
    <cellStyle name="Comma 11 2 2 6" xfId="2163" xr:uid="{A4147A94-EA28-4A36-9B81-19BF2065B06E}"/>
    <cellStyle name="Comma 11 2 3" xfId="2164" xr:uid="{C43AFE74-3412-48C9-B1D6-5F8FFA95E275}"/>
    <cellStyle name="Comma 11 2 3 2" xfId="55" xr:uid="{66507951-7E91-4B39-A998-9EE08AFDF368}"/>
    <cellStyle name="Comma 11 2 3 2 2" xfId="2167" xr:uid="{8175368A-2591-4954-A4B0-09CDFC329341}"/>
    <cellStyle name="Comma 11 2 3 2 2 2" xfId="2171" xr:uid="{63C6A284-6F4A-424A-B753-6D9D5C900800}"/>
    <cellStyle name="Comma 11 2 3 2 3" xfId="2173" xr:uid="{96673B77-1266-40B1-9E3A-3934EA25D36D}"/>
    <cellStyle name="Comma 11 2 3 3" xfId="1164" xr:uid="{4AE50DB9-2A1F-46D8-8880-F6E30D6F3A9A}"/>
    <cellStyle name="Comma 11 2 3 3 2" xfId="2178" xr:uid="{0703233C-333D-403E-9A89-D616246DAF00}"/>
    <cellStyle name="Comma 11 2 3 3 2 2" xfId="2182" xr:uid="{B130D55A-1559-4B68-B02D-2A069A09D8EE}"/>
    <cellStyle name="Comma 11 2 3 3 3" xfId="2186" xr:uid="{9D472474-CB9E-4C8A-8455-868C4A2C78CA}"/>
    <cellStyle name="Comma 11 2 3 3 4" xfId="2190" xr:uid="{1951677E-41B1-4419-8737-DD1D37B9EB62}"/>
    <cellStyle name="Comma 11 2 3 4" xfId="1172" xr:uid="{37E553DC-696E-41EF-BE48-E4A170B3D60A}"/>
    <cellStyle name="Comma 11 2 3 4 2" xfId="2195" xr:uid="{2F7717A7-0A3F-4A01-8143-E0936FB97797}"/>
    <cellStyle name="Comma 11 2 3 5" xfId="1175" xr:uid="{3BD4314F-6E78-4E1C-8BF5-8C95E793B7E0}"/>
    <cellStyle name="Comma 11 2 4" xfId="2196" xr:uid="{FA0B8445-088F-40F5-9EB0-EE27A18B7FE5}"/>
    <cellStyle name="Comma 11 2 4 2" xfId="2197" xr:uid="{F2A6605B-221B-4E04-884D-B377972316BB}"/>
    <cellStyle name="Comma 11 2 4 2 2" xfId="2199" xr:uid="{625EB3BA-B7BE-4FB0-8D32-EE019ABAA139}"/>
    <cellStyle name="Comma 11 2 4 3" xfId="2203" xr:uid="{7B82DA99-3B0A-4A33-93BE-3F5825BDB9CF}"/>
    <cellStyle name="Comma 11 2 4 4" xfId="2209" xr:uid="{F5ABE6D5-262B-42B6-9119-DC19F2EEDCA5}"/>
    <cellStyle name="Comma 11 2 5" xfId="2210" xr:uid="{B8C5E90C-14DC-4EC9-90BE-7EEF5CDE1430}"/>
    <cellStyle name="Comma 11 2 5 2" xfId="2211" xr:uid="{E4DE89A2-E446-404F-A49D-ABAB2FEFF175}"/>
    <cellStyle name="Comma 11 2 5 2 2" xfId="2215" xr:uid="{7AD66BC8-A730-4A7B-929E-919E0CCCDFD4}"/>
    <cellStyle name="Comma 11 2 5 3" xfId="2217" xr:uid="{5FE2B0CB-F858-49CC-81C1-AA07D8206DF6}"/>
    <cellStyle name="Comma 11 2 6" xfId="2218" xr:uid="{445D208F-DDC8-42CA-AFBC-BA584F33B425}"/>
    <cellStyle name="Comma 11 2 6 2" xfId="2222" xr:uid="{E3E2AB37-04BD-4F2A-B62E-32028CDE08B5}"/>
    <cellStyle name="Comma 11 2 7" xfId="2227" xr:uid="{46F986C5-DB6C-4B07-B8F4-AD42E0DA1538}"/>
    <cellStyle name="Comma 11 3" xfId="2231" xr:uid="{87FFC63A-A751-43A9-B80C-2731967EC9B2}"/>
    <cellStyle name="Comma 11 3 2" xfId="2233" xr:uid="{D79DA570-F258-4183-A20E-A1817423D27B}"/>
    <cellStyle name="Comma 11 3 2 2" xfId="1629" xr:uid="{4551D314-B814-4AF9-9B21-FC96C43F33DC}"/>
    <cellStyle name="Comma 11 3 2 2 2" xfId="2236" xr:uid="{E04D4700-9A42-47A7-A973-95B77F52A44A}"/>
    <cellStyle name="Comma 11 3 2 3" xfId="1633" xr:uid="{BCB1240E-86AC-450D-A468-D666554B1AEC}"/>
    <cellStyle name="Comma 11 3 3" xfId="2240" xr:uid="{79E17ED5-9464-432E-9265-38CBB741C270}"/>
    <cellStyle name="Comma 11 3 3 2" xfId="1287" xr:uid="{83FDD5EF-291C-40DC-999E-45D63A910786}"/>
    <cellStyle name="Comma 11 3 3 2 2" xfId="2242" xr:uid="{64F2ED27-28C7-41E5-A8EA-FD43A64D6F29}"/>
    <cellStyle name="Comma 11 3 3 3" xfId="1293" xr:uid="{B57DB457-B224-41F3-B482-2C41A97C6CA4}"/>
    <cellStyle name="Comma 11 3 4" xfId="2243" xr:uid="{D01731D2-41EA-440D-AED9-2CE7C2E15477}"/>
    <cellStyle name="Comma 11 3 4 2" xfId="2245" xr:uid="{72DA3A42-ADCE-4A29-8901-2B3BE4E2AF6D}"/>
    <cellStyle name="Comma 11 3 5" xfId="2249" xr:uid="{C33221FD-E64C-4A3F-98A6-A7C1EED8DF57}"/>
    <cellStyle name="Comma 11 3 6" xfId="2250" xr:uid="{CA2910F1-2513-43C5-AD8B-0FE2D0AE7BCA}"/>
    <cellStyle name="Comma 11 4" xfId="2256" xr:uid="{70189961-6DE0-4E53-BEB6-1DBC8B7404B5}"/>
    <cellStyle name="Comma 11 4 2" xfId="2260" xr:uid="{CA270C81-B406-49B3-A2AC-FB84CC7A144F}"/>
    <cellStyle name="Comma 11 4 2 2" xfId="2263" xr:uid="{30366F6A-06D8-4D93-8BD8-0B76117430A4}"/>
    <cellStyle name="Comma 11 4 3" xfId="2264" xr:uid="{04DF50F0-02E7-493C-B561-DA263883B316}"/>
    <cellStyle name="Comma 11 5" xfId="2267" xr:uid="{44234F25-C464-434F-AA01-E1676EECDAD4}"/>
    <cellStyle name="Comma 11 5 2" xfId="2268" xr:uid="{05A1D78A-C606-4CFA-9693-AA0FF56DF9D9}"/>
    <cellStyle name="Comma 11 5 2 2" xfId="2272" xr:uid="{A44CB21F-3764-4127-ACE8-7106D1060227}"/>
    <cellStyle name="Comma 11 5 3" xfId="2274" xr:uid="{419AC7A0-C1F7-47D8-BB5A-58742C6E4294}"/>
    <cellStyle name="Comma 11 6" xfId="2275" xr:uid="{4A86AF6F-3B81-47EA-9739-383977F9E121}"/>
    <cellStyle name="Comma 11 6 2" xfId="1249" xr:uid="{5DCE618C-DA57-457D-83EC-2DED05F0EAEF}"/>
    <cellStyle name="Comma 11 7" xfId="2276" xr:uid="{A4CC6304-07F4-487A-AAAE-1898420826FC}"/>
    <cellStyle name="Comma 110" xfId="2020" xr:uid="{F2067C2E-1EF8-4B13-B6B9-0631482583FF}"/>
    <cellStyle name="Comma 110 2" xfId="2022" xr:uid="{AE2D5040-F93B-4D1B-8D85-CBBAA0711214}"/>
    <cellStyle name="Comma 111" xfId="2026" xr:uid="{2EEF2790-7743-428D-BD2D-2F3E3B098539}"/>
    <cellStyle name="Comma 111 2" xfId="2033" xr:uid="{EA80B1C5-2A8B-4AD0-9931-DD57710177CA}"/>
    <cellStyle name="Comma 112" xfId="2036" xr:uid="{11680356-7271-46CE-9F7F-4FA913777141}"/>
    <cellStyle name="Comma 112 2" xfId="2047" xr:uid="{96222DFF-5AC6-4029-A667-71446A1F8AB5}"/>
    <cellStyle name="Comma 113" xfId="2051" xr:uid="{42FECF25-D9EC-4458-B9DF-16421EBFBD70}"/>
    <cellStyle name="Comma 113 2" xfId="2054" xr:uid="{29905F53-5311-414F-A4D9-28F6D82246D9}"/>
    <cellStyle name="Comma 114" xfId="2057" xr:uid="{0470ABB7-F167-4AF7-AB87-45509C490649}"/>
    <cellStyle name="Comma 114 2" xfId="2060" xr:uid="{26FC5428-C712-4F04-9E84-A827983D61F7}"/>
    <cellStyle name="Comma 115" xfId="2280" xr:uid="{C398B983-A14F-466D-9F3C-1072794D23CB}"/>
    <cellStyle name="Comma 115 2" xfId="2283" xr:uid="{BEE734E2-B4EE-48C6-81CD-86D37D656F1C}"/>
    <cellStyle name="Comma 116" xfId="2287" xr:uid="{8042025C-CBD6-4DF1-8EE4-6AB800F8F452}"/>
    <cellStyle name="Comma 116 2" xfId="251" xr:uid="{C178D4D2-2F73-4D20-9C97-D1ACEA3A39E2}"/>
    <cellStyle name="Comma 117" xfId="2292" xr:uid="{68FB36DC-75E9-4D68-B7B7-F74F1C2FABDD}"/>
    <cellStyle name="Comma 117 2" xfId="2297" xr:uid="{B8CD0649-21D4-4BF4-A676-E277427EFA0E}"/>
    <cellStyle name="Comma 118" xfId="2307" xr:uid="{100E8BB8-EB95-41FD-B4F7-6BCFDBF53AE5}"/>
    <cellStyle name="Comma 118 2" xfId="2313" xr:uid="{79A075D6-52D4-459B-8012-CF1D6A21BE35}"/>
    <cellStyle name="Comma 119" xfId="2321" xr:uid="{459C1FF9-63FB-4E6B-9C39-677F1E7F9DC0}"/>
    <cellStyle name="Comma 119 2" xfId="2326" xr:uid="{D5BAC4C1-15FF-4C21-BDC4-057F618F5FDE}"/>
    <cellStyle name="Comma 12" xfId="2329" xr:uid="{61CF5BF9-F065-4B07-A034-2DCD27C07EA5}"/>
    <cellStyle name="Comma 12 2" xfId="2331" xr:uid="{D5E4B9DF-FFCB-45BD-A798-44A5EAB204C6}"/>
    <cellStyle name="Comma 12 2 2" xfId="2332" xr:uid="{BAB54B77-755A-4E01-9AF2-AB85FD5D24E7}"/>
    <cellStyle name="Comma 12 2 3" xfId="2333" xr:uid="{5CD196BD-415D-4BCB-8724-0ABB7F4DF498}"/>
    <cellStyle name="Comma 12 2 4" xfId="2335" xr:uid="{191770E0-6A8F-4D9E-8234-EF055694052F}"/>
    <cellStyle name="Comma 12 3" xfId="2338" xr:uid="{360F82B0-F868-4F19-850B-58900FCCA53C}"/>
    <cellStyle name="Comma 12 4" xfId="2341" xr:uid="{32CE6D42-E394-45BB-8CB4-A361C0ED66E5}"/>
    <cellStyle name="Comma 12 4 2" xfId="2342" xr:uid="{5909255F-6C6E-4F81-9E6B-6017294EE2E9}"/>
    <cellStyle name="Comma 12 5" xfId="2343" xr:uid="{E2670DB9-7330-42A1-96B6-F8E5F5CBC0A4}"/>
    <cellStyle name="Comma 12 6" xfId="2344" xr:uid="{B2935176-FB12-4DC1-9E2D-C829D05BC78F}"/>
    <cellStyle name="Comma 120" xfId="2279" xr:uid="{D60D0FE8-31B5-4779-8F0C-1AC920A29A3F}"/>
    <cellStyle name="Comma 120 2" xfId="2282" xr:uid="{80A97AC2-ED67-44EB-9556-F89D4D74647E}"/>
    <cellStyle name="Comma 121" xfId="2286" xr:uid="{32DF35A4-5503-4F61-A8C1-FD5AD79E0D71}"/>
    <cellStyle name="Comma 121 2" xfId="250" xr:uid="{A7C89377-CD2D-4D7C-BCAE-8DC764C148C1}"/>
    <cellStyle name="Comma 122" xfId="2291" xr:uid="{1EADB2C4-7BAF-4A3B-A1C5-356DD0E99DF9}"/>
    <cellStyle name="Comma 122 2" xfId="2296" xr:uid="{09A67020-FB1B-4B76-95E8-CDEC6DE5DDB3}"/>
    <cellStyle name="Comma 123" xfId="2306" xr:uid="{59EDDBAD-06A7-41A9-98D7-F62003698576}"/>
    <cellStyle name="Comma 123 2" xfId="2312" xr:uid="{98D104FE-4894-453B-99B9-18B76CBABAC4}"/>
    <cellStyle name="Comma 124" xfId="2320" xr:uid="{03AB7EC1-C02E-44AD-904C-A5B6412F2098}"/>
    <cellStyle name="Comma 124 2" xfId="2325" xr:uid="{A993FAB1-0EBE-4F8F-B575-FF202C26236A}"/>
    <cellStyle name="Comma 125" xfId="2351" xr:uid="{362FF752-3550-4A20-97A7-3138D9F9C800}"/>
    <cellStyle name="Comma 125 2" xfId="2357" xr:uid="{EDD19A84-A36B-47B7-95B3-97C2BB1CB059}"/>
    <cellStyle name="Comma 126" xfId="2365" xr:uid="{46034B28-38C9-455C-A230-9F5DC39432E6}"/>
    <cellStyle name="Comma 126 2" xfId="2371" xr:uid="{8782451F-9BF5-4F26-90C3-D13F983B4CD2}"/>
    <cellStyle name="Comma 127" xfId="2376" xr:uid="{50948918-68FE-4DCD-AA70-0336AFE59BDA}"/>
    <cellStyle name="Comma 127 2" xfId="2383" xr:uid="{3EE776E3-D07A-492D-A0D8-0E89801F3CDE}"/>
    <cellStyle name="Comma 128" xfId="2390" xr:uid="{06031F05-3883-4ECE-BA53-0392CB765B14}"/>
    <cellStyle name="Comma 128 2" xfId="2392" xr:uid="{714E2AF9-F1C9-41EA-B75B-23E6362E023B}"/>
    <cellStyle name="Comma 129" xfId="2406" xr:uid="{5677957E-1045-404D-8C72-6337BB96FD5B}"/>
    <cellStyle name="Comma 129 2" xfId="2408" xr:uid="{BE6BD2AC-55C4-4881-AA90-C2780BFB866E}"/>
    <cellStyle name="Comma 13" xfId="2416" xr:uid="{AB410360-47C9-458B-AB59-DE521E07A9D6}"/>
    <cellStyle name="Comma 13 2" xfId="715" xr:uid="{707230D3-FF5A-433D-B674-5342F3FDE80B}"/>
    <cellStyle name="Comma 13 2 2" xfId="2417" xr:uid="{FB50B9BC-9229-4857-A345-EAE38363B31B}"/>
    <cellStyle name="Comma 13 3" xfId="719" xr:uid="{C6347537-EB97-4CD4-A9F8-BD136FEDE678}"/>
    <cellStyle name="Comma 13 4" xfId="727" xr:uid="{43A85A27-90EF-4C9F-8985-4B4CF7696F92}"/>
    <cellStyle name="Comma 13 4 2" xfId="2418" xr:uid="{333D534C-2255-4CF6-8921-35C8B35FCD0D}"/>
    <cellStyle name="Comma 13 5" xfId="731" xr:uid="{C59ADFEA-BEF3-4A02-B1B5-A1B99332A54E}"/>
    <cellStyle name="Comma 13 6" xfId="735" xr:uid="{C749A3A6-46BD-4C6A-AFD9-F78E84744A31}"/>
    <cellStyle name="Comma 130" xfId="2350" xr:uid="{794F9FC0-5BD0-4B1C-A419-9DE79CCDED15}"/>
    <cellStyle name="Comma 130 2" xfId="2356" xr:uid="{7C7B8552-9F13-4903-83EA-27CE672BF882}"/>
    <cellStyle name="Comma 131" xfId="2364" xr:uid="{D76F13E2-140C-4C3E-94DD-D09B1B2473BC}"/>
    <cellStyle name="Comma 131 2" xfId="2370" xr:uid="{41433AF7-9063-4ADC-857B-AA613F2AF669}"/>
    <cellStyle name="Comma 132" xfId="2375" xr:uid="{E822CD78-73C4-4FD7-BCB8-8F9D7786750A}"/>
    <cellStyle name="Comma 132 2" xfId="2382" xr:uid="{211EE197-E322-4E00-A3F0-C972077A6804}"/>
    <cellStyle name="Comma 133" xfId="2389" xr:uid="{0F682C2A-6C3E-4D60-B2F3-AE3DF8DD7A17}"/>
    <cellStyle name="Comma 133 2" xfId="2391" xr:uid="{2E2F6E7B-E217-4053-962A-2B05D502518F}"/>
    <cellStyle name="Comma 134" xfId="2405" xr:uid="{E75F9799-0249-4D51-BD4D-1E0FB450E237}"/>
    <cellStyle name="Comma 134 2" xfId="2407" xr:uid="{ED1EA7FC-AB74-4022-95DA-33AAE114A3E8}"/>
    <cellStyle name="Comma 135" xfId="2420" xr:uid="{1C08FA02-5E23-4FDC-855F-EB6CAE3732EC}"/>
    <cellStyle name="Comma 135 2" xfId="2423" xr:uid="{CC2720E2-C7CD-4FFD-A233-0DE2941A7469}"/>
    <cellStyle name="Comma 136" xfId="2425" xr:uid="{11E5EED0-893F-4AE3-9CB7-B41B43310037}"/>
    <cellStyle name="Comma 136 2" xfId="2429" xr:uid="{73EDE052-8C64-4751-BD00-05ECBA06A637}"/>
    <cellStyle name="Comma 137" xfId="2431" xr:uid="{81A18646-5CC0-4AC1-8B1D-C3500AA8C732}"/>
    <cellStyle name="Comma 137 2" xfId="93" xr:uid="{EEAC52E9-2B9A-49B1-9BCD-C7D292BA2EBE}"/>
    <cellStyle name="Comma 138" xfId="2434" xr:uid="{E819D02E-5936-448E-A74C-C67D8F2D0C0E}"/>
    <cellStyle name="Comma 138 2" xfId="2437" xr:uid="{E04104A2-0D35-4479-8B90-FAE1E566441C}"/>
    <cellStyle name="Comma 139" xfId="2445" xr:uid="{F9AD56C3-D506-4742-A993-68A251806D55}"/>
    <cellStyle name="Comma 139 2" xfId="2450" xr:uid="{1EBAF728-158A-4688-A193-E937E2B2ED27}"/>
    <cellStyle name="Comma 14" xfId="2458" xr:uid="{2EAA1717-692A-4F58-BE0A-2E1F02BC4A1A}"/>
    <cellStyle name="Comma 14 2" xfId="2459" xr:uid="{A4E7D1F3-C96F-448F-AC97-3C27F4EDA613}"/>
    <cellStyle name="Comma 14 2 2" xfId="2463" xr:uid="{9E3C80C4-EC3A-4517-B637-0DCB9139985C}"/>
    <cellStyle name="Comma 14 2 3" xfId="2469" xr:uid="{CCE4FCA0-5E5F-45D7-9938-7B6AC6C1DD4D}"/>
    <cellStyle name="Comma 14 3" xfId="2470" xr:uid="{5D6C75AD-0A3B-4FC4-8203-B7260481261F}"/>
    <cellStyle name="Comma 14 3 2" xfId="2474" xr:uid="{C7E4105A-BCCA-45D7-9649-B844748FCA02}"/>
    <cellStyle name="Comma 14 4" xfId="1574" xr:uid="{449D0C67-9353-4D22-AA0B-8ADA374BB024}"/>
    <cellStyle name="Comma 14 4 2" xfId="326" xr:uid="{9EA2237E-38F2-4B6B-A357-0522A9F59936}"/>
    <cellStyle name="Comma 14 5" xfId="1583" xr:uid="{84F7BA31-135C-4962-9A8A-D5CF6B682AD1}"/>
    <cellStyle name="Comma 14 6" xfId="1589" xr:uid="{329B0021-B158-4E75-9190-DDBCD62F6D78}"/>
    <cellStyle name="Comma 140" xfId="2419" xr:uid="{46479E78-A56B-4AC5-B1DB-FFE04CB55289}"/>
    <cellStyle name="Comma 140 2" xfId="2422" xr:uid="{F3BC88C7-392D-4AAD-B43E-4AC4BDAA5ED7}"/>
    <cellStyle name="Comma 141" xfId="2424" xr:uid="{50961CB4-9008-4A11-852E-BFBC272462DC}"/>
    <cellStyle name="Comma 141 2" xfId="2428" xr:uid="{24E0DF06-DC4B-47B3-B14B-191784623912}"/>
    <cellStyle name="Comma 142" xfId="2430" xr:uid="{1AAA3746-5011-4A1D-8469-874A81A0C502}"/>
    <cellStyle name="Comma 142 2" xfId="92" xr:uid="{B672189F-368B-4820-85C6-06003B36F0D0}"/>
    <cellStyle name="Comma 143" xfId="2433" xr:uid="{AD1CDF12-9389-420A-A671-1A2499296BD3}"/>
    <cellStyle name="Comma 143 2" xfId="2436" xr:uid="{BE31E723-4ED5-4BCB-9EC5-4A6343E9F351}"/>
    <cellStyle name="Comma 144" xfId="2444" xr:uid="{47789E14-D09F-4B78-A422-E758DC2D62FC}"/>
    <cellStyle name="Comma 144 2" xfId="2449" xr:uid="{C04D80D3-1855-48A0-A867-582B3A2078C6}"/>
    <cellStyle name="Comma 145" xfId="2478" xr:uid="{2BACFCC1-F24F-4F3E-9B00-B5D4C906D025}"/>
    <cellStyle name="Comma 145 2" xfId="2490" xr:uid="{CFC5A133-231C-4705-A2B6-FCB05AD35B18}"/>
    <cellStyle name="Comma 146" xfId="2497" xr:uid="{1BC138D9-64B2-4B06-9FDD-034B0226E4DC}"/>
    <cellStyle name="Comma 146 2" xfId="2506" xr:uid="{CB1329F8-ED40-4346-9EE6-BEF6C35FDE50}"/>
    <cellStyle name="Comma 147" xfId="2518" xr:uid="{0D6E2AE5-A055-49B1-A816-4CD14608D039}"/>
    <cellStyle name="Comma 147 2" xfId="2525" xr:uid="{108F230C-DB0D-4A78-9404-6AF0D6ADEC37}"/>
    <cellStyle name="Comma 148" xfId="2532" xr:uid="{05EA3B71-510C-4976-9B40-A787F99697C6}"/>
    <cellStyle name="Comma 148 2" xfId="2539" xr:uid="{465C2329-703B-4A1E-8DE1-1BE81992C418}"/>
    <cellStyle name="Comma 149" xfId="2548" xr:uid="{DE1DCF01-C8DF-4DBA-94AD-970163F2EEF8}"/>
    <cellStyle name="Comma 149 2" xfId="2556" xr:uid="{CE24D0BC-63A6-444E-90F4-580E8139E363}"/>
    <cellStyle name="Comma 15" xfId="2561" xr:uid="{9A2E14E5-BEE3-43BC-9408-39750E732A00}"/>
    <cellStyle name="Comma 15 2" xfId="2569" xr:uid="{ECAEE917-716E-4986-92B4-F41F0F144B27}"/>
    <cellStyle name="Comma 15 2 2" xfId="2583" xr:uid="{5680CECA-19CC-46AE-B9E1-A3F3CDF38F63}"/>
    <cellStyle name="Comma 15 2 2 2" xfId="2592" xr:uid="{8829B1FA-25B2-4995-9E71-4779F06CCD95}"/>
    <cellStyle name="Comma 15 2 2 3" xfId="2602" xr:uid="{51FFB3EB-BC01-4828-A403-5B54AB4BF5ED}"/>
    <cellStyle name="Comma 15 2 3" xfId="2615" xr:uid="{0DEBE60A-E199-4E43-A9BA-CDA3563FA0CA}"/>
    <cellStyle name="Comma 15 2 4" xfId="2625" xr:uid="{B70C8583-49A6-471F-9FA9-55010EA74103}"/>
    <cellStyle name="Comma 15 3" xfId="2634" xr:uid="{69C7C459-C824-4688-AE68-680816B8ED56}"/>
    <cellStyle name="Comma 15 3 2" xfId="2647" xr:uid="{6AAF3A7D-4302-4BA8-BB4E-9C3094C4866C}"/>
    <cellStyle name="Comma 15 3 2 2" xfId="2651" xr:uid="{9E60A4B5-007C-416C-BF5D-A52D96D5098F}"/>
    <cellStyle name="Comma 15 3 3" xfId="2656" xr:uid="{CEBC4704-5C23-4F6A-98D2-0A269F438FDC}"/>
    <cellStyle name="Comma 15 4" xfId="2664" xr:uid="{C7AF4DFE-3A2C-4DF5-BCD4-76C26C7859AC}"/>
    <cellStyle name="Comma 15 4 2" xfId="2669" xr:uid="{E1F0F091-C955-4B28-997B-4CC71DFC091D}"/>
    <cellStyle name="Comma 15 5" xfId="2675" xr:uid="{60ADB8F3-44F1-4EFE-A764-D23903BEE967}"/>
    <cellStyle name="Comma 150" xfId="2477" xr:uid="{DB338BC7-3D32-4D2C-8988-0FCD8CCF2B97}"/>
    <cellStyle name="Comma 150 2" xfId="2489" xr:uid="{6018BBA7-FBBA-42F0-B3E2-FAED85A1EC6E}"/>
    <cellStyle name="Comma 151" xfId="2496" xr:uid="{8777BB27-E8DF-4DBF-A9D3-8CB519412DA2}"/>
    <cellStyle name="Comma 151 2" xfId="2505" xr:uid="{E8DF8FD5-EDA9-42BB-BC92-E7A5AB104D32}"/>
    <cellStyle name="Comma 152" xfId="2517" xr:uid="{12B6570C-75A0-4F8C-89F9-95942C4B8230}"/>
    <cellStyle name="Comma 152 2" xfId="2524" xr:uid="{E1AFF2D6-8518-4225-B325-1A945D41505D}"/>
    <cellStyle name="Comma 153" xfId="2531" xr:uid="{30E1B68F-44A0-4A5A-9C3D-5E5B00896B35}"/>
    <cellStyle name="Comma 153 2" xfId="2538" xr:uid="{6FA8CEEE-FA7D-4C11-A45E-A2A96A11CFF2}"/>
    <cellStyle name="Comma 154" xfId="2547" xr:uid="{02CE115D-2DC3-434D-BA4A-F83300D3D225}"/>
    <cellStyle name="Comma 154 2" xfId="2555" xr:uid="{EE325FCE-D3FF-47E8-8955-B5463A17F4E4}"/>
    <cellStyle name="Comma 155" xfId="2678" xr:uid="{70911EA2-5C58-4BDA-ADA1-DD4AF3C2E008}"/>
    <cellStyle name="Comma 155 2" xfId="2685" xr:uid="{26D50998-D55B-4F63-B421-B6E9933F5F92}"/>
    <cellStyle name="Comma 156" xfId="2694" xr:uid="{FAADA59D-F367-4D7F-9ED5-EBF88A1E7CA3}"/>
    <cellStyle name="Comma 156 2" xfId="2710" xr:uid="{70355B58-E58E-4E29-B905-0FA0F5E2561E}"/>
    <cellStyle name="Comma 157" xfId="2719" xr:uid="{C9AB2227-89D1-420C-8940-E58BD6E11B67}"/>
    <cellStyle name="Comma 157 2" xfId="2729" xr:uid="{A07B2FE2-8A1B-4F88-9588-2AEFE4D4D81E}"/>
    <cellStyle name="Comma 158" xfId="2739" xr:uid="{20A2C9A4-73DE-4938-B7A6-FF6E0239138D}"/>
    <cellStyle name="Comma 158 2" xfId="1216" xr:uid="{D9F15FAC-C731-4481-84ED-5203000B3232}"/>
    <cellStyle name="Comma 159" xfId="2744" xr:uid="{1B90A398-1041-4BE4-B790-BC97935C74C1}"/>
    <cellStyle name="Comma 159 2" xfId="2749" xr:uid="{545A2D02-7811-431F-B419-E6F1F2CE3292}"/>
    <cellStyle name="Comma 16" xfId="2756" xr:uid="{BE00E595-6161-4950-ACD0-FC98B59C1387}"/>
    <cellStyle name="Comma 16 2" xfId="2769" xr:uid="{5221DE57-31B4-47B7-8E81-948DF91078BC}"/>
    <cellStyle name="Comma 16 2 2" xfId="2781" xr:uid="{05147B52-4C92-444E-8EC2-D2D1E7CEA71B}"/>
    <cellStyle name="Comma 16 2 2 2" xfId="2793" xr:uid="{8378C662-4629-4717-8E53-61F2FE6D0999}"/>
    <cellStyle name="Comma 16 2 3" xfId="2803" xr:uid="{9AD0BF90-9216-4F77-8DAC-C43464841E57}"/>
    <cellStyle name="Comma 16 2 3 2" xfId="2809" xr:uid="{0D016918-94B2-420F-94F9-A56846B3DA4B}"/>
    <cellStyle name="Comma 16 2 4" xfId="2814" xr:uid="{1D05635F-65C3-496B-8595-AE2F724FC3E0}"/>
    <cellStyle name="Comma 16 3" xfId="2828" xr:uid="{73A2A3FD-E670-4941-835F-E4334AC68B7D}"/>
    <cellStyle name="Comma 16 3 10" xfId="2244" xr:uid="{D0EF12F4-35CB-418B-A2BE-F0FFF15C3DCB}"/>
    <cellStyle name="Comma 16 3 10 2" xfId="2830" xr:uid="{B232953D-65C0-4F45-823B-E174671067AE}"/>
    <cellStyle name="Comma 16 3 10 2 2" xfId="2831" xr:uid="{D70C96E0-206C-4FBE-8D68-5666FB1154F1}"/>
    <cellStyle name="Comma 16 3 10 3" xfId="2832" xr:uid="{93F602CB-6E3C-469F-868E-DDD52B1B7A29}"/>
    <cellStyle name="Comma 16 3 11" xfId="2835" xr:uid="{79B56AD4-835A-449B-87BC-D9801723B900}"/>
    <cellStyle name="Comma 16 3 11 2" xfId="2838" xr:uid="{C3551EBD-F0F3-47F2-B292-4EBFAA3AEE20}"/>
    <cellStyle name="Comma 16 3 12" xfId="2840" xr:uid="{5D79B61F-C1FE-432E-9B8B-E0F725527177}"/>
    <cellStyle name="Comma 16 3 13" xfId="2842" xr:uid="{36CF55EB-7AAF-4ECB-A89C-8E3AA63ED09F}"/>
    <cellStyle name="Comma 16 3 14" xfId="2845" xr:uid="{C351D8C1-8CD9-4639-BC18-5502D14B6A38}"/>
    <cellStyle name="Comma 16 3 2" xfId="2855" xr:uid="{1DA0C4BF-7C6F-4D93-89C0-57F631F09223}"/>
    <cellStyle name="Comma 16 3 2 10" xfId="2290" xr:uid="{5B9BB8D4-4767-45E0-9791-F6CD128A989F}"/>
    <cellStyle name="Comma 16 3 2 11" xfId="2305" xr:uid="{E477B503-4037-47C4-BF4C-A3C08BC3B59F}"/>
    <cellStyle name="Comma 16 3 2 12" xfId="2319" xr:uid="{D08977D3-AB15-4286-ACBA-FCFD7EEBA1E0}"/>
    <cellStyle name="Comma 16 3 2 2" xfId="2861" xr:uid="{E7A50C41-A006-4F29-B589-14D9D5CA4022}"/>
    <cellStyle name="Comma 16 3 2 2 10" xfId="2863" xr:uid="{E7E72FA6-69F9-4ED6-B15F-ED537A33CF79}"/>
    <cellStyle name="Comma 16 3 2 2 2" xfId="2872" xr:uid="{B5459CC0-8B6D-4431-B627-6DAA1555E572}"/>
    <cellStyle name="Comma 16 3 2 2 2 2" xfId="2486" xr:uid="{430A0F9E-7232-4F66-B2C7-986B09B93462}"/>
    <cellStyle name="Comma 16 3 2 2 2 2 2" xfId="2488" xr:uid="{09CD4B4E-2667-49BF-AD7D-7A5FB22AD2CD}"/>
    <cellStyle name="Comma 16 3 2 2 2 2 2 2" xfId="2874" xr:uid="{C6B756F4-FF19-4533-9C0D-9977B23DC691}"/>
    <cellStyle name="Comma 16 3 2 2 2 2 2 2 2" xfId="2878" xr:uid="{CF89050A-1884-4475-8540-5A8C717F137F}"/>
    <cellStyle name="Comma 16 3 2 2 2 2 2 2 2 2" xfId="2884" xr:uid="{8117F975-1BC4-42AF-BE57-7DA748E60713}"/>
    <cellStyle name="Comma 16 3 2 2 2 2 2 2 2 2 2" xfId="2655" xr:uid="{AA575A76-0FF6-420A-8C07-6453CBD09A3E}"/>
    <cellStyle name="Comma 16 3 2 2 2 2 2 2 2 2 2 2" xfId="2885" xr:uid="{83F3CA18-B37F-47CA-A005-ECBE4D3E08C7}"/>
    <cellStyle name="Comma 16 3 2 2 2 2 2 2 2 2 3" xfId="2888" xr:uid="{C757D344-E8A5-496B-91F0-567CD1C94FBD}"/>
    <cellStyle name="Comma 16 3 2 2 2 2 2 2 2 3" xfId="2890" xr:uid="{0C882E70-8710-425C-9AF4-63A2A7458446}"/>
    <cellStyle name="Comma 16 3 2 2 2 2 2 2 2 3 2" xfId="2891" xr:uid="{F5E0039C-2214-4E84-9C37-B74105E4053C}"/>
    <cellStyle name="Comma 16 3 2 2 2 2 2 2 2 4" xfId="2895" xr:uid="{3D897552-5A41-4DD7-88EB-E3B33F2D5DAE}"/>
    <cellStyle name="Comma 16 3 2 2 2 2 2 2 3" xfId="2897" xr:uid="{9A18531A-7B14-495A-A670-7FB131AD1777}"/>
    <cellStyle name="Comma 16 3 2 2 2 2 2 2 3 2" xfId="2898" xr:uid="{27AC5802-3471-47F3-9EE5-B85555C984BD}"/>
    <cellStyle name="Comma 16 3 2 2 2 2 2 2 3 2 2" xfId="2900" xr:uid="{3DB436AA-C0A9-4541-9A54-2600547D2342}"/>
    <cellStyle name="Comma 16 3 2 2 2 2 2 2 3 3" xfId="2905" xr:uid="{2886ACC0-E32F-4D41-948F-CA0BE9602CB6}"/>
    <cellStyle name="Comma 16 3 2 2 2 2 2 2 4" xfId="2913" xr:uid="{16DDC386-C52F-43D3-A02C-2F46133E1954}"/>
    <cellStyle name="Comma 16 3 2 2 2 2 2 2 4 2" xfId="2919" xr:uid="{58797E9D-C130-404D-9443-76676D58BB9E}"/>
    <cellStyle name="Comma 16 3 2 2 2 2 2 2 5" xfId="2929" xr:uid="{863EC20A-DB01-4E67-87C7-E8EB77C97D55}"/>
    <cellStyle name="Comma 16 3 2 2 2 2 2 3" xfId="2931" xr:uid="{039E4D82-C234-445B-88A9-0E46F8605E0E}"/>
    <cellStyle name="Comma 16 3 2 2 2 2 2 3 2" xfId="2934" xr:uid="{1E237D14-2762-4484-9E15-DC385734E8E0}"/>
    <cellStyle name="Comma 16 3 2 2 2 2 2 3 2 2" xfId="2938" xr:uid="{68B6514A-4015-46DA-9863-EBE5526B8210}"/>
    <cellStyle name="Comma 16 3 2 2 2 2 2 3 2 2 2" xfId="2939" xr:uid="{0A8D4F35-8FB4-47C1-ADE5-BE5377A98568}"/>
    <cellStyle name="Comma 16 3 2 2 2 2 2 3 2 3" xfId="2942" xr:uid="{2F1B2390-FC58-4CC0-9A32-A9EFE7D1713D}"/>
    <cellStyle name="Comma 16 3 2 2 2 2 2 3 3" xfId="2944" xr:uid="{26003915-3B2C-44E2-8508-FC1CF7075CD5}"/>
    <cellStyle name="Comma 16 3 2 2 2 2 2 3 3 2" xfId="2945" xr:uid="{84612FB5-88CC-4EDF-AA30-63966D6AA220}"/>
    <cellStyle name="Comma 16 3 2 2 2 2 2 3 4" xfId="2953" xr:uid="{42A869F9-473C-4502-A677-7728297AF0E5}"/>
    <cellStyle name="Comma 16 3 2 2 2 2 2 4" xfId="814" xr:uid="{FEBEFABC-7487-41FB-88C3-0167FEA574BE}"/>
    <cellStyle name="Comma 16 3 2 2 2 2 2 4 2" xfId="2958" xr:uid="{5B99B839-D73F-4AF7-9FAF-E48018E4E957}"/>
    <cellStyle name="Comma 16 3 2 2 2 2 2 4 2 2" xfId="2960" xr:uid="{6E37EA59-10C0-4EA5-89C9-1E6812F5A70D}"/>
    <cellStyle name="Comma 16 3 2 2 2 2 2 4 3" xfId="2963" xr:uid="{D31A98A3-D2B7-4B46-A0A8-3F82DFC7894A}"/>
    <cellStyle name="Comma 16 3 2 2 2 2 2 5" xfId="2970" xr:uid="{F94F2DBC-5C21-45C8-AE91-CF278078C929}"/>
    <cellStyle name="Comma 16 3 2 2 2 2 2 5 2" xfId="2971" xr:uid="{BB86A14F-63EF-436F-9889-0628F12994DB}"/>
    <cellStyle name="Comma 16 3 2 2 2 2 2 6" xfId="2981" xr:uid="{8760F9EE-9925-4E14-B185-F3FAD9F449B4}"/>
    <cellStyle name="Comma 16 3 2 2 2 2 2 7" xfId="2988" xr:uid="{490496F4-041B-4E56-A9ED-FA7A39F6185C}"/>
    <cellStyle name="Comma 16 3 2 2 2 2 3" xfId="2993" xr:uid="{8B2904EB-0BB2-4272-A5B5-B0D47400F4D1}"/>
    <cellStyle name="Comma 16 3 2 2 2 2 3 2" xfId="633" xr:uid="{57739A48-3C44-40AA-B0F5-7A4DB83670F9}"/>
    <cellStyle name="Comma 16 3 2 2 2 2 3 2 2" xfId="2999" xr:uid="{2A5B2928-23DF-411D-AA2E-3141F3D38AE1}"/>
    <cellStyle name="Comma 16 3 2 2 2 2 3 2 2 2" xfId="3000" xr:uid="{1072EF85-E795-4485-9003-4D0C7D66A57B}"/>
    <cellStyle name="Comma 16 3 2 2 2 2 3 2 2 2 2" xfId="2841" xr:uid="{EE897E34-84F2-4AB9-92A1-94ADA7E667E3}"/>
    <cellStyle name="Comma 16 3 2 2 2 2 3 2 2 3" xfId="3002" xr:uid="{BD760E98-CEB4-471A-B050-6DA8BC8484E7}"/>
    <cellStyle name="Comma 16 3 2 2 2 2 3 2 3" xfId="91" xr:uid="{1D066F70-C61D-462F-9166-8BE75DD91255}"/>
    <cellStyle name="Comma 16 3 2 2 2 2 3 2 3 2" xfId="3003" xr:uid="{FBD55644-1290-4FDE-BD14-69287EB63EBF}"/>
    <cellStyle name="Comma 16 3 2 2 2 2 3 2 4" xfId="3009" xr:uid="{93DB0732-7C39-45B8-ABA4-92B76998302E}"/>
    <cellStyle name="Comma 16 3 2 2 2 2 3 3" xfId="641" xr:uid="{F57B11DC-C219-4B5B-A5CF-F3FC117590D7}"/>
    <cellStyle name="Comma 16 3 2 2 2 2 3 3 2" xfId="3012" xr:uid="{2491D561-9380-4CEB-8834-4F1731593D62}"/>
    <cellStyle name="Comma 16 3 2 2 2 2 3 3 2 2" xfId="3013" xr:uid="{28783DDA-E215-4D1C-8B84-F240D5A337B1}"/>
    <cellStyle name="Comma 16 3 2 2 2 2 3 3 3" xfId="3016" xr:uid="{FE501CC1-4C89-433D-8A98-3FC9728FE4AD}"/>
    <cellStyle name="Comma 16 3 2 2 2 2 3 4" xfId="646" xr:uid="{3D91A17A-AFE1-4AE3-A449-1084CE53D7BB}"/>
    <cellStyle name="Comma 16 3 2 2 2 2 3 4 2" xfId="3020" xr:uid="{3A0F517B-F446-4845-B220-074091A9A6BA}"/>
    <cellStyle name="Comma 16 3 2 2 2 2 3 5" xfId="3027" xr:uid="{A81DE0F6-F932-4616-8FC4-CA683301C647}"/>
    <cellStyle name="Comma 16 3 2 2 2 2 4" xfId="3031" xr:uid="{9B047BEC-AD39-45D9-A650-C8B1C289B5C8}"/>
    <cellStyle name="Comma 16 3 2 2 2 2 4 2" xfId="3036" xr:uid="{395063A0-A395-4D78-BC31-F36487A2D9C6}"/>
    <cellStyle name="Comma 16 3 2 2 2 2 4 2 2" xfId="3038" xr:uid="{E6909A85-6B1D-4523-B161-554807EFDF70}"/>
    <cellStyle name="Comma 16 3 2 2 2 2 4 2 2 2" xfId="3042" xr:uid="{616DA765-0523-4F49-9851-1646CE1220CD}"/>
    <cellStyle name="Comma 16 3 2 2 2 2 4 2 3" xfId="3045" xr:uid="{D64F9CD6-36EF-4FF3-AB4F-DE53037624E7}"/>
    <cellStyle name="Comma 16 3 2 2 2 2 4 3" xfId="3048" xr:uid="{C10A4522-164B-435D-955B-1D554DCA8E6A}"/>
    <cellStyle name="Comma 16 3 2 2 2 2 4 3 2" xfId="3050" xr:uid="{9E0F580A-296C-4628-AB7A-B83C7266B6DF}"/>
    <cellStyle name="Comma 16 3 2 2 2 2 4 4" xfId="3052" xr:uid="{78EC4444-20B2-485D-9A08-F27FF0552451}"/>
    <cellStyle name="Comma 16 3 2 2 2 2 5" xfId="3059" xr:uid="{9E7139AB-A8B8-4C86-AEA8-DA4C71CCFBA7}"/>
    <cellStyle name="Comma 16 3 2 2 2 2 5 2" xfId="3061" xr:uid="{61D6F432-0877-4A69-92F7-5E6DCF4DE7C0}"/>
    <cellStyle name="Comma 16 3 2 2 2 2 5 2 2" xfId="3063" xr:uid="{6082B5FF-92C9-46F1-85C7-21D0353904B4}"/>
    <cellStyle name="Comma 16 3 2 2 2 2 5 3" xfId="3065" xr:uid="{FA08A075-AD0F-4CAB-BBD6-A437BF4FD6AD}"/>
    <cellStyle name="Comma 16 3 2 2 2 2 6" xfId="3068" xr:uid="{467DE89C-8651-47EE-8289-05421E3A9E53}"/>
    <cellStyle name="Comma 16 3 2 2 2 2 6 2" xfId="3075" xr:uid="{7959C422-D2C1-4AE5-807F-5FEEE17C14EC}"/>
    <cellStyle name="Comma 16 3 2 2 2 2 7" xfId="3079" xr:uid="{2F719575-F6A3-499D-84EE-B37F92721F86}"/>
    <cellStyle name="Comma 16 3 2 2 2 2 8" xfId="3083" xr:uid="{6AA65FDE-6436-4B67-B397-7F6566AC1D2C}"/>
    <cellStyle name="Comma 16 3 2 2 2 3" xfId="2495" xr:uid="{F8C6BF29-6AD9-4E69-866B-03CE7DEF091E}"/>
    <cellStyle name="Comma 16 3 2 2 2 3 2" xfId="2504" xr:uid="{EED30827-BE6B-4864-B0DC-C4498B953B7F}"/>
    <cellStyle name="Comma 16 3 2 2 2 3 2 2" xfId="3084" xr:uid="{1E8140BB-06CB-45D9-A436-6F5FBEF19BDB}"/>
    <cellStyle name="Comma 16 3 2 2 2 3 2 2 2" xfId="3092" xr:uid="{0C972A3E-5ADD-4313-82DD-A2EF7B990ED5}"/>
    <cellStyle name="Comma 16 3 2 2 2 3 2 2 2 2" xfId="3094" xr:uid="{A6027823-9C72-4E6A-9341-27689BB5DE30}"/>
    <cellStyle name="Comma 16 3 2 2 2 3 2 2 2 2 2" xfId="607" xr:uid="{A01E472A-AEA4-43D0-9471-457C7C4DBC6F}"/>
    <cellStyle name="Comma 16 3 2 2 2 3 2 2 2 3" xfId="3096" xr:uid="{F8FC199A-760B-491D-A6B7-236FF6B9C581}"/>
    <cellStyle name="Comma 16 3 2 2 2 3 2 2 3" xfId="3098" xr:uid="{DF4DF29B-BF01-4F9A-9F5D-56B32B1B6E19}"/>
    <cellStyle name="Comma 16 3 2 2 2 3 2 2 3 2" xfId="3104" xr:uid="{70402282-8C24-4B76-BF22-29893529AEDA}"/>
    <cellStyle name="Comma 16 3 2 2 2 3 2 2 4" xfId="3114" xr:uid="{A0A8D58B-0228-4C5D-9E75-9B23D22DE8C9}"/>
    <cellStyle name="Comma 16 3 2 2 2 3 2 3" xfId="3121" xr:uid="{16CB3C8B-C486-4A14-97DA-DF80CF574E11}"/>
    <cellStyle name="Comma 16 3 2 2 2 3 2 3 2" xfId="3125" xr:uid="{C099E7AD-6615-41F6-8AA1-3C9333BED37F}"/>
    <cellStyle name="Comma 16 3 2 2 2 3 2 3 2 2" xfId="3127" xr:uid="{FA479FDB-6F88-4264-879E-F123E68B5087}"/>
    <cellStyle name="Comma 16 3 2 2 2 3 2 3 3" xfId="3129" xr:uid="{61CF363D-A0EC-4532-A22F-7CDF693F6266}"/>
    <cellStyle name="Comma 16 3 2 2 2 3 2 4" xfId="62" xr:uid="{E13E85F5-DDA0-4A88-9A30-B40398560666}"/>
    <cellStyle name="Comma 16 3 2 2 2 3 2 4 2" xfId="3139" xr:uid="{66B382EE-D51B-481A-8067-9896B56CE53E}"/>
    <cellStyle name="Comma 16 3 2 2 2 3 2 5" xfId="3145" xr:uid="{09D9A790-47FF-46CB-A1BD-65C96508E51E}"/>
    <cellStyle name="Comma 16 3 2 2 2 3 3" xfId="3146" xr:uid="{FAD70A8A-1A12-4812-B524-4346A1287EEC}"/>
    <cellStyle name="Comma 16 3 2 2 2 3 3 2" xfId="3150" xr:uid="{C9BA921D-1BBB-4442-AD0A-96498A9A2359}"/>
    <cellStyle name="Comma 16 3 2 2 2 3 3 2 2" xfId="3156" xr:uid="{5CDE981C-F164-4CC7-B539-093C57FDDE3B}"/>
    <cellStyle name="Comma 16 3 2 2 2 3 3 2 2 2" xfId="3158" xr:uid="{F26F8DFA-9AAB-45CB-A6F6-4C49C50E9042}"/>
    <cellStyle name="Comma 16 3 2 2 2 3 3 2 3" xfId="3161" xr:uid="{2E4F83F2-5FC8-4D57-AA3A-D38578698C98}"/>
    <cellStyle name="Comma 16 3 2 2 2 3 3 3" xfId="3165" xr:uid="{644B3CF5-97B8-4893-8339-9A942DDEE9CB}"/>
    <cellStyle name="Comma 16 3 2 2 2 3 3 3 2" xfId="3167" xr:uid="{A03D2179-AE6B-488C-8B12-377A593CE728}"/>
    <cellStyle name="Comma 16 3 2 2 2 3 3 4" xfId="90" xr:uid="{767479B8-7C49-49F3-84A7-60BBD9811B54}"/>
    <cellStyle name="Comma 16 3 2 2 2 3 4" xfId="3171" xr:uid="{A37A05C0-90A4-4A1D-B0D4-41620670709F}"/>
    <cellStyle name="Comma 16 3 2 2 2 3 4 2" xfId="3175" xr:uid="{CE837B14-891B-4385-840E-25837F029F85}"/>
    <cellStyle name="Comma 16 3 2 2 2 3 4 2 2" xfId="3179" xr:uid="{166FFE6A-B5F0-40AE-951A-3100EF317EB6}"/>
    <cellStyle name="Comma 16 3 2 2 2 3 4 3" xfId="3181" xr:uid="{06BC2164-936B-480C-8898-F9AF7A9056FD}"/>
    <cellStyle name="Comma 16 3 2 2 2 3 5" xfId="3186" xr:uid="{1C1D91E8-8300-4578-82C1-A8326B736F60}"/>
    <cellStyle name="Comma 16 3 2 2 2 3 5 2" xfId="3190" xr:uid="{25F21D62-D125-40BD-AA20-5DCBF75CD1D2}"/>
    <cellStyle name="Comma 16 3 2 2 2 3 6" xfId="3195" xr:uid="{9FA73A98-7C7A-46F9-99B4-DDBE5AB79249}"/>
    <cellStyle name="Comma 16 3 2 2 2 3 7" xfId="3197" xr:uid="{FC084E57-07F4-4F07-A86C-A142955E03A9}"/>
    <cellStyle name="Comma 16 3 2 2 2 4" xfId="2516" xr:uid="{AFFBE44F-BE0A-42A7-9B4A-0876D01E86B3}"/>
    <cellStyle name="Comma 16 3 2 2 2 4 2" xfId="2523" xr:uid="{18D0442E-B121-46B5-B128-60E1663A1EDD}"/>
    <cellStyle name="Comma 16 3 2 2 2 4 2 2" xfId="3202" xr:uid="{E9E2D7A4-C99E-459A-A7F2-764DCC5974DF}"/>
    <cellStyle name="Comma 16 3 2 2 2 4 2 2 2" xfId="3210" xr:uid="{B54EB476-E6D4-4969-A695-5F4353F3732F}"/>
    <cellStyle name="Comma 16 3 2 2 2 4 2 2 2 2" xfId="3212" xr:uid="{02F18878-D73B-453E-B7CB-7962966F1BDC}"/>
    <cellStyle name="Comma 16 3 2 2 2 4 2 2 3" xfId="3214" xr:uid="{42287D78-4B02-4624-BCD0-75AF907494B4}"/>
    <cellStyle name="Comma 16 3 2 2 2 4 2 3" xfId="3218" xr:uid="{8F1EC874-328D-4106-B7E3-4F20D65B1C5B}"/>
    <cellStyle name="Comma 16 3 2 2 2 4 2 3 2" xfId="3225" xr:uid="{33FEE513-3A3A-457F-B727-DFB9CFDDE38A}"/>
    <cellStyle name="Comma 16 3 2 2 2 4 2 4" xfId="3232" xr:uid="{AC40D97D-04BA-4E4D-8AC7-89B2CE1721F6}"/>
    <cellStyle name="Comma 16 3 2 2 2 4 3" xfId="3234" xr:uid="{7C9C1EEC-9052-4D04-9928-559822B0A518}"/>
    <cellStyle name="Comma 16 3 2 2 2 4 3 2" xfId="3236" xr:uid="{8902AD56-B21E-44F0-806C-84E09CAE5F26}"/>
    <cellStyle name="Comma 16 3 2 2 2 4 3 2 2" xfId="3239" xr:uid="{6A8168B5-74BB-4306-8E62-0FEFA7B90DFF}"/>
    <cellStyle name="Comma 16 3 2 2 2 4 3 3" xfId="3241" xr:uid="{D43E948D-66CB-46EB-B31B-D0EA8E5AEF75}"/>
    <cellStyle name="Comma 16 3 2 2 2 4 4" xfId="3247" xr:uid="{4F46CC76-990E-44E8-853A-7CDB9D5F3F1A}"/>
    <cellStyle name="Comma 16 3 2 2 2 4 4 2" xfId="1448" xr:uid="{8FBF7831-8047-4AE0-AEC9-5E6C31F89616}"/>
    <cellStyle name="Comma 16 3 2 2 2 4 5" xfId="3255" xr:uid="{3DDA466D-9CDB-45C9-9D85-E1660A323487}"/>
    <cellStyle name="Comma 16 3 2 2 2 5" xfId="2530" xr:uid="{62F2B3F8-3D09-4B66-9016-DD47B0799BC1}"/>
    <cellStyle name="Comma 16 3 2 2 2 5 2" xfId="2537" xr:uid="{E9BE5001-1ECB-49C2-9FA0-5330F665134F}"/>
    <cellStyle name="Comma 16 3 2 2 2 5 2 2" xfId="3257" xr:uid="{B070BE89-D4F0-40C1-9901-160D98EBA2F5}"/>
    <cellStyle name="Comma 16 3 2 2 2 5 2 2 2" xfId="3259" xr:uid="{E79DFEAC-92A6-46F0-8A43-F9DEB3B4D1D7}"/>
    <cellStyle name="Comma 16 3 2 2 2 5 2 3" xfId="3260" xr:uid="{C91251C9-04F5-4FE1-B725-9AD26B183E13}"/>
    <cellStyle name="Comma 16 3 2 2 2 5 3" xfId="3264" xr:uid="{208A666F-6AA8-449D-A6A3-3455472CB7D1}"/>
    <cellStyle name="Comma 16 3 2 2 2 5 3 2" xfId="3266" xr:uid="{6834A6DD-A903-4B91-AA83-87E8BC1FA7A9}"/>
    <cellStyle name="Comma 16 3 2 2 2 5 4" xfId="3272" xr:uid="{A92F9497-C42B-45DB-B338-F6035DD67796}"/>
    <cellStyle name="Comma 16 3 2 2 2 6" xfId="2546" xr:uid="{8CF1BB83-0955-419F-944B-165F4D050ED5}"/>
    <cellStyle name="Comma 16 3 2 2 2 6 2" xfId="2554" xr:uid="{D7388EE1-A41A-49E3-8DA4-BA11FAAB03EA}"/>
    <cellStyle name="Comma 16 3 2 2 2 6 2 2" xfId="3274" xr:uid="{77A2FC9C-D704-4C65-86EC-0C9E780FC895}"/>
    <cellStyle name="Comma 16 3 2 2 2 6 3" xfId="3278" xr:uid="{40883911-05A1-4261-AD0C-964D3F868708}"/>
    <cellStyle name="Comma 16 3 2 2 2 7" xfId="2683" xr:uid="{22D4F237-1319-4499-A7C0-70B7C60EC180}"/>
    <cellStyle name="Comma 16 3 2 2 2 7 2" xfId="2688" xr:uid="{B6A4561C-1025-4022-BFC4-7E0E5E8A9CF5}"/>
    <cellStyle name="Comma 16 3 2 2 2 8" xfId="2697" xr:uid="{7827686A-9B44-4E29-AC13-C572F766382E}"/>
    <cellStyle name="Comma 16 3 2 2 2 9" xfId="2722" xr:uid="{C303FC76-855D-4A5B-99D5-19C8E52E98FD}"/>
    <cellStyle name="Comma 16 3 2 2 3" xfId="3286" xr:uid="{6EF83B3A-A232-4E8D-92CD-965FBECF5FB7}"/>
    <cellStyle name="Comma 16 3 2 2 3 2" xfId="3288" xr:uid="{E28082E2-9FA0-47B1-A6DF-60FC920F0039}"/>
    <cellStyle name="Comma 16 3 2 2 3 2 2" xfId="3289" xr:uid="{CBEA3B92-F1F3-4B90-97C9-85F6894E55DD}"/>
    <cellStyle name="Comma 16 3 2 2 3 2 2 2" xfId="3233" xr:uid="{7154A1FC-67D8-41AE-9060-080D0BFCEA92}"/>
    <cellStyle name="Comma 16 3 2 2 3 2 2 2 2" xfId="3235" xr:uid="{120255B2-8413-4560-A1AC-E98F736C36D5}"/>
    <cellStyle name="Comma 16 3 2 2 3 2 2 2 2 2" xfId="3237" xr:uid="{9F396858-8401-4034-B9F0-91496605E537}"/>
    <cellStyle name="Comma 16 3 2 2 3 2 2 2 2 2 2" xfId="1152" xr:uid="{A7CC5DAE-242E-45CA-98ED-DFE45853C258}"/>
    <cellStyle name="Comma 16 3 2 2 3 2 2 2 2 3" xfId="3293" xr:uid="{44EC6D04-A2C8-4A9B-B819-A864083D32A7}"/>
    <cellStyle name="Comma 16 3 2 2 3 2 2 2 3" xfId="3240" xr:uid="{4BFEC418-C1DE-4C5F-ACBB-12952D47AC89}"/>
    <cellStyle name="Comma 16 3 2 2 3 2 2 2 3 2" xfId="3295" xr:uid="{BA504665-4F32-4C75-A76C-7F25613ABA68}"/>
    <cellStyle name="Comma 16 3 2 2 3 2 2 2 4" xfId="3304" xr:uid="{8A828CD9-B0EF-4933-8C3A-18AC667487BD}"/>
    <cellStyle name="Comma 16 3 2 2 3 2 2 3" xfId="3244" xr:uid="{CBB47A44-0A08-4E39-BEAC-22BBC52EC00C}"/>
    <cellStyle name="Comma 16 3 2 2 3 2 2 3 2" xfId="1445" xr:uid="{F353DE37-E712-4F63-854C-8B20579D9D96}"/>
    <cellStyle name="Comma 16 3 2 2 3 2 2 3 2 2" xfId="3307" xr:uid="{B0E737CC-9A18-4BF7-99FF-71E3E77CAA51}"/>
    <cellStyle name="Comma 16 3 2 2 3 2 2 3 3" xfId="1460" xr:uid="{346E9B5F-44AD-4FE4-964E-057A91A8AF98}"/>
    <cellStyle name="Comma 16 3 2 2 3 2 2 4" xfId="3252" xr:uid="{6CC0C570-C2B1-4559-BC30-31C4CA058F7E}"/>
    <cellStyle name="Comma 16 3 2 2 3 2 2 4 2" xfId="3316" xr:uid="{CD12D3FA-99C6-403E-BFA6-516B9576A884}"/>
    <cellStyle name="Comma 16 3 2 2 3 2 2 5" xfId="3325" xr:uid="{ADBDB924-A355-46C9-A588-C9CC426A95FF}"/>
    <cellStyle name="Comma 16 3 2 2 3 2 3" xfId="3327" xr:uid="{402CCA7F-6E03-48AD-A37C-943B0D18994F}"/>
    <cellStyle name="Comma 16 3 2 2 3 2 3 2" xfId="3263" xr:uid="{527E5298-AF41-4941-BF4E-02B6F345A08A}"/>
    <cellStyle name="Comma 16 3 2 2 3 2 3 2 2" xfId="3265" xr:uid="{C59A6A87-5C34-4B5C-A1B2-5093E805CF7E}"/>
    <cellStyle name="Comma 16 3 2 2 3 2 3 2 2 2" xfId="2892" xr:uid="{0938FF18-B55F-4881-93DC-84C56DBFD403}"/>
    <cellStyle name="Comma 16 3 2 2 3 2 3 2 3" xfId="3330" xr:uid="{FB3A76D2-7EB4-4F0B-BD17-3C0EAA2E3BBB}"/>
    <cellStyle name="Comma 16 3 2 2 3 2 3 3" xfId="3269" xr:uid="{60A64DBC-B06B-487B-B91D-4FA730570BF1}"/>
    <cellStyle name="Comma 16 3 2 2 3 2 3 3 2" xfId="1519" xr:uid="{0D93CD2B-CCEF-47A6-8663-DCD9C941794C}"/>
    <cellStyle name="Comma 16 3 2 2 3 2 3 4" xfId="3335" xr:uid="{538DAEFA-F82C-4010-9D10-A89175E81019}"/>
    <cellStyle name="Comma 16 3 2 2 3 2 4" xfId="3336" xr:uid="{4425E2A5-50EA-45E4-83B0-C31E14BBADCF}"/>
    <cellStyle name="Comma 16 3 2 2 3 2 4 2" xfId="3275" xr:uid="{95507FD2-AA9D-44F4-BED8-922413FBB933}"/>
    <cellStyle name="Comma 16 3 2 2 3 2 4 2 2" xfId="3340" xr:uid="{D03A98CD-2DB0-4C52-A7B8-EE268ED388A1}"/>
    <cellStyle name="Comma 16 3 2 2 3 2 4 3" xfId="3344" xr:uid="{D8AE90DD-BA36-4DC5-9090-061ECB690AC5}"/>
    <cellStyle name="Comma 16 3 2 2 3 2 5" xfId="3347" xr:uid="{FB4326B3-D34F-4E73-8090-EE9ED7369E22}"/>
    <cellStyle name="Comma 16 3 2 2 3 2 5 2" xfId="3350" xr:uid="{0BDA7724-546E-4FCA-A09B-19883368B8FF}"/>
    <cellStyle name="Comma 16 3 2 2 3 2 6" xfId="3353" xr:uid="{874B11B5-8D37-45D5-B70D-D0A8FFE839AD}"/>
    <cellStyle name="Comma 16 3 2 2 3 2 7" xfId="2957" xr:uid="{70DE59B7-CFA5-40E9-8777-486CECA4E3F3}"/>
    <cellStyle name="Comma 16 3 2 2 3 3" xfId="3359" xr:uid="{B2E349DA-6C36-4A5A-A090-8E2DD8739FA9}"/>
    <cellStyle name="Comma 16 3 2 2 3 3 2" xfId="3360" xr:uid="{9B791C05-DC3A-4938-BA05-229C2BD095B5}"/>
    <cellStyle name="Comma 16 3 2 2 3 3 2 2" xfId="3362" xr:uid="{BC48252E-8763-479F-9E07-C0A92276344A}"/>
    <cellStyle name="Comma 16 3 2 2 3 3 2 2 2" xfId="3366" xr:uid="{733D3F51-12F2-4326-8489-9BEDD3428D79}"/>
    <cellStyle name="Comma 16 3 2 2 3 3 2 2 2 2" xfId="3368" xr:uid="{E5503BC7-C152-46B2-BADB-C4D5DAAA4BB5}"/>
    <cellStyle name="Comma 16 3 2 2 3 3 2 2 3" xfId="3370" xr:uid="{68CA3906-EA3C-4E09-B46C-08C16B032D1B}"/>
    <cellStyle name="Comma 16 3 2 2 3 3 2 3" xfId="3384" xr:uid="{FB0F6264-4F7B-4AA7-887D-3927409EDE8B}"/>
    <cellStyle name="Comma 16 3 2 2 3 3 2 3 2" xfId="3386" xr:uid="{0911EFB3-5810-4717-869B-6B0D1DDCDEAF}"/>
    <cellStyle name="Comma 16 3 2 2 3 3 2 4" xfId="3395" xr:uid="{1595DC9F-6047-4EBD-96E7-5456817AC3D3}"/>
    <cellStyle name="Comma 16 3 2 2 3 3 3" xfId="3396" xr:uid="{9020E60E-D924-44DB-BBEC-1BE46C767223}"/>
    <cellStyle name="Comma 16 3 2 2 3 3 3 2" xfId="3398" xr:uid="{655E29F5-632C-480A-8950-619A508403D1}"/>
    <cellStyle name="Comma 16 3 2 2 3 3 3 2 2" xfId="3400" xr:uid="{A94CE1FA-596F-4A6D-BEEB-2CCE97406ED7}"/>
    <cellStyle name="Comma 16 3 2 2 3 3 3 3" xfId="3401" xr:uid="{8610841B-F12D-4E31-98C1-56A0A4B8975D}"/>
    <cellStyle name="Comma 16 3 2 2 3 3 4" xfId="3405" xr:uid="{041770D2-6878-457D-BDD4-C09C8EAB5A47}"/>
    <cellStyle name="Comma 16 3 2 2 3 3 4 2" xfId="3412" xr:uid="{71E08337-B305-4579-A8DC-0AA64B42DCC8}"/>
    <cellStyle name="Comma 16 3 2 2 3 3 5" xfId="3420" xr:uid="{541855C8-B520-414F-8EBA-FB745FBDB922}"/>
    <cellStyle name="Comma 16 3 2 2 3 4" xfId="3423" xr:uid="{D80A24C9-180E-49E1-9D1A-FD9D3FA9602E}"/>
    <cellStyle name="Comma 16 3 2 2 3 4 2" xfId="3425" xr:uid="{6E8515A0-8AF6-4B37-BBCD-A9AE5A33F885}"/>
    <cellStyle name="Comma 16 3 2 2 3 4 2 2" xfId="3428" xr:uid="{57AB2D81-7631-49AC-A651-ABB7017C6966}"/>
    <cellStyle name="Comma 16 3 2 2 3 4 2 2 2" xfId="3431" xr:uid="{043FC69C-F388-4446-99C0-ADD032434AD2}"/>
    <cellStyle name="Comma 16 3 2 2 3 4 2 3" xfId="3433" xr:uid="{D2FD914D-D115-47BF-B77F-D06CA4CA8E06}"/>
    <cellStyle name="Comma 16 3 2 2 3 4 3" xfId="3361" xr:uid="{DC0F3C85-BD39-4BCA-BFAC-4EC1995DBEFF}"/>
    <cellStyle name="Comma 16 3 2 2 3 4 3 2" xfId="3363" xr:uid="{A497B95E-C397-4B1F-9FAE-884D1766C938}"/>
    <cellStyle name="Comma 16 3 2 2 3 4 4" xfId="3376" xr:uid="{FB074891-F33A-41A7-B442-F7AFFF41FC9B}"/>
    <cellStyle name="Comma 16 3 2 2 3 5" xfId="3436" xr:uid="{4A4C319A-8CF1-42AC-B8E7-A45C9AA6F776}"/>
    <cellStyle name="Comma 16 3 2 2 3 5 2" xfId="3439" xr:uid="{7C432372-82C0-46DC-8728-C9908903046C}"/>
    <cellStyle name="Comma 16 3 2 2 3 5 2 2" xfId="2063" xr:uid="{B1E1B12E-2CBB-433E-91EB-C4CECDA5EBEF}"/>
    <cellStyle name="Comma 16 3 2 2 3 5 3" xfId="3397" xr:uid="{B6FCB57E-A4B0-4699-BE1A-255FC23CD59D}"/>
    <cellStyle name="Comma 16 3 2 2 3 6" xfId="3441" xr:uid="{1276A3DC-C419-4677-95A9-B094CB8ADC95}"/>
    <cellStyle name="Comma 16 3 2 2 3 6 2" xfId="3442" xr:uid="{FBDF3C70-C865-4DA9-AE7C-ADC07988B6C7}"/>
    <cellStyle name="Comma 16 3 2 2 3 7" xfId="3443" xr:uid="{B1EE9C6A-6625-48F2-9603-CFF707AE6BAA}"/>
    <cellStyle name="Comma 16 3 2 2 3 8" xfId="3450" xr:uid="{C21E1936-9C2D-48A7-8ADE-B12395AFE9ED}"/>
    <cellStyle name="Comma 16 3 2 2 4" xfId="3451" xr:uid="{8AA9F5DB-CCE4-4405-8672-93A22782F09D}"/>
    <cellStyle name="Comma 16 3 2 2 4 2" xfId="3454" xr:uid="{6EB198B5-AEE8-40BF-8F8A-E915C2D2F0BA}"/>
    <cellStyle name="Comma 16 3 2 2 4 2 2" xfId="3456" xr:uid="{C4452430-55A4-4CFF-8EFA-8B69F4602D01}"/>
    <cellStyle name="Comma 16 3 2 2 4 2 2 2" xfId="3463" xr:uid="{BD549855-B36A-4180-902A-7A0B0C20362A}"/>
    <cellStyle name="Comma 16 3 2 2 4 2 2 2 2" xfId="3467" xr:uid="{9DC3B6AC-B573-467D-822A-41130589EB9D}"/>
    <cellStyle name="Comma 16 3 2 2 4 2 2 2 2 2" xfId="3471" xr:uid="{2E990912-B51C-436A-AA29-9C7066231712}"/>
    <cellStyle name="Comma 16 3 2 2 4 2 2 2 3" xfId="3472" xr:uid="{1C70FB0A-554D-41CB-9C4C-86195A538021}"/>
    <cellStyle name="Comma 16 3 2 2 4 2 2 3" xfId="292" xr:uid="{1ABD9053-77EF-4C44-837B-8D6CCFA9B792}"/>
    <cellStyle name="Comma 16 3 2 2 4 2 2 3 2" xfId="127" xr:uid="{D5FC6D44-D04E-4D42-B0FD-04610580CE4F}"/>
    <cellStyle name="Comma 16 3 2 2 4 2 2 4" xfId="572" xr:uid="{9FFF1943-C51E-4FE4-98E2-A7C3543D359A}"/>
    <cellStyle name="Comma 16 3 2 2 4 2 3" xfId="3473" xr:uid="{C79EA166-BBE0-4202-97C5-812D7D0F2FF8}"/>
    <cellStyle name="Comma 16 3 2 2 4 2 3 2" xfId="3479" xr:uid="{87C3ABEB-1C46-4906-9454-E5882AFF13B4}"/>
    <cellStyle name="Comma 16 3 2 2 4 2 3 2 2" xfId="3480" xr:uid="{EF667B43-B610-455B-B6E3-7ABAB21747E1}"/>
    <cellStyle name="Comma 16 3 2 2 4 2 3 3" xfId="3481" xr:uid="{C32C270B-2BDF-4B41-A520-62384B87DE97}"/>
    <cellStyle name="Comma 16 3 2 2 4 2 4" xfId="3483" xr:uid="{9EBA103F-B9C2-47DF-91BD-98023120C2BD}"/>
    <cellStyle name="Comma 16 3 2 2 4 2 4 2" xfId="3486" xr:uid="{D760CA28-2693-4DD9-AD58-D225C7B9F18D}"/>
    <cellStyle name="Comma 16 3 2 2 4 2 5" xfId="3490" xr:uid="{F85D58BD-49C6-4FCA-862F-18A040873643}"/>
    <cellStyle name="Comma 16 3 2 2 4 3" xfId="3494" xr:uid="{DD416DE2-6442-4CB0-BC6B-5D14A6A03A32}"/>
    <cellStyle name="Comma 16 3 2 2 4 3 2" xfId="3495" xr:uid="{727826F7-5B4F-4EA2-A6A9-113A18083601}"/>
    <cellStyle name="Comma 16 3 2 2 4 3 2 2" xfId="441" xr:uid="{78C07239-6C1B-4D3E-BBA3-DD25782C709C}"/>
    <cellStyle name="Comma 16 3 2 2 4 3 2 2 2" xfId="3505" xr:uid="{8A6C7964-50C9-4250-BC22-2A6E896901CA}"/>
    <cellStyle name="Comma 16 3 2 2 4 3 2 3" xfId="450" xr:uid="{79C6D52E-7762-4F6D-A8D3-774691AA1A44}"/>
    <cellStyle name="Comma 16 3 2 2 4 3 3" xfId="3506" xr:uid="{F835285C-3B3D-48E3-8844-9A047EFE59F4}"/>
    <cellStyle name="Comma 16 3 2 2 4 3 3 2" xfId="1569" xr:uid="{91FF041B-A896-4CD7-8DD4-69551E8ED1A2}"/>
    <cellStyle name="Comma 16 3 2 2 4 3 4" xfId="3509" xr:uid="{C310CC3D-34A6-408A-A967-673CACD7862E}"/>
    <cellStyle name="Comma 16 3 2 2 4 4" xfId="3512" xr:uid="{0328C3A4-68C4-48A0-B3AC-6FE1DC3DB2C7}"/>
    <cellStyle name="Comma 16 3 2 2 4 4 2" xfId="3514" xr:uid="{8E67ECC2-0E28-402F-9533-C7F3C814B61B}"/>
    <cellStyle name="Comma 16 3 2 2 4 4 2 2" xfId="3515" xr:uid="{AF79F237-9975-4DEF-B1F3-C31CF605B5BA}"/>
    <cellStyle name="Comma 16 3 2 2 4 4 3" xfId="3427" xr:uid="{58DE084C-F6C6-4B89-96F0-E50CE764004A}"/>
    <cellStyle name="Comma 16 3 2 2 4 5" xfId="3518" xr:uid="{E7367F21-9ED5-4A6D-93E3-9D00E3909D4C}"/>
    <cellStyle name="Comma 16 3 2 2 4 5 2" xfId="3519" xr:uid="{01F27992-4123-49AF-8336-0907DD77AEF9}"/>
    <cellStyle name="Comma 16 3 2 2 4 6" xfId="3520" xr:uid="{4A59AD1B-E9A0-45F8-B81B-B004698E3D13}"/>
    <cellStyle name="Comma 16 3 2 2 4 7" xfId="3522" xr:uid="{1ADC41C9-C58C-49B7-A1E2-ACE05D497B5E}"/>
    <cellStyle name="Comma 16 3 2 2 5" xfId="3135" xr:uid="{1FC6D9CE-4606-4116-AA1A-3F6AFDC5A910}"/>
    <cellStyle name="Comma 16 3 2 2 5 2" xfId="3526" xr:uid="{23B3A8FC-4987-43A3-B36E-B9EC06C14F7F}"/>
    <cellStyle name="Comma 16 3 2 2 5 2 2" xfId="3528" xr:uid="{401B9208-739F-433B-A802-3255534121E4}"/>
    <cellStyle name="Comma 16 3 2 2 5 2 2 2" xfId="3534" xr:uid="{A010DFA9-9913-4DCD-99AA-B3CBDEEBB23E}"/>
    <cellStyle name="Comma 16 3 2 2 5 2 2 2 2" xfId="3539" xr:uid="{6F6F20BE-8506-4738-B7F2-3D3677D59A92}"/>
    <cellStyle name="Comma 16 3 2 2 5 2 2 3" xfId="3545" xr:uid="{6CF2AFCA-5738-487A-98DA-5054901954D3}"/>
    <cellStyle name="Comma 16 3 2 2 5 2 3" xfId="3549" xr:uid="{585D7802-C042-4619-BC9C-AD1B1D5B3766}"/>
    <cellStyle name="Comma 16 3 2 2 5 2 3 2" xfId="3552" xr:uid="{B8873C53-4D4D-49B5-9BBA-717D9F144564}"/>
    <cellStyle name="Comma 16 3 2 2 5 2 4" xfId="3554" xr:uid="{BA4422D9-9179-42BD-AF66-4BB5639BFE96}"/>
    <cellStyle name="Comma 16 3 2 2 5 3" xfId="3557" xr:uid="{5979148B-D003-4621-BBCF-4BEC185DF37D}"/>
    <cellStyle name="Comma 16 3 2 2 5 3 2" xfId="3559" xr:uid="{6AC468B2-2A06-417A-BAAC-318138A6C788}"/>
    <cellStyle name="Comma 16 3 2 2 5 3 2 2" xfId="3562" xr:uid="{990C1503-EE7E-46A8-8743-431779F8221C}"/>
    <cellStyle name="Comma 16 3 2 2 5 3 3" xfId="3564" xr:uid="{4F18A099-4C2A-4CFC-8C28-EA89C6A6C111}"/>
    <cellStyle name="Comma 16 3 2 2 5 4" xfId="3565" xr:uid="{4079450A-40A8-4D1D-A1CC-948FBB724F2D}"/>
    <cellStyle name="Comma 16 3 2 2 5 4 2" xfId="1940" xr:uid="{84C8B77F-EE6A-4F39-B93A-4C8B949801BA}"/>
    <cellStyle name="Comma 16 3 2 2 5 5" xfId="3567" xr:uid="{25DDF34A-CC07-4194-9C95-D632D5E89DB2}"/>
    <cellStyle name="Comma 16 3 2 2 6" xfId="3570" xr:uid="{18EAA967-9CD4-41E5-A6EB-59D327D27274}"/>
    <cellStyle name="Comma 16 3 2 2 6 2" xfId="3571" xr:uid="{6B714352-B34F-45DB-A399-8DA15E7CBDC6}"/>
    <cellStyle name="Comma 16 3 2 2 6 2 2" xfId="3573" xr:uid="{DC8BB4B2-7893-40AF-88FC-DA41780D9989}"/>
    <cellStyle name="Comma 16 3 2 2 6 2 2 2" xfId="3577" xr:uid="{6346B569-C9D6-46C7-BF80-D8E59CDA0DF5}"/>
    <cellStyle name="Comma 16 3 2 2 6 2 3" xfId="3579" xr:uid="{0303A331-F004-4469-BCC4-A4202F6B8F09}"/>
    <cellStyle name="Comma 16 3 2 2 6 3" xfId="3580" xr:uid="{56942296-8F68-432D-BD60-2B562C646F3F}"/>
    <cellStyle name="Comma 16 3 2 2 6 3 2" xfId="3581" xr:uid="{0388E53A-8CBE-4418-B102-0E30C4010656}"/>
    <cellStyle name="Comma 16 3 2 2 6 4" xfId="3582" xr:uid="{D6516841-0703-4989-A761-5442297075A0}"/>
    <cellStyle name="Comma 16 3 2 2 7" xfId="3583" xr:uid="{524AA5EB-CD9B-4A18-A1D5-CA8F12F1CFAB}"/>
    <cellStyle name="Comma 16 3 2 2 7 2" xfId="3584" xr:uid="{5848C0C6-BE11-4876-A98F-1FFB57850371}"/>
    <cellStyle name="Comma 16 3 2 2 7 2 2" xfId="3586" xr:uid="{7454A0FC-D643-45F5-B882-7C17B43E5F21}"/>
    <cellStyle name="Comma 16 3 2 2 7 3" xfId="3587" xr:uid="{C6F0B1D2-A1BD-4FFC-87D9-1F10AB36998D}"/>
    <cellStyle name="Comma 16 3 2 2 8" xfId="3588" xr:uid="{8B8156D4-8A9C-4088-BF28-7EC9F7DDDEDC}"/>
    <cellStyle name="Comma 16 3 2 2 8 2" xfId="3589" xr:uid="{C8E2A706-0261-453E-9F64-FEC5AE18CA0D}"/>
    <cellStyle name="Comma 16 3 2 2 9" xfId="2421" xr:uid="{5E9AF1FD-7C85-4C48-86A2-60BFE0A86587}"/>
    <cellStyle name="Comma 16 3 2 3" xfId="3592" xr:uid="{52A892ED-E6E4-4979-8192-6F0FCE85F890}"/>
    <cellStyle name="Comma 16 3 2 3 2" xfId="3601" xr:uid="{CBEA8098-96F4-428B-9D98-83B631B8C278}"/>
    <cellStyle name="Comma 16 3 2 3 2 2" xfId="1773" xr:uid="{201523DF-2E3A-4CFE-8D35-A4E2E0A80D16}"/>
    <cellStyle name="Comma 16 3 2 3 2 2 2" xfId="3604" xr:uid="{D3412924-826C-45D0-A150-9F44B18A3C38}"/>
    <cellStyle name="Comma 16 3 2 3 2 2 2 2" xfId="3607" xr:uid="{03650E01-A71A-4590-855A-72EB7D55CBAA}"/>
    <cellStyle name="Comma 16 3 2 3 2 2 2 2 2" xfId="3611" xr:uid="{15B69EC5-32F6-483E-8553-0874F09EDCB9}"/>
    <cellStyle name="Comma 16 3 2 3 2 2 2 2 2 2" xfId="3612" xr:uid="{C071C76C-9F68-461C-9D16-7E7E5DD040BE}"/>
    <cellStyle name="Comma 16 3 2 3 2 2 2 2 2 2 2" xfId="3613" xr:uid="{FF83AD55-F94E-4714-A32D-DB1FC8E51259}"/>
    <cellStyle name="Comma 16 3 2 3 2 2 2 2 2 3" xfId="3614" xr:uid="{FBE84AB7-BC3C-4371-B1F9-536FD07F7A53}"/>
    <cellStyle name="Comma 16 3 2 3 2 2 2 2 3" xfId="3615" xr:uid="{EF8F6815-1322-42CA-9A94-884B4395756E}"/>
    <cellStyle name="Comma 16 3 2 3 2 2 2 2 3 2" xfId="2284" xr:uid="{48FBABC4-E848-4976-BAAE-4F73A8608CCC}"/>
    <cellStyle name="Comma 16 3 2 3 2 2 2 2 4" xfId="3621" xr:uid="{4689B3FD-BBFF-4642-B1B9-34292CE51392}"/>
    <cellStyle name="Comma 16 3 2 3 2 2 2 3" xfId="3626" xr:uid="{9F2D720F-9383-4C1B-B16F-1140F0EF5D18}"/>
    <cellStyle name="Comma 16 3 2 3 2 2 2 3 2" xfId="3630" xr:uid="{AF36CB90-F1EF-420D-A837-8B0AE457E252}"/>
    <cellStyle name="Comma 16 3 2 3 2 2 2 3 2 2" xfId="3631" xr:uid="{2B2D8511-DFEE-46B1-BFD4-A2EF489A311C}"/>
    <cellStyle name="Comma 16 3 2 3 2 2 2 3 3" xfId="3632" xr:uid="{A5DE375A-FE05-4B07-889F-B31AB46EAAC8}"/>
    <cellStyle name="Comma 16 3 2 3 2 2 2 4" xfId="3636" xr:uid="{A430420A-EBA6-4E9F-A966-F81E23498EAE}"/>
    <cellStyle name="Comma 16 3 2 3 2 2 2 4 2" xfId="857" xr:uid="{93417BBA-64BA-4411-99FD-0EEDF9D2DDCC}"/>
    <cellStyle name="Comma 16 3 2 3 2 2 2 5" xfId="3641" xr:uid="{DA8DFE1F-6EDC-4E4D-978B-68F015BDD634}"/>
    <cellStyle name="Comma 16 3 2 3 2 2 3" xfId="3644" xr:uid="{DB1DC4AC-266F-4D68-881E-0ADEAD0E5902}"/>
    <cellStyle name="Comma 16 3 2 3 2 2 3 2" xfId="3645" xr:uid="{0809D0EC-B887-4F3A-9DA0-3D1116CD7B97}"/>
    <cellStyle name="Comma 16 3 2 3 2 2 3 2 2" xfId="3646" xr:uid="{864D8218-D092-41EA-A725-00E7478B7135}"/>
    <cellStyle name="Comma 16 3 2 3 2 2 3 2 2 2" xfId="3651" xr:uid="{89E19C5F-575C-493F-A594-19B186B425B7}"/>
    <cellStyle name="Comma 16 3 2 3 2 2 3 2 3" xfId="3652" xr:uid="{729CCDED-5589-4190-B20F-09E128B37CC1}"/>
    <cellStyle name="Comma 16 3 2 3 2 2 3 3" xfId="3656" xr:uid="{3A2FE9EF-72E5-436D-AA03-92F55C4E12D8}"/>
    <cellStyle name="Comma 16 3 2 3 2 2 3 3 2" xfId="3658" xr:uid="{6603B010-3F6E-410B-9520-6888EA9D199C}"/>
    <cellStyle name="Comma 16 3 2 3 2 2 3 4" xfId="3660" xr:uid="{F93EE444-7949-4CC4-A8D5-A56B6A24822E}"/>
    <cellStyle name="Comma 16 3 2 3 2 2 4" xfId="3665" xr:uid="{D4ACEFC4-5CFC-4B20-B528-D2D050EAEA5A}"/>
    <cellStyle name="Comma 16 3 2 3 2 2 4 2" xfId="302" xr:uid="{AA110C71-ED95-4DA1-A01E-7290686380F1}"/>
    <cellStyle name="Comma 16 3 2 3 2 2 4 2 2" xfId="3667" xr:uid="{5F6466EE-A140-4133-BDE7-BFFE7329D124}"/>
    <cellStyle name="Comma 16 3 2 3 2 2 4 3" xfId="3671" xr:uid="{636BA12E-F53B-442D-AD35-847F7752C448}"/>
    <cellStyle name="Comma 16 3 2 3 2 2 5" xfId="3677" xr:uid="{B9954FF5-8396-4FFF-86F7-40FC78261CF6}"/>
    <cellStyle name="Comma 16 3 2 3 2 2 5 2" xfId="3682" xr:uid="{5E6EC8F1-9B0A-4D19-98D0-F4EF62D6B86C}"/>
    <cellStyle name="Comma 16 3 2 3 2 2 6" xfId="3688" xr:uid="{EB48117A-18F4-4A33-8A99-E0CCC2BE43FA}"/>
    <cellStyle name="Comma 16 3 2 3 2 2 7" xfId="3692" xr:uid="{0151F419-81C1-4E56-A382-C16CC4F5B661}"/>
    <cellStyle name="Comma 16 3 2 3 2 3" xfId="939" xr:uid="{F00864CD-F9AF-4823-BB38-19A023C296E2}"/>
    <cellStyle name="Comma 16 3 2 3 2 3 2" xfId="3696" xr:uid="{82F5C513-06F5-41BC-BB40-6069C4D3C449}"/>
    <cellStyle name="Comma 16 3 2 3 2 3 2 2" xfId="3702" xr:uid="{F1053D4D-6D19-430E-84FA-60FD237B0AEE}"/>
    <cellStyle name="Comma 16 3 2 3 2 3 2 2 2" xfId="2912" xr:uid="{57361E84-CC39-4402-98A8-B1D178668550}"/>
    <cellStyle name="Comma 16 3 2 3 2 3 2 2 2 2" xfId="2918" xr:uid="{74DC17C9-B6DD-454D-A5D3-9769FAC5CD47}"/>
    <cellStyle name="Comma 16 3 2 3 2 3 2 2 3" xfId="2926" xr:uid="{96E1532C-73B4-4892-9477-6EB7F6C3E03E}"/>
    <cellStyle name="Comma 16 3 2 3 2 3 2 3" xfId="3714" xr:uid="{63F03F3F-BE5E-4C11-83B3-38C477B873CC}"/>
    <cellStyle name="Comma 16 3 2 3 2 3 2 3 2" xfId="2952" xr:uid="{C130B1CE-F91B-47BE-846D-C479406A1D0A}"/>
    <cellStyle name="Comma 16 3 2 3 2 3 2 4" xfId="3726" xr:uid="{045A9499-893A-46DF-90DC-D062CBBB6895}"/>
    <cellStyle name="Comma 16 3 2 3 2 3 3" xfId="1810" xr:uid="{DFA30801-1071-4551-B2FA-E625839EB3FF}"/>
    <cellStyle name="Comma 16 3 2 3 2 3 3 2" xfId="3732" xr:uid="{1A3BAD23-83F2-4E68-816F-904E1F7CDBAF}"/>
    <cellStyle name="Comma 16 3 2 3 2 3 3 2 2" xfId="3008" xr:uid="{51EAB919-1843-4428-B181-D9451DCA76C6}"/>
    <cellStyle name="Comma 16 3 2 3 2 3 3 3" xfId="3738" xr:uid="{8F9F6BF5-38AB-45D0-8ED4-212B2534C679}"/>
    <cellStyle name="Comma 16 3 2 3 2 3 4" xfId="1818" xr:uid="{BE725EB9-9F9A-429D-B3E6-EEDC2022586F}"/>
    <cellStyle name="Comma 16 3 2 3 2 3 4 2" xfId="460" xr:uid="{FB800603-5B41-4118-BBD9-216E1DE9B971}"/>
    <cellStyle name="Comma 16 3 2 3 2 3 5" xfId="1827" xr:uid="{C9F19AF9-31B7-4B25-AA8F-C7D7F8C5676F}"/>
    <cellStyle name="Comma 16 3 2 3 2 4" xfId="945" xr:uid="{36615529-6AFA-47A8-975A-908DB8A101A7}"/>
    <cellStyle name="Comma 16 3 2 3 2 4 2" xfId="3743" xr:uid="{F1A75252-ACEB-4FBB-B205-5D21CE98A5BD}"/>
    <cellStyle name="Comma 16 3 2 3 2 4 2 2" xfId="3750" xr:uid="{BC6F984A-B613-43E0-8486-B17885927FA1}"/>
    <cellStyle name="Comma 16 3 2 3 2 4 2 2 2" xfId="3112" xr:uid="{920A8BF3-A849-40AD-BE23-A5057CA0A0D5}"/>
    <cellStyle name="Comma 16 3 2 3 2 4 2 3" xfId="3759" xr:uid="{4644BA4B-05AA-4C1D-8162-D2E9A597C0A8}"/>
    <cellStyle name="Comma 16 3 2 3 2 4 3" xfId="3462" xr:uid="{AB6CC44E-29C0-4DCD-81C2-767C5193B81D}"/>
    <cellStyle name="Comma 16 3 2 3 2 4 3 2" xfId="3466" xr:uid="{CD329768-712F-4668-B03B-CCFC0B0D192D}"/>
    <cellStyle name="Comma 16 3 2 3 2 4 4" xfId="291" xr:uid="{3B618D01-E417-49DD-AE52-88899410E54A}"/>
    <cellStyle name="Comma 16 3 2 3 2 5" xfId="953" xr:uid="{DDF44B6C-56CA-4C48-B603-4D0676CADD1E}"/>
    <cellStyle name="Comma 16 3 2 3 2 5 2" xfId="3765" xr:uid="{4D3CC6CD-200F-46D9-BD1E-591FC75F2292}"/>
    <cellStyle name="Comma 16 3 2 3 2 5 2 2" xfId="3774" xr:uid="{8F7B0B93-50AB-4506-9FBC-D6B6F7395B98}"/>
    <cellStyle name="Comma 16 3 2 3 2 5 3" xfId="3478" xr:uid="{7F271CD6-5DEC-463F-B456-3003C7EDBCFF}"/>
    <cellStyle name="Comma 16 3 2 3 2 6" xfId="681" xr:uid="{2AC98732-E411-45F5-8703-A35A2513E43E}"/>
    <cellStyle name="Comma 16 3 2 3 2 6 2" xfId="3781" xr:uid="{CBB947C2-67C3-495B-B10F-D41FFB03307D}"/>
    <cellStyle name="Comma 16 3 2 3 2 7" xfId="959" xr:uid="{630331B0-FB84-4350-AE96-4E71A08F9D26}"/>
    <cellStyle name="Comma 16 3 2 3 2 8" xfId="971" xr:uid="{88FDC0C1-2DC1-444A-8363-88038277EBC8}"/>
    <cellStyle name="Comma 16 3 2 3 3" xfId="3786" xr:uid="{03EB76B1-DF4A-45F3-8958-24D9C32C21C0}"/>
    <cellStyle name="Comma 16 3 2 3 3 2" xfId="3798" xr:uid="{79E51217-18B3-4044-9FF2-089504C53CAC}"/>
    <cellStyle name="Comma 16 3 2 3 3 2 2" xfId="759" xr:uid="{C582C295-5442-4836-8816-9977050EA4A9}"/>
    <cellStyle name="Comma 16 3 2 3 3 2 2 2" xfId="3804" xr:uid="{73654E50-084B-4534-A3E0-C13616C47BBC}"/>
    <cellStyle name="Comma 16 3 2 3 3 2 2 2 2" xfId="3812" xr:uid="{74B5D0D0-A411-4B67-A598-A65ADF9112C6}"/>
    <cellStyle name="Comma 16 3 2 3 3 2 2 2 2 2" xfId="3814" xr:uid="{E417F9B3-83E1-4463-AF5D-6BF3E13FBEA5}"/>
    <cellStyle name="Comma 16 3 2 3 3 2 2 2 3" xfId="3816" xr:uid="{F7F74CC8-EB17-4265-84C4-62491DCB82E6}"/>
    <cellStyle name="Comma 16 3 2 3 3 2 2 3" xfId="3832" xr:uid="{1BCA8763-76A6-44CD-A241-73A97CEC22B6}"/>
    <cellStyle name="Comma 16 3 2 3 3 2 2 3 2" xfId="3837" xr:uid="{365F46C5-04DE-402D-9A4B-A9A2846D8ABA}"/>
    <cellStyle name="Comma 16 3 2 3 3 2 2 4" xfId="3853" xr:uid="{D79BED70-C3FE-4F43-8B56-552E476F7970}"/>
    <cellStyle name="Comma 16 3 2 3 3 2 3" xfId="3858" xr:uid="{91C46817-159A-429C-BD58-D85498EE6210}"/>
    <cellStyle name="Comma 16 3 2 3 3 2 3 2" xfId="1970" xr:uid="{4EC717B0-ACD4-4CB3-8663-B9705F4E561F}"/>
    <cellStyle name="Comma 16 3 2 3 3 2 3 2 2" xfId="1976" xr:uid="{CFE954A3-A9A5-411D-AD92-98048192517A}"/>
    <cellStyle name="Comma 16 3 2 3 3 2 3 3" xfId="1986" xr:uid="{2D5E99F9-D66D-4702-A2E1-ED5339DE7E60}"/>
    <cellStyle name="Comma 16 3 2 3 3 2 4" xfId="2867" xr:uid="{7A3139ED-35A4-4C9C-B784-D374A5DB65D7}"/>
    <cellStyle name="Comma 16 3 2 3 3 2 4 2" xfId="2475" xr:uid="{8CF6BC80-9D91-4199-96E1-2E18CC52C4AC}"/>
    <cellStyle name="Comma 16 3 2 3 3 2 5" xfId="3281" xr:uid="{F76091FD-054A-47A3-A004-7534FB51EC49}"/>
    <cellStyle name="Comma 16 3 2 3 3 3" xfId="1002" xr:uid="{84A5DC37-E419-4743-9CB7-F09AC987ADD8}"/>
    <cellStyle name="Comma 16 3 2 3 3 3 2" xfId="1495" xr:uid="{BA5FCE49-FD77-4E7A-862E-A7B27A8D2E26}"/>
    <cellStyle name="Comma 16 3 2 3 3 3 2 2" xfId="1929" xr:uid="{30565DA0-0B17-4A9C-A904-78783055C422}"/>
    <cellStyle name="Comma 16 3 2 3 3 3 2 2 2" xfId="3303" xr:uid="{4F2C981E-35DE-4CCE-815C-C51971441B12}"/>
    <cellStyle name="Comma 16 3 2 3 3 3 2 3" xfId="3869" xr:uid="{9D8D69C9-146E-4F73-8041-F17EB8573B3D}"/>
    <cellStyle name="Comma 16 3 2 3 3 3 3" xfId="1506" xr:uid="{B7658CE5-AB2A-4FC9-9361-555CB43B2385}"/>
    <cellStyle name="Comma 16 3 2 3 3 3 3 2" xfId="3873" xr:uid="{4547C186-142A-4974-80E1-25836BBFE070}"/>
    <cellStyle name="Comma 16 3 2 3 3 3 4" xfId="3595" xr:uid="{C1F1C185-B970-4F80-88F8-5B12A65DA20E}"/>
    <cellStyle name="Comma 16 3 2 3 3 4" xfId="3881" xr:uid="{51DDDC24-30B5-417A-B611-19BC62AF17C3}"/>
    <cellStyle name="Comma 16 3 2 3 3 4 2" xfId="423" xr:uid="{EC208375-0516-4050-A931-B428EB1BF139}"/>
    <cellStyle name="Comma 16 3 2 3 3 4 2 2" xfId="3894" xr:uid="{496A626C-B7A1-419D-A69F-F881EE0BA8F8}"/>
    <cellStyle name="Comma 16 3 2 3 3 4 3" xfId="440" xr:uid="{2C90241E-7D68-44A1-9329-7D6438141DE2}"/>
    <cellStyle name="Comma 16 3 2 3 3 5" xfId="3905" xr:uid="{2578A0D7-604F-49C4-A40F-936A88ECF819}"/>
    <cellStyle name="Comma 16 3 2 3 3 5 2" xfId="1565" xr:uid="{CAB44B7E-AABE-454F-B9F7-8DF8F8C9EAC4}"/>
    <cellStyle name="Comma 16 3 2 3 3 6" xfId="3913" xr:uid="{40F7E4D1-2BAE-448D-A394-8BFA681784C5}"/>
    <cellStyle name="Comma 16 3 2 3 3 7" xfId="3920" xr:uid="{00165253-26AD-4E65-85E7-2242CF6D3612}"/>
    <cellStyle name="Comma 16 3 2 3 4" xfId="3927" xr:uid="{8F5DF834-8B15-4F72-9D6C-CD3966505055}"/>
    <cellStyle name="Comma 16 3 2 3 4 2" xfId="3934" xr:uid="{CA77395B-AA9F-4A4F-B702-20114F69BDF2}"/>
    <cellStyle name="Comma 16 3 2 3 4 2 2" xfId="3936" xr:uid="{0834F791-A507-4079-A247-0514E2493AAA}"/>
    <cellStyle name="Comma 16 3 2 3 4 2 2 2" xfId="3943" xr:uid="{41BED45B-1350-4919-AD0A-7D11CF97B923}"/>
    <cellStyle name="Comma 16 3 2 3 4 2 2 2 2" xfId="3949" xr:uid="{9C3AF65B-BC5A-4580-ABF7-196259E0E208}"/>
    <cellStyle name="Comma 16 3 2 3 4 2 2 3" xfId="3956" xr:uid="{B26CD306-D0C0-4ACF-9C88-B645AEBA3C47}"/>
    <cellStyle name="Comma 16 3 2 3 4 2 3" xfId="3959" xr:uid="{2C34F539-500D-4771-BF05-75CEEBB9A622}"/>
    <cellStyle name="Comma 16 3 2 3 4 2 3 2" xfId="3964" xr:uid="{F6B0441A-0A91-4F4C-B954-22172DA3FF9F}"/>
    <cellStyle name="Comma 16 3 2 3 4 2 4" xfId="3966" xr:uid="{A87F0A82-17A4-4FFD-BB4D-1F947DFDF2E0}"/>
    <cellStyle name="Comma 16 3 2 3 4 3" xfId="1010" xr:uid="{636790DE-6767-4E3F-9A64-2EFB37A7280D}"/>
    <cellStyle name="Comma 16 3 2 3 4 3 2" xfId="3973" xr:uid="{14E3A488-42FB-4285-A339-439A3DFE942E}"/>
    <cellStyle name="Comma 16 3 2 3 4 3 2 2" xfId="3982" xr:uid="{05EEDFBB-E723-4F14-BFF5-0A5562577505}"/>
    <cellStyle name="Comma 16 3 2 3 4 3 3" xfId="3985" xr:uid="{6AFDE479-59F0-416F-AC43-F6B9FC2C3886}"/>
    <cellStyle name="Comma 16 3 2 3 4 4" xfId="3990" xr:uid="{DC44735D-878D-44A6-8592-3A884A97E3E1}"/>
    <cellStyle name="Comma 16 3 2 3 4 4 2" xfId="3996" xr:uid="{DDC9DF06-FE42-479D-B952-AA0C9D5AA540}"/>
    <cellStyle name="Comma 16 3 2 3 4 5" xfId="4000" xr:uid="{E6562726-C203-4834-AD65-F7948198A638}"/>
    <cellStyle name="Comma 16 3 2 3 5" xfId="4007" xr:uid="{72D357CC-E890-48AC-8C3E-9584227470C6}"/>
    <cellStyle name="Comma 16 3 2 3 5 2" xfId="4010" xr:uid="{BA70EDFC-946C-42F1-9D53-2B68E78CA63B}"/>
    <cellStyle name="Comma 16 3 2 3 5 2 2" xfId="4013" xr:uid="{340B795D-B782-44AA-8D86-33211FC5A276}"/>
    <cellStyle name="Comma 16 3 2 3 5 2 2 2" xfId="4022" xr:uid="{D2F2F8D6-49D6-4405-ADCB-89E376969496}"/>
    <cellStyle name="Comma 16 3 2 3 5 2 3" xfId="4024" xr:uid="{02AA08E6-B067-4103-B9CB-2954F9BFB8FF}"/>
    <cellStyle name="Comma 16 3 2 3 5 3" xfId="1020" xr:uid="{45BFA46C-8826-4305-A997-344336E3CC18}"/>
    <cellStyle name="Comma 16 3 2 3 5 3 2" xfId="4027" xr:uid="{44E29EDE-AA08-4091-BAB9-61A5D32DC1F2}"/>
    <cellStyle name="Comma 16 3 2 3 5 4" xfId="4031" xr:uid="{FB160A40-E43F-49DD-8DA9-6832059669C8}"/>
    <cellStyle name="Comma 16 3 2 3 6" xfId="4032" xr:uid="{A3E66852-A4EF-4236-A505-D095280BA260}"/>
    <cellStyle name="Comma 16 3 2 3 6 2" xfId="4034" xr:uid="{A188711F-8AA1-4361-9230-522967162607}"/>
    <cellStyle name="Comma 16 3 2 3 6 2 2" xfId="4035" xr:uid="{F6AA67B3-FE42-4180-8530-A21183409F93}"/>
    <cellStyle name="Comma 16 3 2 3 6 3" xfId="4037" xr:uid="{6F858BE3-7AFC-4C47-997D-935A5C1CEE43}"/>
    <cellStyle name="Comma 16 3 2 3 7" xfId="4038" xr:uid="{584501A8-A1E3-469B-90EA-1C6F96278AD1}"/>
    <cellStyle name="Comma 16 3 2 3 7 2" xfId="1393" xr:uid="{AEFE8466-991C-42AC-9EC9-AC75EDA40D5F}"/>
    <cellStyle name="Comma 16 3 2 3 8" xfId="4039" xr:uid="{428F4D92-7C4A-4974-9651-A9D3E986A5C1}"/>
    <cellStyle name="Comma 16 3 2 3 9" xfId="2427" xr:uid="{605704B1-9693-4E1B-845D-D0B40603C410}"/>
    <cellStyle name="Comma 16 3 2 4" xfId="1688" xr:uid="{13AB2F30-3512-4A19-B7CE-513D8D513670}"/>
    <cellStyle name="Comma 16 3 2 4 2" xfId="449" xr:uid="{95F1CABA-6FCF-4260-82F6-BB5BD5C9FB50}"/>
    <cellStyle name="Comma 16 3 2 4 2 2" xfId="4040" xr:uid="{F94B988B-0248-496E-B804-212D3619A8E3}"/>
    <cellStyle name="Comma 16 3 2 4 2 2 2" xfId="4041" xr:uid="{469BCB7F-DA6C-4616-A70D-F0B2BA349A13}"/>
    <cellStyle name="Comma 16 3 2 4 2 2 2 2" xfId="4042" xr:uid="{55D26B3A-3A1E-4448-A1CD-40E9C7272F98}"/>
    <cellStyle name="Comma 16 3 2 4 2 2 2 2 2" xfId="4044" xr:uid="{F7D1E5B4-E9C1-4C51-AF15-9F016A388AD5}"/>
    <cellStyle name="Comma 16 3 2 4 2 2 2 2 2 2" xfId="4045" xr:uid="{774C5C12-493F-4F05-856C-604692DBF741}"/>
    <cellStyle name="Comma 16 3 2 4 2 2 2 2 3" xfId="552" xr:uid="{66B2DA0E-24A7-4B2E-A7F7-06359C980420}"/>
    <cellStyle name="Comma 16 3 2 4 2 2 2 3" xfId="2327" xr:uid="{86D443C8-C0DC-4CE0-9D7D-012F1BA483FD}"/>
    <cellStyle name="Comma 16 3 2 4 2 2 2 3 2" xfId="4046" xr:uid="{03F4B9F6-C180-417D-800F-2204FA5FB659}"/>
    <cellStyle name="Comma 16 3 2 4 2 2 2 4" xfId="4052" xr:uid="{4B78DF80-A399-4B11-8386-8A0E5A77FE75}"/>
    <cellStyle name="Comma 16 3 2 4 2 2 3" xfId="4053" xr:uid="{9BCB7B27-B553-411C-B476-1231191C69FB}"/>
    <cellStyle name="Comma 16 3 2 4 2 2 3 2" xfId="4054" xr:uid="{5BFBD7C2-056A-4C56-8A09-E6756BF78175}"/>
    <cellStyle name="Comma 16 3 2 4 2 2 3 2 2" xfId="4055" xr:uid="{DDA13986-FC5B-44FA-B8D4-D5E5E1FEFF21}"/>
    <cellStyle name="Comma 16 3 2 4 2 2 3 3" xfId="2358" xr:uid="{1F5EB6EC-8C29-4E7A-8BBC-6A457D235189}"/>
    <cellStyle name="Comma 16 3 2 4 2 2 4" xfId="4061" xr:uid="{BC38D69F-D81B-4645-BFC1-1830566BC2E5}"/>
    <cellStyle name="Comma 16 3 2 4 2 2 4 2" xfId="4068" xr:uid="{0878DC39-64AC-4D31-8E4C-679D4DCA03AF}"/>
    <cellStyle name="Comma 16 3 2 4 2 2 5" xfId="4078" xr:uid="{78B535C5-B9FC-4660-B500-CCD1CE1143E9}"/>
    <cellStyle name="Comma 16 3 2 4 2 3" xfId="1063" xr:uid="{5E549647-958E-40E8-9171-1E8FC93D5747}"/>
    <cellStyle name="Comma 16 3 2 4 2 3 2" xfId="4080" xr:uid="{93337F8A-618A-42A4-9810-301C6D3B25C3}"/>
    <cellStyle name="Comma 16 3 2 4 2 3 2 2" xfId="4081" xr:uid="{1702A268-4B5D-4B90-ACB1-C9F7A0F020B6}"/>
    <cellStyle name="Comma 16 3 2 4 2 3 2 2 2" xfId="3616" xr:uid="{2BBE42BC-E0EE-413A-9614-59E90E7A9179}"/>
    <cellStyle name="Comma 16 3 2 4 2 3 2 3" xfId="4086" xr:uid="{5610F983-6AC1-4E14-B4EA-D56605A4F8BA}"/>
    <cellStyle name="Comma 16 3 2 4 2 3 3" xfId="4087" xr:uid="{FD458760-AC42-4990-AA32-FF3444F87218}"/>
    <cellStyle name="Comma 16 3 2 4 2 3 3 2" xfId="4088" xr:uid="{672F06AD-109C-4442-A43C-866E6BF06625}"/>
    <cellStyle name="Comma 16 3 2 4 2 3 4" xfId="4096" xr:uid="{489592BE-6642-4E8D-A96F-B26C34E20BDE}"/>
    <cellStyle name="Comma 16 3 2 4 2 4" xfId="1065" xr:uid="{717F1451-ADC7-48C4-9A96-400379226ED7}"/>
    <cellStyle name="Comma 16 3 2 4 2 4 2" xfId="4098" xr:uid="{9FBBF0AB-121D-4878-A2B7-C64B8E481CA9}"/>
    <cellStyle name="Comma 16 3 2 4 2 4 2 2" xfId="4100" xr:uid="{1275A2F0-FBB3-49C4-AA5F-F5DB341C5A96}"/>
    <cellStyle name="Comma 16 3 2 4 2 4 3" xfId="3530" xr:uid="{835CD46D-05A8-4BA3-87E9-39EB43C853F5}"/>
    <cellStyle name="Comma 16 3 2 4 2 5" xfId="1069" xr:uid="{4C137286-57F8-4A55-BC22-8D85344DD81B}"/>
    <cellStyle name="Comma 16 3 2 4 2 5 2" xfId="4102" xr:uid="{DF06B982-E6CA-4216-8F51-D041572E1C82}"/>
    <cellStyle name="Comma 16 3 2 4 2 6" xfId="809" xr:uid="{0DA86130-805C-4C76-80D3-99C0D684D172}"/>
    <cellStyle name="Comma 16 3 2 4 2 7" xfId="1070" xr:uid="{1590B38B-C47C-4383-AD49-EE81051047F8}"/>
    <cellStyle name="Comma 16 3 2 4 3" xfId="842" xr:uid="{09F27CAB-C6FB-4AEF-BCD2-BBA6E5A8E9F3}"/>
    <cellStyle name="Comma 16 3 2 4 3 2" xfId="4108" xr:uid="{1F6823B1-ABBE-40F2-93EA-5F18961C73B7}"/>
    <cellStyle name="Comma 16 3 2 4 3 2 2" xfId="4111" xr:uid="{254B239A-CF4A-4D5B-92C6-FA01FA998DB0}"/>
    <cellStyle name="Comma 16 3 2 4 3 2 2 2" xfId="4115" xr:uid="{FBDA2360-DD25-44A5-935F-94E467E94E99}"/>
    <cellStyle name="Comma 16 3 2 4 3 2 2 2 2" xfId="4120" xr:uid="{F00E6230-9520-4E32-AA86-CFD83DC95C22}"/>
    <cellStyle name="Comma 16 3 2 4 3 2 2 3" xfId="4125" xr:uid="{1829C778-33DD-4940-A55A-2CB8818E14A2}"/>
    <cellStyle name="Comma 16 3 2 4 3 2 3" xfId="4128" xr:uid="{A4EFE9EA-08D9-4726-AE05-9BFE5A2ED1E1}"/>
    <cellStyle name="Comma 16 3 2 4 3 2 3 2" xfId="4133" xr:uid="{817A8583-7216-4A15-A86E-14AEE579B870}"/>
    <cellStyle name="Comma 16 3 2 4 3 2 4" xfId="4139" xr:uid="{0AB358D3-D298-42A8-AC1B-13B9BCD052F6}"/>
    <cellStyle name="Comma 16 3 2 4 3 3" xfId="621" xr:uid="{0589FD94-7CDE-45A5-8C83-600F4B9DCFA5}"/>
    <cellStyle name="Comma 16 3 2 4 3 3 2" xfId="4146" xr:uid="{AEDA68B2-BA9A-432C-B499-BBD33EEDBA76}"/>
    <cellStyle name="Comma 16 3 2 4 3 3 2 2" xfId="4153" xr:uid="{93B7A5A4-D6B0-4EDA-94AA-217EE8971E29}"/>
    <cellStyle name="Comma 16 3 2 4 3 3 3" xfId="4156" xr:uid="{F77BB5EF-DB2A-4419-AB15-AF4332E5DFCA}"/>
    <cellStyle name="Comma 16 3 2 4 3 4" xfId="4159" xr:uid="{35FCC900-08BE-44C3-8FB9-EF69582C2D00}"/>
    <cellStyle name="Comma 16 3 2 4 3 4 2" xfId="4164" xr:uid="{13775517-68D6-4F31-98FC-D1DAEE6E00E8}"/>
    <cellStyle name="Comma 16 3 2 4 3 5" xfId="4167" xr:uid="{CE78D8E8-AA8F-42ED-9F82-A86BF8FB725E}"/>
    <cellStyle name="Comma 16 3 2 4 4" xfId="1698" xr:uid="{E504CBEC-CAD5-4423-9988-D69C0785BD9E}"/>
    <cellStyle name="Comma 16 3 2 4 4 2" xfId="4170" xr:uid="{4FCA93F4-A9A6-42DD-82CC-16A699A214D6}"/>
    <cellStyle name="Comma 16 3 2 4 4 2 2" xfId="4171" xr:uid="{EE4972EC-B751-4724-8B07-1BA1E76FD633}"/>
    <cellStyle name="Comma 16 3 2 4 4 2 2 2" xfId="4177" xr:uid="{7AD5A39F-A88C-429E-99C8-EB764876CFF1}"/>
    <cellStyle name="Comma 16 3 2 4 4 2 3" xfId="4178" xr:uid="{BEF634B4-8553-46BC-BDCD-9D26C3B21602}"/>
    <cellStyle name="Comma 16 3 2 4 4 3" xfId="1092" xr:uid="{4742A422-6D24-4355-8476-AABD198514D3}"/>
    <cellStyle name="Comma 16 3 2 4 4 3 2" xfId="4180" xr:uid="{A8F718EE-A267-447B-83E0-11822B253F84}"/>
    <cellStyle name="Comma 16 3 2 4 4 4" xfId="4183" xr:uid="{7017F9C0-C42F-4E68-BDC7-CB5B539B8B0F}"/>
    <cellStyle name="Comma 16 3 2 4 5" xfId="1701" xr:uid="{54DAE861-85FF-44CC-B40D-57AFC03CE51B}"/>
    <cellStyle name="Comma 16 3 2 4 5 2" xfId="4184" xr:uid="{3CD6AB96-C373-4B2D-B8D3-917587B33DE0}"/>
    <cellStyle name="Comma 16 3 2 4 5 2 2" xfId="4188" xr:uid="{30689064-D22F-4F8B-A88B-6544C4E1D7B8}"/>
    <cellStyle name="Comma 16 3 2 4 5 3" xfId="723" xr:uid="{05CF7525-77B5-4C30-9514-CB25CA18BF34}"/>
    <cellStyle name="Comma 16 3 2 4 6" xfId="102" xr:uid="{A75A82F5-85AE-40F1-A32E-D72EA7509E24}"/>
    <cellStyle name="Comma 16 3 2 4 6 2" xfId="4189" xr:uid="{BF76E81A-C831-4498-81DF-C8338095FD0F}"/>
    <cellStyle name="Comma 16 3 2 4 7" xfId="1181" xr:uid="{CC8186A9-C288-4883-9DB3-A3F5755E3826}"/>
    <cellStyle name="Comma 16 3 2 4 8" xfId="18" xr:uid="{BDE01FC8-689A-47B7-AF2B-643F32440215}"/>
    <cellStyle name="Comma 16 3 2 5" xfId="1709" xr:uid="{B5BA79E1-EFCD-4EC1-917E-DD9A832AD1D3}"/>
    <cellStyle name="Comma 16 3 2 5 2" xfId="4193" xr:uid="{FA4D0058-CBC2-488A-ADD4-DA75EDBFD2B1}"/>
    <cellStyle name="Comma 16 3 2 5 2 2" xfId="4196" xr:uid="{E367A914-0DFF-494A-9D11-4725F2449EB2}"/>
    <cellStyle name="Comma 16 3 2 5 2 2 2" xfId="4198" xr:uid="{D8902434-97DC-424D-8C45-298BBFD58C42}"/>
    <cellStyle name="Comma 16 3 2 5 2 2 2 2" xfId="4200" xr:uid="{898EBB7F-A738-45A6-9799-D158533D2902}"/>
    <cellStyle name="Comma 16 3 2 5 2 2 2 2 2" xfId="1079" xr:uid="{F7150FE9-3211-4F71-9984-3F01C5E4F998}"/>
    <cellStyle name="Comma 16 3 2 5 2 2 2 3" xfId="3011" xr:uid="{F30DA584-5AB2-4432-BC9C-1E04670250A0}"/>
    <cellStyle name="Comma 16 3 2 5 2 2 3" xfId="4202" xr:uid="{3980A47F-5987-4587-834F-43A491F2F94F}"/>
    <cellStyle name="Comma 16 3 2 5 2 2 3 2" xfId="4204" xr:uid="{9FC718C0-3517-40A3-96FD-D1DFFB1B4FDF}"/>
    <cellStyle name="Comma 16 3 2 5 2 2 4" xfId="4207" xr:uid="{1E158007-427B-4CDF-B0C9-62AAC7796FE0}"/>
    <cellStyle name="Comma 16 3 2 5 2 3" xfId="1156" xr:uid="{65D99D97-9BD8-4405-949D-5A6AA252BAA5}"/>
    <cellStyle name="Comma 16 3 2 5 2 3 2" xfId="4208" xr:uid="{594AFF5A-DFF7-4076-B05B-76A3F2DAAE80}"/>
    <cellStyle name="Comma 16 3 2 5 2 3 2 2" xfId="4210" xr:uid="{ACD6F14A-8DF4-48F1-BD98-3F0C7F484EFE}"/>
    <cellStyle name="Comma 16 3 2 5 2 3 3" xfId="4211" xr:uid="{86921B2E-AE9A-4827-B82E-49FDF80F2B7E}"/>
    <cellStyle name="Comma 16 3 2 5 2 4" xfId="1158" xr:uid="{7F5D00E3-6CB2-4BD8-A91B-6DB794676BE4}"/>
    <cellStyle name="Comma 16 3 2 5 2 4 2" xfId="4214" xr:uid="{23752E2C-952F-4FE8-AA79-94EB81F06BEA}"/>
    <cellStyle name="Comma 16 3 2 5 2 5" xfId="1160" xr:uid="{2191E119-5EEF-4734-BBA3-8B54368E1EAE}"/>
    <cellStyle name="Comma 16 3 2 5 3" xfId="4221" xr:uid="{F23807E9-604A-402C-9381-1965072B7149}"/>
    <cellStyle name="Comma 16 3 2 5 3 2" xfId="4223" xr:uid="{1053200B-3D1E-4557-ADE8-64F3F3F8DE67}"/>
    <cellStyle name="Comma 16 3 2 5 3 2 2" xfId="4225" xr:uid="{AF5E803C-28E9-426B-B276-42DE35C003FA}"/>
    <cellStyle name="Comma 16 3 2 5 3 2 2 2" xfId="4230" xr:uid="{975F4364-E06D-46F5-8D86-CDD7828B052A}"/>
    <cellStyle name="Comma 16 3 2 5 3 2 3" xfId="4231" xr:uid="{89385FF1-204C-44BE-8081-8DB41F6DAECB}"/>
    <cellStyle name="Comma 16 3 2 5 3 3" xfId="1187" xr:uid="{BE6934D5-B0BF-40A9-9971-BFA044972D29}"/>
    <cellStyle name="Comma 16 3 2 5 3 3 2" xfId="4233" xr:uid="{033AF92A-E829-4244-B0AF-8B93D8CF3512}"/>
    <cellStyle name="Comma 16 3 2 5 3 4" xfId="4237" xr:uid="{23337BF4-739A-48CB-BD6B-13FE83ADC5BE}"/>
    <cellStyle name="Comma 16 3 2 5 4" xfId="4240" xr:uid="{62C60C67-7A35-4166-B146-7ED56F21FC41}"/>
    <cellStyle name="Comma 16 3 2 5 4 2" xfId="4242" xr:uid="{1719AC9B-8EC8-4F54-85D6-A4EACB66173C}"/>
    <cellStyle name="Comma 16 3 2 5 4 2 2" xfId="4246" xr:uid="{7517D47A-BA32-43E6-9F91-D0BF0935AD9D}"/>
    <cellStyle name="Comma 16 3 2 5 4 3" xfId="1189" xr:uid="{50C65A8B-1330-45EA-A315-987957C47B9B}"/>
    <cellStyle name="Comma 16 3 2 5 5" xfId="4248" xr:uid="{836F13E9-DC7A-420D-9123-D924984525BE}"/>
    <cellStyle name="Comma 16 3 2 5 5 2" xfId="4250" xr:uid="{5124EBFF-68D4-4E84-9159-7A3BC09BD462}"/>
    <cellStyle name="Comma 16 3 2 5 6" xfId="4251" xr:uid="{63C88A26-73A4-4A6B-BC9C-F1554D4F428B}"/>
    <cellStyle name="Comma 16 3 2 5 7" xfId="4252" xr:uid="{FA9528B4-2665-4782-A82F-F20CB0674E48}"/>
    <cellStyle name="Comma 16 3 2 6" xfId="1716" xr:uid="{D7B31F3F-1797-4E40-9D38-16F58673843C}"/>
    <cellStyle name="Comma 16 3 2 6 2" xfId="4255" xr:uid="{9F337F9A-9C23-43DD-90D6-2D57368667AC}"/>
    <cellStyle name="Comma 16 3 2 6 2 2" xfId="4257" xr:uid="{1876F840-C527-41FB-A2F7-9327BB1989E9}"/>
    <cellStyle name="Comma 16 3 2 6 2 2 2" xfId="4259" xr:uid="{07977AF0-1D8F-4649-AB47-420DACC471D7}"/>
    <cellStyle name="Comma 16 3 2 6 2 2 2 2" xfId="35" xr:uid="{2A0C851F-854A-4690-80FF-4B81C9F5914A}"/>
    <cellStyle name="Comma 16 3 2 6 2 2 3" xfId="4260" xr:uid="{457CCD51-CBD5-4D67-A695-BC8DF807FC79}"/>
    <cellStyle name="Comma 16 3 2 6 2 3" xfId="1260" xr:uid="{A8DC98F9-CA40-4DE7-A573-5EBB90D62116}"/>
    <cellStyle name="Comma 16 3 2 6 2 3 2" xfId="4261" xr:uid="{56A7124A-432F-4AB6-97D9-05EE3B2DB1D9}"/>
    <cellStyle name="Comma 16 3 2 6 2 4" xfId="1270" xr:uid="{052119B3-B7F0-4094-8004-54B1D72D5CA0}"/>
    <cellStyle name="Comma 16 3 2 6 3" xfId="4264" xr:uid="{13F5231D-BAFA-41E7-BAF3-A29B6279DA1C}"/>
    <cellStyle name="Comma 16 3 2 6 3 2" xfId="4266" xr:uid="{1D5327C4-5B13-47AD-AF6C-7DD4E851E8AA}"/>
    <cellStyle name="Comma 16 3 2 6 3 2 2" xfId="4267" xr:uid="{34C41F2D-DA18-46AC-A221-AEE33A41B8D8}"/>
    <cellStyle name="Comma 16 3 2 6 3 3" xfId="1321" xr:uid="{F633E010-D872-4B97-B834-C435D7A0162F}"/>
    <cellStyle name="Comma 16 3 2 6 4" xfId="4270" xr:uid="{4C152890-6659-4581-AA60-1F562BC7ABEB}"/>
    <cellStyle name="Comma 16 3 2 6 4 2" xfId="4272" xr:uid="{606B1998-2D99-47A4-A41C-410E00AC7BA7}"/>
    <cellStyle name="Comma 16 3 2 6 5" xfId="4275" xr:uid="{24878191-7C1D-4557-B547-129D030C334B}"/>
    <cellStyle name="Comma 16 3 2 7" xfId="1719" xr:uid="{E2122E2D-A4BB-45DD-8343-4F47850BDB46}"/>
    <cellStyle name="Comma 16 3 2 7 2" xfId="4278" xr:uid="{6A32B7F0-30BD-4741-B9A3-B6D7BCD3A1D3}"/>
    <cellStyle name="Comma 16 3 2 7 2 2" xfId="4280" xr:uid="{31E00A4A-952C-463D-AB19-8A54914CCB23}"/>
    <cellStyle name="Comma 16 3 2 7 2 2 2" xfId="4282" xr:uid="{0F0C2BFC-D4DF-42B7-8E95-14A17CE983CB}"/>
    <cellStyle name="Comma 16 3 2 7 2 3" xfId="1342" xr:uid="{3950DFC6-F5CC-46A8-9FD7-B8A661382948}"/>
    <cellStyle name="Comma 16 3 2 7 3" xfId="4284" xr:uid="{E86029EF-3001-4805-9555-27C958D1BFDA}"/>
    <cellStyle name="Comma 16 3 2 7 3 2" xfId="4285" xr:uid="{2C50B4E1-DB19-40AF-981F-B1AB2890B7AA}"/>
    <cellStyle name="Comma 16 3 2 7 4" xfId="4287" xr:uid="{6065B06B-57A6-4967-AA44-436505B938DF}"/>
    <cellStyle name="Comma 16 3 2 8" xfId="1724" xr:uid="{906020A5-E019-4B20-8EFA-2A550F073CC7}"/>
    <cellStyle name="Comma 16 3 2 8 2" xfId="1305" xr:uid="{C9359752-EE07-4C42-8FA1-19B3D23B772A}"/>
    <cellStyle name="Comma 16 3 2 8 2 2" xfId="4288" xr:uid="{6111263D-5F10-432F-BA41-303F18A70085}"/>
    <cellStyle name="Comma 16 3 2 8 3" xfId="4289" xr:uid="{D06C5EFA-E7D0-426A-B52A-D4F9E97BC104}"/>
    <cellStyle name="Comma 16 3 2 9" xfId="4291" xr:uid="{0EF39BCE-713D-4525-AE88-A59870EBF1EC}"/>
    <cellStyle name="Comma 16 3 2 9 2" xfId="2844" xr:uid="{9A786F7F-326E-46F0-9744-0188F7A4C2EC}"/>
    <cellStyle name="Comma 16 3 3" xfId="2904" xr:uid="{1B495B9C-0A1C-4D9C-8FD5-951636DC5A51}"/>
    <cellStyle name="Comma 16 3 3 10" xfId="4296" xr:uid="{4D024C70-4B83-46B8-A434-481F88B8F02E}"/>
    <cellStyle name="Comma 16 3 3 11" xfId="4307" xr:uid="{21C5E811-BA75-4E29-B981-7B2C0FC09F45}"/>
    <cellStyle name="Comma 16 3 3 2" xfId="4310" xr:uid="{FBFBA455-6CD3-49FB-878A-932F94E1A7F1}"/>
    <cellStyle name="Comma 16 3 3 2 10" xfId="2624" xr:uid="{DA84BF89-4176-4CFC-A079-E6EC98FBDC84}"/>
    <cellStyle name="Comma 16 3 3 2 2" xfId="3970" xr:uid="{5A26890A-3CC8-4642-AA7C-824400FAA97E}"/>
    <cellStyle name="Comma 16 3 3 2 2 2" xfId="4311" xr:uid="{648F756B-7345-4CBD-ADA2-DDD6B8FDD77D}"/>
    <cellStyle name="Comma 16 3 3 2 2 2 2" xfId="4312" xr:uid="{286327CD-96A8-49E3-B835-61927F67E39B}"/>
    <cellStyle name="Comma 16 3 3 2 2 2 2 2" xfId="4313" xr:uid="{013C48BA-F8EC-4CF0-BEB0-91CEC95D948B}"/>
    <cellStyle name="Comma 16 3 3 2 2 2 2 2 2" xfId="4314" xr:uid="{6BAC103D-6F67-43BA-A877-A8F5F2B8FA3C}"/>
    <cellStyle name="Comma 16 3 3 2 2 2 2 2 2 2" xfId="2201" xr:uid="{286AB1B2-9F6E-4FCA-BA22-831B63BD8DCD}"/>
    <cellStyle name="Comma 16 3 3 2 2 2 2 2 2 2 2" xfId="4317" xr:uid="{3CDE60A2-1059-43C3-A4E5-0D6C2FE4D9A4}"/>
    <cellStyle name="Comma 16 3 3 2 2 2 2 2 2 2 2 2" xfId="4318" xr:uid="{638296ED-3C65-4881-875B-D787441896DA}"/>
    <cellStyle name="Comma 16 3 3 2 2 2 2 2 2 2 3" xfId="4320" xr:uid="{9DADDCF0-C4D6-486C-9921-5B7C42596B84}"/>
    <cellStyle name="Comma 16 3 3 2 2 2 2 2 2 3" xfId="2204" xr:uid="{B014F177-4025-4F12-BC2E-3BF8E55483B7}"/>
    <cellStyle name="Comma 16 3 3 2 2 2 2 2 2 3 2" xfId="4321" xr:uid="{2B044B41-3B9B-439A-8C51-24E537015E33}"/>
    <cellStyle name="Comma 16 3 3 2 2 2 2 2 2 4" xfId="4323" xr:uid="{B56DE6C0-4623-444A-A36D-D5B3922B8D32}"/>
    <cellStyle name="Comma 16 3 3 2 2 2 2 2 3" xfId="4325" xr:uid="{7ECA2A54-BB33-4AAE-A937-EE1FC90AC8AF}"/>
    <cellStyle name="Comma 16 3 3 2 2 2 2 2 3 2" xfId="2216" xr:uid="{3CF8BB66-BFEC-4974-AE5E-3E768560A8B8}"/>
    <cellStyle name="Comma 16 3 3 2 2 2 2 2 3 2 2" xfId="4326" xr:uid="{F9886A7A-E55B-42AB-A677-2B2B9EF93FD9}"/>
    <cellStyle name="Comma 16 3 3 2 2 2 2 2 3 3" xfId="4327" xr:uid="{16658D59-7C87-4CB7-9CA4-7CE59984355C}"/>
    <cellStyle name="Comma 16 3 3 2 2 2 2 2 4" xfId="4340" xr:uid="{FBC64901-B808-4984-BC69-10DCE11C92C8}"/>
    <cellStyle name="Comma 16 3 3 2 2 2 2 2 4 2" xfId="4343" xr:uid="{A1BD3B46-2F80-46EB-9CDC-7A872F153E81}"/>
    <cellStyle name="Comma 16 3 3 2 2 2 2 2 5" xfId="4350" xr:uid="{E4C82CD1-C13C-4E72-A506-059996B7975A}"/>
    <cellStyle name="Comma 16 3 3 2 2 2 2 3" xfId="4354" xr:uid="{28BAF5E3-71B3-4772-BDDD-8599295EA25B}"/>
    <cellStyle name="Comma 16 3 3 2 2 2 2 3 2" xfId="4360" xr:uid="{A0337503-FBDE-4546-94F7-D7787FEA72A3}"/>
    <cellStyle name="Comma 16 3 3 2 2 2 2 3 2 2" xfId="2834" xr:uid="{C73484A4-4454-4381-B27A-EDF515810910}"/>
    <cellStyle name="Comma 16 3 3 2 2 2 2 3 2 2 2" xfId="2837" xr:uid="{4CADA6FE-426C-488A-88B5-D76D3A905521}"/>
    <cellStyle name="Comma 16 3 3 2 2 2 2 3 2 3" xfId="2839" xr:uid="{26377612-9944-4E0D-88C5-6F8CD1168CCB}"/>
    <cellStyle name="Comma 16 3 3 2 2 2 2 3 3" xfId="4364" xr:uid="{D95679D7-FEE2-4113-BFDF-65995DD3BD40}"/>
    <cellStyle name="Comma 16 3 3 2 2 2 2 3 3 2" xfId="4365" xr:uid="{E81BE5F4-2E4C-4E53-ABBC-D5DDB2CDBE06}"/>
    <cellStyle name="Comma 16 3 3 2 2 2 2 3 4" xfId="4368" xr:uid="{501EFD4B-4201-46E8-8EE3-6215F61CFDCD}"/>
    <cellStyle name="Comma 16 3 3 2 2 2 2 4" xfId="4373" xr:uid="{54AC59E7-EE4A-4EFB-A5F6-9763BCE3D402}"/>
    <cellStyle name="Comma 16 3 3 2 2 2 2 4 2" xfId="4376" xr:uid="{92EABFF4-57D7-44BE-91FB-ADC9DF340E9E}"/>
    <cellStyle name="Comma 16 3 3 2 2 2 2 4 2 2" xfId="4380" xr:uid="{0A947631-8299-4EE4-905C-74968C7BCEE1}"/>
    <cellStyle name="Comma 16 3 3 2 2 2 2 4 3" xfId="4382" xr:uid="{49467884-72F2-4E20-8F45-EF985A4B96DA}"/>
    <cellStyle name="Comma 16 3 3 2 2 2 2 5" xfId="4385" xr:uid="{A04E904D-E900-4B71-B52A-394948379529}"/>
    <cellStyle name="Comma 16 3 3 2 2 2 2 5 2" xfId="4392" xr:uid="{77F9FFF0-1C2D-4755-B9D1-AF83BEDA055F}"/>
    <cellStyle name="Comma 16 3 3 2 2 2 2 6" xfId="4396" xr:uid="{5307FF1C-13DF-4F49-9EE8-DB864F4493AE}"/>
    <cellStyle name="Comma 16 3 3 2 2 2 2 7" xfId="4402" xr:uid="{98B22ACE-700E-4EE8-A23E-A260C230AA1C}"/>
    <cellStyle name="Comma 16 3 3 2 2 2 3" xfId="4404" xr:uid="{1BA54BD0-8A3E-43A8-893D-25B3C6F4E233}"/>
    <cellStyle name="Comma 16 3 3 2 2 2 3 2" xfId="2349" xr:uid="{BF33C90C-D8D7-421F-8976-2F39530EB324}"/>
    <cellStyle name="Comma 16 3 3 2 2 2 3 2 2" xfId="2355" xr:uid="{FC2E67D9-7C58-4AD1-90B9-65A7DD22D868}"/>
    <cellStyle name="Comma 16 3 3 2 2 2 3 2 2 2" xfId="4406" xr:uid="{E42D9DE9-966A-4616-8DD4-0A03706FC804}"/>
    <cellStyle name="Comma 16 3 3 2 2 2 3 2 2 2 2" xfId="4408" xr:uid="{4290FFB1-36AB-4857-A347-5041FA4BF1EA}"/>
    <cellStyle name="Comma 16 3 3 2 2 2 3 2 2 3" xfId="4410" xr:uid="{BAD4BA94-8725-46AE-8F61-E86BCBCCFE2B}"/>
    <cellStyle name="Comma 16 3 3 2 2 2 3 2 3" xfId="4415" xr:uid="{51DAF32B-C92D-4C26-866B-ABA06CB8B873}"/>
    <cellStyle name="Comma 16 3 3 2 2 2 3 2 3 2" xfId="373" xr:uid="{0358461E-D0CD-4F63-9578-0030F5FE040D}"/>
    <cellStyle name="Comma 16 3 3 2 2 2 3 2 4" xfId="4419" xr:uid="{22CD8FF0-6032-4B0E-8006-03861C2DD43A}"/>
    <cellStyle name="Comma 16 3 3 2 2 2 3 3" xfId="2363" xr:uid="{E244E20F-AD7E-4685-9900-08D4828549EB}"/>
    <cellStyle name="Comma 16 3 3 2 2 2 3 3 2" xfId="2369" xr:uid="{E098440B-C631-4865-91BF-D7F82384EC3C}"/>
    <cellStyle name="Comma 16 3 3 2 2 2 3 3 2 2" xfId="4420" xr:uid="{E307987E-B707-4570-90C8-01E7AE727D37}"/>
    <cellStyle name="Comma 16 3 3 2 2 2 3 3 3" xfId="4422" xr:uid="{C59194F6-786F-4EDD-81A8-5F8010D3FAD0}"/>
    <cellStyle name="Comma 16 3 3 2 2 2 3 4" xfId="2374" xr:uid="{8E38E96B-0F10-4025-A977-83C5AA664D03}"/>
    <cellStyle name="Comma 16 3 3 2 2 2 3 4 2" xfId="2379" xr:uid="{4D78EF31-C07D-4E59-B7A2-EFB8054F9353}"/>
    <cellStyle name="Comma 16 3 3 2 2 2 3 5" xfId="2386" xr:uid="{03CC4D25-4607-4E53-9E51-72625891F14F}"/>
    <cellStyle name="Comma 16 3 3 2 2 2 4" xfId="4425" xr:uid="{7ED8FF64-609F-44F1-9D75-D8249FBE4BA4}"/>
    <cellStyle name="Comma 16 3 3 2 2 2 4 2" xfId="4428" xr:uid="{F63F5D10-6D2E-4FE1-8755-24E2551D7143}"/>
    <cellStyle name="Comma 16 3 3 2 2 2 4 2 2" xfId="4432" xr:uid="{325C2655-E693-4C6F-8ADF-D6B98D6B198A}"/>
    <cellStyle name="Comma 16 3 3 2 2 2 4 2 2 2" xfId="4433" xr:uid="{36A42224-5A9F-4BA3-B3FD-464D76760F7E}"/>
    <cellStyle name="Comma 16 3 3 2 2 2 4 2 3" xfId="4434" xr:uid="{032C2F65-BF85-4CCE-AABC-F5F94B77055F}"/>
    <cellStyle name="Comma 16 3 3 2 2 2 4 3" xfId="4442" xr:uid="{F4020528-2133-42DB-8D97-CBEC65E22A4B}"/>
    <cellStyle name="Comma 16 3 3 2 2 2 4 3 2" xfId="4443" xr:uid="{37DCC3B7-302A-4552-9AE4-0734E4E4E4F7}"/>
    <cellStyle name="Comma 16 3 3 2 2 2 4 4" xfId="4445" xr:uid="{7A3B9CBD-0446-48EC-8C7F-0DE98963AD5D}"/>
    <cellStyle name="Comma 16 3 3 2 2 2 5" xfId="4448" xr:uid="{8EBEEE56-1E4F-4F73-966F-C971C1AC1D02}"/>
    <cellStyle name="Comma 16 3 3 2 2 2 5 2" xfId="4453" xr:uid="{8A9B4386-5E23-4EA0-BBF1-9AFB9F438102}"/>
    <cellStyle name="Comma 16 3 3 2 2 2 5 2 2" xfId="4454" xr:uid="{3E71BA31-801A-495F-9546-BBB667BD7426}"/>
    <cellStyle name="Comma 16 3 3 2 2 2 5 3" xfId="4455" xr:uid="{18160DBD-457E-490C-A4D3-7F55B8E1B33F}"/>
    <cellStyle name="Comma 16 3 3 2 2 2 6" xfId="4458" xr:uid="{A23AFC94-463D-4FB6-98E9-8DDC4967F8C9}"/>
    <cellStyle name="Comma 16 3 3 2 2 2 6 2" xfId="4462" xr:uid="{485EC426-D716-4F81-BBBD-4B04CE04A568}"/>
    <cellStyle name="Comma 16 3 3 2 2 2 7" xfId="3189" xr:uid="{603ED90E-10F0-4D3A-BD76-416397E448F6}"/>
    <cellStyle name="Comma 16 3 3 2 2 2 8" xfId="4464" xr:uid="{1897F82E-8574-4667-AB11-634FFE856F1B}"/>
    <cellStyle name="Comma 16 3 3 2 2 3" xfId="4466" xr:uid="{51DAFF41-A713-4901-B632-61355F0AC033}"/>
    <cellStyle name="Comma 16 3 3 2 2 3 2" xfId="4468" xr:uid="{B363D5E9-FC61-4910-AB82-C4C1ACB0156A}"/>
    <cellStyle name="Comma 16 3 3 2 2 3 2 2" xfId="4470" xr:uid="{439D01BE-E477-4A7D-BB8C-7EACEA758FE4}"/>
    <cellStyle name="Comma 16 3 3 2 2 3 2 2 2" xfId="4473" xr:uid="{F921F17C-190F-47CF-AB94-B45E03DF2C5D}"/>
    <cellStyle name="Comma 16 3 3 2 2 3 2 2 2 2" xfId="4477" xr:uid="{0BE9B7D8-A77B-4E82-A8BB-BD54B6E33EAF}"/>
    <cellStyle name="Comma 16 3 3 2 2 3 2 2 2 2 2" xfId="1340" xr:uid="{36C3403B-E387-4D0C-8C84-FFBBC54D3750}"/>
    <cellStyle name="Comma 16 3 3 2 2 3 2 2 2 3" xfId="77" xr:uid="{60B923AF-9728-4434-9554-F15FAE2F75F6}"/>
    <cellStyle name="Comma 16 3 3 2 2 3 2 2 3" xfId="4479" xr:uid="{EC5C94B2-F685-4C2F-80C1-83B88B2B6D25}"/>
    <cellStyle name="Comma 16 3 3 2 2 3 2 2 3 2" xfId="4485" xr:uid="{06FC4ABB-FD73-4A04-B9C9-DF58451CF1E0}"/>
    <cellStyle name="Comma 16 3 3 2 2 3 2 2 4" xfId="4491" xr:uid="{71F1D2F5-AA30-4396-BB54-608833627A69}"/>
    <cellStyle name="Comma 16 3 3 2 2 3 2 3" xfId="4497" xr:uid="{355AF10D-F7F8-4550-9B67-A782B44C3BE5}"/>
    <cellStyle name="Comma 16 3 3 2 2 3 2 3 2" xfId="4504" xr:uid="{3EF67F37-C056-43B3-8F76-E643756DB1F1}"/>
    <cellStyle name="Comma 16 3 3 2 2 3 2 3 2 2" xfId="4505" xr:uid="{BC6D97A1-5754-4E24-B3E7-C85C4072E2D3}"/>
    <cellStyle name="Comma 16 3 3 2 2 3 2 3 3" xfId="4506" xr:uid="{22F664E8-586E-465C-9C4F-5C28DFD4DE6E}"/>
    <cellStyle name="Comma 16 3 3 2 2 3 2 4" xfId="4514" xr:uid="{5B3AD968-23FD-44A7-A532-EED33954EBC8}"/>
    <cellStyle name="Comma 16 3 3 2 2 3 2 4 2" xfId="4521" xr:uid="{A9A05AD8-F7E5-4A40-A009-570DE151DD23}"/>
    <cellStyle name="Comma 16 3 3 2 2 3 2 5" xfId="4525" xr:uid="{830BE40D-F035-4026-BDDA-C2E837CEAD20}"/>
    <cellStyle name="Comma 16 3 3 2 2 3 3" xfId="4528" xr:uid="{6A2DBC1A-FD04-4F2C-B681-56C5F19C59F8}"/>
    <cellStyle name="Comma 16 3 3 2 2 3 3 2" xfId="4531" xr:uid="{1F1AD8B5-2E2E-453E-B72F-D66AC16612CD}"/>
    <cellStyle name="Comma 16 3 3 2 2 3 3 2 2" xfId="4534" xr:uid="{86170DCA-BBCD-4FCD-8F2C-EAE3D78E6E31}"/>
    <cellStyle name="Comma 16 3 3 2 2 3 3 2 2 2" xfId="4536" xr:uid="{EF010EFF-0C8D-469D-A344-2B41B2AB99BA}"/>
    <cellStyle name="Comma 16 3 3 2 2 3 3 2 3" xfId="4538" xr:uid="{BEBAE383-73F4-40F5-8DA1-A549217DB3C3}"/>
    <cellStyle name="Comma 16 3 3 2 2 3 3 3" xfId="4541" xr:uid="{31BE509A-9D4C-4E25-A99E-A404C7EA2ADE}"/>
    <cellStyle name="Comma 16 3 3 2 2 3 3 3 2" xfId="908" xr:uid="{2B612B87-DA86-4695-A640-25409CB37DBC}"/>
    <cellStyle name="Comma 16 3 3 2 2 3 3 4" xfId="4545" xr:uid="{0223FFE9-F284-4B48-9D29-EBE9130DBB0C}"/>
    <cellStyle name="Comma 16 3 3 2 2 3 4" xfId="4554" xr:uid="{6D2B872C-7BF3-4334-A2E5-C0BC9F9549D5}"/>
    <cellStyle name="Comma 16 3 3 2 2 3 4 2" xfId="4563" xr:uid="{DF5DA422-21D1-4A37-88E8-ACEB1398C46F}"/>
    <cellStyle name="Comma 16 3 3 2 2 3 4 2 2" xfId="4564" xr:uid="{AB715B7A-F2FC-4EA6-AB52-27DB4AAEA619}"/>
    <cellStyle name="Comma 16 3 3 2 2 3 4 3" xfId="4566" xr:uid="{0493FEBA-16C5-496D-89E7-DAEA50C20357}"/>
    <cellStyle name="Comma 16 3 3 2 2 3 5" xfId="4576" xr:uid="{82AD3EFD-D327-46B5-AFE0-D7BAE31B91D2}"/>
    <cellStyle name="Comma 16 3 3 2 2 3 5 2" xfId="4579" xr:uid="{26B60192-DE22-4E26-8277-C280121BC1C7}"/>
    <cellStyle name="Comma 16 3 3 2 2 3 6" xfId="4586" xr:uid="{766EE87B-7B71-4921-A8EA-76678196A078}"/>
    <cellStyle name="Comma 16 3 3 2 2 3 7" xfId="4588" xr:uid="{83AB604D-37AC-4417-A722-59F17D368F0A}"/>
    <cellStyle name="Comma 16 3 3 2 2 4" xfId="4594" xr:uid="{5D3EE863-6A74-4C6D-BD61-15BB06B7434F}"/>
    <cellStyle name="Comma 16 3 3 2 2 4 2" xfId="4596" xr:uid="{99AA3565-094B-470C-9449-C5A00DE14755}"/>
    <cellStyle name="Comma 16 3 3 2 2 4 2 2" xfId="1850" xr:uid="{EA2480DB-19A5-4BCE-B515-5F57C9EA8DDD}"/>
    <cellStyle name="Comma 16 3 3 2 2 4 2 2 2" xfId="1861" xr:uid="{CB2F2EB1-D691-4E65-8C75-6272EC3308C0}"/>
    <cellStyle name="Comma 16 3 3 2 2 4 2 2 2 2" xfId="4600" xr:uid="{1128984C-458C-4FB7-B91D-CE567B1EA595}"/>
    <cellStyle name="Comma 16 3 3 2 2 4 2 2 3" xfId="4606" xr:uid="{1C904B3A-28EB-4DE2-88E8-CA8858409B1E}"/>
    <cellStyle name="Comma 16 3 3 2 2 4 2 3" xfId="1871" xr:uid="{B21BAAD8-13F0-4DD4-BA3D-3C171AC9FAAE}"/>
    <cellStyle name="Comma 16 3 3 2 2 4 2 3 2" xfId="1880" xr:uid="{68652370-E7D7-426F-806B-5571A8F5059F}"/>
    <cellStyle name="Comma 16 3 3 2 2 4 2 4" xfId="1891" xr:uid="{E4CCD19D-25EE-41AD-8B3D-C224C63EB2DB}"/>
    <cellStyle name="Comma 16 3 3 2 2 4 3" xfId="3801" xr:uid="{93E5E42C-6152-498A-973B-C15AF1E551CB}"/>
    <cellStyle name="Comma 16 3 3 2 2 4 3 2" xfId="3807" xr:uid="{D2883EEA-27D8-4ADD-94C1-F856077F1AD0}"/>
    <cellStyle name="Comma 16 3 3 2 2 4 3 2 2" xfId="3813" xr:uid="{F06DA6AF-4E76-400A-9990-6B78AD2058AD}"/>
    <cellStyle name="Comma 16 3 3 2 2 4 3 3" xfId="3815" xr:uid="{49923454-9252-443E-9BDD-52FE34BA31F9}"/>
    <cellStyle name="Comma 16 3 3 2 2 4 4" xfId="3828" xr:uid="{8028BFFC-9809-4193-9FB4-5CD1AE0C47C7}"/>
    <cellStyle name="Comma 16 3 3 2 2 4 4 2" xfId="3835" xr:uid="{4F75FBB1-198B-4BBE-8BE0-2B9B9E5578AE}"/>
    <cellStyle name="Comma 16 3 3 2 2 4 5" xfId="3852" xr:uid="{3492BD00-C584-4E8B-A0D4-7C0E3F030C34}"/>
    <cellStyle name="Comma 16 3 3 2 2 5" xfId="4610" xr:uid="{05DE3B3E-D806-4469-B18B-7D3A37AC5528}"/>
    <cellStyle name="Comma 16 3 3 2 2 5 2" xfId="4612" xr:uid="{B9DF0526-52E7-46B5-ADD5-B8856EF7BF9E}"/>
    <cellStyle name="Comma 16 3 3 2 2 5 2 2" xfId="4614" xr:uid="{F7067215-D549-483A-96E4-1DB69EA80797}"/>
    <cellStyle name="Comma 16 3 3 2 2 5 2 2 2" xfId="4618" xr:uid="{AD24194A-CD3B-4AEE-89AF-870CA95C18C7}"/>
    <cellStyle name="Comma 16 3 3 2 2 5 2 3" xfId="4619" xr:uid="{DF654B34-C804-43AD-A226-A7778B347EC6}"/>
    <cellStyle name="Comma 16 3 3 2 2 5 3" xfId="1969" xr:uid="{6D572624-C084-40F2-A02E-CA3EA577BD83}"/>
    <cellStyle name="Comma 16 3 3 2 2 5 3 2" xfId="1974" xr:uid="{87DE0A8A-3652-4414-BAD4-36836E7773BE}"/>
    <cellStyle name="Comma 16 3 3 2 2 5 4" xfId="1984" xr:uid="{764767DF-CBE1-4A79-B13C-0E317B856B71}"/>
    <cellStyle name="Comma 16 3 3 2 2 6" xfId="4621" xr:uid="{675A3A1F-4C15-401F-8A4B-4485AFCDF6FE}"/>
    <cellStyle name="Comma 16 3 3 2 2 6 2" xfId="2443" xr:uid="{E53A845E-F6B5-4C0F-AE82-8137E39BE646}"/>
    <cellStyle name="Comma 16 3 3 2 2 6 2 2" xfId="2448" xr:uid="{2CC7FDFC-6DD9-41E8-8E22-04AA0285FA82}"/>
    <cellStyle name="Comma 16 3 3 2 2 6 3" xfId="2484" xr:uid="{96E4499D-289E-4E2B-A1EF-4615CD6A78A3}"/>
    <cellStyle name="Comma 16 3 3 2 2 7" xfId="4623" xr:uid="{07DEC073-ECA2-4F64-BE88-A6EFF9696563}"/>
    <cellStyle name="Comma 16 3 3 2 2 7 2" xfId="4625" xr:uid="{9DB01A6A-A73B-40C2-8B43-7A1DD69FE4FB}"/>
    <cellStyle name="Comma 16 3 3 2 2 8" xfId="4631" xr:uid="{23FB8340-7AD5-4F49-916A-242CC8DD325E}"/>
    <cellStyle name="Comma 16 3 3 2 2 9" xfId="4638" xr:uid="{FB33EE8C-6E67-454B-8085-6E00A984B614}"/>
    <cellStyle name="Comma 16 3 3 2 3" xfId="4642" xr:uid="{F9B83D91-ABA7-4B2D-BE68-91B7BA05408E}"/>
    <cellStyle name="Comma 16 3 3 2 3 2" xfId="4643" xr:uid="{D2B4D006-0DAD-46D9-9770-0376974A8FBF}"/>
    <cellStyle name="Comma 16 3 3 2 3 2 2" xfId="807" xr:uid="{90A0736F-6D4A-4964-A46E-F9D9A4680543}"/>
    <cellStyle name="Comma 16 3 3 2 3 2 2 2" xfId="812" xr:uid="{8B73B163-F037-4093-92E7-66C297094C8B}"/>
    <cellStyle name="Comma 16 3 3 2 3 2 2 2 2" xfId="2955" xr:uid="{ADAF39AC-1AA4-43C4-A821-2BE9443FB03A}"/>
    <cellStyle name="Comma 16 3 3 2 3 2 2 2 2 2" xfId="2959" xr:uid="{E3FB62CD-357A-4E31-B8C0-692D717AA608}"/>
    <cellStyle name="Comma 16 3 3 2 3 2 2 2 2 2 2" xfId="221" xr:uid="{6DF494B5-4B19-433C-9E03-92D5BE1F170B}"/>
    <cellStyle name="Comma 16 3 3 2 3 2 2 2 2 3" xfId="4645" xr:uid="{806E3199-9250-4579-8859-026BBE5C3AC7}"/>
    <cellStyle name="Comma 16 3 3 2 3 2 2 2 3" xfId="2962" xr:uid="{8487E9C8-B11F-4FBF-A69B-83070AF6D411}"/>
    <cellStyle name="Comma 16 3 3 2 3 2 2 2 3 2" xfId="1230" xr:uid="{0DCB5D6A-4869-43F5-92F3-61BC793E7E61}"/>
    <cellStyle name="Comma 16 3 3 2 3 2 2 2 4" xfId="4648" xr:uid="{0BA91266-9D63-4D48-978D-B532B456BD21}"/>
    <cellStyle name="Comma 16 3 3 2 3 2 2 3" xfId="2969" xr:uid="{FDDA96BF-3DF7-4373-A026-2FA8E55C09CC}"/>
    <cellStyle name="Comma 16 3 3 2 3 2 2 3 2" xfId="2976" xr:uid="{866568CC-ED01-4C96-999F-9DC246247684}"/>
    <cellStyle name="Comma 16 3 3 2 3 2 2 3 2 2" xfId="4651" xr:uid="{F8210723-33EE-4D88-A726-C86A1CE63BE4}"/>
    <cellStyle name="Comma 16 3 3 2 3 2 2 3 3" xfId="4654" xr:uid="{35D8A755-5A50-4F28-828A-4AFC2EC7067D}"/>
    <cellStyle name="Comma 16 3 3 2 3 2 2 4" xfId="2983" xr:uid="{B174BF63-ACBF-4C86-AE10-F4E545CF25DC}"/>
    <cellStyle name="Comma 16 3 3 2 3 2 2 4 2" xfId="4663" xr:uid="{ECF16B7F-0BD7-47D3-8893-128386655BD8}"/>
    <cellStyle name="Comma 16 3 3 2 3 2 2 5" xfId="2991" xr:uid="{116495E3-8858-47FA-81E0-84C1DD620F8D}"/>
    <cellStyle name="Comma 16 3 3 2 3 2 3" xfId="817" xr:uid="{07D9F5A8-FB52-4A34-99E9-0589F64E1B8C}"/>
    <cellStyle name="Comma 16 3 3 2 3 2 3 2" xfId="644" xr:uid="{E6255BF0-C7A8-40A2-92F2-AF1C808A569B}"/>
    <cellStyle name="Comma 16 3 3 2 3 2 3 2 2" xfId="3019" xr:uid="{B96E92D8-FB32-44E2-AF17-909552AB54F3}"/>
    <cellStyle name="Comma 16 3 3 2 3 2 3 2 2 2" xfId="4322" xr:uid="{FEBD003A-8E23-4A0D-839C-40DD05E4CE77}"/>
    <cellStyle name="Comma 16 3 3 2 3 2 3 2 3" xfId="4664" xr:uid="{6B7F8BEA-E97F-41C6-ACFD-710D78E307C9}"/>
    <cellStyle name="Comma 16 3 3 2 3 2 3 3" xfId="3026" xr:uid="{C35F0AD5-D402-439F-ADB3-48CBCFD93222}"/>
    <cellStyle name="Comma 16 3 3 2 3 2 3 3 2" xfId="4670" xr:uid="{AE80C05D-185A-4173-B813-95359C01E27C}"/>
    <cellStyle name="Comma 16 3 3 2 3 2 3 4" xfId="4676" xr:uid="{F2C722E5-5F3D-483C-B80D-5858AA76F801}"/>
    <cellStyle name="Comma 16 3 3 2 3 2 4" xfId="822" xr:uid="{DED2EA35-C1DE-409F-9058-85240466ADC7}"/>
    <cellStyle name="Comma 16 3 3 2 3 2 4 2" xfId="3055" xr:uid="{221CBD27-4556-4F8E-B473-23C1E85B8BA0}"/>
    <cellStyle name="Comma 16 3 3 2 3 2 4 2 2" xfId="4678" xr:uid="{293F5E77-44C6-4DA7-AF3C-3D6DFA86037F}"/>
    <cellStyle name="Comma 16 3 3 2 3 2 4 3" xfId="4683" xr:uid="{66089CB1-DAFF-4898-84BD-ABD35DE57A23}"/>
    <cellStyle name="Comma 16 3 3 2 3 2 5" xfId="4687" xr:uid="{3740FB99-C77A-43FF-AD8B-1F8B9ED91204}"/>
    <cellStyle name="Comma 16 3 3 2 3 2 5 2" xfId="4689" xr:uid="{76E4D624-E819-4001-BF8D-3FF75CA80F3D}"/>
    <cellStyle name="Comma 16 3 3 2 3 2 6" xfId="4691" xr:uid="{10E92667-C99C-4E2A-995E-BEB7407D4523}"/>
    <cellStyle name="Comma 16 3 3 2 3 2 7" xfId="3315" xr:uid="{7183361C-C639-4BF2-BB57-D4307B455AC7}"/>
    <cellStyle name="Comma 16 3 3 2 3 3" xfId="4693" xr:uid="{CBD263B5-0ED0-4FC0-AED7-7A83D8D35CE7}"/>
    <cellStyle name="Comma 16 3 3 2 3 3 2" xfId="867" xr:uid="{30A687EE-1EDC-4F1D-BDD9-D40C37F7B0AD}"/>
    <cellStyle name="Comma 16 3 3 2 3 3 2 2" xfId="58" xr:uid="{217D90A4-72EB-4741-9DB3-0E8F74F555A4}"/>
    <cellStyle name="Comma 16 3 3 2 3 3 2 2 2" xfId="3133" xr:uid="{A09A280C-936C-4243-898B-44045BE358DF}"/>
    <cellStyle name="Comma 16 3 3 2 3 3 2 2 2 2" xfId="3523" xr:uid="{7E9D3C48-6CA5-461F-A607-5CB42234FA17}"/>
    <cellStyle name="Comma 16 3 3 2 3 3 2 2 3" xfId="3568" xr:uid="{60514F5D-EBA8-4CE7-8676-01A7D52FB3CF}"/>
    <cellStyle name="Comma 16 3 3 2 3 3 2 3" xfId="3142" xr:uid="{3B1E225F-7B5B-4D75-B4E0-F35D4F7451B2}"/>
    <cellStyle name="Comma 16 3 3 2 3 3 2 3 2" xfId="4005" xr:uid="{C60B9EEF-0B8D-4D75-A02B-EBE862C1CD8A}"/>
    <cellStyle name="Comma 16 3 3 2 3 3 2 4" xfId="4702" xr:uid="{9F3D047C-0C77-4935-8BC4-1BDAA7FD9FC5}"/>
    <cellStyle name="Comma 16 3 3 2 3 3 3" xfId="871" xr:uid="{234FF7F8-5B80-4597-8E7F-A2A0B8BBFF58}"/>
    <cellStyle name="Comma 16 3 3 2 3 3 3 2" xfId="86" xr:uid="{1B8BF0F5-F1EE-4A3D-AF8B-C45B46267032}"/>
    <cellStyle name="Comma 16 3 3 2 3 3 3 2 2" xfId="4705" xr:uid="{EFC3814F-E71E-4BFF-99D6-5DB4282A1E07}"/>
    <cellStyle name="Comma 16 3 3 2 3 3 3 3" xfId="4708" xr:uid="{69394173-996B-4E24-81BB-7843305E8D30}"/>
    <cellStyle name="Comma 16 3 3 2 3 3 4" xfId="881" xr:uid="{59CDE114-BF53-478F-800D-082E225B9835}"/>
    <cellStyle name="Comma 16 3 3 2 3 3 4 2" xfId="4711" xr:uid="{2D468BB5-09B7-4015-9ABF-FA26B47CE015}"/>
    <cellStyle name="Comma 16 3 3 2 3 3 5" xfId="4717" xr:uid="{143FCAEC-42CB-4205-A074-B69FFB4E35A2}"/>
    <cellStyle name="Comma 16 3 3 2 3 4" xfId="4719" xr:uid="{EE070367-1F31-4C75-9192-0C3201C56B25}"/>
    <cellStyle name="Comma 16 3 3 2 3 4 2" xfId="1915" xr:uid="{A5202FAD-23BD-4D9A-BC98-428DA1EA33BE}"/>
    <cellStyle name="Comma 16 3 3 2 3 4 2 2" xfId="3227" xr:uid="{9877E2DA-F8FE-4451-84D9-0D91EC3543A3}"/>
    <cellStyle name="Comma 16 3 3 2 3 4 2 2 2" xfId="4725" xr:uid="{B0D59E38-9794-40D9-A578-700143A18615}"/>
    <cellStyle name="Comma 16 3 3 2 3 4 2 3" xfId="4728" xr:uid="{30EF00FE-FE9E-40B6-9387-966CA312C8F2}"/>
    <cellStyle name="Comma 16 3 3 2 3 4 3" xfId="1924" xr:uid="{26F84B2E-5F05-4237-8EE0-7EAE1C96C304}"/>
    <cellStyle name="Comma 16 3 3 2 3 4 3 2" xfId="3296" xr:uid="{1A970377-DAC5-4715-ABC2-53B39E8FDB16}"/>
    <cellStyle name="Comma 16 3 3 2 3 4 4" xfId="3861" xr:uid="{E0DC76F0-F154-466A-90D6-5EC512FB66EF}"/>
    <cellStyle name="Comma 16 3 3 2 3 5" xfId="4731" xr:uid="{31034EDF-182A-40EE-9266-E3AA583FD0F3}"/>
    <cellStyle name="Comma 16 3 3 2 3 5 2" xfId="4733" xr:uid="{D8D4EAC8-82F7-4461-9B2D-0EC2B419B77E}"/>
    <cellStyle name="Comma 16 3 3 2 3 5 2 2" xfId="4734" xr:uid="{FABB7E0F-5764-490C-B989-E0B7E26239D4}"/>
    <cellStyle name="Comma 16 3 3 2 3 5 3" xfId="3870" xr:uid="{6B15B549-F930-4716-80ED-B864D7EA7080}"/>
    <cellStyle name="Comma 16 3 3 2 3 6" xfId="1749" xr:uid="{1D4D07D5-34F4-4455-B9AB-1EAC16305D96}"/>
    <cellStyle name="Comma 16 3 3 2 3 6 2" xfId="1753" xr:uid="{A3ACE76B-F848-413A-AF84-454CBD91B5B4}"/>
    <cellStyle name="Comma 16 3 3 2 3 7" xfId="1776" xr:uid="{4E36862A-E65A-45E5-87B7-52674C24093F}"/>
    <cellStyle name="Comma 16 3 3 2 3 8" xfId="1785" xr:uid="{C69CB3C6-D308-4B6D-A5DE-B9F5A3E8D27D}"/>
    <cellStyle name="Comma 16 3 3 2 4" xfId="4736" xr:uid="{710BD45E-108A-483C-A784-E89C24A2FF93}"/>
    <cellStyle name="Comma 16 3 3 2 4 2" xfId="4738" xr:uid="{0E508A45-8B51-4F11-999C-56C67A741366}"/>
    <cellStyle name="Comma 16 3 3 2 4 2 2" xfId="4742" xr:uid="{F1494DC5-9E7C-4FE2-BE45-9F49184F0719}"/>
    <cellStyle name="Comma 16 3 3 2 4 2 2 2" xfId="3251" xr:uid="{B13EDA95-66C5-4115-953D-6CEFFCD39FF2}"/>
    <cellStyle name="Comma 16 3 3 2 4 2 2 2 2" xfId="3314" xr:uid="{67EA7363-C3CD-48F6-B9BA-A318104D402C}"/>
    <cellStyle name="Comma 16 3 3 2 4 2 2 2 2 2" xfId="4748" xr:uid="{ED4E5AEF-0748-4AEA-8CC9-EABDFF630DFA}"/>
    <cellStyle name="Comma 16 3 3 2 4 2 2 2 3" xfId="4753" xr:uid="{2F56FC8B-6A9A-4D2B-AC11-786CA9570C5E}"/>
    <cellStyle name="Comma 16 3 3 2 4 2 2 3" xfId="3321" xr:uid="{E589F417-0456-4085-880F-AF91287E22BB}"/>
    <cellStyle name="Comma 16 3 3 2 4 2 2 3 2" xfId="4760" xr:uid="{44B961CD-5405-474A-AA69-CBF818EF90DE}"/>
    <cellStyle name="Comma 16 3 3 2 4 2 2 4" xfId="4769" xr:uid="{08B5E2CC-B8E9-406E-A915-1D11D87C7982}"/>
    <cellStyle name="Comma 16 3 3 2 4 2 3" xfId="4776" xr:uid="{B3FBC4C5-2408-4CD1-998F-294F2E8BB01B}"/>
    <cellStyle name="Comma 16 3 3 2 4 2 3 2" xfId="3334" xr:uid="{7346E7A7-3854-4E97-8F9B-047E8CA84D8F}"/>
    <cellStyle name="Comma 16 3 3 2 4 2 3 2 2" xfId="4786" xr:uid="{E0947B91-01A1-45C4-B19F-F203B803F5DC}"/>
    <cellStyle name="Comma 16 3 3 2 4 2 3 3" xfId="4793" xr:uid="{4611A5B5-60DD-49F6-966C-2E894D6CFB88}"/>
    <cellStyle name="Comma 16 3 3 2 4 2 4" xfId="4801" xr:uid="{9208F89B-A684-4050-9BD6-C19274428879}"/>
    <cellStyle name="Comma 16 3 3 2 4 2 4 2" xfId="4804" xr:uid="{8A95D885-C0FA-4A4B-9104-B1E7D7A0093C}"/>
    <cellStyle name="Comma 16 3 3 2 4 2 5" xfId="4810" xr:uid="{E2F204CA-809D-47F5-B25F-6F1B3FA390C5}"/>
    <cellStyle name="Comma 16 3 3 2 4 3" xfId="4812" xr:uid="{90E5BBC4-7E36-4703-BDAA-4E69E7380EAA}"/>
    <cellStyle name="Comma 16 3 3 2 4 3 2" xfId="4816" xr:uid="{134498C5-628C-471B-9007-9BB669739147}"/>
    <cellStyle name="Comma 16 3 3 2 4 3 2 2" xfId="3392" xr:uid="{EFC4A990-C1C7-4965-AA18-4E8807DB5E38}"/>
    <cellStyle name="Comma 16 3 3 2 4 3 2 2 2" xfId="4822" xr:uid="{9D989F87-763C-4567-A7A0-8638AD7259B6}"/>
    <cellStyle name="Comma 16 3 3 2 4 3 2 3" xfId="4828" xr:uid="{C4695C76-D525-4C98-AA96-15AADE1A7751}"/>
    <cellStyle name="Comma 16 3 3 2 4 3 3" xfId="4835" xr:uid="{3BBA5218-AE0E-4477-A49B-F15B8D02DEE4}"/>
    <cellStyle name="Comma 16 3 3 2 4 3 3 2" xfId="4840" xr:uid="{DFD3568C-389C-46B1-A57E-4AB584A6A81D}"/>
    <cellStyle name="Comma 16 3 3 2 4 3 4" xfId="4842" xr:uid="{271FA239-99EB-4A7A-9EFB-21550E8D12D6}"/>
    <cellStyle name="Comma 16 3 3 2 4 4" xfId="4844" xr:uid="{42F3BE76-4620-4C90-9AD6-D315E20C3CAE}"/>
    <cellStyle name="Comma 16 3 3 2 4 4 2" xfId="4847" xr:uid="{DD199CA2-E4BB-4F35-A886-A585EBCDF067}"/>
    <cellStyle name="Comma 16 3 3 2 4 4 2 2" xfId="4852" xr:uid="{66ACBFD5-D8E5-4FE0-8EAD-DCF3D8C45A26}"/>
    <cellStyle name="Comma 16 3 3 2 4 4 3" xfId="3883" xr:uid="{BCB7F57A-0ECB-4F42-B9EB-82AD5388E48C}"/>
    <cellStyle name="Comma 16 3 3 2 4 5" xfId="4855" xr:uid="{BDAEA164-06ED-41D7-B255-6B98DF185AC1}"/>
    <cellStyle name="Comma 16 3 3 2 4 5 2" xfId="4857" xr:uid="{4D5C3CCD-383F-4DA2-B6D6-C9B400D2C228}"/>
    <cellStyle name="Comma 16 3 3 2 4 6" xfId="4860" xr:uid="{A53AA30D-9986-4DD5-AD3A-801E1A3319BE}"/>
    <cellStyle name="Comma 16 3 3 2 4 7" xfId="4862" xr:uid="{09E8E625-9A73-4FCC-8900-E8DAFCCFA238}"/>
    <cellStyle name="Comma 16 3 3 2 5" xfId="4704" xr:uid="{86ACF591-176C-4B5B-BBF4-A1B7861CC352}"/>
    <cellStyle name="Comma 16 3 3 2 5 2" xfId="4864" xr:uid="{6CD5FEEC-756A-40DF-AE11-4186644C0C44}"/>
    <cellStyle name="Comma 16 3 3 2 5 2 2" xfId="4869" xr:uid="{BF217B52-7421-48F9-BBB3-FC996AA5FB6E}"/>
    <cellStyle name="Comma 16 3 3 2 5 2 2 2" xfId="570" xr:uid="{07511505-DE3A-4310-8939-988ACA30E7A0}"/>
    <cellStyle name="Comma 16 3 3 2 5 2 2 2 2" xfId="4875" xr:uid="{22EB09FE-DC69-4E6E-B472-D8B510EF417E}"/>
    <cellStyle name="Comma 16 3 3 2 5 2 2 3" xfId="586" xr:uid="{5F50BDDD-5741-4178-B98F-70E708B4899A}"/>
    <cellStyle name="Comma 16 3 3 2 5 2 3" xfId="4881" xr:uid="{94A647F6-B3B8-4A39-9433-EF898E140D41}"/>
    <cellStyle name="Comma 16 3 3 2 5 2 3 2" xfId="4887" xr:uid="{DAD5844E-83F0-4BC1-AE9A-1C08104C3385}"/>
    <cellStyle name="Comma 16 3 3 2 5 2 4" xfId="4892" xr:uid="{13E52E01-5AEE-4411-B50A-88C3113BB0DF}"/>
    <cellStyle name="Comma 16 3 3 2 5 3" xfId="4895" xr:uid="{D2094E4B-AD56-455D-93D3-D18A991885EA}"/>
    <cellStyle name="Comma 16 3 3 2 5 3 2" xfId="4900" xr:uid="{E1806D10-4A20-4E5F-A21E-4461AF69EB17}"/>
    <cellStyle name="Comma 16 3 3 2 5 3 2 2" xfId="839" xr:uid="{415DB465-690F-484D-9601-26145BD4090E}"/>
    <cellStyle name="Comma 16 3 3 2 5 3 3" xfId="4904" xr:uid="{545E1778-8E8A-4C5C-82F5-40E2F82D3CA3}"/>
    <cellStyle name="Comma 16 3 3 2 5 4" xfId="4907" xr:uid="{5DD9C08F-1CBB-478D-8F62-49DE8D60CECD}"/>
    <cellStyle name="Comma 16 3 3 2 5 4 2" xfId="4916" xr:uid="{AEC4CFC3-479F-467E-8080-0751A9B0A00E}"/>
    <cellStyle name="Comma 16 3 3 2 5 5" xfId="65" xr:uid="{0F83AB75-5A41-4F7E-B840-D5326AFC095F}"/>
    <cellStyle name="Comma 16 3 3 2 6" xfId="4917" xr:uid="{523E4ABF-9C19-44D1-853F-CDD12BA65CFC}"/>
    <cellStyle name="Comma 16 3 3 2 6 2" xfId="4920" xr:uid="{DDE6A3CC-A24A-48E6-8EBA-3CCBAD8F0485}"/>
    <cellStyle name="Comma 16 3 3 2 6 2 2" xfId="2633" xr:uid="{85A6D457-BD7D-473B-AF19-A3DB125FC838}"/>
    <cellStyle name="Comma 16 3 3 2 6 2 2 2" xfId="2645" xr:uid="{0BE9EAAF-35BC-481C-8EA9-AA1B2BDA2089}"/>
    <cellStyle name="Comma 16 3 3 2 6 2 3" xfId="2663" xr:uid="{2CB6FCED-4504-4727-BC9D-2D1DC7C6F2A0}"/>
    <cellStyle name="Comma 16 3 3 2 6 3" xfId="4923" xr:uid="{E9F4C481-A293-4F19-8370-A46517DF5A84}"/>
    <cellStyle name="Comma 16 3 3 2 6 3 2" xfId="2825" xr:uid="{070748BF-3A9F-45DD-A163-E62EF286F4EE}"/>
    <cellStyle name="Comma 16 3 3 2 6 4" xfId="4925" xr:uid="{E062B82F-6938-4A0E-A949-AA47425F2D4C}"/>
    <cellStyle name="Comma 16 3 3 2 7" xfId="4926" xr:uid="{AC26DF98-62C5-46FB-BF25-D127D473B7C8}"/>
    <cellStyle name="Comma 16 3 3 2 7 2" xfId="4929" xr:uid="{B19BAE59-A16F-4B95-8DBF-2009B20EC85C}"/>
    <cellStyle name="Comma 16 3 3 2 7 2 2" xfId="4935" xr:uid="{897FEEBE-0BE4-42A3-9E17-4727F01F234D}"/>
    <cellStyle name="Comma 16 3 3 2 7 3" xfId="4939" xr:uid="{CEDDC49F-74BE-4CA9-9608-589FD9F9CE6F}"/>
    <cellStyle name="Comma 16 3 3 2 8" xfId="4940" xr:uid="{8333B42C-8BF4-42E9-8081-259C452372AE}"/>
    <cellStyle name="Comma 16 3 3 2 8 2" xfId="4944" xr:uid="{B8EF5C82-7BFE-433F-8A23-413DE457851A}"/>
    <cellStyle name="Comma 16 3 3 2 9" xfId="4945" xr:uid="{A11EC7C8-34B2-4C52-B897-5F781C4CB642}"/>
    <cellStyle name="Comma 16 3 3 3" xfId="4948" xr:uid="{1823F47E-2887-4ED9-B130-3A15EDB7C637}"/>
    <cellStyle name="Comma 16 3 3 3 2" xfId="4949" xr:uid="{1A4D8F99-B298-4572-8CC4-727C992382A8}"/>
    <cellStyle name="Comma 16 3 3 3 2 2" xfId="4950" xr:uid="{EB924E2D-3B77-4A21-B319-A4A65B3BC5FA}"/>
    <cellStyle name="Comma 16 3 3 3 2 2 2" xfId="1004" xr:uid="{A1905430-E5A2-467A-B2BD-F82C04DFF09C}"/>
    <cellStyle name="Comma 16 3 3 3 2 2 2 2" xfId="4951" xr:uid="{C2A1FA61-FA5D-4840-BA35-989AA694B1DA}"/>
    <cellStyle name="Comma 16 3 3 3 2 2 2 2 2" xfId="1580" xr:uid="{5B122B5D-F426-45BD-9AF7-7339354D07BF}"/>
    <cellStyle name="Comma 16 3 3 3 2 2 2 2 2 2" xfId="474" xr:uid="{D129FD62-A0A5-4D78-ABB7-9AF806E2F622}"/>
    <cellStyle name="Comma 16 3 3 3 2 2 2 2 2 2 2" xfId="478" xr:uid="{D7119B49-A193-4B02-BB94-5EE5FDB923BF}"/>
    <cellStyle name="Comma 16 3 3 3 2 2 2 2 2 3" xfId="486" xr:uid="{17973F39-697E-435F-9174-077E780A8F55}"/>
    <cellStyle name="Comma 16 3 3 3 2 2 2 2 3" xfId="1584" xr:uid="{4A678A26-B95B-4DA6-8E0B-BF919A724781}"/>
    <cellStyle name="Comma 16 3 3 3 2 2 2 2 3 2" xfId="533" xr:uid="{FFF8312C-BC2A-4DA8-A4C6-C22A65655B44}"/>
    <cellStyle name="Comma 16 3 3 3 2 2 2 2 4" xfId="1478" xr:uid="{D5B3510D-E494-4422-A181-11D73A490539}"/>
    <cellStyle name="Comma 16 3 3 3 2 2 2 3" xfId="4953" xr:uid="{943B730A-5C4B-4B6A-BAF6-540BF2F92E16}"/>
    <cellStyle name="Comma 16 3 3 3 2 2 2 3 2" xfId="2673" xr:uid="{E318A992-8033-4AA7-90A8-8A8498CF61B5}"/>
    <cellStyle name="Comma 16 3 3 3 2 2 2 3 2 2" xfId="4956" xr:uid="{7AE866DF-4BF4-480F-A7BB-F9913A6543D3}"/>
    <cellStyle name="Comma 16 3 3 3 2 2 2 3 3" xfId="4961" xr:uid="{4E7259C9-D6CA-4381-B9F6-211AD176B647}"/>
    <cellStyle name="Comma 16 3 3 3 2 2 2 4" xfId="4963" xr:uid="{DD5C5452-E836-40F9-A78E-39D1F443C9C1}"/>
    <cellStyle name="Comma 16 3 3 3 2 2 2 4 2" xfId="4973" xr:uid="{DAB79792-89EE-41E7-8E99-8C6F1ADAD26A}"/>
    <cellStyle name="Comma 16 3 3 3 2 2 2 5" xfId="4975" xr:uid="{9E078453-C682-49C0-9B17-32F261E923DE}"/>
    <cellStyle name="Comma 16 3 3 3 2 2 3" xfId="1738" xr:uid="{F7C76687-17C0-47C3-A188-D0B46A27FCEC}"/>
    <cellStyle name="Comma 16 3 3 3 2 2 3 2" xfId="68" xr:uid="{CB38AB03-D30F-4DF6-A192-FBF2D24A1C28}"/>
    <cellStyle name="Comma 16 3 3 3 2 2 3 2 2" xfId="1608" xr:uid="{D5C5CB8E-B5A1-42C4-9149-54DCF42BFC3C}"/>
    <cellStyle name="Comma 16 3 3 3 2 2 3 2 2 2" xfId="2125" xr:uid="{B0913F8C-4A5C-46C6-9F80-3DDBF50BFCE6}"/>
    <cellStyle name="Comma 16 3 3 3 2 2 3 2 3" xfId="1617" xr:uid="{C720B644-904B-4673-ADD6-4C9480056E09}"/>
    <cellStyle name="Comma 16 3 3 3 2 2 3 3" xfId="114" xr:uid="{3547A6F9-15E5-431C-B3E2-4542BAE23A2D}"/>
    <cellStyle name="Comma 16 3 3 3 2 2 3 3 2" xfId="4977" xr:uid="{23982537-3F36-4EEC-9995-F97AD2F82FCB}"/>
    <cellStyle name="Comma 16 3 3 3 2 2 3 4" xfId="133" xr:uid="{0CB47ABC-C81A-4541-8022-CFEA2CBE8D42}"/>
    <cellStyle name="Comma 16 3 3 3 2 2 4" xfId="4979" xr:uid="{9599C975-9E45-4EFB-880F-B7F2D5C4E1AA}"/>
    <cellStyle name="Comma 16 3 3 3 2 2 4 2" xfId="4981" xr:uid="{18E7AFDC-8908-4175-A5C4-DFF1B4E4DFE5}"/>
    <cellStyle name="Comma 16 3 3 3 2 2 4 2 2" xfId="1650" xr:uid="{2B8447EC-BB37-4B8A-A49B-60E05FDFA86D}"/>
    <cellStyle name="Comma 16 3 3 3 2 2 4 3" xfId="4982" xr:uid="{CE466B48-889A-4AC4-9293-CCB2958DBA25}"/>
    <cellStyle name="Comma 16 3 3 3 2 2 5" xfId="4984" xr:uid="{BF445111-96FE-4F48-81ED-AEBE9D938DAD}"/>
    <cellStyle name="Comma 16 3 3 3 2 2 5 2" xfId="4985" xr:uid="{38BA0267-DC43-4767-B4C5-D1DDE73C9863}"/>
    <cellStyle name="Comma 16 3 3 3 2 2 6" xfId="4986" xr:uid="{A1D75906-5531-40B5-8F29-28AEEB1EA6A1}"/>
    <cellStyle name="Comma 16 3 3 3 2 2 7" xfId="4988" xr:uid="{D8FD799B-B84E-404F-A5F3-11FB52F7CE69}"/>
    <cellStyle name="Comma 16 3 3 3 2 3" xfId="4990" xr:uid="{2BC30B76-FF33-4B5B-A6CB-143FF9B90860}"/>
    <cellStyle name="Comma 16 3 3 3 2 3 2" xfId="4993" xr:uid="{E908420F-458B-4EA2-9DF5-86C3D6A5F700}"/>
    <cellStyle name="Comma 16 3 3 3 2 3 2 2" xfId="4997" xr:uid="{5002D740-7E78-435F-A9CD-9AF297121A19}"/>
    <cellStyle name="Comma 16 3 3 3 2 3 2 2 2" xfId="4332" xr:uid="{3071DF58-A883-401D-9FA2-FD1F6CDFD462}"/>
    <cellStyle name="Comma 16 3 3 3 2 3 2 2 2 2" xfId="4341" xr:uid="{DDE8C591-F397-4F83-BD21-20841CD07A20}"/>
    <cellStyle name="Comma 16 3 3 3 2 3 2 2 3" xfId="4346" xr:uid="{661DA4C9-CB52-401C-8D33-CAAB62C1A7EE}"/>
    <cellStyle name="Comma 16 3 3 3 2 3 2 3" xfId="5001" xr:uid="{9EB2B497-E240-4677-AA8B-EA8B4B5BE441}"/>
    <cellStyle name="Comma 16 3 3 3 2 3 2 3 2" xfId="4366" xr:uid="{9239306C-B2C1-49A9-9F63-D257D478975F}"/>
    <cellStyle name="Comma 16 3 3 3 2 3 2 4" xfId="5005" xr:uid="{12FBF778-9E85-42CD-BA77-5E2CD52039A5}"/>
    <cellStyle name="Comma 16 3 3 3 2 3 3" xfId="5008" xr:uid="{56A7B960-F899-49C1-BB33-6B250C83FE13}"/>
    <cellStyle name="Comma 16 3 3 3 2 3 3 2" xfId="5012" xr:uid="{0184590C-5D1D-457F-848F-8E7D09AD449C}"/>
    <cellStyle name="Comma 16 3 3 3 2 3 3 2 2" xfId="4417" xr:uid="{0023DE25-85E7-47BF-8047-D8401607DB36}"/>
    <cellStyle name="Comma 16 3 3 3 2 3 3 3" xfId="5013" xr:uid="{4D86556F-7BEE-4553-8142-43AF407AC6CA}"/>
    <cellStyle name="Comma 16 3 3 3 2 3 4" xfId="5021" xr:uid="{66F9FABD-D916-449B-BAB4-4E1C750A6FD5}"/>
    <cellStyle name="Comma 16 3 3 3 2 3 4 2" xfId="5022" xr:uid="{56F002D4-F0AD-46EE-997F-9F5E4970E756}"/>
    <cellStyle name="Comma 16 3 3 3 2 3 5" xfId="5027" xr:uid="{593F2620-5C60-466F-B0B0-1F111D32B26F}"/>
    <cellStyle name="Comma 16 3 3 3 2 4" xfId="5029" xr:uid="{ADAD1975-D8E7-441F-8FA4-881C836E280F}"/>
    <cellStyle name="Comma 16 3 3 3 2 4 2" xfId="5033" xr:uid="{CA0501D9-8EFB-41E0-86CE-4EE9D805ABBD}"/>
    <cellStyle name="Comma 16 3 3 3 2 4 2 2" xfId="5040" xr:uid="{07E61445-707B-4CED-A08F-25B1B2EDADF3}"/>
    <cellStyle name="Comma 16 3 3 3 2 4 2 2 2" xfId="4488" xr:uid="{C8CC6A76-E9CA-4212-A966-DED3FDE8CE3F}"/>
    <cellStyle name="Comma 16 3 3 3 2 4 2 3" xfId="5043" xr:uid="{54D1C114-40A2-484C-B60D-AAB94CE9D97D}"/>
    <cellStyle name="Comma 16 3 3 3 2 4 3" xfId="3940" xr:uid="{0EBE8340-41BD-44C0-80A2-8DAF9F25DAAF}"/>
    <cellStyle name="Comma 16 3 3 3 2 4 3 2" xfId="3945" xr:uid="{5086F2EB-DA2D-4D1D-83F8-88CF83DE1070}"/>
    <cellStyle name="Comma 16 3 3 3 2 4 4" xfId="3953" xr:uid="{AA4131CA-866F-4AFF-AC8B-2243B1169B2C}"/>
    <cellStyle name="Comma 16 3 3 3 2 5" xfId="5045" xr:uid="{E5D0642C-CB58-4D78-8419-66F3DCB5626E}"/>
    <cellStyle name="Comma 16 3 3 3 2 5 2" xfId="5049" xr:uid="{FCA3ABDD-4556-4669-B8FC-7D0D1976477B}"/>
    <cellStyle name="Comma 16 3 3 3 2 5 2 2" xfId="5051" xr:uid="{B8E48AA5-8AE4-482D-A9F7-28BFE23429EF}"/>
    <cellStyle name="Comma 16 3 3 3 2 5 3" xfId="3961" xr:uid="{34CFADAF-2CDF-4593-8EFD-FD288DFE77C6}"/>
    <cellStyle name="Comma 16 3 3 3 2 6" xfId="5053" xr:uid="{6D96F383-89A1-4ABF-AD8C-EFD78D24B3BC}"/>
    <cellStyle name="Comma 16 3 3 3 2 6 2" xfId="5056" xr:uid="{78C53C9F-66EF-410C-B034-688F3549D451}"/>
    <cellStyle name="Comma 16 3 3 3 2 7" xfId="5057" xr:uid="{69C59A8F-504E-4E13-AA75-DEEA8DA8D72E}"/>
    <cellStyle name="Comma 16 3 3 3 2 8" xfId="5062" xr:uid="{8CC37E2A-9A07-4073-BE79-433107C4E46E}"/>
    <cellStyle name="Comma 16 3 3 3 3" xfId="5068" xr:uid="{50CF7E95-B492-4D93-9437-CA8747009181}"/>
    <cellStyle name="Comma 16 3 3 3 3 2" xfId="5071" xr:uid="{25D9252D-7168-4CFD-8D8A-CE5E512B7DEB}"/>
    <cellStyle name="Comma 16 3 3 3 3 2 2" xfId="5072" xr:uid="{A2ED4167-3C77-43EA-89F7-B9AF99B923D7}"/>
    <cellStyle name="Comma 16 3 3 3 3 2 2 2" xfId="3635" xr:uid="{21E94408-D99F-484E-BE05-1B3B0D3E3247}"/>
    <cellStyle name="Comma 16 3 3 3 3 2 2 2 2" xfId="856" xr:uid="{0BE98738-8A38-4699-AE21-3AAF84874945}"/>
    <cellStyle name="Comma 16 3 3 3 3 2 2 2 2 2" xfId="5076" xr:uid="{7B897E1D-6269-4306-AB6D-80B0CC3BD7ED}"/>
    <cellStyle name="Comma 16 3 3 3 3 2 2 2 3" xfId="861" xr:uid="{385ACA04-8B67-4A3A-9DEA-8E6931011818}"/>
    <cellStyle name="Comma 16 3 3 3 3 2 2 3" xfId="3639" xr:uid="{31F83B7A-98A5-4FB7-B676-C3E2ABD0DBB5}"/>
    <cellStyle name="Comma 16 3 3 3 3 2 2 3 2" xfId="5080" xr:uid="{EA0A33A1-B4CE-4504-A139-058B820FD253}"/>
    <cellStyle name="Comma 16 3 3 3 3 2 2 4" xfId="5087" xr:uid="{6D0A3DAD-DCE3-4873-9F24-2B7BF0B8ED4E}"/>
    <cellStyle name="Comma 16 3 3 3 3 2 3" xfId="5088" xr:uid="{8C1F31E4-27B7-4816-897B-5F5070B06711}"/>
    <cellStyle name="Comma 16 3 3 3 3 2 3 2" xfId="3659" xr:uid="{5771BD09-2704-49AE-A7C5-0B7192B8A23C}"/>
    <cellStyle name="Comma 16 3 3 3 3 2 3 2 2" xfId="5089" xr:uid="{FC314342-F987-4058-99B2-C997E73565C3}"/>
    <cellStyle name="Comma 16 3 3 3 3 2 3 3" xfId="5093" xr:uid="{5962800F-7C11-470B-A084-DFE6DA9A2E28}"/>
    <cellStyle name="Comma 16 3 3 3 3 2 4" xfId="5096" xr:uid="{35CB49AE-F8CF-4E89-8C5C-2F974280BDBA}"/>
    <cellStyle name="Comma 16 3 3 3 3 2 4 2" xfId="5097" xr:uid="{58DA240F-D6AB-4AB6-B112-659283D106EE}"/>
    <cellStyle name="Comma 16 3 3 3 3 2 5" xfId="5098" xr:uid="{67C0DE5A-EFEB-4F87-8453-A88A51605ED0}"/>
    <cellStyle name="Comma 16 3 3 3 3 3" xfId="5100" xr:uid="{142D2043-4FBE-4048-89F3-C3F959871E4F}"/>
    <cellStyle name="Comma 16 3 3 3 3 3 2" xfId="5103" xr:uid="{2D152D7B-3860-483F-AF7D-C4E32610B71E}"/>
    <cellStyle name="Comma 16 3 3 3 3 3 2 2" xfId="3723" xr:uid="{E679A286-2E15-4AF4-828D-EC498D0BA08B}"/>
    <cellStyle name="Comma 16 3 3 3 3 3 2 2 2" xfId="4646" xr:uid="{4DAAAB33-04E8-4C82-873D-BC257C1C5A60}"/>
    <cellStyle name="Comma 16 3 3 3 3 3 2 3" xfId="5106" xr:uid="{E5C1254E-2133-4901-87F2-31D201B7F54E}"/>
    <cellStyle name="Comma 16 3 3 3 3 3 3" xfId="5109" xr:uid="{2F4A267E-0F7D-4FFE-9AFF-4203FF5FABF0}"/>
    <cellStyle name="Comma 16 3 3 3 3 3 3 2" xfId="5110" xr:uid="{27094161-35B7-4381-B720-6C0818BEC6F7}"/>
    <cellStyle name="Comma 16 3 3 3 3 3 4" xfId="5111" xr:uid="{702B0BC5-9ED9-4A05-BC12-F3906781FFD5}"/>
    <cellStyle name="Comma 16 3 3 3 3 4" xfId="5115" xr:uid="{85F14B8B-B28E-42EC-BF6A-E3D84DAF7603}"/>
    <cellStyle name="Comma 16 3 3 3 3 4 2" xfId="5121" xr:uid="{9F790C41-359E-44CE-9CD7-B8D1DF0B16D1}"/>
    <cellStyle name="Comma 16 3 3 3 3 4 2 2" xfId="5124" xr:uid="{D99DCC9B-7680-428D-B6BB-5D080692A404}"/>
    <cellStyle name="Comma 16 3 3 3 3 4 3" xfId="3977" xr:uid="{67D79043-92FA-4913-AE89-9F40F0DFA5C9}"/>
    <cellStyle name="Comma 16 3 3 3 3 5" xfId="5130" xr:uid="{D089B407-86E6-4C03-8402-F7BA32D7A4C2}"/>
    <cellStyle name="Comma 16 3 3 3 3 5 2" xfId="5134" xr:uid="{2A526F0E-70DE-48B9-856A-AB259EAD5C64}"/>
    <cellStyle name="Comma 16 3 3 3 3 6" xfId="5137" xr:uid="{B312817E-3EFD-472A-BE2E-11AD5455FC06}"/>
    <cellStyle name="Comma 16 3 3 3 3 7" xfId="5142" xr:uid="{C6FFF657-D74F-45C2-AC93-B86948A095D6}"/>
    <cellStyle name="Comma 16 3 3 3 4" xfId="5145" xr:uid="{72F45295-250D-4073-B4ED-82F1B24CC4B0}"/>
    <cellStyle name="Comma 16 3 3 3 4 2" xfId="5146" xr:uid="{F081E0E4-44DA-4CE7-B61D-CF84CDF1186E}"/>
    <cellStyle name="Comma 16 3 3 3 4 2 2" xfId="5148" xr:uid="{F6E4E7DF-8D8F-4483-AA63-6D144274956E}"/>
    <cellStyle name="Comma 16 3 3 3 4 2 2 2" xfId="3845" xr:uid="{CF08775B-DF55-4C37-9010-FA1010E452C0}"/>
    <cellStyle name="Comma 16 3 3 3 4 2 2 2 2" xfId="5154" xr:uid="{B91AF466-DE1E-4D66-8F3D-1B3D4349AA36}"/>
    <cellStyle name="Comma 16 3 3 3 4 2 2 3" xfId="5159" xr:uid="{0F260ECD-224E-45E7-9E46-67414592678A}"/>
    <cellStyle name="Comma 16 3 3 3 4 2 3" xfId="5164" xr:uid="{384AF664-E0A3-4175-95BE-8843B8020452}"/>
    <cellStyle name="Comma 16 3 3 3 4 2 3 2" xfId="2002" xr:uid="{81156CA7-99EB-4DD7-A07C-A48C66DE5D84}"/>
    <cellStyle name="Comma 16 3 3 3 4 2 4" xfId="5167" xr:uid="{C12659DC-7390-4EB2-B7B6-648F32F83062}"/>
    <cellStyle name="Comma 16 3 3 3 4 3" xfId="5169" xr:uid="{D14FB268-7299-4363-9762-CEF0F4EB0EA3}"/>
    <cellStyle name="Comma 16 3 3 3 4 3 2" xfId="5175" xr:uid="{8764873E-0918-46EC-A4D0-96883686206B}"/>
    <cellStyle name="Comma 16 3 3 3 4 3 2 2" xfId="5185" xr:uid="{16B57D94-4226-4454-AE76-0EBF51CD5EDC}"/>
    <cellStyle name="Comma 16 3 3 3 4 3 3" xfId="5188" xr:uid="{F5022CA6-CDB8-4E3D-8E4F-85C8960ED8ED}"/>
    <cellStyle name="Comma 16 3 3 3 4 4" xfId="5192" xr:uid="{2F4F9512-837B-4699-A476-474E1F9804BD}"/>
    <cellStyle name="Comma 16 3 3 3 4 4 2" xfId="5200" xr:uid="{F11F1D97-1EBD-4F07-A17D-CC99088E51FF}"/>
    <cellStyle name="Comma 16 3 3 3 4 5" xfId="5203" xr:uid="{1D7B7BD7-D5DA-41ED-94A1-7D9D6EDE9CB5}"/>
    <cellStyle name="Comma 16 3 3 3 5" xfId="5204" xr:uid="{410A4EE0-4C23-4AC1-BAE6-2B3E0E5657AF}"/>
    <cellStyle name="Comma 16 3 3 3 5 2" xfId="5206" xr:uid="{7073F430-D81B-4629-B3D3-EC67BD97414A}"/>
    <cellStyle name="Comma 16 3 3 3 5 2 2" xfId="5213" xr:uid="{4403E236-C020-40B6-91C8-0939F62DFA9F}"/>
    <cellStyle name="Comma 16 3 3 3 5 2 2 2" xfId="5222" xr:uid="{51A20488-ABCE-49C2-9701-6283D19A6F00}"/>
    <cellStyle name="Comma 16 3 3 3 5 2 3" xfId="5229" xr:uid="{37DB9685-CE73-4916-822F-B24F7DC44503}"/>
    <cellStyle name="Comma 16 3 3 3 5 3" xfId="5231" xr:uid="{6F38741B-2113-4333-8B01-711E37A5DC2D}"/>
    <cellStyle name="Comma 16 3 3 3 5 3 2" xfId="5234" xr:uid="{CCA285DF-A780-4A09-AB3E-04746B337A32}"/>
    <cellStyle name="Comma 16 3 3 3 5 4" xfId="5237" xr:uid="{A77C7B64-B7FC-430B-9AF0-5D01C6DDE685}"/>
    <cellStyle name="Comma 16 3 3 3 6" xfId="5238" xr:uid="{2C54BBAF-62BA-4F9C-BA48-35D91EBC8B7F}"/>
    <cellStyle name="Comma 16 3 3 3 6 2" xfId="4353" xr:uid="{C5930A12-9140-4B4C-80F6-DC889E61BB56}"/>
    <cellStyle name="Comma 16 3 3 3 6 2 2" xfId="4358" xr:uid="{72C6E31E-4820-4E99-B185-42C4838A9F1A}"/>
    <cellStyle name="Comma 16 3 3 3 6 3" xfId="4372" xr:uid="{2BA94C55-EE46-4621-B089-C206231EAF5E}"/>
    <cellStyle name="Comma 16 3 3 3 7" xfId="5239" xr:uid="{277125AA-93EA-43B1-A98A-7A63C46D8938}"/>
    <cellStyle name="Comma 16 3 3 3 7 2" xfId="2361" xr:uid="{C0D30016-84CC-4A8E-84D6-1824AC58C24A}"/>
    <cellStyle name="Comma 16 3 3 3 8" xfId="5240" xr:uid="{57292081-5909-42EA-AE0F-BF4BDDB3177D}"/>
    <cellStyle name="Comma 16 3 3 3 9" xfId="5242" xr:uid="{CD00C9B6-BFFB-4E76-9CE7-817AB3601946}"/>
    <cellStyle name="Comma 16 3 3 4" xfId="274" xr:uid="{67DD039B-E23F-4DD4-90AB-BC3C8883217F}"/>
    <cellStyle name="Comma 16 3 3 4 2" xfId="119" xr:uid="{8515D44D-33D2-463D-9968-83671DB44BB6}"/>
    <cellStyle name="Comma 16 3 3 4 2 2" xfId="5244" xr:uid="{F4283874-3B12-4C38-867D-5DBEAF17808A}"/>
    <cellStyle name="Comma 16 3 3 4 2 2 2" xfId="5247" xr:uid="{776C90A0-F2F1-49A9-8D3C-A44CDF6DC836}"/>
    <cellStyle name="Comma 16 3 3 4 2 2 2 2" xfId="5249" xr:uid="{89AF6A04-1BF8-4A58-A9DD-72D4AC14BAEB}"/>
    <cellStyle name="Comma 16 3 3 4 2 2 2 2 2" xfId="5250" xr:uid="{4D437F16-BDBC-412C-A42F-03D0C48FFF34}"/>
    <cellStyle name="Comma 16 3 3 4 2 2 2 2 2 2" xfId="5251" xr:uid="{D75759DD-B0E8-4C51-9267-EEB6C67F0FDB}"/>
    <cellStyle name="Comma 16 3 3 4 2 2 2 2 3" xfId="5255" xr:uid="{267E732E-35BB-47F8-88FC-6E93DBE3B1CA}"/>
    <cellStyle name="Comma 16 3 3 4 2 2 2 3" xfId="5256" xr:uid="{FE1AFD4A-71F7-4A7B-BC43-6DF7E593DEAF}"/>
    <cellStyle name="Comma 16 3 3 4 2 2 2 3 2" xfId="5257" xr:uid="{8089BCED-1F56-4741-9B3F-C64EA4EE038B}"/>
    <cellStyle name="Comma 16 3 3 4 2 2 2 4" xfId="5260" xr:uid="{B43EE3FE-0233-44ED-95FD-D0251FA4621E}"/>
    <cellStyle name="Comma 16 3 3 4 2 2 3" xfId="1196" xr:uid="{0C7A05B6-AF5B-446A-8290-44EBF9B9CB84}"/>
    <cellStyle name="Comma 16 3 3 4 2 2 3 2" xfId="1603" xr:uid="{893FAB26-4769-40C7-B599-BD472B097F17}"/>
    <cellStyle name="Comma 16 3 3 4 2 2 3 2 2" xfId="5261" xr:uid="{4527009C-E9EF-440D-927D-0BB1DE0A981A}"/>
    <cellStyle name="Comma 16 3 3 4 2 2 3 3" xfId="1607" xr:uid="{99F49BB9-12A7-423C-9828-454DFBB10061}"/>
    <cellStyle name="Comma 16 3 3 4 2 2 4" xfId="1627" xr:uid="{6355E231-C7EB-47C4-A07E-ABAFDACDFC37}"/>
    <cellStyle name="Comma 16 3 3 4 2 2 4 2" xfId="2237" xr:uid="{E8B5A035-A52A-4FBD-864F-CFE9D1C40CAA}"/>
    <cellStyle name="Comma 16 3 3 4 2 2 5" xfId="1631" xr:uid="{92B624E3-6735-4105-8180-93D8EDA4DA77}"/>
    <cellStyle name="Comma 16 3 3 4 2 3" xfId="5264" xr:uid="{B6C50063-0777-4D18-8B6E-28F5C57902C5}"/>
    <cellStyle name="Comma 16 3 3 4 2 3 2" xfId="1268" xr:uid="{7C913002-200A-4EE2-9A5D-8B87F53CDBFA}"/>
    <cellStyle name="Comma 16 3 3 4 2 3 2 2" xfId="184" xr:uid="{5FEE5A0F-9431-4E9C-809C-95406AAA9880}"/>
    <cellStyle name="Comma 16 3 3 4 2 3 2 2 2" xfId="1472" xr:uid="{1C47CD17-409D-4183-8E68-39C4DE46056F}"/>
    <cellStyle name="Comma 16 3 3 4 2 3 2 3" xfId="195" xr:uid="{37C78312-D0FE-4D28-A111-0729BD501E03}"/>
    <cellStyle name="Comma 16 3 3 4 2 3 3" xfId="1274" xr:uid="{DFB62303-D4FA-436C-8C90-DB8006FA62EB}"/>
    <cellStyle name="Comma 16 3 3 4 2 3 3 2" xfId="1645" xr:uid="{3D60D0F5-B004-4C48-B423-85A8578EEB51}"/>
    <cellStyle name="Comma 16 3 3 4 2 3 4" xfId="1284" xr:uid="{C1C6DCF8-0506-48C7-B06A-68FC92F2ABB1}"/>
    <cellStyle name="Comma 16 3 3 4 2 4" xfId="5267" xr:uid="{D9F5E3A2-D7BF-422E-9A4C-5E50F9A402A3}"/>
    <cellStyle name="Comma 16 3 3 4 2 4 2" xfId="5271" xr:uid="{7DBB8831-421A-4E60-93EF-DCF1A08BC3BF}"/>
    <cellStyle name="Comma 16 3 3 4 2 4 2 2" xfId="5272" xr:uid="{4DFD2245-9B49-414D-AC2D-DA9E3674DE9E}"/>
    <cellStyle name="Comma 16 3 3 4 2 4 3" xfId="4015" xr:uid="{671D12E4-ECC6-4987-8082-535AC9A2F50C}"/>
    <cellStyle name="Comma 16 3 3 4 2 5" xfId="5279" xr:uid="{15BF9DFE-D56E-4245-BF7F-35B78DC1993B}"/>
    <cellStyle name="Comma 16 3 3 4 2 5 2" xfId="5281" xr:uid="{87F5FDE5-8ADB-48E1-BD7B-826558862C43}"/>
    <cellStyle name="Comma 16 3 3 4 2 6" xfId="100" xr:uid="{5ADE454C-F751-46C6-A7FC-6BAF55DE1450}"/>
    <cellStyle name="Comma 16 3 3 4 2 7" xfId="4043" xr:uid="{9A441523-8400-4D40-BB6B-04F146CA8BFF}"/>
    <cellStyle name="Comma 16 3 3 4 3" xfId="519" xr:uid="{D79BC86A-40CE-453A-9172-29D7DD63AB5B}"/>
    <cellStyle name="Comma 16 3 3 4 3 2" xfId="5284" xr:uid="{8FBB29F7-932A-423F-9929-56FA435ED526}"/>
    <cellStyle name="Comma 16 3 3 4 3 2 2" xfId="5290" xr:uid="{40661106-3989-48A8-B979-2D4619EE6756}"/>
    <cellStyle name="Comma 16 3 3 4 3 2 2 2" xfId="4050" xr:uid="{1B47DE05-0236-4E3C-9ACA-BF16D654D78F}"/>
    <cellStyle name="Comma 16 3 3 4 3 2 2 2 2" xfId="5294" xr:uid="{3E8E5C92-829D-472E-9530-93DC5F6F9F3A}"/>
    <cellStyle name="Comma 16 3 3 4 3 2 2 3" xfId="5304" xr:uid="{882BA28A-1CC4-488A-91D4-4D2C1F850085}"/>
    <cellStyle name="Comma 16 3 3 4 3 2 3" xfId="5306" xr:uid="{CC3E2E5B-7166-422D-95CB-C7672A7CEFBF}"/>
    <cellStyle name="Comma 16 3 3 4 3 2 3 2" xfId="4412" xr:uid="{347CFBF2-DAAC-43E1-80A6-7BBCC4C25AF5}"/>
    <cellStyle name="Comma 16 3 3 4 3 2 4" xfId="2261" xr:uid="{DB68C104-6166-48B1-AD1C-70C60B53CBBF}"/>
    <cellStyle name="Comma 16 3 3 4 3 3" xfId="5310" xr:uid="{0A934E41-AFD9-4693-BD12-D30D6936C3E1}"/>
    <cellStyle name="Comma 16 3 3 4 3 3 2" xfId="1348" xr:uid="{FB14AAB3-383D-407B-815F-915066A1D2BB}"/>
    <cellStyle name="Comma 16 3 3 4 3 3 2 2" xfId="5312" xr:uid="{93D95411-608A-4005-8400-E3A3F9DBB835}"/>
    <cellStyle name="Comma 16 3 3 4 3 3 3" xfId="1350" xr:uid="{7B2BE81D-A55D-40D4-99FB-D22ED0096F17}"/>
    <cellStyle name="Comma 16 3 3 4 3 4" xfId="5317" xr:uid="{A755DD58-7353-4468-A899-ED23AA9760E3}"/>
    <cellStyle name="Comma 16 3 3 4 3 4 2" xfId="5321" xr:uid="{F93646FE-8CC4-44BD-BA70-DFD3355E34E9}"/>
    <cellStyle name="Comma 16 3 3 4 3 5" xfId="5324" xr:uid="{DFE6188D-1C99-47BC-A647-D41E7AD36753}"/>
    <cellStyle name="Comma 16 3 3 4 4" xfId="528" xr:uid="{03856474-5FE1-43E9-9191-B45DCE231065}"/>
    <cellStyle name="Comma 16 3 3 4 4 2" xfId="540" xr:uid="{C3E57C6B-2E1D-43A8-910B-68BC26FD7CE7}"/>
    <cellStyle name="Comma 16 3 3 4 4 2 2" xfId="5331" xr:uid="{4910C092-CCF3-4D81-AF05-CA3AFAD181CE}"/>
    <cellStyle name="Comma 16 3 3 4 4 2 2 2" xfId="5337" xr:uid="{601BD354-5A89-40B1-B31E-D733BC129C29}"/>
    <cellStyle name="Comma 16 3 3 4 4 2 3" xfId="5341" xr:uid="{3E1E0385-C093-4683-B019-75767CB34F23}"/>
    <cellStyle name="Comma 16 3 3 4 4 3" xfId="1053" xr:uid="{EA1FCCDE-F377-40CE-89C0-9B4AB62797E3}"/>
    <cellStyle name="Comma 16 3 3 4 4 3 2" xfId="1406" xr:uid="{640CC874-7A7B-4D9A-BDF6-A20B884AEDBB}"/>
    <cellStyle name="Comma 16 3 3 4 4 4" xfId="1060" xr:uid="{6274C96E-A415-45FC-BAA0-8F42EDA7DE1B}"/>
    <cellStyle name="Comma 16 3 3 4 5" xfId="546" xr:uid="{18A7519E-8BFB-4A63-9E94-DCF6F1124DFC}"/>
    <cellStyle name="Comma 16 3 3 4 5 2" xfId="5346" xr:uid="{8F0375C3-6207-4989-9C44-C2BAD7B5F8C7}"/>
    <cellStyle name="Comma 16 3 3 4 5 2 2" xfId="5351" xr:uid="{15D269F5-3181-4285-A7A2-8FAA4145FE0A}"/>
    <cellStyle name="Comma 16 3 3 4 5 3" xfId="5356" xr:uid="{0E2EBF72-A356-4290-8290-1D5A4B8D96D2}"/>
    <cellStyle name="Comma 16 3 3 4 6" xfId="1368" xr:uid="{7E9F7B64-8F3A-4D91-B547-BF988CDA19D4}"/>
    <cellStyle name="Comma 16 3 3 4 6 2" xfId="4495" xr:uid="{055E3B3A-2F2A-4FA8-8974-B42718494D2C}"/>
    <cellStyle name="Comma 16 3 3 4 7" xfId="1316" xr:uid="{518DAFB5-A6F7-4470-AB1B-27898F8C5F8B}"/>
    <cellStyle name="Comma 16 3 3 4 8" xfId="5359" xr:uid="{E76D7A4F-59D6-4664-85EC-6B3429F61A34}"/>
    <cellStyle name="Comma 16 3 3 5" xfId="557" xr:uid="{546FC563-7F23-4FFD-9AFC-64F4090AA657}"/>
    <cellStyle name="Comma 16 3 3 5 2" xfId="5364" xr:uid="{A0D2B0BE-2F52-48D0-B5DA-8B91057B3AD7}"/>
    <cellStyle name="Comma 16 3 3 5 2 2" xfId="5368" xr:uid="{CC636644-8226-4A3D-B518-0F01B4538104}"/>
    <cellStyle name="Comma 16 3 3 5 2 2 2" xfId="770" xr:uid="{FBEBA25A-3E61-4C5B-9BBD-275B73569C69}"/>
    <cellStyle name="Comma 16 3 3 5 2 2 2 2" xfId="5370" xr:uid="{348F2E6B-4B2C-4BCB-9FF6-F2B326ACB6F7}"/>
    <cellStyle name="Comma 16 3 3 5 2 2 2 2 2" xfId="5371" xr:uid="{E5BEA47C-75AB-4D64-AF0E-0D6A9812A147}"/>
    <cellStyle name="Comma 16 3 3 5 2 2 2 3" xfId="3657" xr:uid="{4EC5305B-F290-4FF9-A631-F9D5D6CAE53E}"/>
    <cellStyle name="Comma 16 3 3 5 2 2 3" xfId="778" xr:uid="{5390CE87-1B5C-42DB-8A72-E4ACD00D0C94}"/>
    <cellStyle name="Comma 16 3 3 5 2 2 3 2" xfId="5372" xr:uid="{9F920167-B0D5-4B10-B5CD-B98E75F4DE45}"/>
    <cellStyle name="Comma 16 3 3 5 2 2 4" xfId="787" xr:uid="{703A37B9-DC72-440A-BB6F-C1175F5AE8C9}"/>
    <cellStyle name="Comma 16 3 3 5 2 3" xfId="5377" xr:uid="{4A597043-06FF-4DB3-AA64-E7CBF2F0F8CD}"/>
    <cellStyle name="Comma 16 3 3 5 2 3 2" xfId="5384" xr:uid="{201782B4-05D6-4E56-BEA0-CEE49D4F3D85}"/>
    <cellStyle name="Comma 16 3 3 5 2 3 2 2" xfId="5385" xr:uid="{F3E79A55-06AC-4695-A995-C0484E94478B}"/>
    <cellStyle name="Comma 16 3 3 5 2 3 3" xfId="5386" xr:uid="{D1973CB6-FA39-435E-985D-E92636CE51E2}"/>
    <cellStyle name="Comma 16 3 3 5 2 4" xfId="5388" xr:uid="{670E6AEA-72F3-453A-85B2-8DAFCEAF9DDF}"/>
    <cellStyle name="Comma 16 3 3 5 2 4 2" xfId="5390" xr:uid="{52183E79-4639-4E3A-AC30-93CCF2C4CBF0}"/>
    <cellStyle name="Comma 16 3 3 5 2 5" xfId="5391" xr:uid="{9239E81B-E3E5-4341-965D-DB7828DDB81F}"/>
    <cellStyle name="Comma 16 3 3 5 3" xfId="5395" xr:uid="{C6E7F855-5E5A-4FB6-B657-DA1D5D40338B}"/>
    <cellStyle name="Comma 16 3 3 5 3 2" xfId="5401" xr:uid="{E4B563BC-4517-470C-846E-A5B09C64FBE4}"/>
    <cellStyle name="Comma 16 3 3 5 3 2 2" xfId="5407" xr:uid="{21EB0186-FDAC-4FC3-AE93-8F11DA2008D6}"/>
    <cellStyle name="Comma 16 3 3 5 3 2 2 2" xfId="3015" xr:uid="{D16FB9F1-51E5-4771-A2F9-373F1FD72D37}"/>
    <cellStyle name="Comma 16 3 3 5 3 2 3" xfId="5408" xr:uid="{FECE2FAB-7242-4439-B716-22F935864215}"/>
    <cellStyle name="Comma 16 3 3 5 3 3" xfId="5414" xr:uid="{6AC9DB02-EE72-48EA-B575-C50AB5E059E2}"/>
    <cellStyle name="Comma 16 3 3 5 3 3 2" xfId="5415" xr:uid="{79E5668E-47B1-4DE3-B270-AD7494EBBFB3}"/>
    <cellStyle name="Comma 16 3 3 5 3 4" xfId="5418" xr:uid="{A4FC5AC4-7AD2-4A0E-BAD7-2CC836BF00EB}"/>
    <cellStyle name="Comma 16 3 3 5 4" xfId="5422" xr:uid="{3056A17D-4A88-43D0-B81E-EDB4FE1191E0}"/>
    <cellStyle name="Comma 16 3 3 5 4 2" xfId="357" xr:uid="{2EB676D6-90B0-46A9-BF9D-F3CE138BDE1C}"/>
    <cellStyle name="Comma 16 3 3 5 4 2 2" xfId="5426" xr:uid="{FC0F1CE9-1B30-4AD8-A5D3-77B5FADDA26B}"/>
    <cellStyle name="Comma 16 3 3 5 4 3" xfId="365" xr:uid="{DDE95E3D-CC80-443C-8A0E-5DB3124A6ADC}"/>
    <cellStyle name="Comma 16 3 3 5 5" xfId="5430" xr:uid="{C9244F4F-3810-4EC6-A1F7-0B15BCA964E2}"/>
    <cellStyle name="Comma 16 3 3 5 5 2" xfId="5434" xr:uid="{AF69A299-45BE-4219-B06E-95CF87EF0451}"/>
    <cellStyle name="Comma 16 3 3 5 6" xfId="5437" xr:uid="{EB7474FC-5001-44DF-B7F5-9C99E350C708}"/>
    <cellStyle name="Comma 16 3 3 5 7" xfId="5440" xr:uid="{56A4B789-EF7A-404B-B639-CE0ACF858F6C}"/>
    <cellStyle name="Comma 16 3 3 6" xfId="576" xr:uid="{208AA071-5BC9-4192-A17E-B71A7526C6A4}"/>
    <cellStyle name="Comma 16 3 3 6 2" xfId="5442" xr:uid="{EB98E87F-1D81-4E8B-A5A8-14557D224EB3}"/>
    <cellStyle name="Comma 16 3 3 6 2 2" xfId="5444" xr:uid="{4E10D575-70C2-4C73-928A-B0F785CDF49D}"/>
    <cellStyle name="Comma 16 3 3 6 2 2 2" xfId="5447" xr:uid="{3548BD7F-03DD-4AA7-8250-2933E596CA83}"/>
    <cellStyle name="Comma 16 3 3 6 2 2 2 2" xfId="5448" xr:uid="{DFB6996F-08AF-4A9B-B987-D273F705E96C}"/>
    <cellStyle name="Comma 16 3 3 6 2 2 3" xfId="5449" xr:uid="{28A6A29E-C1A0-4CA7-8D28-4F5B02168955}"/>
    <cellStyle name="Comma 16 3 3 6 2 3" xfId="5452" xr:uid="{DB0E759D-9191-425C-9D95-2BAC41403C82}"/>
    <cellStyle name="Comma 16 3 3 6 2 3 2" xfId="5453" xr:uid="{2CE383E6-06F9-4F94-B4E2-EFBF81478A41}"/>
    <cellStyle name="Comma 16 3 3 6 2 4" xfId="5380" xr:uid="{27C8FE82-7054-4356-8F9D-45191D5D9177}"/>
    <cellStyle name="Comma 16 3 3 6 3" xfId="5455" xr:uid="{505BB8E3-CC13-400C-AB0A-730B5002A2F0}"/>
    <cellStyle name="Comma 16 3 3 6 3 2" xfId="5458" xr:uid="{B4DEC375-5A10-40BA-9AE4-FC41D8CA1BFD}"/>
    <cellStyle name="Comma 16 3 3 6 3 2 2" xfId="5459" xr:uid="{9E43B71A-7757-4624-8DF7-CD1AC4C3BF0C}"/>
    <cellStyle name="Comma 16 3 3 6 3 3" xfId="5460" xr:uid="{30630423-9B24-49D5-8EC9-EB4A674D38FC}"/>
    <cellStyle name="Comma 16 3 3 6 4" xfId="5464" xr:uid="{87A1BAD2-E523-4BAF-9C9E-A7B0833A922B}"/>
    <cellStyle name="Comma 16 3 3 6 4 2" xfId="5467" xr:uid="{F48BFFA3-025C-45F0-BC80-38A169CCB0D9}"/>
    <cellStyle name="Comma 16 3 3 6 5" xfId="5471" xr:uid="{C81B16C2-DADB-4587-8C2A-65BDCA232454}"/>
    <cellStyle name="Comma 16 3 3 7" xfId="589" xr:uid="{BEB1EABE-00BF-4254-86AF-604CDBB39F6E}"/>
    <cellStyle name="Comma 16 3 3 7 2" xfId="5473" xr:uid="{5FBD50CE-9FFB-4054-8B64-DB29D3F2F808}"/>
    <cellStyle name="Comma 16 3 3 7 2 2" xfId="5475" xr:uid="{616C25EE-9267-4346-A2D4-D91E069AAA24}"/>
    <cellStyle name="Comma 16 3 3 7 2 2 2" xfId="505" xr:uid="{B96F1E91-8EB6-46E1-AFA3-A7D0D91CD98B}"/>
    <cellStyle name="Comma 16 3 3 7 2 3" xfId="5476" xr:uid="{ABB90EDE-492D-468B-9C86-E6A9409188EF}"/>
    <cellStyle name="Comma 16 3 3 7 3" xfId="5478" xr:uid="{476A8522-FBFD-446C-8445-0B6A995FD4CB}"/>
    <cellStyle name="Comma 16 3 3 7 3 2" xfId="5479" xr:uid="{9AE5DD10-B184-454D-B86C-671AA8C1A050}"/>
    <cellStyle name="Comma 16 3 3 7 4" xfId="5482" xr:uid="{471804E2-F757-4902-9169-62FAA1A032E5}"/>
    <cellStyle name="Comma 16 3 3 8" xfId="604" xr:uid="{2D829EB2-BE6D-494D-B4A3-83B6C7467A09}"/>
    <cellStyle name="Comma 16 3 3 8 2" xfId="1364" xr:uid="{7C0BF5C6-AAFC-49FF-A07A-903187E6F528}"/>
    <cellStyle name="Comma 16 3 3 8 2 2" xfId="5483" xr:uid="{A7987A82-DF2E-4C90-AE2B-6DA5AC048B33}"/>
    <cellStyle name="Comma 16 3 3 8 3" xfId="5484" xr:uid="{F308E64C-3D92-479B-B98D-A28E9607126A}"/>
    <cellStyle name="Comma 16 3 3 9" xfId="5485" xr:uid="{09DF0529-D643-48A0-AF91-3652F9FCACBA}"/>
    <cellStyle name="Comma 16 3 3 9 2" xfId="5487" xr:uid="{8CFAF5A6-08DA-42D9-BEBB-33A852BB1EBC}"/>
    <cellStyle name="Comma 16 3 4" xfId="5491" xr:uid="{1383F1C6-A970-40FF-9BC3-328FD17E80E7}"/>
    <cellStyle name="Comma 16 3 4 10" xfId="5494" xr:uid="{BA9247E2-B8FB-4473-BF11-7B9932C3F376}"/>
    <cellStyle name="Comma 16 3 4 2" xfId="5498" xr:uid="{F42661B7-6932-41E3-80DE-316B52D86DD0}"/>
    <cellStyle name="Comma 16 3 4 2 2" xfId="5499" xr:uid="{D2D1F515-8223-4A99-A6E5-789D4347C5EA}"/>
    <cellStyle name="Comma 16 3 4 2 2 2" xfId="5501" xr:uid="{52015774-4EA0-4053-834E-5341B405A21A}"/>
    <cellStyle name="Comma 16 3 4 2 2 2 2" xfId="168" xr:uid="{C2E0AC58-D4C4-4B27-8B6A-BAA25C9EAEC3}"/>
    <cellStyle name="Comma 16 3 4 2 2 2 2 2" xfId="4036" xr:uid="{D39CED67-5FA9-41A4-828E-72E6B764DA8C}"/>
    <cellStyle name="Comma 16 3 4 2 2 2 2 2 2" xfId="5502" xr:uid="{58900B5E-8BF9-4CA5-9E96-BEC1AD7ADFC8}"/>
    <cellStyle name="Comma 16 3 4 2 2 2 2 2 2 2" xfId="5503" xr:uid="{8A9A2F63-BCE9-4EB4-A0E6-1FC3E3B1887D}"/>
    <cellStyle name="Comma 16 3 4 2 2 2 2 2 2 2 2" xfId="5509" xr:uid="{EC456F1E-C320-4B57-AC2A-35A40B795007}"/>
    <cellStyle name="Comma 16 3 4 2 2 2 2 2 2 3" xfId="5510" xr:uid="{4D5AD3F9-7269-4D42-93D7-81CCE0CDA28B}"/>
    <cellStyle name="Comma 16 3 4 2 2 2 2 2 3" xfId="5511" xr:uid="{242874F4-D5DE-432F-B195-3935A14273A4}"/>
    <cellStyle name="Comma 16 3 4 2 2 2 2 2 3 2" xfId="235" xr:uid="{4FE62C33-3BFB-4E01-A8D1-94AD6C6BE091}"/>
    <cellStyle name="Comma 16 3 4 2 2 2 2 2 4" xfId="5517" xr:uid="{95057361-0231-4A80-9459-191194A91161}"/>
    <cellStyle name="Comma 16 3 4 2 2 2 2 3" xfId="5518" xr:uid="{23126EDA-7752-4B60-A0DE-942F117355B2}"/>
    <cellStyle name="Comma 16 3 4 2 2 2 2 3 2" xfId="5520" xr:uid="{A6BBF18C-51E0-454E-8D64-2D5722D4D30D}"/>
    <cellStyle name="Comma 16 3 4 2 2 2 2 3 2 2" xfId="5521" xr:uid="{E5F96811-D453-4BA1-9053-9E8D8845D1AE}"/>
    <cellStyle name="Comma 16 3 4 2 2 2 2 3 3" xfId="5523" xr:uid="{0CEBC73D-E58A-4F5F-B864-D7393B2D0722}"/>
    <cellStyle name="Comma 16 3 4 2 2 2 2 4" xfId="5526" xr:uid="{931493E3-C725-47A5-AA26-EC23143BC4D3}"/>
    <cellStyle name="Comma 16 3 4 2 2 2 2 4 2" xfId="5529" xr:uid="{8E8CC4D1-D726-4862-AA4C-02F9AF983092}"/>
    <cellStyle name="Comma 16 3 4 2 2 2 2 5" xfId="5531" xr:uid="{BED8C7A6-F36E-4890-BB4D-346456E4E9E1}"/>
    <cellStyle name="Comma 16 3 4 2 2 2 3" xfId="5533" xr:uid="{57ADD0AF-CDB7-41C1-98FB-F548BDFFF0C4}"/>
    <cellStyle name="Comma 16 3 4 2 2 2 3 2" xfId="1396" xr:uid="{72FA7F67-FDE7-4F38-BAD8-BE66F66F049D}"/>
    <cellStyle name="Comma 16 3 4 2 2 2 3 2 2" xfId="5534" xr:uid="{191D939A-5BAF-4CA1-A4C6-7EB0FF401109}"/>
    <cellStyle name="Comma 16 3 4 2 2 2 3 2 2 2" xfId="5536" xr:uid="{E18E9B94-0CDE-4E84-8A8D-FF461637D4BB}"/>
    <cellStyle name="Comma 16 3 4 2 2 2 3 2 3" xfId="5537" xr:uid="{F3087EE6-848F-497E-A128-3EFDFBAB7FFA}"/>
    <cellStyle name="Comma 16 3 4 2 2 2 3 3" xfId="80" xr:uid="{CB2EDA62-A7C7-47AE-8B75-6559B3EA0E85}"/>
    <cellStyle name="Comma 16 3 4 2 2 2 3 3 2" xfId="5539" xr:uid="{AD0E946C-9FCD-44E0-A6E3-9ACF2CEABEA1}"/>
    <cellStyle name="Comma 16 3 4 2 2 2 3 4" xfId="209" xr:uid="{71300F4B-CC76-4C24-903A-C5182F9D6CA5}"/>
    <cellStyle name="Comma 16 3 4 2 2 2 4" xfId="5541" xr:uid="{0D864C8B-2046-42FD-90A6-EE48F964088C}"/>
    <cellStyle name="Comma 16 3 4 2 2 2 4 2" xfId="5544" xr:uid="{3B6A5166-51EC-4D36-AD93-BE90DF1ABF3E}"/>
    <cellStyle name="Comma 16 3 4 2 2 2 4 2 2" xfId="5549" xr:uid="{52268E19-1312-40EE-B29A-699F59289768}"/>
    <cellStyle name="Comma 16 3 4 2 2 2 4 3" xfId="312" xr:uid="{C25FD6C9-E2C9-4381-A621-D873CDA8E42F}"/>
    <cellStyle name="Comma 16 3 4 2 2 2 5" xfId="5551" xr:uid="{C413AFF9-1BB2-4856-BF14-F6D3B30C8A97}"/>
    <cellStyle name="Comma 16 3 4 2 2 2 5 2" xfId="5553" xr:uid="{76E35383-0AE4-4C6E-9190-03B49BF322F8}"/>
    <cellStyle name="Comma 16 3 4 2 2 2 6" xfId="5554" xr:uid="{FFF8C259-8661-4498-B88B-74EF8D1C1A59}"/>
    <cellStyle name="Comma 16 3 4 2 2 2 7" xfId="5557" xr:uid="{031D068A-2F1F-4BB2-B7E6-3F7FB92AC09A}"/>
    <cellStyle name="Comma 16 3 4 2 2 3" xfId="5560" xr:uid="{1D1AD14F-93FD-4158-9843-3D3195881DC3}"/>
    <cellStyle name="Comma 16 3 4 2 2 3 2" xfId="1098" xr:uid="{5E268556-8AE1-4278-9143-06A05C0F7533}"/>
    <cellStyle name="Comma 16 3 4 2 2 3 2 2" xfId="5565" xr:uid="{C63F3B47-B683-4149-A16F-83C96758E158}"/>
    <cellStyle name="Comma 16 3 4 2 2 3 2 2 2" xfId="5569" xr:uid="{B167B32B-A557-4EEE-B273-161EE1E0F520}"/>
    <cellStyle name="Comma 16 3 4 2 2 3 2 2 2 2" xfId="5571" xr:uid="{77926767-8A6E-4524-8644-54584D98942D}"/>
    <cellStyle name="Comma 16 3 4 2 2 3 2 2 3" xfId="5573" xr:uid="{8B57CD2F-D6B8-4259-8795-0E3CD558F7AC}"/>
    <cellStyle name="Comma 16 3 4 2 2 3 2 3" xfId="5577" xr:uid="{A082DAE2-6552-4165-932B-1726C0BC5AA6}"/>
    <cellStyle name="Comma 16 3 4 2 2 3 2 3 2" xfId="5579" xr:uid="{693138BA-DD98-481E-B4AA-B48843A91905}"/>
    <cellStyle name="Comma 16 3 4 2 2 3 2 4" xfId="5585" xr:uid="{9D9B9500-A6E3-4876-AD4F-8E4F78BB99D8}"/>
    <cellStyle name="Comma 16 3 4 2 2 3 3" xfId="5587" xr:uid="{1F1ABE12-6A40-4DB3-B40C-A69D0C490C7C}"/>
    <cellStyle name="Comma 16 3 4 2 2 3 3 2" xfId="828" xr:uid="{D8D138A2-0517-421C-A653-6F5FBA2CE3FC}"/>
    <cellStyle name="Comma 16 3 4 2 2 3 3 2 2" xfId="3358" xr:uid="{066DF064-CB88-4239-B0C8-19B300205BF4}"/>
    <cellStyle name="Comma 16 3 4 2 2 3 3 3" xfId="384" xr:uid="{2F68880B-D153-4A7B-A494-FF2B8B26D006}"/>
    <cellStyle name="Comma 16 3 4 2 2 3 4" xfId="5594" xr:uid="{2106E492-00B9-4D7D-915A-A5E4C5143F3F}"/>
    <cellStyle name="Comma 16 3 4 2 2 3 4 2" xfId="987" xr:uid="{EC1DC227-1CCC-4BF8-A8DD-5EF2997FC7DC}"/>
    <cellStyle name="Comma 16 3 4 2 2 3 5" xfId="5597" xr:uid="{C816078D-2F07-41DC-BE8E-B2113A379B51}"/>
    <cellStyle name="Comma 16 3 4 2 2 4" xfId="5599" xr:uid="{A1A063AC-0E9D-4041-9843-7F48DE050F3B}"/>
    <cellStyle name="Comma 16 3 4 2 2 4 2" xfId="1199" xr:uid="{33829757-E38A-4527-8469-03D5D01E89F3}"/>
    <cellStyle name="Comma 16 3 4 2 2 4 2 2" xfId="5603" xr:uid="{512B6017-0F3C-44F1-A5B1-11581CE9B1A1}"/>
    <cellStyle name="Comma 16 3 4 2 2 4 2 2 2" xfId="5605" xr:uid="{968A561E-57C4-4CD9-9050-F7963AB414CB}"/>
    <cellStyle name="Comma 16 3 4 2 2 4 2 3" xfId="5607" xr:uid="{E0E2E07C-5474-43FF-A0F9-747EF3A8D14B}"/>
    <cellStyle name="Comma 16 3 4 2 2 4 3" xfId="4114" xr:uid="{4A819895-2295-4B31-A05C-49AF9A97B967}"/>
    <cellStyle name="Comma 16 3 4 2 2 4 3 2" xfId="4118" xr:uid="{BD5F580F-A965-4B77-8D00-303D164A0C29}"/>
    <cellStyle name="Comma 16 3 4 2 2 4 4" xfId="4124" xr:uid="{C6348A5C-8486-4A8D-8F73-87B7007DF3A3}"/>
    <cellStyle name="Comma 16 3 4 2 2 5" xfId="5609" xr:uid="{73E80802-F103-43A1-AB0A-9CD6577FA9F1}"/>
    <cellStyle name="Comma 16 3 4 2 2 5 2" xfId="1279" xr:uid="{188DF7EE-48EF-47E8-890C-ECFE88755A39}"/>
    <cellStyle name="Comma 16 3 4 2 2 5 2 2" xfId="2226" xr:uid="{1B02F3DE-3A9D-4B80-B308-217716592058}"/>
    <cellStyle name="Comma 16 3 4 2 2 5 3" xfId="4132" xr:uid="{79C776E8-32A0-418E-8E0B-B7F39BF4609B}"/>
    <cellStyle name="Comma 16 3 4 2 2 6" xfId="5611" xr:uid="{652B178C-16D9-4498-AD97-1B35E9BEB832}"/>
    <cellStyle name="Comma 16 3 4 2 2 6 2" xfId="1377" xr:uid="{C74EF0DC-924B-4F39-9AB4-376707072580}"/>
    <cellStyle name="Comma 16 3 4 2 2 7" xfId="5612" xr:uid="{D99470B5-2E96-40D2-B8EA-7187F8B96DCD}"/>
    <cellStyle name="Comma 16 3 4 2 2 8" xfId="3769" xr:uid="{3D04F6AD-922E-42DC-AC52-CE0F19009998}"/>
    <cellStyle name="Comma 16 3 4 2 3" xfId="5615" xr:uid="{A3788E52-BDA3-4507-B2DA-892FAE4A7287}"/>
    <cellStyle name="Comma 16 3 4 2 3 2" xfId="5617" xr:uid="{75E6DDC8-D8F1-4456-A7E8-C59210D83192}"/>
    <cellStyle name="Comma 16 3 4 2 3 2 2" xfId="5620" xr:uid="{F3CA4BE2-85CA-400F-B15B-4278AF16FEFB}"/>
    <cellStyle name="Comma 16 3 4 2 3 2 2 2" xfId="4370" xr:uid="{B15639AE-5E7C-4889-BF51-B12C4CE88B3F}"/>
    <cellStyle name="Comma 16 3 4 2 3 2 2 2 2" xfId="4374" xr:uid="{0BF709E6-16E8-4310-A053-4B3EC6082EE2}"/>
    <cellStyle name="Comma 16 3 4 2 3 2 2 2 2 2" xfId="4379" xr:uid="{7D225B62-14E9-45BA-9E26-4BBA073A8627}"/>
    <cellStyle name="Comma 16 3 4 2 3 2 2 2 3" xfId="4381" xr:uid="{B0C9E7F1-EAA1-4882-99CE-A4658E735FB4}"/>
    <cellStyle name="Comma 16 3 4 2 3 2 2 3" xfId="4383" xr:uid="{3C8D85A9-6EA2-456B-90D6-70BB3B94552F}"/>
    <cellStyle name="Comma 16 3 4 2 3 2 2 3 2" xfId="4387" xr:uid="{0935DBA5-1208-4D0D-9C9A-1A0DBCA21FFC}"/>
    <cellStyle name="Comma 16 3 4 2 3 2 2 4" xfId="4398" xr:uid="{55F3B687-8501-4432-83D2-CD152B7C03EB}"/>
    <cellStyle name="Comma 16 3 4 2 3 2 3" xfId="5622" xr:uid="{6A08DCEF-71F4-4826-A687-035802B983EF}"/>
    <cellStyle name="Comma 16 3 4 2 3 2 3 2" xfId="2372" xr:uid="{71519359-33E3-47E0-A4B8-77B578456320}"/>
    <cellStyle name="Comma 16 3 4 2 3 2 3 2 2" xfId="2378" xr:uid="{FF44B88C-0DF4-422A-9B70-5630BBC1E2FA}"/>
    <cellStyle name="Comma 16 3 4 2 3 2 3 3" xfId="2385" xr:uid="{EDF5B181-781F-4D8E-8899-50453D54A69C}"/>
    <cellStyle name="Comma 16 3 4 2 3 2 4" xfId="5625" xr:uid="{FC00372D-F049-4B9C-9DEA-4B157AAACA5E}"/>
    <cellStyle name="Comma 16 3 4 2 3 2 4 2" xfId="4444" xr:uid="{2553711D-13FC-4CCD-A24C-6EBCF115ABD6}"/>
    <cellStyle name="Comma 16 3 4 2 3 2 5" xfId="5627" xr:uid="{18245E65-EC8C-45A5-BC2B-5691E5C06EF2}"/>
    <cellStyle name="Comma 16 3 4 2 3 3" xfId="5629" xr:uid="{E9046391-A4F6-437F-A332-9B5D580FE4C2}"/>
    <cellStyle name="Comma 16 3 4 2 3 3 2" xfId="31" xr:uid="{48E62525-0405-40EC-A4CB-C47168C75C07}"/>
    <cellStyle name="Comma 16 3 4 2 3 3 2 2" xfId="4510" xr:uid="{E2E06110-3AF0-4138-B866-05CCAF290E65}"/>
    <cellStyle name="Comma 16 3 4 2 3 3 2 2 2" xfId="4518" xr:uid="{43D75A48-3847-4E95-A242-74D323B21AFF}"/>
    <cellStyle name="Comma 16 3 4 2 3 3 2 3" xfId="4523" xr:uid="{FC1EA744-C0E7-49F7-81D3-8462F64CD604}"/>
    <cellStyle name="Comma 16 3 4 2 3 3 3" xfId="5631" xr:uid="{D0639CC6-F22A-46AC-AB65-B199008B23B9}"/>
    <cellStyle name="Comma 16 3 4 2 3 3 3 2" xfId="4543" xr:uid="{9BA2B9A1-BCD9-42E0-8297-91ECE1E23FCA}"/>
    <cellStyle name="Comma 16 3 4 2 3 3 4" xfId="5632" xr:uid="{28CF0EC5-752D-433E-903A-BB06505D4E1C}"/>
    <cellStyle name="Comma 16 3 4 2 3 4" xfId="5634" xr:uid="{9369D827-D94D-4F0A-A7FA-D7D756679128}"/>
    <cellStyle name="Comma 16 3 4 2 3 4 2" xfId="5636" xr:uid="{33A184DC-2141-425D-8969-930D49AE2018}"/>
    <cellStyle name="Comma 16 3 4 2 3 4 2 2" xfId="1885" xr:uid="{82B5751F-101C-4D32-BD00-F80533106C95}"/>
    <cellStyle name="Comma 16 3 4 2 3 4 3" xfId="4150" xr:uid="{4699D739-D016-4B88-9BA8-5B7F9748E896}"/>
    <cellStyle name="Comma 16 3 4 2 3 5" xfId="5639" xr:uid="{58DC78C2-FA83-4086-B582-92411CB36F99}"/>
    <cellStyle name="Comma 16 3 4 2 3 5 2" xfId="5643" xr:uid="{ABDFAD02-FF2F-4B6E-8A19-084FC26E566C}"/>
    <cellStyle name="Comma 16 3 4 2 3 6" xfId="5645" xr:uid="{0AEDB878-3BEB-49F3-8302-4934F0B28CFE}"/>
    <cellStyle name="Comma 16 3 4 2 3 7" xfId="5648" xr:uid="{6749B0D5-B25A-4790-BEA4-F8BC538558EE}"/>
    <cellStyle name="Comma 16 3 4 2 4" xfId="5649" xr:uid="{F94ABF00-00E2-4C83-9728-35CCDCC279B5}"/>
    <cellStyle name="Comma 16 3 4 2 4 2" xfId="652" xr:uid="{2C677834-A6AC-4038-A5D5-6D54BCA360AD}"/>
    <cellStyle name="Comma 16 3 4 2 4 2 2" xfId="5659" xr:uid="{AA4FB403-9219-436F-8D5B-21AFE93E9674}"/>
    <cellStyle name="Comma 16 3 4 2 4 2 2 2" xfId="2982" xr:uid="{FF7BB92A-27D5-4483-A9E7-1985A921A2DB}"/>
    <cellStyle name="Comma 16 3 4 2 4 2 2 2 2" xfId="4662" xr:uid="{8FC40E7D-E585-47EF-94A6-C3FE963E10EF}"/>
    <cellStyle name="Comma 16 3 4 2 4 2 2 3" xfId="2989" xr:uid="{08604675-410C-485E-872D-241DCDD1998E}"/>
    <cellStyle name="Comma 16 3 4 2 4 2 3" xfId="5665" xr:uid="{A7E368AC-B892-4F7A-8739-F95C6742E809}"/>
    <cellStyle name="Comma 16 3 4 2 4 2 3 2" xfId="4675" xr:uid="{04693322-B18F-4BC0-A996-CD33348021CA}"/>
    <cellStyle name="Comma 16 3 4 2 4 2 4" xfId="5669" xr:uid="{50627B25-09CB-4D68-83D9-1A30DE764549}"/>
    <cellStyle name="Comma 16 3 4 2 4 3" xfId="656" xr:uid="{66B83835-347A-4714-92B1-B7E07DB3DCE9}"/>
    <cellStyle name="Comma 16 3 4 2 4 3 2" xfId="5680" xr:uid="{B226E294-D723-4BF0-95A5-D33FC10CEE35}"/>
    <cellStyle name="Comma 16 3 4 2 4 3 2 2" xfId="4700" xr:uid="{C61E14CA-DC9B-448C-87A3-2F403214DCB8}"/>
    <cellStyle name="Comma 16 3 4 2 4 3 3" xfId="5686" xr:uid="{DC0744B7-3CD2-436F-9912-A93E3040F95F}"/>
    <cellStyle name="Comma 16 3 4 2 4 4" xfId="660" xr:uid="{5A4A289F-473B-4245-B2B0-5B1333C06D05}"/>
    <cellStyle name="Comma 16 3 4 2 4 4 2" xfId="5690" xr:uid="{F090D583-D6FD-4ECD-9361-C96146A5E4EF}"/>
    <cellStyle name="Comma 16 3 4 2 4 5" xfId="663" xr:uid="{AEDB0951-259C-4A45-A676-851B963B47DC}"/>
    <cellStyle name="Comma 16 3 4 2 5" xfId="5693" xr:uid="{B24F2B72-5D50-45C2-A442-861431829538}"/>
    <cellStyle name="Comma 16 3 4 2 5 2" xfId="5698" xr:uid="{AACADEA5-0A96-4A42-9121-ADBD572AD460}"/>
    <cellStyle name="Comma 16 3 4 2 5 2 2" xfId="5706" xr:uid="{8C53104F-B100-420E-AE92-62B52C848EDF}"/>
    <cellStyle name="Comma 16 3 4 2 5 2 2 2" xfId="4768" xr:uid="{0D26977E-F0AD-472A-BC8D-F58971559C87}"/>
    <cellStyle name="Comma 16 3 4 2 5 2 3" xfId="5710" xr:uid="{F64A2904-97E6-489C-AA26-1D8B83487301}"/>
    <cellStyle name="Comma 16 3 4 2 5 3" xfId="5657" xr:uid="{CDD82003-BFD4-432F-AA56-1BAF03FFC6BB}"/>
    <cellStyle name="Comma 16 3 4 2 5 3 2" xfId="2980" xr:uid="{C58CD4D4-B5BA-482C-AC8A-5D566ECE5D4D}"/>
    <cellStyle name="Comma 16 3 4 2 5 4" xfId="5664" xr:uid="{431A9900-F9E2-46CE-9756-2330458261F2}"/>
    <cellStyle name="Comma 16 3 4 2 6" xfId="5715" xr:uid="{0D574FA1-76FE-44C1-8376-9C14A7107453}"/>
    <cellStyle name="Comma 16 3 4 2 6 2" xfId="5725" xr:uid="{08ECE3FA-9F31-4B43-B519-6F7AD6B86AEB}"/>
    <cellStyle name="Comma 16 3 4 2 6 2 2" xfId="5729" xr:uid="{6081D97C-EC7E-4F65-80EB-946185B0EE6B}"/>
    <cellStyle name="Comma 16 3 4 2 6 3" xfId="5677" xr:uid="{650C7F11-CE37-47AF-993A-8352E0C5C56E}"/>
    <cellStyle name="Comma 16 3 4 2 7" xfId="5733" xr:uid="{9AC628FC-D082-486C-B1E7-DAD23FAF30B0}"/>
    <cellStyle name="Comma 16 3 4 2 7 2" xfId="5737" xr:uid="{5C0DEBDC-A1AE-46CF-8C89-E50F77F117A2}"/>
    <cellStyle name="Comma 16 3 4 2 8" xfId="5743" xr:uid="{35A6CB92-AA07-45CE-A8F3-F2BC30233693}"/>
    <cellStyle name="Comma 16 3 4 2 9" xfId="5749" xr:uid="{A0E81531-9898-428E-9FA8-1AD6099CF5F7}"/>
    <cellStyle name="Comma 16 3 4 3" xfId="5750" xr:uid="{A662F55B-E5A3-449C-8EC9-B376035605E8}"/>
    <cellStyle name="Comma 16 3 4 3 2" xfId="5752" xr:uid="{945A4281-2294-425C-A7F6-0E8A93CC24CC}"/>
    <cellStyle name="Comma 16 3 4 3 2 2" xfId="5753" xr:uid="{53E2E928-E50F-47EF-8A31-F88BCCFF7664}"/>
    <cellStyle name="Comma 16 3 4 3 2 2 2" xfId="5755" xr:uid="{983C698B-5593-4B92-BD02-5AB59B54F90C}"/>
    <cellStyle name="Comma 16 3 4 3 2 2 2 2" xfId="5756" xr:uid="{53083471-CA60-4DAD-90D1-EF75E97A09AA}"/>
    <cellStyle name="Comma 16 3 4 3 2 2 2 2 2" xfId="5757" xr:uid="{D7A77FB0-AF3C-49A0-9C47-7ECA635FA549}"/>
    <cellStyle name="Comma 16 3 4 3 2 2 2 2 2 2" xfId="5760" xr:uid="{526ECDC8-F72A-48BC-BDDC-AFF69F10718E}"/>
    <cellStyle name="Comma 16 3 4 3 2 2 2 2 3" xfId="5770" xr:uid="{352CB84B-C683-4007-B882-15CE1C4C816D}"/>
    <cellStyle name="Comma 16 3 4 3 2 2 2 3" xfId="5771" xr:uid="{F6B06287-2991-463D-99AA-9621C4784219}"/>
    <cellStyle name="Comma 16 3 4 3 2 2 2 3 2" xfId="5773" xr:uid="{E2C03EE8-BD26-4CA7-91E1-77D1FBDE414A}"/>
    <cellStyle name="Comma 16 3 4 3 2 2 2 4" xfId="5777" xr:uid="{7925590E-D5F8-4984-AC3C-9D1A43BCFE1A}"/>
    <cellStyle name="Comma 16 3 4 3 2 2 3" xfId="5778" xr:uid="{E9570E6C-9FC4-4AE1-9465-4A4DA4E0E382}"/>
    <cellStyle name="Comma 16 3 4 3 2 2 3 2" xfId="5779" xr:uid="{8AB1E339-4D7C-4C3F-8EFD-11EA3B7E1EF2}"/>
    <cellStyle name="Comma 16 3 4 3 2 2 3 2 2" xfId="5780" xr:uid="{F0195DB1-1AC0-4BCD-82AB-B9AFA67A8209}"/>
    <cellStyle name="Comma 16 3 4 3 2 2 3 3" xfId="5781" xr:uid="{D0A51CAD-9417-40CE-8DFB-16DB9337925A}"/>
    <cellStyle name="Comma 16 3 4 3 2 2 4" xfId="5783" xr:uid="{6E53F90F-7443-4A88-BF13-A4A21BE27AED}"/>
    <cellStyle name="Comma 16 3 4 3 2 2 4 2" xfId="5784" xr:uid="{824E6CC2-4BB8-434A-8B69-CBAE90AB6365}"/>
    <cellStyle name="Comma 16 3 4 3 2 2 5" xfId="5785" xr:uid="{561FA6AB-7752-4894-A79A-01BE5CD2D9BE}"/>
    <cellStyle name="Comma 16 3 4 3 2 3" xfId="5787" xr:uid="{A2F5D6A7-9EB7-4B39-A309-E778B57367BC}"/>
    <cellStyle name="Comma 16 3 4 3 2 3 2" xfId="5790" xr:uid="{009769CE-596E-43D2-87E7-3B9F3AA2E5FB}"/>
    <cellStyle name="Comma 16 3 4 3 2 3 2 2" xfId="5802" xr:uid="{9650DFDD-029F-43BA-B84F-3451AC4CEAB0}"/>
    <cellStyle name="Comma 16 3 4 3 2 3 2 2 2" xfId="5514" xr:uid="{B423CCF9-46A9-4A61-B218-ECB51DEF645C}"/>
    <cellStyle name="Comma 16 3 4 3 2 3 2 3" xfId="5810" xr:uid="{A881A930-FC15-42AF-80C1-9E850AE1888A}"/>
    <cellStyle name="Comma 16 3 4 3 2 3 3" xfId="5813" xr:uid="{15BE1B68-C0C5-4E3A-A3C6-66BA1F7B3DEB}"/>
    <cellStyle name="Comma 16 3 4 3 2 3 3 2" xfId="5816" xr:uid="{66F6644D-7CB6-4A2A-B86F-5244A4DEE279}"/>
    <cellStyle name="Comma 16 3 4 3 2 3 4" xfId="5817" xr:uid="{95EB077A-917A-4896-9958-7DF05618F9B8}"/>
    <cellStyle name="Comma 16 3 4 3 2 4" xfId="5819" xr:uid="{5E80ACA4-161E-43BD-BC69-8A03C569C8B7}"/>
    <cellStyle name="Comma 16 3 4 3 2 4 2" xfId="5823" xr:uid="{0A3BE6DE-CEB3-4F36-91F9-BE9FEB8E70E4}"/>
    <cellStyle name="Comma 16 3 4 3 2 4 2 2" xfId="5827" xr:uid="{DA5C004E-BFA4-4712-B3E8-417AFB6CA17B}"/>
    <cellStyle name="Comma 16 3 4 3 2 4 3" xfId="4174" xr:uid="{4D72DD99-72E0-450B-8687-18C4DEAA9E17}"/>
    <cellStyle name="Comma 16 3 4 3 2 5" xfId="5829" xr:uid="{184FA6CA-C70F-4127-B0BE-897130022F94}"/>
    <cellStyle name="Comma 16 3 4 3 2 5 2" xfId="5832" xr:uid="{9F03B377-83DB-48FA-9B3A-11D8A4CEC33B}"/>
    <cellStyle name="Comma 16 3 4 3 2 6" xfId="5833" xr:uid="{1ED2BDC8-5414-4FB8-AD84-71A0EA172B0A}"/>
    <cellStyle name="Comma 16 3 4 3 2 7" xfId="5834" xr:uid="{962C663A-0C70-4EAA-B460-3670ECA45B2E}"/>
    <cellStyle name="Comma 16 3 4 3 3" xfId="5838" xr:uid="{5D36318A-E510-460D-ABCA-FCCB58B09428}"/>
    <cellStyle name="Comma 16 3 4 3 3 2" xfId="5839" xr:uid="{59AFE1F7-FFE8-4E99-8E85-B9975A9C11EC}"/>
    <cellStyle name="Comma 16 3 4 3 3 2 2" xfId="5841" xr:uid="{D8316A44-31F0-460B-BFBE-E6CBE953FD72}"/>
    <cellStyle name="Comma 16 3 4 3 3 2 2 2" xfId="4962" xr:uid="{2924BB7D-6481-4B70-B9DB-3A38591E899F}"/>
    <cellStyle name="Comma 16 3 4 3 3 2 2 2 2" xfId="4970" xr:uid="{F81F8F6E-08E3-4A02-9542-58531D139921}"/>
    <cellStyle name="Comma 16 3 4 3 3 2 2 3" xfId="4974" xr:uid="{171DC267-BBFC-437D-9F9E-F38D9D1BE6AE}"/>
    <cellStyle name="Comma 16 3 4 3 3 2 3" xfId="5842" xr:uid="{690D17C6-DC33-425C-9A7E-D43B1336B05E}"/>
    <cellStyle name="Comma 16 3 4 3 3 2 3 2" xfId="132" xr:uid="{8DA7EC62-FD59-4C88-B3C8-D2C888E90FF6}"/>
    <cellStyle name="Comma 16 3 4 3 3 2 4" xfId="5843" xr:uid="{7817A65A-0C69-40FE-A00F-3B2DCBF796CE}"/>
    <cellStyle name="Comma 16 3 4 3 3 3" xfId="5845" xr:uid="{BA8E9712-F1BE-47AE-8D03-84762C1BEB2A}"/>
    <cellStyle name="Comma 16 3 4 3 3 3 2" xfId="5848" xr:uid="{E48352C4-B766-45EC-82BE-31E13B8047AF}"/>
    <cellStyle name="Comma 16 3 4 3 3 3 2 2" xfId="5003" xr:uid="{12631277-4AA1-4F1C-A255-A68DBDD91CBE}"/>
    <cellStyle name="Comma 16 3 4 3 3 3 3" xfId="5849" xr:uid="{79C40C79-517D-417E-9754-DDAD3A1155FE}"/>
    <cellStyle name="Comma 16 3 4 3 3 4" xfId="5853" xr:uid="{81917BE9-D518-45BB-ADD2-FC72023DEE26}"/>
    <cellStyle name="Comma 16 3 4 3 3 4 2" xfId="5857" xr:uid="{4C536C25-4197-42F3-AB1D-2F7F7A8DD718}"/>
    <cellStyle name="Comma 16 3 4 3 3 5" xfId="5862" xr:uid="{73043A95-0CE0-4FA8-854A-C992DA94D46F}"/>
    <cellStyle name="Comma 16 3 4 3 4" xfId="5863" xr:uid="{5561AD24-C47A-44B5-AB3A-AF6144B855E5}"/>
    <cellStyle name="Comma 16 3 4 3 4 2" xfId="763" xr:uid="{28302F54-9E61-4758-9385-56668EF3902D}"/>
    <cellStyle name="Comma 16 3 4 3 4 2 2" xfId="5866" xr:uid="{F872DDC5-156E-49BF-B636-BFA8A93E7D11}"/>
    <cellStyle name="Comma 16 3 4 3 4 2 2 2" xfId="5085" xr:uid="{F7F03D06-CD68-4255-A32A-7653A812D568}"/>
    <cellStyle name="Comma 16 3 4 3 4 2 3" xfId="5870" xr:uid="{38C4A940-E84B-472F-AA9D-434D960B407B}"/>
    <cellStyle name="Comma 16 3 4 3 4 3" xfId="774" xr:uid="{F430607D-D8FE-4382-BF49-034996CEBEED}"/>
    <cellStyle name="Comma 16 3 4 3 4 3 2" xfId="5874" xr:uid="{FF15E266-C0BE-4031-A354-2CD8D46195D7}"/>
    <cellStyle name="Comma 16 3 4 3 4 4" xfId="782" xr:uid="{3ECED8DE-E19A-4859-BA2E-7ED37DBCAE1D}"/>
    <cellStyle name="Comma 16 3 4 3 5" xfId="5878" xr:uid="{0528E610-76DE-4BD0-83E9-7B1DEA910E52}"/>
    <cellStyle name="Comma 16 3 4 3 5 2" xfId="5883" xr:uid="{E4E610AC-8930-4CA8-A80D-489833452316}"/>
    <cellStyle name="Comma 16 3 4 3 5 2 2" xfId="3200" xr:uid="{9ED1F32F-3C57-48BF-B3E7-DFE2F802D2FF}"/>
    <cellStyle name="Comma 16 3 4 3 5 3" xfId="5704" xr:uid="{B63D7E58-D643-4550-AED7-EFED3B21F76E}"/>
    <cellStyle name="Comma 16 3 4 3 6" xfId="5888" xr:uid="{A7B4A893-D9AC-4033-822B-9FE1E7F7C7B1}"/>
    <cellStyle name="Comma 16 3 4 3 6 2" xfId="2967" xr:uid="{EAEF0F85-8EDF-47CD-86C5-39C9A7E0A556}"/>
    <cellStyle name="Comma 16 3 4 3 7" xfId="5892" xr:uid="{F32FF15B-3B5E-464E-BDA1-202AD161A1AD}"/>
    <cellStyle name="Comma 16 3 4 3 8" xfId="5897" xr:uid="{0914CE2D-52C3-466A-9C8B-E128D3625778}"/>
    <cellStyle name="Comma 16 3 4 4" xfId="5898" xr:uid="{60D06598-CC34-4FC2-B314-D24D34AB86F7}"/>
    <cellStyle name="Comma 16 3 4 4 2" xfId="5900" xr:uid="{F5BA6CD3-6836-4DF3-A4D4-2529469FFC9E}"/>
    <cellStyle name="Comma 16 3 4 4 2 2" xfId="5901" xr:uid="{3347DB81-F7D5-4096-98E7-655B980ED306}"/>
    <cellStyle name="Comma 16 3 4 4 2 2 2" xfId="5903" xr:uid="{BFF00EB3-E862-4E17-9CFB-49A83963B2B5}"/>
    <cellStyle name="Comma 16 3 4 4 2 2 2 2" xfId="5905" xr:uid="{B6BBCA56-4E8A-43DF-BDEB-6C8C42D6F775}"/>
    <cellStyle name="Comma 16 3 4 4 2 2 2 2 2" xfId="5907" xr:uid="{73CC6E6F-1B01-482F-B0D0-D38535333995}"/>
    <cellStyle name="Comma 16 3 4 4 2 2 2 3" xfId="5909" xr:uid="{FAB16B60-1324-4443-A9A8-DBA51EEB04D8}"/>
    <cellStyle name="Comma 16 3 4 4 2 2 3" xfId="5911" xr:uid="{CB398BB3-C839-4A2B-8561-FF054AF28A41}"/>
    <cellStyle name="Comma 16 3 4 4 2 2 3 2" xfId="5912" xr:uid="{EE7113C2-E11B-43B1-A5B3-9CAF133B7C0B}"/>
    <cellStyle name="Comma 16 3 4 4 2 2 4" xfId="5914" xr:uid="{B2702AE6-9E89-4C89-9A98-45514470F52F}"/>
    <cellStyle name="Comma 16 3 4 4 2 3" xfId="5916" xr:uid="{2F160FE3-9BC5-4910-A0EC-C3A8EB1458A5}"/>
    <cellStyle name="Comma 16 3 4 4 2 3 2" xfId="308" xr:uid="{5ED011C7-6A46-461D-BD74-4C9B65889CAA}"/>
    <cellStyle name="Comma 16 3 4 4 2 3 2 2" xfId="5918" xr:uid="{2DBE6A80-6E93-46CC-81EF-4152EE296865}"/>
    <cellStyle name="Comma 16 3 4 4 2 3 3" xfId="318" xr:uid="{7B524833-E959-4F76-B52B-EF4C07F97E5E}"/>
    <cellStyle name="Comma 16 3 4 4 2 4" xfId="5920" xr:uid="{96AD0198-8FED-4D8A-9F0C-C649C317C49F}"/>
    <cellStyle name="Comma 16 3 4 4 2 4 2" xfId="5925" xr:uid="{8A591794-D1D3-4F24-A059-D7D5B39A081F}"/>
    <cellStyle name="Comma 16 3 4 4 2 5" xfId="3608" xr:uid="{36F79A8F-A9EC-4812-8F2C-09B7093BB4B5}"/>
    <cellStyle name="Comma 16 3 4 4 3" xfId="1101" xr:uid="{EA9FD74F-D60E-40B5-9DD5-71E0C7D59731}"/>
    <cellStyle name="Comma 16 3 4 4 3 2" xfId="5927" xr:uid="{5968158F-2513-4AAE-80AE-8F5B8B2C9861}"/>
    <cellStyle name="Comma 16 3 4 4 3 2 2" xfId="5931" xr:uid="{FE7E62DB-2B80-4DE2-9798-145E34A83141}"/>
    <cellStyle name="Comma 16 3 4 4 3 2 2 2" xfId="5259" xr:uid="{F2807026-C8BD-4E36-BCB2-8E3D298E7724}"/>
    <cellStyle name="Comma 16 3 4 4 3 2 3" xfId="5933" xr:uid="{F10D0681-4CDF-4A71-9037-20FDD3DF7BD2}"/>
    <cellStyle name="Comma 16 3 4 4 3 3" xfId="5936" xr:uid="{78C02A3F-CB91-4B8B-AAB2-3E5EF59A5126}"/>
    <cellStyle name="Comma 16 3 4 4 3 3 2" xfId="1033" xr:uid="{327E6583-D2A6-4D10-B9BD-987DE44F677B}"/>
    <cellStyle name="Comma 16 3 4 4 3 4" xfId="5939" xr:uid="{9E12DB5B-3360-4256-A859-74564D2DF04D}"/>
    <cellStyle name="Comma 16 3 4 4 4" xfId="145" xr:uid="{3A958BDC-D394-46E6-915A-2150D07AFD9A}"/>
    <cellStyle name="Comma 16 3 4 4 4 2" xfId="847" xr:uid="{6CF75823-FECC-41D2-82EB-441F1C2D18B5}"/>
    <cellStyle name="Comma 16 3 4 4 4 2 2" xfId="5945" xr:uid="{46802C96-E454-4585-A750-B69375391FDF}"/>
    <cellStyle name="Comma 16 3 4 4 4 3" xfId="850" xr:uid="{D2E81277-57E7-4326-8D1C-6D33A48601A6}"/>
    <cellStyle name="Comma 16 3 4 4 5" xfId="1116" xr:uid="{63992B02-66E6-4529-BFBC-5676EF2DC78E}"/>
    <cellStyle name="Comma 16 3 4 4 5 2" xfId="5951" xr:uid="{EA576336-737D-41C8-A31E-606F64C14CEB}"/>
    <cellStyle name="Comma 16 3 4 4 6" xfId="1125" xr:uid="{1EB00DDB-8EF9-47A0-B059-F7B344D11635}"/>
    <cellStyle name="Comma 16 3 4 4 7" xfId="1138" xr:uid="{9C9DAEDC-7383-4AE1-8224-3A70F263D507}"/>
    <cellStyle name="Comma 16 3 4 5" xfId="5958" xr:uid="{7D60161B-930E-4FCC-960A-2E6FBB7884CE}"/>
    <cellStyle name="Comma 16 3 4 5 2" xfId="5959" xr:uid="{64140E6E-D8E3-498C-A4C5-CBDD093066AF}"/>
    <cellStyle name="Comma 16 3 4 5 2 2" xfId="5960" xr:uid="{335ED138-B5FC-4C0E-92A0-261A11549464}"/>
    <cellStyle name="Comma 16 3 4 5 2 2 2" xfId="2334" xr:uid="{B22D2A2C-E881-43B4-A36C-A7A1DFC49098}"/>
    <cellStyle name="Comma 16 3 4 5 2 2 2 2" xfId="5961" xr:uid="{42A31A1B-534E-43EE-9245-DF6EC968A665}"/>
    <cellStyle name="Comma 16 3 4 5 2 2 3" xfId="5962" xr:uid="{89040A7F-5B9D-47D2-A1F1-DF038BFE3DD5}"/>
    <cellStyle name="Comma 16 3 4 5 2 3" xfId="5964" xr:uid="{69568DB4-D311-454D-9F66-B7A9C92120CC}"/>
    <cellStyle name="Comma 16 3 4 5 2 3 2" xfId="5965" xr:uid="{84003E70-35E9-4C92-B14D-FBDD73E893C5}"/>
    <cellStyle name="Comma 16 3 4 5 2 4" xfId="5966" xr:uid="{3F248D28-4DFB-4F3B-A12F-2564071778AF}"/>
    <cellStyle name="Comma 16 3 4 5 3" xfId="5967" xr:uid="{832D786B-3CAB-43F1-AB12-4FB6BEAC0C81}"/>
    <cellStyle name="Comma 16 3 4 5 3 2" xfId="5969" xr:uid="{51E3782B-E8A9-497D-974F-F59A3D55F2AE}"/>
    <cellStyle name="Comma 16 3 4 5 3 2 2" xfId="5971" xr:uid="{4C02AFF8-D27C-409F-8B2A-24D0D6BD426D}"/>
    <cellStyle name="Comma 16 3 4 5 3 3" xfId="5972" xr:uid="{1BE9A910-53AC-4C1F-82AA-003059EF0CFA}"/>
    <cellStyle name="Comma 16 3 4 5 4" xfId="5973" xr:uid="{227388AC-F3A6-4C27-AFAC-AFEE60458051}"/>
    <cellStyle name="Comma 16 3 4 5 4 2" xfId="5974" xr:uid="{9B70C908-D583-4AC4-B860-DDA8F4386586}"/>
    <cellStyle name="Comma 16 3 4 5 5" xfId="5977" xr:uid="{2141D387-D41F-4C2B-B73C-FA44CACA09B2}"/>
    <cellStyle name="Comma 16 3 4 6" xfId="5978" xr:uid="{6BD7B4BB-2AB1-432C-B34B-2627993C20C3}"/>
    <cellStyle name="Comma 16 3 4 6 2" xfId="5980" xr:uid="{4E48D18C-CC02-4FBC-A0C2-1CFDA4732690}"/>
    <cellStyle name="Comma 16 3 4 6 2 2" xfId="5981" xr:uid="{6E33BC0D-DE72-4E89-A584-C81DDCF3138B}"/>
    <cellStyle name="Comma 16 3 4 6 2 2 2" xfId="5982" xr:uid="{851B9F49-69E8-4840-AD00-A1EC6E820F37}"/>
    <cellStyle name="Comma 16 3 4 6 2 3" xfId="5983" xr:uid="{5A7C5FAA-CACB-4B47-B8B0-EF54156DE2F6}"/>
    <cellStyle name="Comma 16 3 4 6 3" xfId="5985" xr:uid="{B980ECB2-E610-4C36-B824-84A8BD0036B8}"/>
    <cellStyle name="Comma 16 3 4 6 3 2" xfId="5986" xr:uid="{E5E28C4E-FD95-4CC2-BFCE-791961C527AF}"/>
    <cellStyle name="Comma 16 3 4 6 4" xfId="5990" xr:uid="{D380F31F-8D52-4135-A164-73D7E1CE7589}"/>
    <cellStyle name="Comma 16 3 4 7" xfId="5991" xr:uid="{B23E0996-7608-47A1-BFE7-1A12031758D1}"/>
    <cellStyle name="Comma 16 3 4 7 2" xfId="5992" xr:uid="{45753E98-64C5-4A19-9C01-88C2BDD2F787}"/>
    <cellStyle name="Comma 16 3 4 7 2 2" xfId="5993" xr:uid="{23F7A571-5DDA-4640-9C5F-AC4453AF6833}"/>
    <cellStyle name="Comma 16 3 4 7 3" xfId="5994" xr:uid="{8D395B2F-A6B9-49EE-87CA-9DC4214749E3}"/>
    <cellStyle name="Comma 16 3 4 8" xfId="5996" xr:uid="{5E753712-F713-4512-B98C-2F67083E8168}"/>
    <cellStyle name="Comma 16 3 4 8 2" xfId="25" xr:uid="{8A61F7FD-735E-48CF-BE6F-EAE2E72E3875}"/>
    <cellStyle name="Comma 16 3 4 9" xfId="5997" xr:uid="{F4F502F2-9C92-4E24-AC05-314FC5A59FA0}"/>
    <cellStyle name="Comma 16 3 5" xfId="6001" xr:uid="{96D1E4AA-397D-4D51-A86B-3A0E65DB81C2}"/>
    <cellStyle name="Comma 16 3 5 2" xfId="6006" xr:uid="{19FA729F-B9C0-49E9-B26A-6F32EE0EAC91}"/>
    <cellStyle name="Comma 16 3 5 2 2" xfId="6010" xr:uid="{CA050341-DF14-407E-AD74-DD6A510CCB9B}"/>
    <cellStyle name="Comma 16 3 5 2 2 2" xfId="6011" xr:uid="{2FDA4DF3-5ADF-44EF-BFBF-D0293E273E50}"/>
    <cellStyle name="Comma 16 3 5 2 2 2 2" xfId="2108" xr:uid="{9A997813-D725-4B11-9AC0-CB742DCD7BDE}"/>
    <cellStyle name="Comma 16 3 5 2 2 2 2 2" xfId="6012" xr:uid="{EDD4D75E-1A6A-47A1-8FAE-B11CE8FC07D3}"/>
    <cellStyle name="Comma 16 3 5 2 2 2 2 2 2" xfId="6016" xr:uid="{80D66156-671D-4F5B-9A78-BF3183A6AAE6}"/>
    <cellStyle name="Comma 16 3 5 2 2 2 2 2 2 2" xfId="2085" xr:uid="{767ECC2F-88B8-4129-8977-7EE0189A33F5}"/>
    <cellStyle name="Comma 16 3 5 2 2 2 2 2 3" xfId="3306" xr:uid="{8F022C98-C2E8-43AC-B963-6A5005CB5ECD}"/>
    <cellStyle name="Comma 16 3 5 2 2 2 2 3" xfId="6018" xr:uid="{39322121-955D-4462-B312-552F9C342E30}"/>
    <cellStyle name="Comma 16 3 5 2 2 2 2 3 2" xfId="6020" xr:uid="{675E84EC-23E1-4339-9308-BB0705BB8C26}"/>
    <cellStyle name="Comma 16 3 5 2 2 2 2 4" xfId="6022" xr:uid="{8401A783-861B-4C14-B1BC-0D64953A0F95}"/>
    <cellStyle name="Comma 16 3 5 2 2 2 3" xfId="6027" xr:uid="{BFADF10F-15C1-42A5-BF4F-FE8D8AA1B12B}"/>
    <cellStyle name="Comma 16 3 5 2 2 2 3 2" xfId="928" xr:uid="{53E6BB15-D635-4377-8FFE-08FCA885A796}"/>
    <cellStyle name="Comma 16 3 5 2 2 2 3 2 2" xfId="6028" xr:uid="{916EE65F-0FCB-4508-AC58-0CF3FEF1CC7B}"/>
    <cellStyle name="Comma 16 3 5 2 2 2 3 3" xfId="932" xr:uid="{EA0DCE1C-C837-434E-93E1-18F6F03B9043}"/>
    <cellStyle name="Comma 16 3 5 2 2 2 4" xfId="6031" xr:uid="{02D81E31-FBA2-438F-81DD-627DCDF641D9}"/>
    <cellStyle name="Comma 16 3 5 2 2 2 4 2" xfId="6033" xr:uid="{96E1F0D3-DC5D-4760-9B6E-801A4C37770C}"/>
    <cellStyle name="Comma 16 3 5 2 2 2 5" xfId="6035" xr:uid="{8B88BD3B-73B0-4F7C-8FA7-C6411A8B6AC7}"/>
    <cellStyle name="Comma 16 3 5 2 2 3" xfId="6038" xr:uid="{7DA727CD-C6D4-40FE-997A-CDDA0F97FAC6}"/>
    <cellStyle name="Comma 16 3 5 2 2 3 2" xfId="6042" xr:uid="{4051677B-8A73-45BA-B28B-0BA81D60C2A3}"/>
    <cellStyle name="Comma 16 3 5 2 2 3 2 2" xfId="6043" xr:uid="{86C17C69-0CDC-424C-9D23-EA1D47BA58EA}"/>
    <cellStyle name="Comma 16 3 5 2 2 3 2 2 2" xfId="2941" xr:uid="{E856E7AD-8F34-47F5-9C62-DC93B0325EEC}"/>
    <cellStyle name="Comma 16 3 5 2 2 3 2 3" xfId="6050" xr:uid="{D138AE1F-337D-4C5A-AF94-0DD0D22DFF6E}"/>
    <cellStyle name="Comma 16 3 5 2 2 3 3" xfId="6056" xr:uid="{E1B17ED6-72BC-4E1C-B576-2BBEE366D960}"/>
    <cellStyle name="Comma 16 3 5 2 2 3 3 2" xfId="116" xr:uid="{43669C39-B0A5-4D08-84C8-5FCAE8138C73}"/>
    <cellStyle name="Comma 16 3 5 2 2 3 4" xfId="3154" xr:uid="{2E134904-75D6-4099-80E0-F20C13A43708}"/>
    <cellStyle name="Comma 16 3 5 2 2 4" xfId="6059" xr:uid="{22579E0F-9BFB-4636-8C58-2C1AAA08B59F}"/>
    <cellStyle name="Comma 16 3 5 2 2 4 2" xfId="6062" xr:uid="{ACC0FA6C-5E27-4977-8FA2-2EA4FE80BC66}"/>
    <cellStyle name="Comma 16 3 5 2 2 4 2 2" xfId="6065" xr:uid="{4C42A187-4919-4D6B-AF5D-4E419AE00155}"/>
    <cellStyle name="Comma 16 3 5 2 2 4 3" xfId="4229" xr:uid="{9E5C9465-5289-4652-9BE2-AC9DF43B1450}"/>
    <cellStyle name="Comma 16 3 5 2 2 5" xfId="6068" xr:uid="{912BD3D4-8309-4698-B581-66E5FE5AB485}"/>
    <cellStyle name="Comma 16 3 5 2 2 5 2" xfId="4641" xr:uid="{CCBA0F23-CDCC-4D3A-A5D9-CF8B9A19817B}"/>
    <cellStyle name="Comma 16 3 5 2 2 6" xfId="6074" xr:uid="{1EB6F6F2-96F6-4073-826E-AFDE84B47074}"/>
    <cellStyle name="Comma 16 3 5 2 2 7" xfId="4914" xr:uid="{CEFEF5E6-8CE2-4FAE-B382-6168D4252982}"/>
    <cellStyle name="Comma 16 3 5 2 3" xfId="6076" xr:uid="{8F82B462-C43A-444D-B5F9-E91AE3BF4B8B}"/>
    <cellStyle name="Comma 16 3 5 2 3 2" xfId="6080" xr:uid="{76F05FEC-DF29-4283-B9EC-5D0746CBBFC4}"/>
    <cellStyle name="Comma 16 3 5 2 3 2 2" xfId="6081" xr:uid="{7A7C9C3F-618B-4664-94D3-68A47E7E2384}"/>
    <cellStyle name="Comma 16 3 5 2 3 2 2 2" xfId="5524" xr:uid="{74144129-9EDF-452F-8BA6-BBA64B946103}"/>
    <cellStyle name="Comma 16 3 5 2 3 2 2 2 2" xfId="5528" xr:uid="{54DB365B-29AE-4F02-BACD-7C6F9D23ABED}"/>
    <cellStyle name="Comma 16 3 5 2 3 2 2 3" xfId="5530" xr:uid="{68563F85-F95D-4462-8DCC-6FF34C350407}"/>
    <cellStyle name="Comma 16 3 5 2 3 2 3" xfId="6082" xr:uid="{D0D0D8C4-37DB-4F24-8138-718CE38203BB}"/>
    <cellStyle name="Comma 16 3 5 2 3 2 3 2" xfId="207" xr:uid="{E92F29A7-FDA9-4391-84E8-157938FDB0D9}"/>
    <cellStyle name="Comma 16 3 5 2 3 2 4" xfId="6084" xr:uid="{29F9EC0C-519A-4EE4-BFCF-B02228A00F59}"/>
    <cellStyle name="Comma 16 3 5 2 3 3" xfId="6089" xr:uid="{BCD204FE-2C9C-452E-B5A2-B4CF59768EB5}"/>
    <cellStyle name="Comma 16 3 5 2 3 3 2" xfId="6092" xr:uid="{B5C117E3-5E77-4F7C-ACA0-D5B600D5954C}"/>
    <cellStyle name="Comma 16 3 5 2 3 3 2 2" xfId="5582" xr:uid="{D4065925-7F99-49BF-A49C-2AD2660BA666}"/>
    <cellStyle name="Comma 16 3 5 2 3 3 3" xfId="6095" xr:uid="{5107F80F-C21D-4B7B-96BC-A2CC26F9052C}"/>
    <cellStyle name="Comma 16 3 5 2 3 4" xfId="6100" xr:uid="{B929F068-E22B-4FBC-AA0A-8CD2B2ECE62C}"/>
    <cellStyle name="Comma 16 3 5 2 3 4 2" xfId="6103" xr:uid="{DDF6B0A6-E096-4F17-952D-33CDD0A04E44}"/>
    <cellStyle name="Comma 16 3 5 2 3 5" xfId="6108" xr:uid="{77F33BAA-3771-4CB7-8E64-0C175295A1E0}"/>
    <cellStyle name="Comma 16 3 5 2 4" xfId="6109" xr:uid="{F76F86A1-04CD-4B23-9B69-F606B6D8A32A}"/>
    <cellStyle name="Comma 16 3 5 2 4 2" xfId="6110" xr:uid="{3FDCD7A8-5B4C-4183-AFB9-5FAD1EE8BDDE}"/>
    <cellStyle name="Comma 16 3 5 2 4 2 2" xfId="6114" xr:uid="{722C54CD-F1AC-48CB-BB0D-1D7DC5E85F4F}"/>
    <cellStyle name="Comma 16 3 5 2 4 2 2 2" xfId="4397" xr:uid="{ECA8619B-6C08-4480-93EA-B683E2640D4F}"/>
    <cellStyle name="Comma 16 3 5 2 4 2 3" xfId="6118" xr:uid="{542C3319-0673-4A51-ABCB-79F1846A7961}"/>
    <cellStyle name="Comma 16 3 5 2 4 3" xfId="6122" xr:uid="{94781E25-444A-400A-A444-962BE0EA8D38}"/>
    <cellStyle name="Comma 16 3 5 2 4 3 2" xfId="6131" xr:uid="{67A8D61E-6A8F-4CD1-BFDA-072F181BB81C}"/>
    <cellStyle name="Comma 16 3 5 2 4 4" xfId="6133" xr:uid="{F7F2F61B-A580-4B79-B6CE-F84B8DA6D7D4}"/>
    <cellStyle name="Comma 16 3 5 2 5" xfId="6142" xr:uid="{AA91A94E-CF2B-49E1-BEB6-C2C1E933B752}"/>
    <cellStyle name="Comma 16 3 5 2 5 2" xfId="6145" xr:uid="{5531791E-C543-410C-BBF8-165361580AFF}"/>
    <cellStyle name="Comma 16 3 5 2 5 2 2" xfId="6148" xr:uid="{EA41DAE4-30B3-44B8-A65B-EA41E31681C8}"/>
    <cellStyle name="Comma 16 3 5 2 5 3" xfId="5868" xr:uid="{EE2B8EBD-F7E1-4ED2-9E09-FF54F7C83BCB}"/>
    <cellStyle name="Comma 16 3 5 2 6" xfId="6152" xr:uid="{B78B0F21-BA28-4694-9FFA-093D3F606223}"/>
    <cellStyle name="Comma 16 3 5 2 6 2" xfId="6155" xr:uid="{52F10175-CAB4-4610-91C2-BB1320D1A397}"/>
    <cellStyle name="Comma 16 3 5 2 7" xfId="6160" xr:uid="{3E09B894-F67F-4777-AC5C-FCA31149B099}"/>
    <cellStyle name="Comma 16 3 5 2 8" xfId="6166" xr:uid="{611D66A7-F023-4F75-8763-710934BD6E38}"/>
    <cellStyle name="Comma 16 3 5 3" xfId="5796" xr:uid="{8B25542E-8237-425C-9597-7CF536F4297F}"/>
    <cellStyle name="Comma 16 3 5 3 2" xfId="5512" xr:uid="{3900D532-BB0C-4BD3-88A7-619F27B48F32}"/>
    <cellStyle name="Comma 16 3 5 3 2 2" xfId="6167" xr:uid="{998CE9DE-F359-4E12-904B-CE435FD77506}"/>
    <cellStyle name="Comma 16 3 5 3 2 2 2" xfId="6172" xr:uid="{84CF54C8-68A2-4B05-ABF3-4BE0696E90C3}"/>
    <cellStyle name="Comma 16 3 5 3 2 2 2 2" xfId="6174" xr:uid="{32A0B277-C1E0-4DF6-A111-7C6354A6FC04}"/>
    <cellStyle name="Comma 16 3 5 3 2 2 2 2 2" xfId="6176" xr:uid="{2F7CF73F-0FFC-4D6E-A496-F51233A1BC2D}"/>
    <cellStyle name="Comma 16 3 5 3 2 2 2 3" xfId="6178" xr:uid="{2ED2042B-68D9-4381-B5EA-66180BE110B9}"/>
    <cellStyle name="Comma 16 3 5 3 2 2 3" xfId="6184" xr:uid="{86941995-A470-4EA1-B03D-8E45A2695BFD}"/>
    <cellStyle name="Comma 16 3 5 3 2 2 3 2" xfId="6190" xr:uid="{39B186EF-D5D3-4F72-BCCB-3833DEB2BC48}"/>
    <cellStyle name="Comma 16 3 5 3 2 2 4" xfId="6197" xr:uid="{B4D15566-6F43-482E-B12A-2ED5057AA224}"/>
    <cellStyle name="Comma 16 3 5 3 2 3" xfId="6199" xr:uid="{8AA1B1D4-07FA-4D6E-B0E0-6260D4005741}"/>
    <cellStyle name="Comma 16 3 5 3 2 3 2" xfId="6208" xr:uid="{E37AD6B5-3C4A-4F8C-BD37-472C7123DE2D}"/>
    <cellStyle name="Comma 16 3 5 3 2 3 2 2" xfId="6215" xr:uid="{56C7DDC7-6A1E-40B5-822C-AEB9DB44B842}"/>
    <cellStyle name="Comma 16 3 5 3 2 3 3" xfId="6224" xr:uid="{4FB90225-A429-4BF0-9EB5-E7733B117805}"/>
    <cellStyle name="Comma 16 3 5 3 2 4" xfId="6226" xr:uid="{4CBF864B-4608-4323-B14F-434019297198}"/>
    <cellStyle name="Comma 16 3 5 3 2 4 2" xfId="6232" xr:uid="{2DB15BD3-2AD9-4F37-8AD6-AEC8D7760198}"/>
    <cellStyle name="Comma 16 3 5 3 2 5" xfId="6233" xr:uid="{7D21D700-E007-458B-82B1-94E8E629971F}"/>
    <cellStyle name="Comma 16 3 5 3 3" xfId="6234" xr:uid="{04AF3EEC-91A1-48EE-83D1-8A6A1F21293B}"/>
    <cellStyle name="Comma 16 3 5 3 3 2" xfId="6235" xr:uid="{A73AAC47-1E8A-4DB1-B052-6B62A0AAB04B}"/>
    <cellStyle name="Comma 16 3 5 3 3 2 2" xfId="6241" xr:uid="{39217BC0-270C-48BE-B288-76858C78A488}"/>
    <cellStyle name="Comma 16 3 5 3 3 2 2 2" xfId="5776" xr:uid="{05EB94BD-FD94-4C12-9EA7-C419F6172153}"/>
    <cellStyle name="Comma 16 3 5 3 3 2 3" xfId="6249" xr:uid="{63F392A8-4CF2-43BA-87FA-ECABC4163AB8}"/>
    <cellStyle name="Comma 16 3 5 3 3 3" xfId="6251" xr:uid="{2D7F9A47-0B23-4DAC-9FA9-B7EDE3C3E859}"/>
    <cellStyle name="Comma 16 3 5 3 3 3 2" xfId="6263" xr:uid="{8B4AECC9-72CD-4D00-98E6-618C9C47025D}"/>
    <cellStyle name="Comma 16 3 5 3 3 4" xfId="6269" xr:uid="{AF461BFB-A710-4CBB-98EB-DD4C8F2EBA97}"/>
    <cellStyle name="Comma 16 3 5 3 4" xfId="6272" xr:uid="{2E546C13-80E1-4093-9A12-68B6988C9338}"/>
    <cellStyle name="Comma 16 3 5 3 4 2" xfId="3066" xr:uid="{8C5E35CD-A27F-449A-BFC5-48FD0BBC74F3}"/>
    <cellStyle name="Comma 16 3 5 3 4 2 2" xfId="3073" xr:uid="{05B23293-BC07-402E-9609-BF7DAD229914}"/>
    <cellStyle name="Comma 16 3 5 3 4 3" xfId="3076" xr:uid="{22C75A45-57D5-4A90-893B-0870104A18C6}"/>
    <cellStyle name="Comma 16 3 5 3 5" xfId="6275" xr:uid="{66C8D0AE-9618-4050-AD4F-1361E835CEA2}"/>
    <cellStyle name="Comma 16 3 5 3 5 2" xfId="3192" xr:uid="{7FF6679A-3CA8-44F9-A20C-8D09F4627D22}"/>
    <cellStyle name="Comma 16 3 5 3 6" xfId="6278" xr:uid="{786BDD08-8AFD-46D6-8B33-4FF503F7CA94}"/>
    <cellStyle name="Comma 16 3 5 3 7" xfId="6285" xr:uid="{0233D287-F0C4-4552-BB9B-EEB527047236}"/>
    <cellStyle name="Comma 16 3 5 4" xfId="5808" xr:uid="{DA66F44D-1D6C-444E-A052-59A5FE16510C}"/>
    <cellStyle name="Comma 16 3 5 4 2" xfId="6286" xr:uid="{3820FAE6-6FE2-450B-9836-7FFFFF2F34E9}"/>
    <cellStyle name="Comma 16 3 5 4 2 2" xfId="6287" xr:uid="{14E48C6F-1A6A-40DC-BE9D-A4F277DF2E8A}"/>
    <cellStyle name="Comma 16 3 5 4 2 2 2" xfId="6290" xr:uid="{EA26BCCA-7C87-424E-BB37-5B0AC70EA876}"/>
    <cellStyle name="Comma 16 3 5 4 2 2 2 2" xfId="6293" xr:uid="{7FF63F2E-FA6E-47EC-A596-CE6EFE01F2A4}"/>
    <cellStyle name="Comma 16 3 5 4 2 2 3" xfId="6299" xr:uid="{BF169ECA-59D2-4236-A905-88CCC22AD302}"/>
    <cellStyle name="Comma 16 3 5 4 2 3" xfId="2876" xr:uid="{854D9920-DD45-4BE8-891B-ABD4235DDBDC}"/>
    <cellStyle name="Comma 16 3 5 4 2 3 2" xfId="2883" xr:uid="{A90F7546-1014-44BE-836C-D8C7F9692BC3}"/>
    <cellStyle name="Comma 16 3 5 4 2 4" xfId="2896" xr:uid="{F9CB25CA-57C8-4DC9-9E61-9EFAF8A4DD5A}"/>
    <cellStyle name="Comma 16 3 5 4 3" xfId="6300" xr:uid="{AC74374E-3F32-4554-9C44-241F5E06DBDC}"/>
    <cellStyle name="Comma 16 3 5 4 3 2" xfId="6302" xr:uid="{5436E947-AD05-4E6D-BCA7-DA5A0C6BD7C3}"/>
    <cellStyle name="Comma 16 3 5 4 3 2 2" xfId="6305" xr:uid="{9693AFA3-D3C5-4120-8604-87FEB2C610CE}"/>
    <cellStyle name="Comma 16 3 5 4 3 3" xfId="2933" xr:uid="{222567E8-4EBF-47E9-8D41-DE40CCAF6574}"/>
    <cellStyle name="Comma 16 3 5 4 4" xfId="6306" xr:uid="{DDDA4F7F-999C-40E8-98B6-B10A79B4D2A2}"/>
    <cellStyle name="Comma 16 3 5 4 4 2" xfId="3355" xr:uid="{5C21201D-074C-4B76-8ED3-43495B0D8FAA}"/>
    <cellStyle name="Comma 16 3 5 4 5" xfId="6309" xr:uid="{B831F17E-7D75-4D21-9247-08D676BEF240}"/>
    <cellStyle name="Comma 16 3 5 5" xfId="6312" xr:uid="{F9D686BF-E4B1-4F31-AAD8-C619911D8CD6}"/>
    <cellStyle name="Comma 16 3 5 5 2" xfId="6314" xr:uid="{038C6614-E802-4E7A-A968-2CE2354A3A06}"/>
    <cellStyle name="Comma 16 3 5 5 2 2" xfId="6315" xr:uid="{8DCD535A-034E-4A71-B270-4854FCBDFD1B}"/>
    <cellStyle name="Comma 16 3 5 5 2 2 2" xfId="981" xr:uid="{D8701F8A-1516-49FD-A98D-E1A6D79EE70F}"/>
    <cellStyle name="Comma 16 3 5 5 2 3" xfId="2998" xr:uid="{DEABB68D-77ED-4A1D-994F-B7A3D8E69978}"/>
    <cellStyle name="Comma 16 3 5 5 3" xfId="4199" xr:uid="{2A943572-380A-445C-910C-9744F373B6D9}"/>
    <cellStyle name="Comma 16 3 5 5 3 2" xfId="4201" xr:uid="{D3CB1ADB-3E35-433A-A3BD-4B85B76538E6}"/>
    <cellStyle name="Comma 16 3 5 5 4" xfId="4203" xr:uid="{6CFFC8D2-B57B-4AC7-A044-2000D1352459}"/>
    <cellStyle name="Comma 16 3 5 6" xfId="6316" xr:uid="{8B733DFB-AFA7-4FFA-A4B2-97E1C1B6C268}"/>
    <cellStyle name="Comma 16 3 5 6 2" xfId="5492" xr:uid="{2851B273-5014-48E0-8BEC-3E8D76A5530E}"/>
    <cellStyle name="Comma 16 3 5 6 2 2" xfId="6317" xr:uid="{ED64484D-488C-46A8-A27C-72C04A1BD808}"/>
    <cellStyle name="Comma 16 3 5 6 3" xfId="4209" xr:uid="{B137AE64-F4F7-4ACE-9719-AA9E99462A3D}"/>
    <cellStyle name="Comma 16 3 5 7" xfId="6318" xr:uid="{12FD4088-D39F-44C1-804B-9CA313675BAB}"/>
    <cellStyle name="Comma 16 3 5 7 2" xfId="6320" xr:uid="{8A561371-B7AE-4C38-B9AC-CA9953BDE09D}"/>
    <cellStyle name="Comma 16 3 5 8" xfId="6321" xr:uid="{91CABB31-CDF1-4663-8D39-F90E2F9BE8FA}"/>
    <cellStyle name="Comma 16 3 5 9" xfId="6322" xr:uid="{6CD17E3B-F53D-4A67-A885-D7A1617F9FEA}"/>
    <cellStyle name="Comma 16 3 6" xfId="6325" xr:uid="{25CAB6E9-FC84-4036-A9EB-3C4A5D72C81B}"/>
    <cellStyle name="Comma 16 3 6 2" xfId="6328" xr:uid="{67980B38-4BF7-4C30-AA82-6E9CFFC6CDE0}"/>
    <cellStyle name="Comma 16 3 6 2 2" xfId="6329" xr:uid="{9657668A-5C12-4448-B7D1-6F53A9CA5ECF}"/>
    <cellStyle name="Comma 16 3 6 2 2 2" xfId="174" xr:uid="{B08EDF6B-0B8A-4C47-A6A5-0038982B2144}"/>
    <cellStyle name="Comma 16 3 6 2 2 2 2" xfId="6330" xr:uid="{2465E893-8036-4393-A5CC-B343F8E71A2F}"/>
    <cellStyle name="Comma 16 3 6 2 2 2 2 2" xfId="6331" xr:uid="{C369256B-982C-4E8D-9C2D-9A56329C55E3}"/>
    <cellStyle name="Comma 16 3 6 2 2 2 2 2 2" xfId="6334" xr:uid="{7C0C88A0-C79E-4032-8F24-547FA735579F}"/>
    <cellStyle name="Comma 16 3 6 2 2 2 2 3" xfId="6338" xr:uid="{2C74F829-3042-4F31-A532-1D887E29105D}"/>
    <cellStyle name="Comma 16 3 6 2 2 2 3" xfId="1937" xr:uid="{D3EB1572-7EB2-4B45-8161-89399A79009C}"/>
    <cellStyle name="Comma 16 3 6 2 2 2 3 2" xfId="1943" xr:uid="{534833C4-C513-45DA-A5ED-F79DB7636578}"/>
    <cellStyle name="Comma 16 3 6 2 2 2 4" xfId="2062" xr:uid="{FCA82F00-BAB0-4399-87DF-AD232D830586}"/>
    <cellStyle name="Comma 16 3 6 2 2 3" xfId="6340" xr:uid="{9A33ED70-C62F-46C7-A38F-E671607F04FE}"/>
    <cellStyle name="Comma 16 3 6 2 2 3 2" xfId="6342" xr:uid="{725488A1-F0F9-4CC6-8F33-1AC6D1C43029}"/>
    <cellStyle name="Comma 16 3 6 2 2 3 2 2" xfId="6344" xr:uid="{76F1818C-B443-4F4D-9086-8A8BCE77BCCD}"/>
    <cellStyle name="Comma 16 3 6 2 2 3 3" xfId="6348" xr:uid="{863575D4-3760-4BA3-8C4A-455723AD4CF2}"/>
    <cellStyle name="Comma 16 3 6 2 2 4" xfId="6350" xr:uid="{75086F4D-3EBD-4EAB-A52D-9F73F6A8BEC9}"/>
    <cellStyle name="Comma 16 3 6 2 2 4 2" xfId="6352" xr:uid="{2B8478D5-B4FE-469D-8F24-5750356BCAC4}"/>
    <cellStyle name="Comma 16 3 6 2 2 5" xfId="6354" xr:uid="{9AD2D6D4-9ED6-4E86-8D24-4FBE21C29797}"/>
    <cellStyle name="Comma 16 3 6 2 3" xfId="6355" xr:uid="{343DFB08-F4FC-479B-8163-B0592025A062}"/>
    <cellStyle name="Comma 16 3 6 2 3 2" xfId="6356" xr:uid="{F1C2D649-6F21-4BE1-91EA-4A3CE4C2D417}"/>
    <cellStyle name="Comma 16 3 6 2 3 2 2" xfId="6359" xr:uid="{7754AB96-BEE1-43E2-BDA4-84E5F5371295}"/>
    <cellStyle name="Comma 16 3 6 2 3 2 2 2" xfId="6021" xr:uid="{BF9216D1-BBF0-44BD-B185-C44FDFCACF42}"/>
    <cellStyle name="Comma 16 3 6 2 3 2 3" xfId="6362" xr:uid="{AEC4A864-3455-44DF-A705-9DAF908336AA}"/>
    <cellStyle name="Comma 16 3 6 2 3 3" xfId="6367" xr:uid="{3573614C-E535-4431-9B4B-BF01362CAEE6}"/>
    <cellStyle name="Comma 16 3 6 2 3 3 2" xfId="6371" xr:uid="{E14E351E-8DFC-4C24-8A4B-18E5968A78B9}"/>
    <cellStyle name="Comma 16 3 6 2 3 4" xfId="6375" xr:uid="{B60C8998-49C0-413E-84E1-62FD7885482C}"/>
    <cellStyle name="Comma 16 3 6 2 4" xfId="6378" xr:uid="{5C0F8873-F3E9-46EC-A1A9-304CB4F3FA8E}"/>
    <cellStyle name="Comma 16 3 6 2 4 2" xfId="6379" xr:uid="{9EDF21B8-1902-47E9-ACF6-7E764E656078}"/>
    <cellStyle name="Comma 16 3 6 2 4 2 2" xfId="6387" xr:uid="{72B2EDAD-C62A-4F3A-9267-D98E13ED6849}"/>
    <cellStyle name="Comma 16 3 6 2 4 3" xfId="6391" xr:uid="{4C91D317-04FD-41F7-9C17-ABAF6F23BF44}"/>
    <cellStyle name="Comma 16 3 6 2 5" xfId="6397" xr:uid="{502E42E4-5B6F-4567-9035-05CA4A7F906C}"/>
    <cellStyle name="Comma 16 3 6 2 5 2" xfId="6401" xr:uid="{16F40EE7-2458-48FF-BC52-B4D1569A4765}"/>
    <cellStyle name="Comma 16 3 6 2 6" xfId="6405" xr:uid="{592ABC1E-7EE4-41DB-888A-1C795AF39C57}"/>
    <cellStyle name="Comma 16 3 6 2 7" xfId="6412" xr:uid="{07190584-ABC6-434D-A59A-3E809436CFAE}"/>
    <cellStyle name="Comma 16 3 6 3" xfId="5814" xr:uid="{14A7AE4A-2495-4015-AC44-CDA4DC949255}"/>
    <cellStyle name="Comma 16 3 6 3 2" xfId="6413" xr:uid="{5FCB9152-75C3-4BBD-8FFB-2CBCF2C3A668}"/>
    <cellStyle name="Comma 16 3 6 3 2 2" xfId="6415" xr:uid="{A112DE57-97ED-4CB7-AC4B-A524A7CBA779}"/>
    <cellStyle name="Comma 16 3 6 3 2 2 2" xfId="6417" xr:uid="{8016930D-0330-4524-BB1D-8ACAEEDAA196}"/>
    <cellStyle name="Comma 16 3 6 3 2 2 2 2" xfId="1411" xr:uid="{10FC9D8A-1127-499C-A7FE-124F62D459D7}"/>
    <cellStyle name="Comma 16 3 6 3 2 2 3" xfId="6419" xr:uid="{6EB8B414-3706-4331-BC2F-BD278B6E1134}"/>
    <cellStyle name="Comma 16 3 6 3 2 3" xfId="6422" xr:uid="{E132BEBB-216C-4A18-B832-FD6C1E6BC73C}"/>
    <cellStyle name="Comma 16 3 6 3 2 3 2" xfId="6424" xr:uid="{2D8CB824-006D-4ABE-BC40-56356F3F6C55}"/>
    <cellStyle name="Comma 16 3 6 3 2 4" xfId="6426" xr:uid="{FA58050E-BAFD-4743-BDA4-23B093B04877}"/>
    <cellStyle name="Comma 16 3 6 3 3" xfId="6427" xr:uid="{96C38453-2D89-49E6-86CF-0A6B6BE7B36F}"/>
    <cellStyle name="Comma 16 3 6 3 3 2" xfId="6429" xr:uid="{CEC5500C-F258-447C-8138-DC2D86974CD2}"/>
    <cellStyle name="Comma 16 3 6 3 3 2 2" xfId="6433" xr:uid="{E319FA99-DAA6-46FD-851B-FA3F69908F97}"/>
    <cellStyle name="Comma 16 3 6 3 3 3" xfId="6436" xr:uid="{5A63C47D-264B-4E30-A817-E0FADA4FFBEF}"/>
    <cellStyle name="Comma 16 3 6 3 4" xfId="6439" xr:uid="{9D694C6E-565F-4FD5-9122-E5B84F025C56}"/>
    <cellStyle name="Comma 16 3 6 3 4 2" xfId="3684" xr:uid="{D389C047-12BD-446B-94E1-45BF4E099C5B}"/>
    <cellStyle name="Comma 16 3 6 3 5" xfId="6442" xr:uid="{4637AF6A-1943-43DC-A3FE-8301B4A1ADD3}"/>
    <cellStyle name="Comma 16 3 6 4" xfId="2075" xr:uid="{2179CB2A-96D1-41F1-8DA4-588AD989B137}"/>
    <cellStyle name="Comma 16 3 6 4 2" xfId="2078" xr:uid="{4231B13C-BD6F-4879-A0BB-2CAB5450E332}"/>
    <cellStyle name="Comma 16 3 6 4 2 2" xfId="6444" xr:uid="{70D7C17D-1C84-42CE-9633-1B590DD75AC3}"/>
    <cellStyle name="Comma 16 3 6 4 2 2 2" xfId="6446" xr:uid="{EEEF118E-FDBA-4D5F-B71F-D105556D805E}"/>
    <cellStyle name="Comma 16 3 6 4 2 3" xfId="3086" xr:uid="{90992F10-C42D-464B-8D62-99FB6D0E56AE}"/>
    <cellStyle name="Comma 16 3 6 4 3" xfId="6447" xr:uid="{C2B4C923-7980-48E7-B21F-B6A105BF06C6}"/>
    <cellStyle name="Comma 16 3 6 4 3 2" xfId="6449" xr:uid="{342E7131-3C3F-44E0-BDDB-AB2A4FE1CDCE}"/>
    <cellStyle name="Comma 16 3 6 4 4" xfId="6450" xr:uid="{08E6F6E7-304B-45D1-B693-02D99D86F9E4}"/>
    <cellStyle name="Comma 16 3 6 5" xfId="2083" xr:uid="{7E74888D-253C-44A4-AD44-BAEAF2805CC3}"/>
    <cellStyle name="Comma 16 3 6 5 2" xfId="6451" xr:uid="{AE79F882-38A5-4897-9F2C-7F30A8A67ECE}"/>
    <cellStyle name="Comma 16 3 6 5 2 2" xfId="6051" xr:uid="{3ECD6411-D790-476E-8A46-4016FF2E42E5}"/>
    <cellStyle name="Comma 16 3 6 5 3" xfId="4226" xr:uid="{88DC570B-1B21-4527-9234-72B817FD68CD}"/>
    <cellStyle name="Comma 16 3 6 6" xfId="6452" xr:uid="{B92FE438-0D05-43F5-A7F7-E2F0D11D48C3}"/>
    <cellStyle name="Comma 16 3 6 6 2" xfId="6453" xr:uid="{423F8F9B-757D-4CA3-8BBE-0012E15F1B63}"/>
    <cellStyle name="Comma 16 3 6 7" xfId="6454" xr:uid="{1AFBFBC2-70F3-4542-B333-C6CADB6C7769}"/>
    <cellStyle name="Comma 16 3 6 8" xfId="6455" xr:uid="{E665B796-0401-4F0F-828B-A7529275D728}"/>
    <cellStyle name="Comma 16 3 7" xfId="6457" xr:uid="{A91A7B0A-15B7-485F-A836-D80737271B36}"/>
    <cellStyle name="Comma 16 3 7 2" xfId="6460" xr:uid="{2E16B017-5F11-4B13-8121-F15037469DAA}"/>
    <cellStyle name="Comma 16 3 7 2 2" xfId="6462" xr:uid="{CCA1C68D-9981-4246-BE61-E5AD253900EE}"/>
    <cellStyle name="Comma 16 3 7 2 2 2" xfId="6465" xr:uid="{E168EE42-8946-4304-9AA7-BD8CB5D3A079}"/>
    <cellStyle name="Comma 16 3 7 2 2 2 2" xfId="6071" xr:uid="{72FED932-2310-4ACC-89C7-EE7DE6F1471C}"/>
    <cellStyle name="Comma 16 3 7 2 2 2 2 2" xfId="5066" xr:uid="{7733CA3D-A85D-47BB-A107-48D6FFACF223}"/>
    <cellStyle name="Comma 16 3 7 2 2 2 3" xfId="4910" xr:uid="{8595867D-51A0-4769-A90F-6D8CCFC7AF75}"/>
    <cellStyle name="Comma 16 3 7 2 2 3" xfId="6468" xr:uid="{B1342741-6A94-488A-B462-6E7083571DF4}"/>
    <cellStyle name="Comma 16 3 7 2 2 3 2" xfId="6474" xr:uid="{02DBFE96-D4A4-4A16-9FF7-26D6802A284A}"/>
    <cellStyle name="Comma 16 3 7 2 2 4" xfId="6478" xr:uid="{0333BF23-AD34-4E12-8D01-923A37D00C71}"/>
    <cellStyle name="Comma 16 3 7 2 3" xfId="6480" xr:uid="{3801669B-7925-491C-949D-229C20F8B2B3}"/>
    <cellStyle name="Comma 16 3 7 2 3 2" xfId="6487" xr:uid="{AC23F05F-7C1B-4167-9570-2EB29C8E6F1C}"/>
    <cellStyle name="Comma 16 3 7 2 3 2 2" xfId="6495" xr:uid="{CB6C0FDB-EF43-4308-9BEA-6C70F1E99B2A}"/>
    <cellStyle name="Comma 16 3 7 2 3 3" xfId="6502" xr:uid="{B2DFC521-5771-48F1-8794-5400E9B18F1F}"/>
    <cellStyle name="Comma 16 3 7 2 4" xfId="6504" xr:uid="{792D3FC6-30AF-4018-843D-36290C4B0A26}"/>
    <cellStyle name="Comma 16 3 7 2 4 2" xfId="6509" xr:uid="{1C4129A0-51FD-418C-B9CF-6FB28ABA6749}"/>
    <cellStyle name="Comma 16 3 7 2 5" xfId="6513" xr:uid="{474F42D0-AA6B-4BA3-8A85-204ADDB25AB0}"/>
    <cellStyle name="Comma 16 3 7 3" xfId="6515" xr:uid="{89AD07AF-ED46-4037-B894-169DA1A3A2A7}"/>
    <cellStyle name="Comma 16 3 7 3 2" xfId="6517" xr:uid="{59B8BE05-D02B-498F-9927-D5EFEB5959DC}"/>
    <cellStyle name="Comma 16 3 7 3 2 2" xfId="6528" xr:uid="{8C50C58A-E191-42ED-8997-B3692DA7F179}"/>
    <cellStyle name="Comma 16 3 7 3 2 2 2" xfId="6537" xr:uid="{59E5BCAA-D97B-42FD-AA58-03F00E7F2DC8}"/>
    <cellStyle name="Comma 16 3 7 3 2 3" xfId="6547" xr:uid="{16CEF909-DA76-42C8-A05C-9450DDA2E6A5}"/>
    <cellStyle name="Comma 16 3 7 3 3" xfId="6549" xr:uid="{28AA556F-603B-4D52-AF79-7B59DA11554F}"/>
    <cellStyle name="Comma 16 3 7 3 3 2" xfId="6557" xr:uid="{42E207A9-75B4-4B54-A9D5-A71004862AE5}"/>
    <cellStyle name="Comma 16 3 7 3 4" xfId="6559" xr:uid="{E9692FC0-3577-468C-94F4-43472755F97E}"/>
    <cellStyle name="Comma 16 3 7 4" xfId="2092" xr:uid="{C776ABDD-E9C0-4691-B11B-4662AB950164}"/>
    <cellStyle name="Comma 16 3 7 4 2" xfId="2098" xr:uid="{534F448F-F765-4D43-94DA-3078FE6C52FB}"/>
    <cellStyle name="Comma 16 3 7 4 2 2" xfId="6568" xr:uid="{E3BAA1B7-372A-40E9-80F0-6E116B6185CE}"/>
    <cellStyle name="Comma 16 3 7 4 3" xfId="6571" xr:uid="{E1AA5340-5A90-4CAC-8B89-8AC137F8B1C0}"/>
    <cellStyle name="Comma 16 3 7 5" xfId="2103" xr:uid="{893FE4C7-0F6C-4EA6-B9B1-AB31F3B6E07E}"/>
    <cellStyle name="Comma 16 3 7 5 2" xfId="6575" xr:uid="{88128AC7-7541-42BA-BCA3-BC084256073F}"/>
    <cellStyle name="Comma 16 3 7 6" xfId="2107" xr:uid="{39543F63-C79B-47FA-9757-70A3F79EB5C8}"/>
    <cellStyle name="Comma 16 3 7 7" xfId="6025" xr:uid="{5696A340-7019-4F85-AE82-CFD7D2229794}"/>
    <cellStyle name="Comma 16 3 8" xfId="6576" xr:uid="{5D347F9B-B187-45AF-AE58-74C13759DE6D}"/>
    <cellStyle name="Comma 16 3 8 2" xfId="6580" xr:uid="{F0A8E0B2-9D99-4BD7-9E8C-938E3BCEEDB9}"/>
    <cellStyle name="Comma 16 3 8 2 2" xfId="6583" xr:uid="{4722A112-8F8B-4A1A-8F7A-C9E802D1714A}"/>
    <cellStyle name="Comma 16 3 8 2 2 2" xfId="5890" xr:uid="{C7992CAF-BC01-404F-88F4-1D9DE8771DDD}"/>
    <cellStyle name="Comma 16 3 8 2 2 2 2" xfId="3024" xr:uid="{2EF738D7-A8BE-419D-A490-3D08364EC832}"/>
    <cellStyle name="Comma 16 3 8 2 2 3" xfId="5894" xr:uid="{66EC9E4C-9FF1-40FC-B249-62DD0984BCAE}"/>
    <cellStyle name="Comma 16 3 8 2 3" xfId="6584" xr:uid="{0E262EB9-DF28-47EE-A2BD-02C0E2BD12B2}"/>
    <cellStyle name="Comma 16 3 8 2 3 2" xfId="1134" xr:uid="{2F9A2F8F-30D8-4133-8DF2-91FDC086AAB5}"/>
    <cellStyle name="Comma 16 3 8 2 4" xfId="6585" xr:uid="{463F1F0B-ADD3-4087-98A6-A05E2C52A100}"/>
    <cellStyle name="Comma 16 3 8 3" xfId="6589" xr:uid="{410CDD5E-7AE3-4B52-92DB-7BC02D5B86F4}"/>
    <cellStyle name="Comma 16 3 8 3 2" xfId="6592" xr:uid="{BB97442B-ACEC-4590-8F42-1B01202D61A8}"/>
    <cellStyle name="Comma 16 3 8 3 2 2" xfId="6283" xr:uid="{D9FB74A8-01AA-4DB9-B38D-6FED0944EB9B}"/>
    <cellStyle name="Comma 16 3 8 3 3" xfId="6594" xr:uid="{448314DA-8685-496D-9ED0-0CAE744614E0}"/>
    <cellStyle name="Comma 16 3 8 4" xfId="2116" xr:uid="{CF7FF850-D807-4201-A4E6-1F26FCF346FA}"/>
    <cellStyle name="Comma 16 3 8 4 2" xfId="6597" xr:uid="{BBE87E75-70BA-4954-9CC7-51C930B73512}"/>
    <cellStyle name="Comma 16 3 8 5" xfId="6600" xr:uid="{EAFF8C4F-BAF4-4C0A-98AD-18B81049A5C8}"/>
    <cellStyle name="Comma 16 3 9" xfId="6601" xr:uid="{2BBD75B7-A282-4E56-BC85-898D082C04B7}"/>
    <cellStyle name="Comma 16 3 9 2" xfId="6603" xr:uid="{F47039B9-C66A-4822-894F-E9CBCAC4ED45}"/>
    <cellStyle name="Comma 16 3 9 2 2" xfId="6605" xr:uid="{DB33B4C8-B5D2-4723-B4D1-59FCEC5EB00B}"/>
    <cellStyle name="Comma 16 3 9 2 2 2" xfId="6608" xr:uid="{20035209-5DD3-40F4-A5BC-AF32FE0461A8}"/>
    <cellStyle name="Comma 16 3 9 2 3" xfId="6609" xr:uid="{0E34B272-AC96-4DC1-A53C-EF65290CB993}"/>
    <cellStyle name="Comma 16 3 9 3" xfId="6611" xr:uid="{F48F298E-FA8B-42D8-B35B-9FC5932ECE31}"/>
    <cellStyle name="Comma 16 3 9 3 2" xfId="6612" xr:uid="{52B30DA0-1666-47AB-998C-358B6E8AF101}"/>
    <cellStyle name="Comma 16 3 9 4" xfId="6613" xr:uid="{D0C0F295-8EE7-42CF-A722-5F7AFE8BB877}"/>
    <cellStyle name="Comma 16 4" xfId="6623" xr:uid="{63FD8923-ECDA-4BA1-93E5-A2DCAC97FD3F}"/>
    <cellStyle name="Comma 16 4 10" xfId="5654" xr:uid="{E44F2FA2-6233-448A-8595-CA54AF9BF52E}"/>
    <cellStyle name="Comma 16 4 11" xfId="5663" xr:uid="{00B98333-DE88-4E17-A645-FB5B926A3EF8}"/>
    <cellStyle name="Comma 16 4 12" xfId="5668" xr:uid="{96EA0F4E-EFAE-47E0-BECB-37FA1CF3B4A0}"/>
    <cellStyle name="Comma 16 4 2" xfId="6630" xr:uid="{CACC4B8A-9765-4D60-9265-E80447BCA039}"/>
    <cellStyle name="Comma 16 4 2 10" xfId="6632" xr:uid="{952F94BA-D355-468A-A5CC-5A552FA3FA62}"/>
    <cellStyle name="Comma 16 4 2 2" xfId="6637" xr:uid="{A495E5D6-1B23-41F9-AE22-F4A03979BA03}"/>
    <cellStyle name="Comma 16 4 2 2 2" xfId="4143" xr:uid="{5F2D02B4-587E-4F8F-8FBA-EE27760ECAE0}"/>
    <cellStyle name="Comma 16 4 2 2 2 2" xfId="900" xr:uid="{3CAE97D4-B6FE-4841-B0B6-7AF30D9A9D8B}"/>
    <cellStyle name="Comma 16 4 2 2 2 2 2" xfId="6638" xr:uid="{630262DB-2A75-4DE3-BCEA-35BD7A724EF3}"/>
    <cellStyle name="Comma 16 4 2 2 2 2 2 2" xfId="6085" xr:uid="{2B7265D1-3333-4D0F-A7B7-D5B1151596D4}"/>
    <cellStyle name="Comma 16 4 2 2 2 2 2 2 2" xfId="6090" xr:uid="{5162C410-E8D5-4DE9-B5ED-48D844BA3967}"/>
    <cellStyle name="Comma 16 4 2 2 2 2 2 2 2 2" xfId="5580" xr:uid="{51FAB191-DC66-4D01-A7F3-DF06782DE551}"/>
    <cellStyle name="Comma 16 4 2 2 2 2 2 2 2 2 2" xfId="6639" xr:uid="{289AEA18-006B-460F-AB83-1D13B6F3DF9A}"/>
    <cellStyle name="Comma 16 4 2 2 2 2 2 2 2 3" xfId="6641" xr:uid="{D5956F11-3BA7-492B-9AB8-4ADBE5C0DD0F}"/>
    <cellStyle name="Comma 16 4 2 2 2 2 2 2 3" xfId="6094" xr:uid="{AD4E1206-9BC4-40A4-94FB-971ED07D2E5B}"/>
    <cellStyle name="Comma 16 4 2 2 2 2 2 2 3 2" xfId="393" xr:uid="{91AC4C0E-7A74-4E3C-A685-074B1B237659}"/>
    <cellStyle name="Comma 16 4 2 2 2 2 2 2 4" xfId="3178" xr:uid="{47D6D26F-3E4B-480E-A656-11C3F15E93D2}"/>
    <cellStyle name="Comma 16 4 2 2 2 2 2 3" xfId="6096" xr:uid="{EC276A81-9F79-4BFC-9C1B-2D5D415D12AE}"/>
    <cellStyle name="Comma 16 4 2 2 2 2 2 3 2" xfId="6101" xr:uid="{8EEB56AD-C53A-4F34-A4F2-0ACE897AB397}"/>
    <cellStyle name="Comma 16 4 2 2 2 2 2 3 2 2" xfId="6642" xr:uid="{768146C8-CF4F-4CC4-917D-89EAB76F9723}"/>
    <cellStyle name="Comma 16 4 2 2 2 2 2 3 3" xfId="6644" xr:uid="{ED94E8F4-60B5-4EEC-B857-A8A325FB2045}"/>
    <cellStyle name="Comma 16 4 2 2 2 2 2 4" xfId="6105" xr:uid="{550DEE4C-1397-404D-A250-37E52F67856E}"/>
    <cellStyle name="Comma 16 4 2 2 2 2 2 4 2" xfId="5614" xr:uid="{4A7E6BD1-24B1-4005-8F62-8C9714541193}"/>
    <cellStyle name="Comma 16 4 2 2 2 2 2 5" xfId="6472" xr:uid="{57F69C2A-D84B-4BF3-8E40-AB205746F407}"/>
    <cellStyle name="Comma 16 4 2 2 2 2 3" xfId="760" xr:uid="{504686E7-FACC-4A53-99C7-822368D701BF}"/>
    <cellStyle name="Comma 16 4 2 2 2 2 3 2" xfId="6119" xr:uid="{CD0F5C25-0507-42D3-B15A-AD670AB0B683}"/>
    <cellStyle name="Comma 16 4 2 2 2 2 3 2 2" xfId="6130" xr:uid="{630141BB-E695-40B0-A03C-7D984E59EE5B}"/>
    <cellStyle name="Comma 16 4 2 2 2 2 3 2 2 2" xfId="6653" xr:uid="{79B86535-77B1-4082-AAC1-8BA2493DD7DF}"/>
    <cellStyle name="Comma 16 4 2 2 2 2 3 2 3" xfId="6662" xr:uid="{F4975062-3CD0-4EEF-9A16-672203977A60}"/>
    <cellStyle name="Comma 16 4 2 2 2 2 3 3" xfId="6132" xr:uid="{F2DBAFB4-135E-463D-B9CB-986EDC4A0C3E}"/>
    <cellStyle name="Comma 16 4 2 2 2 2 3 3 2" xfId="4304" xr:uid="{E0367E9D-B3AA-4ACC-A31A-606BA35B4ABD}"/>
    <cellStyle name="Comma 16 4 2 2 2 2 3 4" xfId="6664" xr:uid="{ADEE0BB7-B037-4335-91FA-E3F91640D77B}"/>
    <cellStyle name="Comma 16 4 2 2 2 2 4" xfId="764" xr:uid="{AC5A45BF-46EF-43FC-A7F3-B0150D3E4E82}"/>
    <cellStyle name="Comma 16 4 2 2 2 2 4 2" xfId="5867" xr:uid="{F4836C1B-3E31-497C-9ED1-46C41EBE1E27}"/>
    <cellStyle name="Comma 16 4 2 2 2 2 4 2 2" xfId="5086" xr:uid="{7F0C7E16-120E-4CB4-B394-88DF2A4F2779}"/>
    <cellStyle name="Comma 16 4 2 2 2 2 4 3" xfId="5871" xr:uid="{60A6925E-2F60-450D-ACF9-3F0F28E0F332}"/>
    <cellStyle name="Comma 16 4 2 2 2 2 5" xfId="775" xr:uid="{AFD65DD9-E0F9-4E07-838D-06C5D05E680C}"/>
    <cellStyle name="Comma 16 4 2 2 2 2 5 2" xfId="5875" xr:uid="{4D20529C-5950-43A0-9576-538A569A527B}"/>
    <cellStyle name="Comma 16 4 2 2 2 2 6" xfId="783" xr:uid="{2DFF1357-4B94-4A28-A62F-BA20C1CB639D}"/>
    <cellStyle name="Comma 16 4 2 2 2 2 7" xfId="793" xr:uid="{5936A23B-533E-427A-9518-33C99C19E4CA}"/>
    <cellStyle name="Comma 16 4 2 2 2 3" xfId="905" xr:uid="{A75EAB31-13FB-4C94-B53D-3AA3F83D5549}"/>
    <cellStyle name="Comma 16 4 2 2 2 3 2" xfId="6665" xr:uid="{F6FEE5A9-E3AF-4D12-AD4D-E3852EEC9BD1}"/>
    <cellStyle name="Comma 16 4 2 2 2 3 2 2" xfId="6250" xr:uid="{70FF8CE1-6242-4131-884A-87B9C7388558}"/>
    <cellStyle name="Comma 16 4 2 2 2 3 2 2 2" xfId="6262" xr:uid="{2F914542-96EA-4CBA-B412-52CD3EECA9F7}"/>
    <cellStyle name="Comma 16 4 2 2 2 3 2 2 2 2" xfId="6311" xr:uid="{98F908DD-0DFC-46D6-972F-64A8DB3DDA62}"/>
    <cellStyle name="Comma 16 4 2 2 2 3 2 2 3" xfId="6015" xr:uid="{2E2A9129-7065-4808-ACAA-ABB283354469}"/>
    <cellStyle name="Comma 16 4 2 2 2 3 2 3" xfId="6266" xr:uid="{E5EF73AA-1736-4792-9328-4392640D207E}"/>
    <cellStyle name="Comma 16 4 2 2 2 3 2 3 2" xfId="6666" xr:uid="{287565B1-3364-4EB9-AE4E-DB6856741599}"/>
    <cellStyle name="Comma 16 4 2 2 2 3 2 4" xfId="6669" xr:uid="{ACAEDED2-0D15-471E-9466-14FF8F9AFBBC}"/>
    <cellStyle name="Comma 16 4 2 2 2 3 3" xfId="193" xr:uid="{5A887D27-FA13-4B34-94A9-6B33788AD08E}"/>
    <cellStyle name="Comma 16 4 2 2 2 3 3 2" xfId="3078" xr:uid="{0A32C1D2-60D5-4B00-A1D7-C808831D4A1D}"/>
    <cellStyle name="Comma 16 4 2 2 2 3 3 2 2" xfId="6672" xr:uid="{269CDF56-DE34-442F-BBE6-3AA0F2D3E2DE}"/>
    <cellStyle name="Comma 16 4 2 2 2 3 3 3" xfId="3081" xr:uid="{D2204C14-F2FD-4F60-96FD-4B5C58E557B0}"/>
    <cellStyle name="Comma 16 4 2 2 2 3 4" xfId="5884" xr:uid="{AEE7F928-53E7-4267-8F47-C2FE199DC879}"/>
    <cellStyle name="Comma 16 4 2 2 2 3 4 2" xfId="3201" xr:uid="{6C50126C-239B-4102-B904-E01A253978FB}"/>
    <cellStyle name="Comma 16 4 2 2 2 3 5" xfId="5705" xr:uid="{39AEAB4E-541C-42B6-BBB3-A08E68871AA3}"/>
    <cellStyle name="Comma 16 4 2 2 2 4" xfId="910" xr:uid="{859AD846-FE08-4519-8569-C0AD99FF605E}"/>
    <cellStyle name="Comma 16 4 2 2 2 4 2" xfId="2930" xr:uid="{D821DCE5-3D48-40D2-8554-B6F9EF1A1B9F}"/>
    <cellStyle name="Comma 16 4 2 2 2 4 2 2" xfId="2932" xr:uid="{18F54203-067F-4FD4-8FCD-1DEFEB9F6F7A}"/>
    <cellStyle name="Comma 16 4 2 2 2 4 2 2 2" xfId="2937" xr:uid="{C413BF54-55F4-474B-A060-205412082612}"/>
    <cellStyle name="Comma 16 4 2 2 2 4 2 3" xfId="2943" xr:uid="{9ED12434-5609-411D-822C-7E20ED73AC01}"/>
    <cellStyle name="Comma 16 4 2 2 2 4 3" xfId="811" xr:uid="{79F4F56D-35D6-49FE-94B8-F242C7B4A7A4}"/>
    <cellStyle name="Comma 16 4 2 2 2 4 3 2" xfId="2954" xr:uid="{386D3BC3-29AC-448E-A613-5A348F20807D}"/>
    <cellStyle name="Comma 16 4 2 2 2 4 4" xfId="2968" xr:uid="{B2819B07-B6E7-4840-A82E-572F7886658C}"/>
    <cellStyle name="Comma 16 4 2 2 2 5" xfId="914" xr:uid="{0D4C263A-ED73-4B4F-9C63-7F38479FE050}"/>
    <cellStyle name="Comma 16 4 2 2 2 5 2" xfId="640" xr:uid="{A5D0473E-940F-47D9-9589-EBC8C82F73F3}"/>
    <cellStyle name="Comma 16 4 2 2 2 5 2 2" xfId="3010" xr:uid="{7BB70364-F679-48AD-8037-D74AA30F417B}"/>
    <cellStyle name="Comma 16 4 2 2 2 5 3" xfId="642" xr:uid="{5D286809-ED4C-4C0F-9997-7EDC1CF5FE8D}"/>
    <cellStyle name="Comma 16 4 2 2 2 6" xfId="917" xr:uid="{2E3946CB-B605-4C64-BD39-34850DC4445C}"/>
    <cellStyle name="Comma 16 4 2 2 2 6 2" xfId="3047" xr:uid="{5F43BC36-E2B5-4FFB-9A47-FAA3353321EE}"/>
    <cellStyle name="Comma 16 4 2 2 2 7" xfId="920" xr:uid="{E3689FB9-165A-4E62-AB46-7B13D76CD06F}"/>
    <cellStyle name="Comma 16 4 2 2 2 8" xfId="924" xr:uid="{384E7560-3B67-40A2-AE55-879DC53127D0}"/>
    <cellStyle name="Comma 16 4 2 2 3" xfId="6676" xr:uid="{260A0C77-59B1-4463-839F-BAA780423320}"/>
    <cellStyle name="Comma 16 4 2 2 3 2" xfId="6677" xr:uid="{B242CDD7-6C66-4EBD-AA03-F9EC20CE72D4}"/>
    <cellStyle name="Comma 16 4 2 2 3 2 2" xfId="6680" xr:uid="{75A79F92-8691-4278-84AB-C2CD3697BB99}"/>
    <cellStyle name="Comma 16 4 2 2 3 2 2 2" xfId="6365" xr:uid="{B4507C64-FD2B-4D3A-9B08-60D5E7FABA0E}"/>
    <cellStyle name="Comma 16 4 2 2 3 2 2 2 2" xfId="6370" xr:uid="{132A0171-2D35-4AFA-855C-C48F5662120B}"/>
    <cellStyle name="Comma 16 4 2 2 3 2 2 2 2 2" xfId="6681" xr:uid="{5716AE70-02AF-4B3B-AFE5-809DBF80355E}"/>
    <cellStyle name="Comma 16 4 2 2 3 2 2 2 3" xfId="6683" xr:uid="{96F0830F-FDE3-491F-8C2A-1B8A0088B644}"/>
    <cellStyle name="Comma 16 4 2 2 3 2 2 3" xfId="6374" xr:uid="{7DBD40B5-D7E7-46B8-B467-C5E50887FE38}"/>
    <cellStyle name="Comma 16 4 2 2 3 2 2 3 2" xfId="6684" xr:uid="{2CCE9DD1-E055-42F6-AD93-60D66DC6D0FD}"/>
    <cellStyle name="Comma 16 4 2 2 3 2 2 4" xfId="6686" xr:uid="{1A7E0974-6161-4D86-BF21-DF0DF5831886}"/>
    <cellStyle name="Comma 16 4 2 2 3 2 3" xfId="844" xr:uid="{856E26AC-9323-4CBC-B974-F2C83868DA0B}"/>
    <cellStyle name="Comma 16 4 2 2 3 2 3 2" xfId="6390" xr:uid="{695DE45B-8200-4F63-BA95-860AAF500FDC}"/>
    <cellStyle name="Comma 16 4 2 2 3 2 3 2 2" xfId="6693" xr:uid="{95AD16B0-7D3E-4AD7-A56D-3412F408EB0D}"/>
    <cellStyle name="Comma 16 4 2 2 3 2 3 3" xfId="6694" xr:uid="{E8E7987B-B761-4B69-AA09-8E0B0AFA1BD7}"/>
    <cellStyle name="Comma 16 4 2 2 3 2 4" xfId="848" xr:uid="{8C2A81EE-8A88-4209-B740-4F51BB1106CB}"/>
    <cellStyle name="Comma 16 4 2 2 3 2 4 2" xfId="5946" xr:uid="{44E50F73-1813-4EE4-866D-C5C7B0BD25BF}"/>
    <cellStyle name="Comma 16 4 2 2 3 2 5" xfId="851" xr:uid="{3D1160BB-8868-44F2-99DE-BD3A3AF7B458}"/>
    <cellStyle name="Comma 16 4 2 2 3 3" xfId="6695" xr:uid="{8ADAE160-B913-490B-928A-888854EB1534}"/>
    <cellStyle name="Comma 16 4 2 2 3 3 2" xfId="6698" xr:uid="{277FC93A-8F9A-409C-B029-BE74EE9FE96D}"/>
    <cellStyle name="Comma 16 4 2 2 3 3 2 2" xfId="6434" xr:uid="{A2D3C1AB-78BB-4CCC-B614-2403DC33E5E7}"/>
    <cellStyle name="Comma 16 4 2 2 3 3 2 2 2" xfId="6699" xr:uid="{E0CB52AA-9A8C-410E-B903-2E28322AD59C}"/>
    <cellStyle name="Comma 16 4 2 2 3 3 2 3" xfId="6700" xr:uid="{664C3DAF-5D62-472B-B1AB-5523FE484D2A}"/>
    <cellStyle name="Comma 16 4 2 2 3 3 3" xfId="864" xr:uid="{7680B118-856D-41BE-A510-28959B158DA3}"/>
    <cellStyle name="Comma 16 4 2 2 3 3 3 2" xfId="3689" xr:uid="{92013863-DF90-403E-AB81-5286DD80B7B5}"/>
    <cellStyle name="Comma 16 4 2 2 3 3 4" xfId="5952" xr:uid="{FB48F7EE-678A-4EEF-8F3D-BD962A5FDA80}"/>
    <cellStyle name="Comma 16 4 2 2 3 4" xfId="6701" xr:uid="{12330E3B-BF6D-4D1F-9BF7-044C6D0844BE}"/>
    <cellStyle name="Comma 16 4 2 2 3 4 2" xfId="3120" xr:uid="{A7AA6A60-7752-47FD-A08B-3BD1A7F76D75}"/>
    <cellStyle name="Comma 16 4 2 2 3 4 2 2" xfId="3122" xr:uid="{2F4DB61F-2682-4FD7-A386-AE381B32092D}"/>
    <cellStyle name="Comma 16 4 2 2 3 4 3" xfId="56" xr:uid="{E9B5C4BC-7B48-4582-9B70-7C374E86C3EB}"/>
    <cellStyle name="Comma 16 4 2 2 3 5" xfId="6705" xr:uid="{104506BA-807E-48F0-8D56-B195A28B6984}"/>
    <cellStyle name="Comma 16 4 2 2 3 5 2" xfId="3164" xr:uid="{36B30C6A-D5A9-4819-AB41-D94FF5CCFBD9}"/>
    <cellStyle name="Comma 16 4 2 2 3 6" xfId="6706" xr:uid="{6241A874-DE33-4CD8-BBC8-B3CFA3C170F7}"/>
    <cellStyle name="Comma 16 4 2 2 3 7" xfId="6708" xr:uid="{BABB3B1D-E65A-4533-A6D0-7B4673C73917}"/>
    <cellStyle name="Comma 16 4 2 2 4" xfId="6710" xr:uid="{1A8A3F07-59C1-4F1F-8721-A74EE91A8DDD}"/>
    <cellStyle name="Comma 16 4 2 2 4 2" xfId="6711" xr:uid="{23B3E74F-67B2-4E55-A2B7-A2E8F56FAFDE}"/>
    <cellStyle name="Comma 16 4 2 2 4 2 2" xfId="6715" xr:uid="{F5432A50-5A64-4A49-92CA-AC63D4EF0B2C}"/>
    <cellStyle name="Comma 16 4 2 2 4 2 2 2" xfId="6499" xr:uid="{AE40B17B-5C3C-4953-BC53-B2FA67105C5D}"/>
    <cellStyle name="Comma 16 4 2 2 4 2 2 2 2" xfId="6722" xr:uid="{39AD28BA-59F2-4CD4-B20E-888953CB82B9}"/>
    <cellStyle name="Comma 16 4 2 2 4 2 2 3" xfId="6726" xr:uid="{34A55E05-3A0C-4380-BA46-9A13B484744A}"/>
    <cellStyle name="Comma 16 4 2 2 4 2 3" xfId="6731" xr:uid="{97BBE403-2D53-490F-93B8-73063BEA779B}"/>
    <cellStyle name="Comma 16 4 2 2 4 2 3 2" xfId="6736" xr:uid="{C5CA15E7-97CA-43D2-9028-719081AFE3FC}"/>
    <cellStyle name="Comma 16 4 2 2 4 2 4" xfId="5975" xr:uid="{B179D269-5638-4D99-9845-412AC8FF0886}"/>
    <cellStyle name="Comma 16 4 2 2 4 3" xfId="6737" xr:uid="{82908D4C-6040-45E4-ACEB-3BAC05867A50}"/>
    <cellStyle name="Comma 16 4 2 2 4 3 2" xfId="6743" xr:uid="{8D914C8C-3B9F-447C-A50E-B6FC4E109954}"/>
    <cellStyle name="Comma 16 4 2 2 4 3 2 2" xfId="6747" xr:uid="{2E088EBB-B940-45A1-A652-51780A3121BE}"/>
    <cellStyle name="Comma 16 4 2 2 4 3 3" xfId="6748" xr:uid="{2AC8493F-6289-42CE-8A63-1D45DF640063}"/>
    <cellStyle name="Comma 16 4 2 2 4 4" xfId="6749" xr:uid="{BC6AE692-E479-45AF-9787-FCA58C92BC57}"/>
    <cellStyle name="Comma 16 4 2 2 4 4 2" xfId="3217" xr:uid="{AC8D0261-6E28-4D38-B995-0DDB626614FC}"/>
    <cellStyle name="Comma 16 4 2 2 4 5" xfId="6754" xr:uid="{D8C6BE6B-EB9D-46DA-A5AF-ACFA027726E8}"/>
    <cellStyle name="Comma 16 4 2 2 5" xfId="4723" xr:uid="{483E0E7F-B7DF-493B-8CEC-3A8775D8E72F}"/>
    <cellStyle name="Comma 16 4 2 2 5 2" xfId="6760" xr:uid="{6B0F086B-79DC-4BCD-B39A-3A00F88900E8}"/>
    <cellStyle name="Comma 16 4 2 2 5 2 2" xfId="6763" xr:uid="{C7A68329-5130-44F4-A6C4-F672A42D2909}"/>
    <cellStyle name="Comma 16 4 2 2 5 2 2 2" xfId="1145" xr:uid="{A27F2E37-6450-431C-B6F1-962B297FE1A1}"/>
    <cellStyle name="Comma 16 4 2 2 5 2 3" xfId="70" xr:uid="{D39D7452-A164-4977-BDB5-DE0CA7B2648B}"/>
    <cellStyle name="Comma 16 4 2 2 5 3" xfId="6766" xr:uid="{E76FCBFF-16BC-4FF1-AC63-42B5410B1A39}"/>
    <cellStyle name="Comma 16 4 2 2 5 3 2" xfId="6774" xr:uid="{8E909539-0C1F-44EE-A6A5-E2DBBB0F7155}"/>
    <cellStyle name="Comma 16 4 2 2 5 4" xfId="6777" xr:uid="{BEAD9A35-D403-41B4-B71A-EBEE0E08BF14}"/>
    <cellStyle name="Comma 16 4 2 2 6" xfId="6786" xr:uid="{8E8397B4-1C90-41B5-99FC-B8133CAE0759}"/>
    <cellStyle name="Comma 16 4 2 2 6 2" xfId="6791" xr:uid="{81FB37D8-E55B-45CE-AE0E-A1E9DE670187}"/>
    <cellStyle name="Comma 16 4 2 2 6 2 2" xfId="6456" xr:uid="{ECB5A677-5E9D-413F-B737-FE53159A914C}"/>
    <cellStyle name="Comma 16 4 2 2 6 3" xfId="6796" xr:uid="{6D7E1455-CD74-4DAD-96B0-0D00C1C821CF}"/>
    <cellStyle name="Comma 16 4 2 2 7" xfId="6801" xr:uid="{B6E5856D-DBE2-4BEC-B8C5-A2BB772CD94E}"/>
    <cellStyle name="Comma 16 4 2 2 7 2" xfId="6808" xr:uid="{F09C05AC-3303-4851-828C-E0D6DE3447FD}"/>
    <cellStyle name="Comma 16 4 2 2 8" xfId="6788" xr:uid="{8F55AD4B-ED3C-4320-B808-6FF44ABBE1AE}"/>
    <cellStyle name="Comma 16 4 2 2 9" xfId="6793" xr:uid="{D3119566-EDAC-42C7-B794-9F14B8AB10DC}"/>
    <cellStyle name="Comma 16 4 2 3" xfId="6813" xr:uid="{E078D52F-D811-4F87-9D60-13A9D56A01FC}"/>
    <cellStyle name="Comma 16 4 2 3 2" xfId="6817" xr:uid="{36A9AC2B-D064-4996-B267-E1A1C5C7FB88}"/>
    <cellStyle name="Comma 16 4 2 3 2 2" xfId="6818" xr:uid="{5F2C29E0-0929-42E9-BFD3-74899CFBFA44}"/>
    <cellStyle name="Comma 16 4 2 3 2 2 2" xfId="3029" xr:uid="{813FA455-B6A1-4332-89CC-5DF1C88BE2C3}"/>
    <cellStyle name="Comma 16 4 2 3 2 2 2 2" xfId="3035" xr:uid="{8EA70A62-279D-4351-9037-8313D9EF947F}"/>
    <cellStyle name="Comma 16 4 2 3 2 2 2 2 2" xfId="3037" xr:uid="{E7F311C3-52E1-4CAB-A945-C99006A57413}"/>
    <cellStyle name="Comma 16 4 2 3 2 2 2 2 2 2" xfId="3039" xr:uid="{B1FC5FB1-3F28-4B01-9C36-46F004D2963A}"/>
    <cellStyle name="Comma 16 4 2 3 2 2 2 2 3" xfId="3044" xr:uid="{3C6B700F-5945-4437-82D9-A95843BEA330}"/>
    <cellStyle name="Comma 16 4 2 3 2 2 2 3" xfId="3046" xr:uid="{57B40924-512F-4392-B831-5784F2CACD0D}"/>
    <cellStyle name="Comma 16 4 2 3 2 2 2 3 2" xfId="3049" xr:uid="{5508FAB4-83CC-441D-A21A-E527A96ACC89}"/>
    <cellStyle name="Comma 16 4 2 3 2 2 2 4" xfId="3056" xr:uid="{B37753C1-27E5-4201-99AD-4B2B49DB6E20}"/>
    <cellStyle name="Comma 16 4 2 3 2 2 3" xfId="3057" xr:uid="{00B9624C-358F-4D99-975F-B1876AC52C77}"/>
    <cellStyle name="Comma 16 4 2 3 2 2 3 2" xfId="3060" xr:uid="{66D719F7-964F-4FF2-8E98-5BEB5FF36132}"/>
    <cellStyle name="Comma 16 4 2 3 2 2 3 2 2" xfId="3062" xr:uid="{2B3AC147-B325-45BA-80D9-6C6FFFF1F897}"/>
    <cellStyle name="Comma 16 4 2 3 2 2 3 3" xfId="3064" xr:uid="{69373C3D-1B0B-4CFF-AE77-4CEEE2A4CCB1}"/>
    <cellStyle name="Comma 16 4 2 3 2 2 4" xfId="3067" xr:uid="{2F290F2D-A0F8-4D12-BF7D-4ACBBB582D55}"/>
    <cellStyle name="Comma 16 4 2 3 2 2 4 2" xfId="3074" xr:uid="{B781F49B-49FE-4526-A871-8AD726C74B2A}"/>
    <cellStyle name="Comma 16 4 2 3 2 2 5" xfId="3077" xr:uid="{26435289-BCDC-43CE-9C89-892B6E783547}"/>
    <cellStyle name="Comma 16 4 2 3 2 3" xfId="6819" xr:uid="{AB8C9587-4D05-4517-A3DE-640CF1A57341}"/>
    <cellStyle name="Comma 16 4 2 3 2 3 2" xfId="3168" xr:uid="{57BD44C1-8016-406C-A046-ADD772BDC12A}"/>
    <cellStyle name="Comma 16 4 2 3 2 3 2 2" xfId="3172" xr:uid="{8B69831F-1075-403A-A9AE-14B3C3CD24C4}"/>
    <cellStyle name="Comma 16 4 2 3 2 3 2 2 2" xfId="3176" xr:uid="{E1C43F25-4C1F-4091-824D-28D325D37541}"/>
    <cellStyle name="Comma 16 4 2 3 2 3 2 3" xfId="3180" xr:uid="{938989EC-DD57-4AB2-AD34-6056D24133C0}"/>
    <cellStyle name="Comma 16 4 2 3 2 3 3" xfId="3182" xr:uid="{BB5C6993-2210-406A-B5DE-0CC6E00B16BC}"/>
    <cellStyle name="Comma 16 4 2 3 2 3 3 2" xfId="3187" xr:uid="{92975785-4B90-43D7-9FE2-44659C3ACB36}"/>
    <cellStyle name="Comma 16 4 2 3 2 3 4" xfId="3193" xr:uid="{D8293314-9ED9-4F74-B4D7-80802A9CFA05}"/>
    <cellStyle name="Comma 16 4 2 3 2 4" xfId="6822" xr:uid="{0BB3E0C6-E3D8-45FD-B797-3FE0254F00BB}"/>
    <cellStyle name="Comma 16 4 2 3 2 4 2" xfId="3243" xr:uid="{A19B3FCB-94DE-4344-9AA0-B259034B2F43}"/>
    <cellStyle name="Comma 16 4 2 3 2 4 2 2" xfId="1444" xr:uid="{3E3E3203-8406-4FFB-8328-68ABAEC2ECCC}"/>
    <cellStyle name="Comma 16 4 2 3 2 4 3" xfId="3249" xr:uid="{8707DD6B-1BF3-41A6-8129-38692B74CD50}"/>
    <cellStyle name="Comma 16 4 2 3 2 5" xfId="6823" xr:uid="{FE118563-3B8D-4C8E-9A94-C9A99F964F9E}"/>
    <cellStyle name="Comma 16 4 2 3 2 5 2" xfId="3268" xr:uid="{169DA709-D88E-4048-812F-23BE874DACC3}"/>
    <cellStyle name="Comma 16 4 2 3 2 6" xfId="6825" xr:uid="{B0AD0684-A352-4CCD-8E05-C9E2C570BDB6}"/>
    <cellStyle name="Comma 16 4 2 3 2 7" xfId="52" xr:uid="{78615C54-D4C0-4FF7-9CFE-BF49D192B871}"/>
    <cellStyle name="Comma 16 4 2 3 3" xfId="2780" xr:uid="{BC097DC7-42DF-49A0-A1A4-6592553B224A}"/>
    <cellStyle name="Comma 16 4 2 3 3 2" xfId="2791" xr:uid="{A5B94ED1-CF62-4BBC-8A6B-F1DB87DB42C8}"/>
    <cellStyle name="Comma 16 4 2 3 3 2 2" xfId="3339" xr:uid="{AC216E95-59F1-4ED7-BB61-7068BDAECC89}"/>
    <cellStyle name="Comma 16 4 2 3 3 2 2 2" xfId="3277" xr:uid="{755799E6-D201-432A-A57F-2E11023C9BCB}"/>
    <cellStyle name="Comma 16 4 2 3 3 2 2 2 2" xfId="3343" xr:uid="{B3736230-841A-405E-B261-1CDAB003344C}"/>
    <cellStyle name="Comma 16 4 2 3 3 2 2 3" xfId="3346" xr:uid="{01351DC6-CC6A-472F-8514-E7B528A28504}"/>
    <cellStyle name="Comma 16 4 2 3 3 2 3" xfId="3349" xr:uid="{A0DC6A9A-B852-467C-8771-DEF10E3B07BD}"/>
    <cellStyle name="Comma 16 4 2 3 3 2 3 2" xfId="3352" xr:uid="{36F949CD-CBFA-4574-A09A-5209D61A6D7F}"/>
    <cellStyle name="Comma 16 4 2 3 3 2 4" xfId="3356" xr:uid="{40FC48FB-D258-4471-AB73-6C3A11ED4AAF}"/>
    <cellStyle name="Comma 16 4 2 3 3 3" xfId="6831" xr:uid="{F082D6DF-700B-4CD5-966F-F172409A5D98}"/>
    <cellStyle name="Comma 16 4 2 3 3 3 2" xfId="3408" xr:uid="{4BE70204-3A64-4D8F-AFA0-29159408CCA2}"/>
    <cellStyle name="Comma 16 4 2 3 3 3 2 2" xfId="3414" xr:uid="{C179B426-E500-4B26-BCA8-C92F4DC4E6FF}"/>
    <cellStyle name="Comma 16 4 2 3 3 3 3" xfId="3415" xr:uid="{06D6F723-9C74-4420-B583-A11054F41BE9}"/>
    <cellStyle name="Comma 16 4 2 3 3 4" xfId="6842" xr:uid="{A5A5E4B6-688E-447F-928C-E44BAC212F68}"/>
    <cellStyle name="Comma 16 4 2 3 3 4 2" xfId="3383" xr:uid="{41CBEE1A-D0E4-4424-9FF0-0ADC44CA47A8}"/>
    <cellStyle name="Comma 16 4 2 3 3 5" xfId="6849" xr:uid="{0F47AE98-6DE1-4663-A983-9B737AFB2D53}"/>
    <cellStyle name="Comma 16 4 2 3 4" xfId="2801" xr:uid="{FB0C9756-1E5F-470A-B7EE-A83AE4F58E09}"/>
    <cellStyle name="Comma 16 4 2 3 4 2" xfId="2807" xr:uid="{2EBE5DA4-221B-400C-A67A-CF9699FD09CF}"/>
    <cellStyle name="Comma 16 4 2 3 4 2 2" xfId="3485" xr:uid="{A1B90E7B-9A34-476D-95F0-47118391F2DE}"/>
    <cellStyle name="Comma 16 4 2 3 4 2 2 2" xfId="3489" xr:uid="{5EB92D40-FFD3-4D64-BA74-2F6E406C8083}"/>
    <cellStyle name="Comma 16 4 2 3 4 2 3" xfId="3492" xr:uid="{941DA9BE-BE4D-483A-99F0-EC38982061A1}"/>
    <cellStyle name="Comma 16 4 2 3 4 3" xfId="6854" xr:uid="{E1C2A0BC-A997-4831-9DF8-471C42281534}"/>
    <cellStyle name="Comma 16 4 2 3 4 3 2" xfId="3511" xr:uid="{4113E325-13E2-4249-BC60-61F00510214C}"/>
    <cellStyle name="Comma 16 4 2 3 4 4" xfId="6863" xr:uid="{450FEFFC-0311-4648-8D57-19272AA37C8C}"/>
    <cellStyle name="Comma 16 4 2 3 5" xfId="2812" xr:uid="{EE95461C-CF29-44FA-B20A-01DB8C5A7A1D}"/>
    <cellStyle name="Comma 16 4 2 3 5 2" xfId="6865" xr:uid="{71288433-D79F-420E-8A57-B50558D3DA36}"/>
    <cellStyle name="Comma 16 4 2 3 5 2 2" xfId="3556" xr:uid="{97F93D44-54FF-4251-8BE6-C40AE43F6E98}"/>
    <cellStyle name="Comma 16 4 2 3 5 3" xfId="6874" xr:uid="{D9A3D78D-6643-40E6-8BDE-689DD038B172}"/>
    <cellStyle name="Comma 16 4 2 3 6" xfId="6877" xr:uid="{FC702DA2-E107-409C-A508-CA80A0FBD0ED}"/>
    <cellStyle name="Comma 16 4 2 3 6 2" xfId="6884" xr:uid="{ECAB5348-9E72-4C42-B5D3-FC8779753634}"/>
    <cellStyle name="Comma 16 4 2 3 7" xfId="6889" xr:uid="{381E1F14-001C-4A75-8E4D-C64CCCA95E63}"/>
    <cellStyle name="Comma 16 4 2 3 8" xfId="6806" xr:uid="{8F7AAB66-1306-4FBF-8CF3-52A079019D06}"/>
    <cellStyle name="Comma 16 4 2 4" xfId="6893" xr:uid="{87FE90ED-6270-4691-B8E9-E774AAF17A52}"/>
    <cellStyle name="Comma 16 4 2 4 2" xfId="6894" xr:uid="{884AD05E-1F46-44F4-AEAD-75EBEF7BB54E}"/>
    <cellStyle name="Comma 16 4 2 4 2 2" xfId="6895" xr:uid="{4EADB4B4-68C8-4A88-8124-7B4B399B703A}"/>
    <cellStyle name="Comma 16 4 2 4 2 2 2" xfId="3664" xr:uid="{969608C8-F965-43BE-A88D-EEB9B33A19E5}"/>
    <cellStyle name="Comma 16 4 2 4 2 2 2 2" xfId="298" xr:uid="{014B9E48-7DE3-4C48-AB9D-C28C6E7D35A0}"/>
    <cellStyle name="Comma 16 4 2 4 2 2 2 2 2" xfId="3666" xr:uid="{BBF4B68B-48FE-4E83-92E2-A96B82E6F0B9}"/>
    <cellStyle name="Comma 16 4 2 4 2 2 2 3" xfId="3668" xr:uid="{856B393A-693D-4DE4-BEFB-87B904A14830}"/>
    <cellStyle name="Comma 16 4 2 4 2 2 3" xfId="3676" xr:uid="{BFD65634-963E-425C-86DE-ED16B2E51484}"/>
    <cellStyle name="Comma 16 4 2 4 2 2 3 2" xfId="3679" xr:uid="{A1E31804-0ED1-4F19-AF47-3C18EA51C863}"/>
    <cellStyle name="Comma 16 4 2 4 2 2 4" xfId="3687" xr:uid="{BA201223-DDF7-4E12-923C-1707B3A6B2CE}"/>
    <cellStyle name="Comma 16 4 2 4 2 3" xfId="6898" xr:uid="{602463D1-1503-49FD-81EF-2C122F65C553}"/>
    <cellStyle name="Comma 16 4 2 4 2 3 2" xfId="1817" xr:uid="{C7CDD4E7-A5AF-49D9-9ED2-8709BD477B1F}"/>
    <cellStyle name="Comma 16 4 2 4 2 3 2 2" xfId="458" xr:uid="{78506F82-3092-491E-BA9D-8BF1C0435504}"/>
    <cellStyle name="Comma 16 4 2 4 2 3 3" xfId="1826" xr:uid="{09628FB1-4882-4026-945E-06450F198733}"/>
    <cellStyle name="Comma 16 4 2 4 2 4" xfId="223" xr:uid="{442AC76A-F44D-4969-A629-D340CE7E8A1B}"/>
    <cellStyle name="Comma 16 4 2 4 2 4 2" xfId="287" xr:uid="{C558BEE4-520D-4710-B135-3559122FA2DC}"/>
    <cellStyle name="Comma 16 4 2 4 2 5" xfId="489" xr:uid="{BD79A9B8-8E17-417D-AE9C-2CDA42D09D30}"/>
    <cellStyle name="Comma 16 4 2 4 3" xfId="2854" xr:uid="{0BF26515-70F0-4A26-A2C9-C4590633F809}"/>
    <cellStyle name="Comma 16 4 2 4 3 2" xfId="2859" xr:uid="{B541B109-E309-4930-A4F0-1384CC209BED}"/>
    <cellStyle name="Comma 16 4 2 4 3 2 2" xfId="2871" xr:uid="{5A541807-BC15-4F96-A11B-8D59E4692E87}"/>
    <cellStyle name="Comma 16 4 2 4 3 2 2 2" xfId="2482" xr:uid="{96554ACC-285C-4EE1-9D63-28951D4F6BCF}"/>
    <cellStyle name="Comma 16 4 2 4 3 2 3" xfId="3285" xr:uid="{00A39D09-2E41-4B17-B968-5AC91DDDBD18}"/>
    <cellStyle name="Comma 16 4 2 4 3 3" xfId="3591" xr:uid="{BB6EA901-7249-4320-8B85-DA9DCF6F4AEB}"/>
    <cellStyle name="Comma 16 4 2 4 3 3 2" xfId="3600" xr:uid="{1BC70680-64EE-4FA6-A377-7C76066887AB}"/>
    <cellStyle name="Comma 16 4 2 4 3 4" xfId="1687" xr:uid="{21958DA0-37C2-4519-B37F-182FFA276D81}"/>
    <cellStyle name="Comma 16 4 2 4 4" xfId="2903" xr:uid="{23E10A39-EA5D-46D0-994C-6B21FFE25FC8}"/>
    <cellStyle name="Comma 16 4 2 4 4 2" xfId="4309" xr:uid="{D135E3D3-3323-4CF3-80E8-530CEA19B206}"/>
    <cellStyle name="Comma 16 4 2 4 4 2 2" xfId="3969" xr:uid="{1E99102F-9228-4C4D-B164-CEBB429A3BF0}"/>
    <cellStyle name="Comma 16 4 2 4 4 3" xfId="4947" xr:uid="{84FC457E-16E9-4CAD-8AFC-8B706245D9D2}"/>
    <cellStyle name="Comma 16 4 2 4 5" xfId="5490" xr:uid="{4CCB1FAD-F927-4C14-AEA9-8BBD2D2AAFCD}"/>
    <cellStyle name="Comma 16 4 2 4 5 2" xfId="5497" xr:uid="{36C24897-8C0B-46F0-981B-B9A4093708E2}"/>
    <cellStyle name="Comma 16 4 2 4 6" xfId="5999" xr:uid="{CEE2F2A4-0964-4475-9F35-C04EAF56F8C3}"/>
    <cellStyle name="Comma 16 4 2 4 7" xfId="6324" xr:uid="{DA40F3BD-6CE8-4564-8800-27E3A08BE14E}"/>
    <cellStyle name="Comma 16 4 2 5" xfId="6905" xr:uid="{870BC166-8745-4FF6-9910-734AA0413C79}"/>
    <cellStyle name="Comma 16 4 2 5 2" xfId="6907" xr:uid="{B7719535-4EA8-485E-863A-871A276F1C0D}"/>
    <cellStyle name="Comma 16 4 2 5 2 2" xfId="6909" xr:uid="{974E3F33-F823-42F0-B760-F453FC4358BD}"/>
    <cellStyle name="Comma 16 4 2 5 2 2 2" xfId="4060" xr:uid="{A2ABE7F4-CDCB-4E24-B686-08AD89E7EF9C}"/>
    <cellStyle name="Comma 16 4 2 5 2 2 2 2" xfId="4067" xr:uid="{FAC73AFA-40C5-41A2-9F40-4C61579EB27C}"/>
    <cellStyle name="Comma 16 4 2 5 2 2 3" xfId="4077" xr:uid="{98807B92-05F1-442D-8E27-D15477BAFCE3}"/>
    <cellStyle name="Comma 16 4 2 5 2 3" xfId="6911" xr:uid="{F0BA1A58-44CB-493C-9762-7AF5657DA2F5}"/>
    <cellStyle name="Comma 16 4 2 5 2 3 2" xfId="4095" xr:uid="{736AB332-5764-47D3-9DAA-0A2B9B4DAA79}"/>
    <cellStyle name="Comma 16 4 2 5 2 4" xfId="6914" xr:uid="{123FA1EE-7F57-4188-AC08-8E3ABEB358BB}"/>
    <cellStyle name="Comma 16 4 2 5 3" xfId="6629" xr:uid="{F403EDA3-4F02-4C0D-B180-440385B3B255}"/>
    <cellStyle name="Comma 16 4 2 5 3 2" xfId="6636" xr:uid="{1C6014CA-EF41-4D1C-997A-65326977B6E7}"/>
    <cellStyle name="Comma 16 4 2 5 3 2 2" xfId="4142" xr:uid="{AF861D9E-4511-4E3B-8E31-3C14AF904E37}"/>
    <cellStyle name="Comma 16 4 2 5 3 3" xfId="6812" xr:uid="{4492671B-264A-4569-BBC8-B5D8CF199BA7}"/>
    <cellStyle name="Comma 16 4 2 5 4" xfId="6917" xr:uid="{0D229256-08A3-4A60-873E-15F98543348A}"/>
    <cellStyle name="Comma 16 4 2 5 4 2" xfId="6923" xr:uid="{A87868B3-BA38-4636-A9E7-B88BA9CF1581}"/>
    <cellStyle name="Comma 16 4 2 5 5" xfId="6926" xr:uid="{3D377345-6CE8-49C4-83E8-CACD24B46748}"/>
    <cellStyle name="Comma 16 4 2 6" xfId="6929" xr:uid="{C510370C-38EC-435C-BC81-F211EC73FA80}"/>
    <cellStyle name="Comma 16 4 2 6 2" xfId="6931" xr:uid="{98D157B1-7684-45AE-8121-D0AD8EDE82E1}"/>
    <cellStyle name="Comma 16 4 2 6 2 2" xfId="1667" xr:uid="{04BE0BBE-811C-400D-90CD-A8358A979590}"/>
    <cellStyle name="Comma 16 4 2 6 2 2 2" xfId="4206" xr:uid="{E4FE00BB-AF94-47FA-AF18-F5CFE5A68427}"/>
    <cellStyle name="Comma 16 4 2 6 2 3" xfId="242" xr:uid="{50E0BED5-A9E7-4FD3-BBE3-77E382E727BE}"/>
    <cellStyle name="Comma 16 4 2 6 3" xfId="6934" xr:uid="{52EDEDFF-B1AD-496C-8DF4-362478DE84F3}"/>
    <cellStyle name="Comma 16 4 2 6 3 2" xfId="6938" xr:uid="{DA114F65-84F9-460F-ABDD-FFC9373D8CB1}"/>
    <cellStyle name="Comma 16 4 2 6 4" xfId="6941" xr:uid="{ADBFD435-C699-4101-AC7A-703803750393}"/>
    <cellStyle name="Comma 16 4 2 7" xfId="4475" xr:uid="{80E65C01-3B44-4E16-BEA6-3308FFA252BF}"/>
    <cellStyle name="Comma 16 4 2 7 2" xfId="1337" xr:uid="{F19A2539-765C-4CD7-B36A-9320A6893A13}"/>
    <cellStyle name="Comma 16 4 2 7 2 2" xfId="1025" xr:uid="{ABD7B247-F725-4D8F-96A4-0E786C598BB9}"/>
    <cellStyle name="Comma 16 4 2 7 3" xfId="1017" xr:uid="{BB9A9EEF-BF83-45AD-90A3-714288C0ADFF}"/>
    <cellStyle name="Comma 16 4 2 8" xfId="76" xr:uid="{1393B036-8BB2-48B2-B713-F55819334FC2}"/>
    <cellStyle name="Comma 16 4 2 8 2" xfId="6942" xr:uid="{E3212400-AC9C-461F-909D-E092753BCB8B}"/>
    <cellStyle name="Comma 16 4 2 9" xfId="4863" xr:uid="{D1B7C58E-8C03-4A86-BC5C-F20B2FB8DCC2}"/>
    <cellStyle name="Comma 16 4 3" xfId="6916" xr:uid="{2E5AFCE2-59B9-436B-9BA0-54E73D278725}"/>
    <cellStyle name="Comma 16 4 3 2" xfId="6922" xr:uid="{2CA03FDC-F298-4365-9045-CB9390A0CC2B}"/>
    <cellStyle name="Comma 16 4 3 2 2" xfId="6948" xr:uid="{F5BF3745-2EE3-42C1-97FF-0BD92C27362C}"/>
    <cellStyle name="Comma 16 4 3 2 2 2" xfId="1084" xr:uid="{760021D6-78DB-4657-8FF0-9DB584162EB4}"/>
    <cellStyle name="Comma 16 4 3 2 2 2 2" xfId="6949" xr:uid="{0FDFF416-0D9B-48BA-A967-9C5316C0126E}"/>
    <cellStyle name="Comma 16 4 3 2 2 2 2 2" xfId="5637" xr:uid="{0CDC30F4-AD31-4E25-9939-2BF8F1346384}"/>
    <cellStyle name="Comma 16 4 3 2 2 2 2 2 2" xfId="5641" xr:uid="{FA9FE30B-3361-4346-AD42-B434BEDFD298}"/>
    <cellStyle name="Comma 16 4 3 2 2 2 2 2 2 2" xfId="6950" xr:uid="{0EA443F6-A1D1-4100-A668-458A0AE2B71E}"/>
    <cellStyle name="Comma 16 4 3 2 2 2 2 2 3" xfId="6951" xr:uid="{C1D4982C-B548-48D2-84DC-CD1E316D5D9E}"/>
    <cellStyle name="Comma 16 4 3 2 2 2 2 3" xfId="5644" xr:uid="{17F9B9DA-90D0-41E9-A5A8-1780E88CB4B7}"/>
    <cellStyle name="Comma 16 4 3 2 2 2 2 3 2" xfId="6952" xr:uid="{CBE8669F-D8E8-4CD7-96E5-969935D861FA}"/>
    <cellStyle name="Comma 16 4 3 2 2 2 2 4" xfId="5647" xr:uid="{FBE45C40-0003-4E7D-B949-8E5FF0C33B28}"/>
    <cellStyle name="Comma 16 4 3 2 2 2 3" xfId="6953" xr:uid="{A9FF5BB8-A88B-4C6C-A22E-CDCDD02006D4}"/>
    <cellStyle name="Comma 16 4 3 2 2 2 3 2" xfId="662" xr:uid="{45F6A470-9914-4EDE-9DAB-5B4CD9065238}"/>
    <cellStyle name="Comma 16 4 3 2 2 2 3 2 2" xfId="6955" xr:uid="{2B5E5318-EB56-41EE-B094-7B8842F95CAC}"/>
    <cellStyle name="Comma 16 4 3 2 2 2 3 3" xfId="665" xr:uid="{F3AC74B0-C737-453C-BB0A-07ED0085112B}"/>
    <cellStyle name="Comma 16 4 3 2 2 2 4" xfId="6956" xr:uid="{7C4FA8CD-5524-49BD-A22D-0F9BE0E61FC4}"/>
    <cellStyle name="Comma 16 4 3 2 2 2 4 2" xfId="5667" xr:uid="{8846DA8F-2971-4CE1-AF6B-66DCFB525BE2}"/>
    <cellStyle name="Comma 16 4 3 2 2 2 5" xfId="6958" xr:uid="{3F8E0B2F-EDDD-4B57-B931-099A99E0380D}"/>
    <cellStyle name="Comma 16 4 3 2 2 3" xfId="1381" xr:uid="{08DA093B-A953-44D0-BA76-B63D4A3CCB16}"/>
    <cellStyle name="Comma 16 4 3 2 2 3 2" xfId="6960" xr:uid="{943EEF2F-062B-4DBB-8178-1A41CD441186}"/>
    <cellStyle name="Comma 16 4 3 2 2 3 2 2" xfId="5859" xr:uid="{8A13EB17-6331-44CD-AAAD-065CB048FE88}"/>
    <cellStyle name="Comma 16 4 3 2 2 3 2 2 2" xfId="6962" xr:uid="{3B1BAB58-D543-4A47-82C7-0A88F9E5CC28}"/>
    <cellStyle name="Comma 16 4 3 2 2 3 2 3" xfId="1727" xr:uid="{B056CFC8-38A5-4EC2-BE11-DC9DE4149B2E}"/>
    <cellStyle name="Comma 16 4 3 2 2 3 3" xfId="6965" xr:uid="{C47C90EF-508B-46ED-A47F-128F31B903DA}"/>
    <cellStyle name="Comma 16 4 3 2 2 3 3 2" xfId="790" xr:uid="{29C44B8B-2A9B-48D6-AF27-CD698AAE8D6F}"/>
    <cellStyle name="Comma 16 4 3 2 2 3 4" xfId="6970" xr:uid="{62E64542-D52D-4ADD-9114-26801532B690}"/>
    <cellStyle name="Comma 16 4 3 2 2 4" xfId="1384" xr:uid="{583910F6-5D30-485C-8C66-33C93DA47C56}"/>
    <cellStyle name="Comma 16 4 3 2 2 4 2" xfId="3623" xr:uid="{8F3D69DE-1A78-4C17-88AF-3B173FEB0D29}"/>
    <cellStyle name="Comma 16 4 3 2 2 4 2 2" xfId="3629" xr:uid="{AB261FA6-856C-41A7-B35E-D7DE49E00734}"/>
    <cellStyle name="Comma 16 4 3 2 2 4 3" xfId="3634" xr:uid="{B0F77C69-A824-4FE3-B7C7-3128F141DFC3}"/>
    <cellStyle name="Comma 16 4 3 2 2 5" xfId="1388" xr:uid="{72B89286-E223-4853-8DC5-63E2E0BD6D93}"/>
    <cellStyle name="Comma 16 4 3 2 2 5 2" xfId="3655" xr:uid="{949B47DA-BE2A-4681-ACF8-49147D893254}"/>
    <cellStyle name="Comma 16 4 3 2 2 6" xfId="1392" xr:uid="{AA24FC3E-F7D7-4BE6-BEE3-09B62BB4DE57}"/>
    <cellStyle name="Comma 16 4 3 2 2 7" xfId="1395" xr:uid="{1C90CF19-D9AD-4FD3-AEE9-EE5577A07289}"/>
    <cellStyle name="Comma 16 4 3 2 3" xfId="6971" xr:uid="{97E5A728-6FA7-4FE4-BBF1-62379B19B4A9}"/>
    <cellStyle name="Comma 16 4 3 2 3 2" xfId="6972" xr:uid="{1EA39133-B056-4A26-830C-EED48305781D}"/>
    <cellStyle name="Comma 16 4 3 2 3 2 2" xfId="6973" xr:uid="{F701175F-0E5E-49DF-A5C8-DDC0A7727DC9}"/>
    <cellStyle name="Comma 16 4 3 2 3 2 2 2" xfId="6104" xr:uid="{15A570BB-E6D5-47C3-9C20-0B7B5DC0AC52}"/>
    <cellStyle name="Comma 16 4 3 2 3 2 2 2 2" xfId="5613" xr:uid="{88B3F6F6-D86C-4439-87E8-5C2DA8922ED1}"/>
    <cellStyle name="Comma 16 4 3 2 3 2 2 3" xfId="6471" xr:uid="{DFA15CBB-D855-47F6-9284-E18FBD1E0320}"/>
    <cellStyle name="Comma 16 4 3 2 3 2 3" xfId="6974" xr:uid="{82E458B8-8B14-4DD6-8BC1-D670605F2FB5}"/>
    <cellStyle name="Comma 16 4 3 2 3 2 3 2" xfId="6663" xr:uid="{AB2F1A75-360F-4B25-B032-6628E799AEE2}"/>
    <cellStyle name="Comma 16 4 3 2 3 2 4" xfId="6975" xr:uid="{CAE16E21-B55D-4DC2-9405-09C3FB164485}"/>
    <cellStyle name="Comma 16 4 3 2 3 3" xfId="6977" xr:uid="{E765ECC4-6491-439A-BB47-8DC685A5E3E9}"/>
    <cellStyle name="Comma 16 4 3 2 3 3 2" xfId="6979" xr:uid="{AD52854D-982E-44CC-8D98-040959FEB1C5}"/>
    <cellStyle name="Comma 16 4 3 2 3 3 2 2" xfId="6668" xr:uid="{C9AF68B0-299B-4DF1-BC61-02738A36D16F}"/>
    <cellStyle name="Comma 16 4 3 2 3 3 3" xfId="6981" xr:uid="{81C03362-5B75-4003-A364-AB25CAB829CD}"/>
    <cellStyle name="Comma 16 4 3 2 3 4" xfId="6983" xr:uid="{EF17FA11-9B1F-4650-A7EB-9EC2F19F4060}"/>
    <cellStyle name="Comma 16 4 3 2 3 4 2" xfId="3711" xr:uid="{AFC99A4B-1C33-442C-BAF2-69F2C45292E1}"/>
    <cellStyle name="Comma 16 4 3 2 3 5" xfId="6986" xr:uid="{60A9E57C-F7A6-4827-B767-18C23074BCA7}"/>
    <cellStyle name="Comma 16 4 3 2 4" xfId="6988" xr:uid="{F5647F46-3223-40FF-BC6A-3122BB5B2A6A}"/>
    <cellStyle name="Comma 16 4 3 2 4 2" xfId="6989" xr:uid="{0B73C2E5-8CA8-450F-A94D-DA171ECE5EC3}"/>
    <cellStyle name="Comma 16 4 3 2 4 2 2" xfId="6990" xr:uid="{B673D891-E567-4828-8A2C-46BCBB877B74}"/>
    <cellStyle name="Comma 16 4 3 2 4 2 2 2" xfId="6685" xr:uid="{032639D3-6329-4A7C-AE2B-46B334502A40}"/>
    <cellStyle name="Comma 16 4 3 2 4 2 3" xfId="6991" xr:uid="{57C4BAE0-6BE0-4112-914F-2A0BDEC59DA5}"/>
    <cellStyle name="Comma 16 4 3 2 4 3" xfId="6993" xr:uid="{39CB8DF3-B1BD-43CA-9DE2-B200AC8A3612}"/>
    <cellStyle name="Comma 16 4 3 2 4 3 2" xfId="6995" xr:uid="{907DBE7B-92E1-4B4D-80AF-A53E1DE379D0}"/>
    <cellStyle name="Comma 16 4 3 2 4 4" xfId="6997" xr:uid="{EF67083D-E91A-462C-8DDD-0635DE0F5F1E}"/>
    <cellStyle name="Comma 16 4 3 2 5" xfId="6998" xr:uid="{A8D04B20-F11C-4456-8595-09DB8393A245}"/>
    <cellStyle name="Comma 16 4 3 2 5 2" xfId="6999" xr:uid="{6BC6D809-5975-4B1A-8128-F0A72FF21380}"/>
    <cellStyle name="Comma 16 4 3 2 5 2 2" xfId="7000" xr:uid="{83A9B33E-2A38-4893-BCC3-EB9F311C8A88}"/>
    <cellStyle name="Comma 16 4 3 2 5 3" xfId="7002" xr:uid="{483CAA8A-5436-460A-8DDF-F47191A3233A}"/>
    <cellStyle name="Comma 16 4 3 2 6" xfId="7003" xr:uid="{E832E961-A9DF-4CB6-9B32-DBFF6B031A1E}"/>
    <cellStyle name="Comma 16 4 3 2 6 2" xfId="7004" xr:uid="{7DC16BD5-0EFA-4B3E-A5B9-B1CF4B08F1ED}"/>
    <cellStyle name="Comma 16 4 3 2 7" xfId="7007" xr:uid="{9DEC7929-94E9-4352-B150-56C977349DEA}"/>
    <cellStyle name="Comma 16 4 3 2 8" xfId="6883" xr:uid="{07B7A334-0121-4D79-9E98-EE6BD0165FE7}"/>
    <cellStyle name="Comma 16 4 3 3" xfId="7011" xr:uid="{36E6E755-87D7-47C5-911C-8051D8546A40}"/>
    <cellStyle name="Comma 16 4 3 3 2" xfId="6337" xr:uid="{EAA00BA6-9588-4D39-8D30-205B956A8C27}"/>
    <cellStyle name="Comma 16 4 3 3 2 2" xfId="7012" xr:uid="{455AFD8B-9B70-4D75-A3D7-338B62F2276C}"/>
    <cellStyle name="Comma 16 4 3 3 2 2 2" xfId="4423" xr:uid="{B65FC43D-ADDF-491B-BA92-17ECC9DAFBCF}"/>
    <cellStyle name="Comma 16 4 3 3 2 2 2 2" xfId="4426" xr:uid="{E9F607B4-5F08-4DF7-AB0D-119628588828}"/>
    <cellStyle name="Comma 16 4 3 3 2 2 2 2 2" xfId="4430" xr:uid="{E6E21C8F-8C37-4D4C-A2E8-09D5A6CC3B93}"/>
    <cellStyle name="Comma 16 4 3 3 2 2 2 3" xfId="4440" xr:uid="{37557056-EFFA-490F-AA87-147E9CF757DF}"/>
    <cellStyle name="Comma 16 4 3 3 2 2 3" xfId="4446" xr:uid="{F3B75266-1A66-4DD1-8654-AA4CDEC56127}"/>
    <cellStyle name="Comma 16 4 3 3 2 2 3 2" xfId="4451" xr:uid="{C7C93C0C-9DCD-4626-85CD-4FB9B785A1C9}"/>
    <cellStyle name="Comma 16 4 3 3 2 2 4" xfId="4456" xr:uid="{02A05A31-437C-42A1-83AD-3B8E9421A37B}"/>
    <cellStyle name="Comma 16 4 3 3 2 3" xfId="7014" xr:uid="{7C860B35-3E70-4D0B-9D5F-75D2E6DC7D7B}"/>
    <cellStyle name="Comma 16 4 3 3 2 3 2" xfId="4551" xr:uid="{13029B22-2755-4358-9FC8-D90A86874257}"/>
    <cellStyle name="Comma 16 4 3 3 2 3 2 2" xfId="4560" xr:uid="{38609F95-982D-4DED-A4DB-62F10365D818}"/>
    <cellStyle name="Comma 16 4 3 3 2 3 3" xfId="4573" xr:uid="{160811C0-E79C-4E79-A195-5E55F500B681}"/>
    <cellStyle name="Comma 16 4 3 3 2 4" xfId="7016" xr:uid="{240D502D-93DC-45B5-B13E-0B7AE86DF1BF}"/>
    <cellStyle name="Comma 16 4 3 3 2 4 2" xfId="3823" xr:uid="{14A93B8C-8711-43AD-A151-67288F4F2996}"/>
    <cellStyle name="Comma 16 4 3 3 2 5" xfId="7019" xr:uid="{38220F80-D4B2-40FC-A4FC-B4CBE617BEC7}"/>
    <cellStyle name="Comma 16 4 3 3 3" xfId="7027" xr:uid="{0E00E029-74C8-4B4C-880F-82FFFFC325BE}"/>
    <cellStyle name="Comma 16 4 3 3 3 2" xfId="7030" xr:uid="{129F42FD-4E9B-48B2-A171-31CE90702EDC}"/>
    <cellStyle name="Comma 16 4 3 3 3 2 2" xfId="820" xr:uid="{32932E69-CFE9-4B9A-AED2-38EC8FACF495}"/>
    <cellStyle name="Comma 16 4 3 3 3 2 2 2" xfId="3053" xr:uid="{D7E1F46F-4607-4AC8-A6B2-3FD11FDAC589}"/>
    <cellStyle name="Comma 16 4 3 3 3 2 3" xfId="4685" xr:uid="{2480AC41-62B2-46BA-9BB5-83EE8CF2B411}"/>
    <cellStyle name="Comma 16 4 3 3 3 3" xfId="7036" xr:uid="{DFF12C4A-9146-432F-B436-BBB543266A4B}"/>
    <cellStyle name="Comma 16 4 3 3 3 3 2" xfId="878" xr:uid="{2DA01956-2141-4366-B1F6-E040E4A89FD5}"/>
    <cellStyle name="Comma 16 4 3 3 3 4" xfId="7042" xr:uid="{84499287-A3F7-44FC-AADA-9933E97D3A1D}"/>
    <cellStyle name="Comma 16 4 3 3 4" xfId="7046" xr:uid="{072299BA-B3B1-4AB4-8EAD-6A8DD5B3A628}"/>
    <cellStyle name="Comma 16 4 3 3 4 2" xfId="7047" xr:uid="{E8E94380-1792-4BB3-9E73-F2E127FBAE18}"/>
    <cellStyle name="Comma 16 4 3 3 4 2 2" xfId="4799" xr:uid="{FD72B22F-CCBF-4B0D-A22B-932D7F3B8477}"/>
    <cellStyle name="Comma 16 4 3 3 4 3" xfId="7048" xr:uid="{32347986-F3DE-41D8-BB34-51B1B6B35DD6}"/>
    <cellStyle name="Comma 16 4 3 3 5" xfId="7051" xr:uid="{6229FF5F-2EEE-4782-9A46-102A7B6FC84E}"/>
    <cellStyle name="Comma 16 4 3 3 5 2" xfId="7053" xr:uid="{B21C7CD6-AEB3-4FA6-841A-BF1847E0BBF6}"/>
    <cellStyle name="Comma 16 4 3 3 6" xfId="7054" xr:uid="{AB31A8B5-839E-4DE5-A578-15CF75F8CF68}"/>
    <cellStyle name="Comma 16 4 3 3 7" xfId="7057" xr:uid="{2909CA79-D7F8-4820-AC27-1C93248329B7}"/>
    <cellStyle name="Comma 16 4 3 4" xfId="7062" xr:uid="{0CCC48A7-0BD8-4631-BA98-A7CD57AD7E0A}"/>
    <cellStyle name="Comma 16 4 3 4 2" xfId="1949" xr:uid="{6E0FA3C5-20F8-4A69-92C1-51D721D6E890}"/>
    <cellStyle name="Comma 16 4 3 4 2 2" xfId="7063" xr:uid="{32E584F7-F011-465B-BBED-3C411B414393}"/>
    <cellStyle name="Comma 16 4 3 4 2 2 2" xfId="4978" xr:uid="{2DF5D8B8-C8A4-42EC-8B21-0FE2AC5CB002}"/>
    <cellStyle name="Comma 16 4 3 4 2 2 2 2" xfId="4980" xr:uid="{D7F64541-1600-44B8-9371-3F4DD1EC5691}"/>
    <cellStyle name="Comma 16 4 3 4 2 2 3" xfId="4983" xr:uid="{2B49C3AE-8DB8-4D3D-ABA0-8EBACC7091A3}"/>
    <cellStyle name="Comma 16 4 3 4 2 3" xfId="7065" xr:uid="{2C70FCD7-3A8D-4BCE-AB65-9433DDDDF018}"/>
    <cellStyle name="Comma 16 4 3 4 2 3 2" xfId="5018" xr:uid="{C4FD0807-8877-43B1-B500-9084E37F2F54}"/>
    <cellStyle name="Comma 16 4 3 4 2 4" xfId="7067" xr:uid="{CCB1CFC1-A464-4830-BFE4-B07FC972F5C9}"/>
    <cellStyle name="Comma 16 4 3 4 3" xfId="1953" xr:uid="{A98783AF-65D3-4C7A-B83B-6EBD31613EF4}"/>
    <cellStyle name="Comma 16 4 3 4 3 2" xfId="7069" xr:uid="{DFB8E2DA-B088-4747-B1E4-36275433D063}"/>
    <cellStyle name="Comma 16 4 3 4 3 2 2" xfId="5095" xr:uid="{034429D8-F7D0-4D62-AC4E-CCB3C74FB9B3}"/>
    <cellStyle name="Comma 16 4 3 4 3 3" xfId="7072" xr:uid="{21F88EDC-EC56-4E22-A370-6B7139604502}"/>
    <cellStyle name="Comma 16 4 3 4 4" xfId="1957" xr:uid="{9584C390-9807-41CC-B6FC-071413412D20}"/>
    <cellStyle name="Comma 16 4 3 4 4 2" xfId="1960" xr:uid="{3D84912F-F7DC-45DC-B5F9-2684ACDB84AE}"/>
    <cellStyle name="Comma 16 4 3 4 5" xfId="1963" xr:uid="{09ADE641-B640-42A1-BCD8-52862CE5DC9C}"/>
    <cellStyle name="Comma 16 4 3 5" xfId="7074" xr:uid="{25632764-5D51-4FFB-9157-0178CF6F9DF7}"/>
    <cellStyle name="Comma 16 4 3 5 2" xfId="2229" xr:uid="{592A5CE9-C45A-4E55-91F0-A94967A11C86}"/>
    <cellStyle name="Comma 16 4 3 5 2 2" xfId="2232" xr:uid="{4DBE5123-D4B5-4F04-8C38-967E40501078}"/>
    <cellStyle name="Comma 16 4 3 5 2 2 2" xfId="1626" xr:uid="{00116E62-B8CF-49E8-9E5B-A3C8D8518363}"/>
    <cellStyle name="Comma 16 4 3 5 2 3" xfId="2239" xr:uid="{DE36FF11-10D7-4FFF-90D3-BBB6656F2DDF}"/>
    <cellStyle name="Comma 16 4 3 5 3" xfId="2254" xr:uid="{C5ED970A-8ABF-4598-8B5A-75FC751CAB88}"/>
    <cellStyle name="Comma 16 4 3 5 3 2" xfId="2258" xr:uid="{34C903F8-E440-4534-8752-E7C84C9524AC}"/>
    <cellStyle name="Comma 16 4 3 5 4" xfId="2265" xr:uid="{A4E4C8B5-9E09-48E7-9328-5DC5C768C14D}"/>
    <cellStyle name="Comma 16 4 3 6" xfId="4616" xr:uid="{EC70642E-8B3E-459F-9D93-FF4F54CC27C3}"/>
    <cellStyle name="Comma 16 4 3 6 2" xfId="2337" xr:uid="{6FA751DF-1DFD-4A07-BB62-5C011DFD28FA}"/>
    <cellStyle name="Comma 16 4 3 6 2 2" xfId="7075" xr:uid="{C00600AB-45D5-4101-A36D-C1CEC5C51E2D}"/>
    <cellStyle name="Comma 16 4 3 6 3" xfId="2339" xr:uid="{393E7ED5-FFC0-46AD-9D80-195E22F83D47}"/>
    <cellStyle name="Comma 16 4 3 7" xfId="4484" xr:uid="{6FFBA7CD-A70E-4CE2-94CA-EF9B56952197}"/>
    <cellStyle name="Comma 16 4 3 7 2" xfId="718" xr:uid="{F1B8F150-8DFC-47F9-B1EE-FF79DEE5982D}"/>
    <cellStyle name="Comma 16 4 3 8" xfId="7076" xr:uid="{6C559331-65F5-46A5-9403-A2D16A5CD2D3}"/>
    <cellStyle name="Comma 16 4 3 9" xfId="4918" xr:uid="{D7249D3B-DAC0-4F6F-A807-D0F5309BE7CC}"/>
    <cellStyle name="Comma 16 4 4" xfId="6925" xr:uid="{B069E535-F6C7-464A-9E88-6BCBD5DE18FA}"/>
    <cellStyle name="Comma 16 4 4 2" xfId="7079" xr:uid="{689A2773-0737-4B8D-A246-3DEEFA95900D}"/>
    <cellStyle name="Comma 16 4 4 2 2" xfId="7080" xr:uid="{EA000C37-D2CD-49D0-B5A9-00295370DD14}"/>
    <cellStyle name="Comma 16 4 4 2 2 2" xfId="2288" xr:uid="{48D31BB5-B51F-4C53-B53C-9EA7E68A1557}"/>
    <cellStyle name="Comma 16 4 4 2 2 2 2" xfId="2295" xr:uid="{C0C29364-15D6-405B-9E78-AE8B7DDFCF6A}"/>
    <cellStyle name="Comma 16 4 4 2 2 2 2 2" xfId="1775" xr:uid="{85F4E82F-A9A2-4307-9023-96F8F8726C8C}"/>
    <cellStyle name="Comma 16 4 4 2 2 2 2 2 2" xfId="7081" xr:uid="{146E6115-87FB-4E12-B2D2-D12F4DF9A789}"/>
    <cellStyle name="Comma 16 4 4 2 2 2 2 3" xfId="1784" xr:uid="{2F152B2F-E400-413B-8C09-8E7A422A22A2}"/>
    <cellStyle name="Comma 16 4 4 2 2 2 3" xfId="7082" xr:uid="{DC602849-79F4-42D5-BFA2-6493F495C038}"/>
    <cellStyle name="Comma 16 4 4 2 2 2 3 2" xfId="4861" xr:uid="{530920F3-2D88-4725-BF1F-935BDC17E9CC}"/>
    <cellStyle name="Comma 16 4 4 2 2 2 4" xfId="7083" xr:uid="{E3C63439-8A9A-4B56-9BE6-13F9BFCCE44B}"/>
    <cellStyle name="Comma 16 4 4 2 2 3" xfId="2303" xr:uid="{53CA664C-8428-444C-BE1E-D38ABFE91BAF}"/>
    <cellStyle name="Comma 16 4 4 2 2 3 2" xfId="2310" xr:uid="{842EA175-704E-409C-B04E-225BF83C3257}"/>
    <cellStyle name="Comma 16 4 4 2 2 3 2 2" xfId="5139" xr:uid="{007466FC-518B-481F-A4FC-8BDC7532FF4A}"/>
    <cellStyle name="Comma 16 4 4 2 2 3 3" xfId="7085" xr:uid="{EC504E89-A4C9-45B1-B5FC-6973DF5AF7F6}"/>
    <cellStyle name="Comma 16 4 4 2 2 4" xfId="2318" xr:uid="{578CF99C-B6C1-4CC9-938C-8D0334C47D28}"/>
    <cellStyle name="Comma 16 4 4 2 2 4 2" xfId="2324" xr:uid="{12975A73-1AAA-4E39-8370-35B72CC6DF74}"/>
    <cellStyle name="Comma 16 4 4 2 2 5" xfId="2347" xr:uid="{0EA31008-E35B-4B6C-BB5F-236995D10BB9}"/>
    <cellStyle name="Comma 16 4 4 2 3" xfId="7086" xr:uid="{DF7249C7-F960-45AE-BED2-DE7F62E6C6CB}"/>
    <cellStyle name="Comma 16 4 4 2 3 2" xfId="7092" xr:uid="{0E029BE4-8338-49B7-A3E3-35A952D8FFA6}"/>
    <cellStyle name="Comma 16 4 4 2 3 2 2" xfId="7102" xr:uid="{682ED594-65B0-4EB9-A958-8939455FCFCF}"/>
    <cellStyle name="Comma 16 4 4 2 3 2 2 2" xfId="5646" xr:uid="{81A1724A-92C2-4128-BFAA-EF114B8C7B66}"/>
    <cellStyle name="Comma 16 4 4 2 3 2 3" xfId="4281" xr:uid="{2042A860-C45E-4968-B964-3815D4D9BC0A}"/>
    <cellStyle name="Comma 16 4 4 2 3 3" xfId="7109" xr:uid="{71EA7078-C64F-44BA-B8CD-E00B77C79EE9}"/>
    <cellStyle name="Comma 16 4 4 2 3 3 2" xfId="7116" xr:uid="{4049B186-7DDD-4915-83FA-B3D1BD209462}"/>
    <cellStyle name="Comma 16 4 4 2 3 4" xfId="7122" xr:uid="{AE782EA7-9A90-40E9-8B95-BEF9B4F411FA}"/>
    <cellStyle name="Comma 16 4 4 2 4" xfId="7123" xr:uid="{7548EB90-6BC2-4BF7-95BD-1F1898C5CF61}"/>
    <cellStyle name="Comma 16 4 4 2 4 2" xfId="7124" xr:uid="{992D37AA-9836-451E-91F3-77D041E832CB}"/>
    <cellStyle name="Comma 16 4 4 2 4 2 2" xfId="63" xr:uid="{9BE34605-1648-41EE-BB88-C5CE116A085C}"/>
    <cellStyle name="Comma 16 4 4 2 4 3" xfId="7127" xr:uid="{C64CE2ED-68CA-46DA-95E8-18B0600112D7}"/>
    <cellStyle name="Comma 16 4 4 2 5" xfId="7133" xr:uid="{A0CAAE22-7FB9-4860-9DBE-A75243B2B694}"/>
    <cellStyle name="Comma 16 4 4 2 5 2" xfId="7139" xr:uid="{5892A8DA-7FB7-43C9-A6CD-A7CEA3D857AA}"/>
    <cellStyle name="Comma 16 4 4 2 6" xfId="7147" xr:uid="{650270D7-CBC4-4EFC-AE66-C54FDE148205}"/>
    <cellStyle name="Comma 16 4 4 2 7" xfId="7156" xr:uid="{30E0A5ED-F5E5-453C-BD99-59E62770B906}"/>
    <cellStyle name="Comma 16 4 4 3" xfId="7157" xr:uid="{48A90D85-814B-4080-8B3B-5C2D1805C48B}"/>
    <cellStyle name="Comma 16 4 4 3 2" xfId="7158" xr:uid="{A62880EC-0636-46E8-AE87-2B4F1FD56942}"/>
    <cellStyle name="Comma 16 4 4 3 2 2" xfId="7159" xr:uid="{B270C9A8-275B-476F-A573-89B5746F3737}"/>
    <cellStyle name="Comma 16 4 4 3 2 2 2" xfId="5540" xr:uid="{02709EB8-EC9E-42B0-B125-D41A978D5F28}"/>
    <cellStyle name="Comma 16 4 4 3 2 2 2 2" xfId="5542" xr:uid="{33DA1F4C-0FA0-4136-BE01-D42B0ACA6570}"/>
    <cellStyle name="Comma 16 4 4 3 2 2 3" xfId="5550" xr:uid="{356F5D67-F5BB-4FC1-9BF6-8A50A9EA2175}"/>
    <cellStyle name="Comma 16 4 4 3 2 3" xfId="7161" xr:uid="{A0987CFC-BA6C-45AC-8BE2-A59BCDBE919B}"/>
    <cellStyle name="Comma 16 4 4 3 2 3 2" xfId="5591" xr:uid="{16444927-55F3-46A8-87F0-76D650AD5A10}"/>
    <cellStyle name="Comma 16 4 4 3 2 4" xfId="7163" xr:uid="{39189E33-0FCC-4800-A494-C98BD64EEA21}"/>
    <cellStyle name="Comma 16 4 4 3 3" xfId="7164" xr:uid="{238246BF-7135-4FED-A417-D489CDC4CE61}"/>
    <cellStyle name="Comma 16 4 4 3 3 2" xfId="7165" xr:uid="{BC0C736B-FA13-4F7D-8801-08A2DBB409B5}"/>
    <cellStyle name="Comma 16 4 4 3 3 2 2" xfId="5623" xr:uid="{DD5DB8B5-1202-4C51-BC5B-42EB0A74C14A}"/>
    <cellStyle name="Comma 16 4 4 3 3 3" xfId="7167" xr:uid="{EA909941-B789-4726-AFDF-0433E2405BC5}"/>
    <cellStyle name="Comma 16 4 4 3 4" xfId="7168" xr:uid="{0EC82917-342C-458A-B02F-55CF3330680E}"/>
    <cellStyle name="Comma 16 4 4 3 4 2" xfId="6957" xr:uid="{5C0A979D-EF36-44D5-A103-F31A8357B86C}"/>
    <cellStyle name="Comma 16 4 4 3 5" xfId="7172" xr:uid="{19599CCE-2AC6-49FC-B01B-F75F50CAF900}"/>
    <cellStyle name="Comma 16 4 4 4" xfId="7173" xr:uid="{D545D8CA-1A72-4B4E-AC4A-791F0B43ABA7}"/>
    <cellStyle name="Comma 16 4 4 4 2" xfId="7174" xr:uid="{F38C55E0-43DD-4670-B171-A24867670FAA}"/>
    <cellStyle name="Comma 16 4 4 4 2 2" xfId="7177" xr:uid="{4C8C8EF5-2D5F-4AD9-9247-946364471D00}"/>
    <cellStyle name="Comma 16 4 4 4 2 2 2" xfId="5782" xr:uid="{39E41047-C44C-4E39-9EE6-FDBC57316246}"/>
    <cellStyle name="Comma 16 4 4 4 2 3" xfId="7181" xr:uid="{F1D35DF1-B465-4803-84F8-8E2ED91E217B}"/>
    <cellStyle name="Comma 16 4 4 4 3" xfId="7182" xr:uid="{3C5E1D13-CF9F-408D-8E5F-F56787580B79}"/>
    <cellStyle name="Comma 16 4 4 4 3 2" xfId="7185" xr:uid="{71E78158-5628-4430-9EF8-1D2FAA944614}"/>
    <cellStyle name="Comma 16 4 4 4 4" xfId="7186" xr:uid="{7C07C022-927D-4594-9054-22AE08A6B7F2}"/>
    <cellStyle name="Comma 16 4 4 5" xfId="7187" xr:uid="{7F0127E9-109C-4D63-94B0-6F78D293F460}"/>
    <cellStyle name="Comma 16 4 4 5 2" xfId="7188" xr:uid="{05763010-624F-4B0A-B00A-B595ED66AFF9}"/>
    <cellStyle name="Comma 16 4 4 5 2 2" xfId="7189" xr:uid="{A61709D3-B2E4-4B1C-A52C-0239BDA5FBFC}"/>
    <cellStyle name="Comma 16 4 4 5 3" xfId="7190" xr:uid="{0503D0B3-B61C-45A7-A4F2-4866204FB33B}"/>
    <cellStyle name="Comma 16 4 4 6" xfId="7193" xr:uid="{63CFD5A2-1ABE-4B85-8E23-62BD37337631}"/>
    <cellStyle name="Comma 16 4 4 6 2" xfId="7195" xr:uid="{47CFDEE1-32A1-493C-A868-0DB72DDE443E}"/>
    <cellStyle name="Comma 16 4 4 7" xfId="7197" xr:uid="{B1007A57-86C0-4A6F-99A6-7089F87478CA}"/>
    <cellStyle name="Comma 16 4 4 8" xfId="7200" xr:uid="{2BF6F6D6-9D74-4C77-9F12-4B3DEEF6D61A}"/>
    <cellStyle name="Comma 16 4 5" xfId="7201" xr:uid="{F3F86903-6DEB-4ABD-8E66-A86B3D4AB3E1}"/>
    <cellStyle name="Comma 16 4 5 2" xfId="7206" xr:uid="{6172F216-0B43-47CF-963B-6CB7E2C59EBE}"/>
    <cellStyle name="Comma 16 4 5 2 2" xfId="7208" xr:uid="{03CA5463-3240-4558-8B76-B2ABD3F30EE3}"/>
    <cellStyle name="Comma 16 4 5 2 2 2" xfId="626" xr:uid="{C34CC941-ABD4-4699-8315-001C2B95A448}"/>
    <cellStyle name="Comma 16 4 5 2 2 2 2" xfId="7210" xr:uid="{41BA4CF0-C31F-4BD2-94D9-B310561C9A51}"/>
    <cellStyle name="Comma 16 4 5 2 2 2 2 2" xfId="7216" xr:uid="{03BACFEF-9857-49B7-88D1-4C6B5FAB5E79}"/>
    <cellStyle name="Comma 16 4 5 2 2 2 3" xfId="7220" xr:uid="{8EEB9792-1CFE-4F21-9C94-3CB74815D034}"/>
    <cellStyle name="Comma 16 4 5 2 2 3" xfId="629" xr:uid="{DFFAA9AC-D445-454F-970F-5FF259E4C142}"/>
    <cellStyle name="Comma 16 4 5 2 2 3 2" xfId="2994" xr:uid="{5A3BBEFD-E7B8-4A3E-A664-AB7AE07C46A3}"/>
    <cellStyle name="Comma 16 4 5 2 2 4" xfId="636" xr:uid="{E103047F-9C26-4085-806B-F19AEB1ED001}"/>
    <cellStyle name="Comma 16 4 5 2 3" xfId="7221" xr:uid="{A7CB8E27-FC3D-40CF-9E0B-D631918387B5}"/>
    <cellStyle name="Comma 16 4 5 2 3 2" xfId="7222" xr:uid="{AE9DBA3B-6F5C-44EF-8B81-50661CF29A13}"/>
    <cellStyle name="Comma 16 4 5 2 3 2 2" xfId="501" xr:uid="{A046ACC6-8D5A-435A-A491-E60B0890DDDA}"/>
    <cellStyle name="Comma 16 4 5 2 3 3" xfId="3032" xr:uid="{32B6CD11-EB6B-4D07-8E96-D72373DAA56C}"/>
    <cellStyle name="Comma 16 4 5 2 4" xfId="7223" xr:uid="{E02302AC-0640-4F45-BBA9-602D40AE81E7}"/>
    <cellStyle name="Comma 16 4 5 2 4 2" xfId="7224" xr:uid="{33CF1826-3937-4F3F-AFB0-F62457608F9E}"/>
    <cellStyle name="Comma 16 4 5 2 5" xfId="7228" xr:uid="{38139E38-C91A-467D-8F73-9CC26A1A20D7}"/>
    <cellStyle name="Comma 16 4 5 3" xfId="5824" xr:uid="{E41CEAA9-10CA-47D8-8057-E0489C8AA3E1}"/>
    <cellStyle name="Comma 16 4 5 3 2" xfId="7229" xr:uid="{F67CDB9F-4A25-4B78-BA8A-F2E4543AB748}"/>
    <cellStyle name="Comma 16 4 5 3 2 2" xfId="7230" xr:uid="{B4A61EEA-0616-4C7D-97E7-5FBEA04DECD1}"/>
    <cellStyle name="Comma 16 4 5 3 2 2 2" xfId="6029" xr:uid="{ABF002B7-5797-4839-A62A-155545074D4A}"/>
    <cellStyle name="Comma 16 4 5 3 2 3" xfId="3147" xr:uid="{AF1FEE17-1E53-4F28-A42B-8393AAE55142}"/>
    <cellStyle name="Comma 16 4 5 3 3" xfId="7231" xr:uid="{85292D45-5866-4690-A21C-F48045AF4D13}"/>
    <cellStyle name="Comma 16 4 5 3 3 2" xfId="7232" xr:uid="{E9AEB56D-7E65-409A-AEAB-D1A85A24A55A}"/>
    <cellStyle name="Comma 16 4 5 3 4" xfId="7233" xr:uid="{4EC93932-D114-4F64-87B4-30C0BE7F3AE7}"/>
    <cellStyle name="Comma 16 4 5 4" xfId="50" xr:uid="{AC160102-34AB-45C6-B811-602A0C9F3E7D}"/>
    <cellStyle name="Comma 16 4 5 4 2" xfId="7234" xr:uid="{C67F2CCC-F1C1-4473-8B8A-54B51DB2D22E}"/>
    <cellStyle name="Comma 16 4 5 4 2 2" xfId="7235" xr:uid="{CA58EEAF-E5C7-4C72-937F-8BA45FDB7912}"/>
    <cellStyle name="Comma 16 4 5 4 3" xfId="7236" xr:uid="{073219ED-EC2E-4909-A4D7-3EBD6B88D226}"/>
    <cellStyle name="Comma 16 4 5 5" xfId="7237" xr:uid="{C7FDDB3F-4B54-47AA-891B-CA0F81D3415C}"/>
    <cellStyle name="Comma 16 4 5 5 2" xfId="7239" xr:uid="{D21A547F-82D9-4B8D-AAE3-74C5C1848CFD}"/>
    <cellStyle name="Comma 16 4 5 6" xfId="7241" xr:uid="{C66C172E-3FDE-4141-9496-D48A45BB8AC7}"/>
    <cellStyle name="Comma 16 4 5 7" xfId="7243" xr:uid="{397DD5B0-C328-450D-A338-1DDF3DD941BF}"/>
    <cellStyle name="Comma 16 4 6" xfId="7244" xr:uid="{BAAF131A-1DCE-4A61-BB5B-99D1A64E809E}"/>
    <cellStyle name="Comma 16 4 6 2" xfId="7245" xr:uid="{19C49245-D039-429C-AA8C-5FA89F0161C0}"/>
    <cellStyle name="Comma 16 4 6 2 2" xfId="2529" xr:uid="{753BF41A-3729-4A45-B881-684A3F17A107}"/>
    <cellStyle name="Comma 16 4 6 2 2 2" xfId="2536" xr:uid="{EB4C327C-E449-476B-A40C-15FAEBD9EEA9}"/>
    <cellStyle name="Comma 16 4 6 2 2 2 2" xfId="3256" xr:uid="{3905D395-398E-43EC-8481-49B8A24AA772}"/>
    <cellStyle name="Comma 16 4 6 2 2 3" xfId="3262" xr:uid="{0F29823C-563F-4ADE-B8F4-5BC5B330E0DC}"/>
    <cellStyle name="Comma 16 4 6 2 3" xfId="2545" xr:uid="{622521AE-42A8-4260-A854-69A8BD806987}"/>
    <cellStyle name="Comma 16 4 6 2 3 2" xfId="2552" xr:uid="{EF71E39E-AE78-4AC1-90FA-58953F730B4A}"/>
    <cellStyle name="Comma 16 4 6 2 4" xfId="2682" xr:uid="{F129D22B-0A0B-4CF7-A3D6-2637164E4E65}"/>
    <cellStyle name="Comma 16 4 6 3" xfId="7246" xr:uid="{4CA5E288-44ED-4DDC-9505-41E73CB66B50}"/>
    <cellStyle name="Comma 16 4 6 3 2" xfId="3435" xr:uid="{52792609-F03A-477A-85A2-1A48FEB42CA2}"/>
    <cellStyle name="Comma 16 4 6 3 2 2" xfId="3438" xr:uid="{44B199EC-71FD-4E54-BBBC-DF446AA24B8A}"/>
    <cellStyle name="Comma 16 4 6 3 3" xfId="3440" xr:uid="{F0369F9E-277F-4439-B9C1-1BCCFE3ECBDA}"/>
    <cellStyle name="Comma 16 4 6 4" xfId="2137" xr:uid="{4F2B33CD-9CE6-4F8A-998A-5E05D36D1226}"/>
    <cellStyle name="Comma 16 4 6 4 2" xfId="3517" xr:uid="{89085E80-8740-472A-8131-AB524A16FD4E}"/>
    <cellStyle name="Comma 16 4 6 5" xfId="156" xr:uid="{714DDDFC-EE73-4857-A5B3-BAB5D4D7D337}"/>
    <cellStyle name="Comma 16 4 7" xfId="7247" xr:uid="{C2E76F0A-87C9-42DF-A881-D1379934FE4D}"/>
    <cellStyle name="Comma 16 4 7 2" xfId="7248" xr:uid="{1BA8E7EF-AA88-4B3A-A63F-E07D3B7F3AE0}"/>
    <cellStyle name="Comma 16 4 7 2 2" xfId="950" xr:uid="{477B1696-6175-48CC-801E-CE1FDB82C94B}"/>
    <cellStyle name="Comma 16 4 7 2 2 2" xfId="3761" xr:uid="{92C14A9A-FAF1-4151-BE68-AFD0A6BE0DB2}"/>
    <cellStyle name="Comma 16 4 7 2 3" xfId="678" xr:uid="{EE8208D6-3552-4645-9CAF-8DA4EC74C307}"/>
    <cellStyle name="Comma 16 4 7 3" xfId="7249" xr:uid="{A70A14BA-9991-4E08-8398-17A481F9882F}"/>
    <cellStyle name="Comma 16 4 7 3 2" xfId="3898" xr:uid="{DB7E4C85-598F-4D3A-A70E-B0B3613BEBBB}"/>
    <cellStyle name="Comma 16 4 7 4" xfId="7250" xr:uid="{2F1ECF00-A59C-4B72-A42D-E12BF9CCEC11}"/>
    <cellStyle name="Comma 16 4 8" xfId="7251" xr:uid="{54C9A8FB-C52E-441B-B5F5-F06EC581C6E6}"/>
    <cellStyle name="Comma 16 4 8 2" xfId="7252" xr:uid="{AE0BFFE0-B003-4E67-85F0-18B657BFF60C}"/>
    <cellStyle name="Comma 16 4 8 2 2" xfId="1068" xr:uid="{2E3FDA5F-2D41-4C61-9717-B65F1A3B16E6}"/>
    <cellStyle name="Comma 16 4 8 3" xfId="7253" xr:uid="{56C7F58E-7AC8-460A-B1B6-648714ED16FE}"/>
    <cellStyle name="Comma 16 4 9" xfId="5906" xr:uid="{927A4FA3-A873-4C2D-A723-E0581569BBBF}"/>
    <cellStyle name="Comma 16 4 9 2" xfId="7255" xr:uid="{FB492D94-79C8-4F7F-A039-3D79E41C088F}"/>
    <cellStyle name="Comma 160" xfId="2677" xr:uid="{FFAFAF3B-A85C-4BA6-AC81-6FA02B55AEE2}"/>
    <cellStyle name="Comma 160 2" xfId="2684" xr:uid="{7B155ABC-8FF9-4D4D-A175-81167B4960E5}"/>
    <cellStyle name="Comma 161" xfId="2693" xr:uid="{E1F3C4D7-5CCA-4977-8E36-B3D9F78DCD1C}"/>
    <cellStyle name="Comma 161 2" xfId="2709" xr:uid="{67E813B7-D5C1-4913-B4D0-FB6A88C54AD4}"/>
    <cellStyle name="Comma 162" xfId="2718" xr:uid="{86FE1600-D878-44BB-AD46-AFB475E4C860}"/>
    <cellStyle name="Comma 162 2" xfId="2728" xr:uid="{9525433E-C2F1-45D2-BF3A-8C650D0A5220}"/>
    <cellStyle name="Comma 163" xfId="2738" xr:uid="{F0101915-6EFF-45F8-B01A-6CE977C7BB3A}"/>
    <cellStyle name="Comma 163 2" xfId="1215" xr:uid="{F4E57A15-6A01-4F9D-A44A-5AA322F3EEF2}"/>
    <cellStyle name="Comma 164" xfId="2743" xr:uid="{492E46D2-6F4A-4D94-B460-F56DF09C4A08}"/>
    <cellStyle name="Comma 164 2" xfId="2748" xr:uid="{74F957A7-7B7D-4B24-880A-C54A0EEED3F8}"/>
    <cellStyle name="Comma 165" xfId="7256" xr:uid="{162036AC-8C30-46AE-B843-FC3E44F1E0E2}"/>
    <cellStyle name="Comma 165 2" xfId="7261" xr:uid="{AD0AB62C-4059-48B3-8C5E-7FAD4620F1AB}"/>
    <cellStyle name="Comma 166" xfId="7265" xr:uid="{14EED098-A73D-4E0D-8BD7-2331BB131075}"/>
    <cellStyle name="Comma 166 2" xfId="7269" xr:uid="{E6C74D79-A909-41E8-A767-9B02B221BC90}"/>
    <cellStyle name="Comma 167" xfId="7087" xr:uid="{069F6972-6F38-49A5-B4F8-985A6AEC81A3}"/>
    <cellStyle name="Comma 167 2" xfId="7093" xr:uid="{3E1B07C9-25DD-48D4-8BC5-35A6EEDC4814}"/>
    <cellStyle name="Comma 168" xfId="7103" xr:uid="{F124A4AB-49DF-4846-9EC9-4C1968D89D93}"/>
    <cellStyle name="Comma 168 2" xfId="7110" xr:uid="{308DBB0D-6499-4858-B75E-56B3CE1D454C}"/>
    <cellStyle name="Comma 169" xfId="7117" xr:uid="{168A0E8B-E9F9-4E94-9B0E-E8A700452C63}"/>
    <cellStyle name="Comma 169 2" xfId="4082" xr:uid="{983D779D-EFB7-4B2F-83FF-80AC0CDD1323}"/>
    <cellStyle name="Comma 17" xfId="6483" xr:uid="{4A9E0EF3-D03D-4CCE-8606-F43F95BDDD89}"/>
    <cellStyle name="Comma 17 10" xfId="2765" xr:uid="{38CF1E60-D13A-4308-9AB3-7C2DDB0A2451}"/>
    <cellStyle name="Comma 17 10 2" xfId="2778" xr:uid="{3478D5B0-2AF5-48A5-A09B-A062AF8EF265}"/>
    <cellStyle name="Comma 17 10 2 2" xfId="2790" xr:uid="{A731F984-0972-4E37-8F44-23C48508D4FB}"/>
    <cellStyle name="Comma 17 10 2 2 2" xfId="3338" xr:uid="{F2111FD0-FD72-4E48-B91E-5293F632804A}"/>
    <cellStyle name="Comma 17 10 2 2 2 2" xfId="3276" xr:uid="{DE8DC239-EDB6-4BE2-961F-AFB44585670C}"/>
    <cellStyle name="Comma 17 10 2 2 2 2 2" xfId="3341" xr:uid="{6E7C6A97-20D9-4269-BEC4-2AA034B1A996}"/>
    <cellStyle name="Comma 17 10 2 2 2 3" xfId="3345" xr:uid="{4D8C547A-0E40-4608-87BC-370E3C58CE71}"/>
    <cellStyle name="Comma 17 10 2 2 3" xfId="3348" xr:uid="{92337A06-78BB-497F-80D6-B68F4939CD2F}"/>
    <cellStyle name="Comma 17 10 2 2 3 2" xfId="3351" xr:uid="{195A7D04-E84D-43D9-A44C-1CB1BA8364CA}"/>
    <cellStyle name="Comma 17 10 2 2 4" xfId="3354" xr:uid="{062767CB-551A-4B0F-BCED-CE67F3526F21}"/>
    <cellStyle name="Comma 17 10 2 3" xfId="6830" xr:uid="{F965BFCA-D9D7-4BC1-872D-94122CFCC678}"/>
    <cellStyle name="Comma 17 10 2 3 2" xfId="3407" xr:uid="{8D41F716-2D13-4591-AB0F-56731AB641DA}"/>
    <cellStyle name="Comma 17 10 2 3 2 2" xfId="3413" xr:uid="{801804FD-4C84-4346-B210-B65769E0198B}"/>
    <cellStyle name="Comma 17 10 2 3 3" xfId="3421" xr:uid="{DF888010-FD7E-4E47-B427-B87F783DE8AE}"/>
    <cellStyle name="Comma 17 10 2 4" xfId="6839" xr:uid="{B1BE430C-C4D2-4F6B-9287-373A0904434E}"/>
    <cellStyle name="Comma 17 10 2 4 2" xfId="3377" xr:uid="{5E88E118-97BB-4A4E-B565-11CCA32AB418}"/>
    <cellStyle name="Comma 17 10 2 5" xfId="6846" xr:uid="{211D083F-590B-489B-883A-FDEC87D05379}"/>
    <cellStyle name="Comma 17 10 3" xfId="2800" xr:uid="{2B908180-BF56-41A8-92A4-43DC163D14CB}"/>
    <cellStyle name="Comma 17 10 3 2" xfId="2806" xr:uid="{29946438-75B3-4CD2-B34C-D475BE8B704B}"/>
    <cellStyle name="Comma 17 10 3 2 2" xfId="3484" xr:uid="{A623A5CC-B798-4988-9BC8-87CA0ED5FFF2}"/>
    <cellStyle name="Comma 17 10 3 2 2 2" xfId="3487" xr:uid="{40F31C3E-9515-491F-A163-AA403E9317F0}"/>
    <cellStyle name="Comma 17 10 3 2 3" xfId="3491" xr:uid="{7A771611-82A4-4D6E-A02E-B291495CE9AC}"/>
    <cellStyle name="Comma 17 10 3 3" xfId="6853" xr:uid="{C55BC31B-5CBF-4F0C-BFB2-5A4FCE15F970}"/>
    <cellStyle name="Comma 17 10 3 3 2" xfId="3510" xr:uid="{56E104B3-A26C-495C-9717-1554AB3A9B14}"/>
    <cellStyle name="Comma 17 10 3 4" xfId="6860" xr:uid="{005158BC-01F9-4FC5-964E-9481F6FA8F06}"/>
    <cellStyle name="Comma 17 10 4" xfId="2811" xr:uid="{C3C6BB1F-B515-4DF0-BABC-6931C500D07C}"/>
    <cellStyle name="Comma 17 10 4 2" xfId="6864" xr:uid="{A824C822-77CE-4ECC-863C-B856C858B1DE}"/>
    <cellStyle name="Comma 17 10 4 2 2" xfId="3555" xr:uid="{BC7CE704-67B7-46C3-BF90-602023D37D74}"/>
    <cellStyle name="Comma 17 10 4 3" xfId="6873" xr:uid="{31ED83A3-A685-4224-9C56-DE7154F00B59}"/>
    <cellStyle name="Comma 17 10 5" xfId="6876" xr:uid="{86AE1F1C-E446-435E-9DB7-BA97C6182081}"/>
    <cellStyle name="Comma 17 10 5 2" xfId="6880" xr:uid="{259F2BB3-2BEF-4C3D-A6EC-855443355B3F}"/>
    <cellStyle name="Comma 17 10 6" xfId="6887" xr:uid="{0DF62C66-FDBD-4880-8F6E-8BE92FDCBE06}"/>
    <cellStyle name="Comma 17 10 7" xfId="6804" xr:uid="{5A4FFBD0-3429-45DA-9F88-62FFBC06F8A4}"/>
    <cellStyle name="Comma 17 11" xfId="2821" xr:uid="{C86FBD3D-5745-418A-BA95-BA61D7206977}"/>
    <cellStyle name="Comma 17 11 2" xfId="2853" xr:uid="{E47C6E62-B877-4EC2-95CA-C5086E32294B}"/>
    <cellStyle name="Comma 17 11 2 2" xfId="2858" xr:uid="{BC7B0055-682E-4A3D-B23D-8F7673AA4FEC}"/>
    <cellStyle name="Comma 17 11 2 2 2" xfId="2868" xr:uid="{1D501CFA-010E-4307-9A90-4F1CD03EF102}"/>
    <cellStyle name="Comma 17 11 2 2 2 2" xfId="2476" xr:uid="{06B136F5-D4E2-4EC1-9069-47B1F136EB61}"/>
    <cellStyle name="Comma 17 11 2 2 3" xfId="3282" xr:uid="{209580E6-22A2-4899-AD7D-F39593570690}"/>
    <cellStyle name="Comma 17 11 2 3" xfId="3590" xr:uid="{B9C1226B-5F15-473F-A8AD-33DE40351030}"/>
    <cellStyle name="Comma 17 11 2 3 2" xfId="3596" xr:uid="{56798124-E778-4EAA-94D1-EF2CF42C8D38}"/>
    <cellStyle name="Comma 17 11 2 4" xfId="1684" xr:uid="{BB66EE64-E301-4EB3-A3C4-0FEA1278ADD5}"/>
    <cellStyle name="Comma 17 11 3" xfId="2901" xr:uid="{343DE899-69C8-4069-9B1D-A4D357503787}"/>
    <cellStyle name="Comma 17 11 3 2" xfId="4308" xr:uid="{DCE98553-A85D-4205-A47A-F844D03EB5BD}"/>
    <cellStyle name="Comma 17 11 3 2 2" xfId="3967" xr:uid="{FD1CBC9A-49F6-4F4A-A393-9C154FA7F5D6}"/>
    <cellStyle name="Comma 17 11 3 3" xfId="4946" xr:uid="{2D135E5C-0752-4ED0-8997-2AF353C324ED}"/>
    <cellStyle name="Comma 17 11 4" xfId="5489" xr:uid="{3D92C918-8799-4F6E-B73C-99BE74EC7423}"/>
    <cellStyle name="Comma 17 11 4 2" xfId="5496" xr:uid="{631087D9-85BA-4620-8D4C-15F03CBE71A7}"/>
    <cellStyle name="Comma 17 11 5" xfId="5998" xr:uid="{DFB3D735-A0AA-461F-AFFF-A4A6464E3F4B}"/>
    <cellStyle name="Comma 17 12" xfId="6619" xr:uid="{FCFC82B4-8BAA-40E3-B8BC-277409576749}"/>
    <cellStyle name="Comma 17 12 2" xfId="6627" xr:uid="{A908C472-3985-4054-B39D-567BAC1FD583}"/>
    <cellStyle name="Comma 17 12 2 2" xfId="6635" xr:uid="{11CD8FCF-D6B5-4BA2-A96F-35549D69AB3A}"/>
    <cellStyle name="Comma 17 12 2 2 2" xfId="4140" xr:uid="{7E44E8D6-F840-4296-AB53-668D1F1727A7}"/>
    <cellStyle name="Comma 17 12 2 3" xfId="6811" xr:uid="{6869359C-EB8C-4055-8E26-7DA918351600}"/>
    <cellStyle name="Comma 17 12 3" xfId="6915" xr:uid="{1A23F644-70B7-4536-9524-828614D5CB7A}"/>
    <cellStyle name="Comma 17 12 3 2" xfId="6921" xr:uid="{20C9B3D9-3D88-4326-B5F0-979A0B4A1054}"/>
    <cellStyle name="Comma 17 12 4" xfId="6924" xr:uid="{01B3E202-FA2A-4E35-8441-CE2E3B9C4AFE}"/>
    <cellStyle name="Comma 17 13" xfId="4965" xr:uid="{EA2661C3-ECAA-4CE6-9D39-8501523D86BE}"/>
    <cellStyle name="Comma 17 13 2" xfId="6932" xr:uid="{14BF733C-43A8-47DC-ABA6-81138BD8D5D9}"/>
    <cellStyle name="Comma 17 13 2 2" xfId="6937" xr:uid="{08479B42-B99F-4449-80AE-02A7A5D9CE3A}"/>
    <cellStyle name="Comma 17 13 3" xfId="6939" xr:uid="{82115C0A-4D79-44A7-A8E7-39EC6986F353}"/>
    <cellStyle name="Comma 17 14" xfId="7276" xr:uid="{DB079E63-DD5F-4E08-A838-3783E2CA00D4}"/>
    <cellStyle name="Comma 17 14 2" xfId="1016" xr:uid="{5C712C66-E0A7-490B-8708-5AC5881C6F14}"/>
    <cellStyle name="Comma 17 15" xfId="163" xr:uid="{1A79AB75-2AF2-44E5-A56D-FDF3A107A83D}"/>
    <cellStyle name="Comma 17 16" xfId="1541" xr:uid="{86982004-E252-4B20-B7FE-384573F9CD35}"/>
    <cellStyle name="Comma 17 17" xfId="1547" xr:uid="{29FF88A3-D9D6-42E2-BFB9-A5437223DAF9}"/>
    <cellStyle name="Comma 17 18" xfId="1557" xr:uid="{D980C43B-C82F-4452-A79F-C6D40F29AD10}"/>
    <cellStyle name="Comma 17 2" xfId="6490" xr:uid="{F5017882-A409-4DE4-8592-A19F8A2AB3AF}"/>
    <cellStyle name="Comma 17 2 10" xfId="7279" xr:uid="{E01E10EA-8547-4710-A0C0-B1237AB9CD57}"/>
    <cellStyle name="Comma 17 2 10 2" xfId="1177" xr:uid="{5AFFD5AD-E7E7-4D5E-9963-B25FFFB0E922}"/>
    <cellStyle name="Comma 17 2 10 2 2" xfId="1185" xr:uid="{1C556049-1E21-412A-87EF-66F647888957}"/>
    <cellStyle name="Comma 17 2 10 3" xfId="477" xr:uid="{41F263A1-8B7E-460E-86C8-9DEAC0E93D81}"/>
    <cellStyle name="Comma 17 2 11" xfId="7283" xr:uid="{931CC13D-57DF-40D7-B1E0-9BE05B951759}"/>
    <cellStyle name="Comma 17 2 11 2" xfId="1310" xr:uid="{BC851FA8-D323-41FF-8A6C-E955535664B1}"/>
    <cellStyle name="Comma 17 2 12" xfId="7290" xr:uid="{FF5D1511-3E53-45E9-878F-AFCB7119AD06}"/>
    <cellStyle name="Comma 17 2 13" xfId="7293" xr:uid="{8CFBF06C-EE53-4C9A-9A30-79D02988AF56}"/>
    <cellStyle name="Comma 17 2 14" xfId="2096" xr:uid="{8A816B0D-2C0B-449D-8BFC-63E194E0BC09}"/>
    <cellStyle name="Comma 17 2 15" xfId="6569" xr:uid="{40B66A58-5F6E-443E-A1DF-9EFC6E3173A6}"/>
    <cellStyle name="Comma 17 2 2" xfId="7026" xr:uid="{256D0361-997C-4983-B874-A10D4C524533}"/>
    <cellStyle name="Comma 17 2 2 10" xfId="7294" xr:uid="{51F1FAE2-09C1-47F6-B467-FAAFD4E3CDE5}"/>
    <cellStyle name="Comma 17 2 2 10 2" xfId="162" xr:uid="{2EC9688F-2C0E-4756-A15A-52C605C1162E}"/>
    <cellStyle name="Comma 17 2 2 11" xfId="7295" xr:uid="{5AF63F6E-384B-4293-BAFE-8D6C70D077AC}"/>
    <cellStyle name="Comma 17 2 2 12" xfId="7296" xr:uid="{7EF1EE0C-CA68-47AF-910C-CD6C3984B57F}"/>
    <cellStyle name="Comma 17 2 2 13" xfId="7183" xr:uid="{E5195CA5-E19A-4EE5-AC15-E74160C94DA0}"/>
    <cellStyle name="Comma 17 2 2 2" xfId="7029" xr:uid="{A601AB90-FB39-4EA3-AB65-1CF85FFA3D7A}"/>
    <cellStyle name="Comma 17 2 2 2 10" xfId="7297" xr:uid="{B615AA3C-0130-4390-BB6C-F98B7757DCBD}"/>
    <cellStyle name="Comma 17 2 2 2 11" xfId="7298" xr:uid="{627B4C80-AAC5-46FF-81F9-BEF8C9473FC9}"/>
    <cellStyle name="Comma 17 2 2 2 2" xfId="819" xr:uid="{84BFB674-E318-4080-8D97-C32E15B3053A}"/>
    <cellStyle name="Comma 17 2 2 2 2 10" xfId="4187" xr:uid="{39BF37B8-DF26-4EA2-83BD-FA474AC11539}"/>
    <cellStyle name="Comma 17 2 2 2 2 2" xfId="3051" xr:uid="{990A81E2-ABEC-4C24-80F9-10803D1DF2E4}"/>
    <cellStyle name="Comma 17 2 2 2 2 2 2" xfId="4677" xr:uid="{4740D26C-BFF7-47A1-8FA0-5BA6A9A57F0B}"/>
    <cellStyle name="Comma 17 2 2 2 2 2 2 2" xfId="7301" xr:uid="{3AD003D7-57CF-4046-8909-CD931856920C}"/>
    <cellStyle name="Comma 17 2 2 2 2 2 2 2 2" xfId="3183" xr:uid="{B6D99561-4FD7-4296-B426-38362E1B354C}"/>
    <cellStyle name="Comma 17 2 2 2 2 2 2 2 2 2" xfId="3188" xr:uid="{327F8188-B73A-4BFB-B0CF-47842CACAF79}"/>
    <cellStyle name="Comma 17 2 2 2 2 2 2 2 2 2 2" xfId="7302" xr:uid="{9E0B1183-574A-4221-9991-942150090BA9}"/>
    <cellStyle name="Comma 17 2 2 2 2 2 2 2 2 2 2 2" xfId="7303" xr:uid="{DF62059B-B366-4F63-B4ED-563CC4878999}"/>
    <cellStyle name="Comma 17 2 2 2 2 2 2 2 2 2 2 2 2" xfId="6868" xr:uid="{600A56B2-D073-47F7-8D6F-4EE875C63B4A}"/>
    <cellStyle name="Comma 17 2 2 2 2 2 2 2 2 2 2 3" xfId="5754" xr:uid="{B82A1E95-9FD9-4E4D-A4F5-44240919C8C9}"/>
    <cellStyle name="Comma 17 2 2 2 2 2 2 2 2 2 3" xfId="7304" xr:uid="{90873C24-0054-4065-BC20-C58F979BF514}"/>
    <cellStyle name="Comma 17 2 2 2 2 2 2 2 2 2 3 2" xfId="7305" xr:uid="{46EBF6A4-6197-45ED-92CC-D1E5DE9EC1BD}"/>
    <cellStyle name="Comma 17 2 2 2 2 2 2 2 2 2 4" xfId="7312" xr:uid="{05DCEC85-DE85-40CE-9688-2DCA397F1C96}"/>
    <cellStyle name="Comma 17 2 2 2 2 2 2 2 2 3" xfId="4463" xr:uid="{65227654-B96D-4030-A4E5-24028DE2C118}"/>
    <cellStyle name="Comma 17 2 2 2 2 2 2 2 2 3 2" xfId="7313" xr:uid="{C641A39F-71C9-4C19-A0D8-FE41C4EBFB1C}"/>
    <cellStyle name="Comma 17 2 2 2 2 2 2 2 2 3 2 2" xfId="7314" xr:uid="{27A1B3B5-1335-4B67-ABED-DEC53861BA13}"/>
    <cellStyle name="Comma 17 2 2 2 2 2 2 2 2 3 3" xfId="7315" xr:uid="{7542E128-3F5A-464B-9CEE-EA1EFA4CB7A6}"/>
    <cellStyle name="Comma 17 2 2 2 2 2 2 2 2 4" xfId="7319" xr:uid="{360F3279-C617-429B-87D0-A422E46222F5}"/>
    <cellStyle name="Comma 17 2 2 2 2 2 2 2 2 4 2" xfId="6141" xr:uid="{7D07AA9F-D049-440C-B9AA-9DE0CB5959F2}"/>
    <cellStyle name="Comma 17 2 2 2 2 2 2 2 2 5" xfId="7322" xr:uid="{00DF9E7D-659E-44C6-B414-D1433B60C637}"/>
    <cellStyle name="Comma 17 2 2 2 2 2 2 2 3" xfId="3194" xr:uid="{E3508E53-AA6E-404C-8E4F-CF4738F974A5}"/>
    <cellStyle name="Comma 17 2 2 2 2 2 2 2 3 2" xfId="4592" xr:uid="{67AF94B0-6BA2-40F5-9201-E7987DF9D0BA}"/>
    <cellStyle name="Comma 17 2 2 2 2 2 2 2 3 2 2" xfId="7325" xr:uid="{0593DA34-D2F0-4EB6-93CA-F91A5CD54642}"/>
    <cellStyle name="Comma 17 2 2 2 2 2 2 2 3 2 2 2" xfId="7327" xr:uid="{5E9534C4-66BD-42EF-A6B3-BB35EAE1D35D}"/>
    <cellStyle name="Comma 17 2 2 2 2 2 2 2 3 2 3" xfId="7328" xr:uid="{B07CC608-A534-4131-8071-BC807A5C83F9}"/>
    <cellStyle name="Comma 17 2 2 2 2 2 2 2 3 3" xfId="7332" xr:uid="{42215C1B-0672-4704-9504-7869EA6658C7}"/>
    <cellStyle name="Comma 17 2 2 2 2 2 2 2 3 3 2" xfId="7333" xr:uid="{D79E37D4-F2E0-43CD-A8CA-E3D556896751}"/>
    <cellStyle name="Comma 17 2 2 2 2 2 2 2 3 4" xfId="7336" xr:uid="{91BB344C-B326-41FD-927F-69F053337528}"/>
    <cellStyle name="Comma 17 2 2 2 2 2 2 2 4" xfId="3199" xr:uid="{DB2FB03F-E42C-4E42-BDAE-DEF0FB51A870}"/>
    <cellStyle name="Comma 17 2 2 2 2 2 2 2 4 2" xfId="7341" xr:uid="{E9E43DA8-7111-4613-B807-3F575ABFD24C}"/>
    <cellStyle name="Comma 17 2 2 2 2 2 2 2 4 2 2" xfId="7343" xr:uid="{30A06C6D-7A57-40CA-85F5-E37E4F87C4F5}"/>
    <cellStyle name="Comma 17 2 2 2 2 2 2 2 4 3" xfId="7346" xr:uid="{A925EAC6-2458-4FA4-A0CB-5BD4C1443344}"/>
    <cellStyle name="Comma 17 2 2 2 2 2 2 2 5" xfId="7349" xr:uid="{B60D9052-27CA-41AE-A34B-484CC00DE42E}"/>
    <cellStyle name="Comma 17 2 2 2 2 2 2 2 5 2" xfId="2013" xr:uid="{989647D2-B2A1-43CD-A706-F38873681F08}"/>
    <cellStyle name="Comma 17 2 2 2 2 2 2 2 6" xfId="7350" xr:uid="{4835BD47-6CB8-45DE-B462-A5DA8845D842}"/>
    <cellStyle name="Comma 17 2 2 2 2 2 2 2 7" xfId="7355" xr:uid="{B85F9CFD-53DA-486E-87F3-945A7F1D2100}"/>
    <cellStyle name="Comma 17 2 2 2 2 2 2 3" xfId="4741" xr:uid="{5D2A7377-58CB-4FEF-8105-E1499CE7AABA}"/>
    <cellStyle name="Comma 17 2 2 2 2 2 2 3 2" xfId="3250" xr:uid="{8A28B2F9-8E17-454D-8965-10D007233A05}"/>
    <cellStyle name="Comma 17 2 2 2 2 2 2 3 2 2" xfId="3313" xr:uid="{7B5CEDF1-2447-4154-BB67-4A6F278792D3}"/>
    <cellStyle name="Comma 17 2 2 2 2 2 2 3 2 2 2" xfId="4747" xr:uid="{7F1C0474-7019-4C18-8AA8-A36A11492AA4}"/>
    <cellStyle name="Comma 17 2 2 2 2 2 2 3 2 2 2 2" xfId="7363" xr:uid="{50182B80-07C7-40FC-98D3-DEF88B7D1453}"/>
    <cellStyle name="Comma 17 2 2 2 2 2 2 3 2 2 3" xfId="7366" xr:uid="{4DBB1D09-929D-4DC2-A385-9E51C4D91D55}"/>
    <cellStyle name="Comma 17 2 2 2 2 2 2 3 2 3" xfId="4752" xr:uid="{D77B86AE-6FE0-40AA-BD49-710E1412DA30}"/>
    <cellStyle name="Comma 17 2 2 2 2 2 2 3 2 3 2" xfId="7369" xr:uid="{5CDA442F-F535-4A0B-B53A-B49F530FE436}"/>
    <cellStyle name="Comma 17 2 2 2 2 2 2 3 2 4" xfId="7374" xr:uid="{8D6FAA5E-FC98-441B-9383-A1A7EFF820AE}"/>
    <cellStyle name="Comma 17 2 2 2 2 2 2 3 3" xfId="3318" xr:uid="{A98783A5-69E1-4D03-AEDD-6B11F3434E14}"/>
    <cellStyle name="Comma 17 2 2 2 2 2 2 3 3 2" xfId="4759" xr:uid="{961D778D-3158-4397-9890-98D14A7E0455}"/>
    <cellStyle name="Comma 17 2 2 2 2 2 2 3 3 2 2" xfId="7377" xr:uid="{FA004B74-B028-4941-9B52-3ABA563A7DF8}"/>
    <cellStyle name="Comma 17 2 2 2 2 2 2 3 3 3" xfId="7379" xr:uid="{89D8A7C6-EF5C-472C-9012-0DE07405A288}"/>
    <cellStyle name="Comma 17 2 2 2 2 2 2 3 4" xfId="4766" xr:uid="{B753D5DB-8219-47B2-B90D-4A26E6A446AC}"/>
    <cellStyle name="Comma 17 2 2 2 2 2 2 3 4 2" xfId="7384" xr:uid="{B84BC125-ECC4-46F8-A9C4-AB2ACE546022}"/>
    <cellStyle name="Comma 17 2 2 2 2 2 2 3 5" xfId="7390" xr:uid="{D39999DA-9C94-442C-B6AC-7B413B44EA8D}"/>
    <cellStyle name="Comma 17 2 2 2 2 2 2 4" xfId="4774" xr:uid="{5D8A3006-3A55-415A-AC95-55D46BABEDEA}"/>
    <cellStyle name="Comma 17 2 2 2 2 2 2 4 2" xfId="3332" xr:uid="{6C9785AB-41F6-433C-8363-611EE9849572}"/>
    <cellStyle name="Comma 17 2 2 2 2 2 2 4 2 2" xfId="4784" xr:uid="{D7E19AF8-64DB-46AA-B1C5-D2252B4300FC}"/>
    <cellStyle name="Comma 17 2 2 2 2 2 2 4 2 2 2" xfId="7391" xr:uid="{30DBBF51-82BE-4D18-8BF9-01E45F86107B}"/>
    <cellStyle name="Comma 17 2 2 2 2 2 2 4 2 3" xfId="7392" xr:uid="{19024CA0-FF6D-4959-9357-BFE4121C6989}"/>
    <cellStyle name="Comma 17 2 2 2 2 2 2 4 3" xfId="4792" xr:uid="{98D40940-2999-4701-852A-D32A39F1462F}"/>
    <cellStyle name="Comma 17 2 2 2 2 2 2 4 3 2" xfId="7393" xr:uid="{7DB02554-7A58-49CD-B35D-A82A3FBE3F28}"/>
    <cellStyle name="Comma 17 2 2 2 2 2 2 4 4" xfId="7400" xr:uid="{0E9A02CC-44E9-43B9-9711-DBDF8AC866C3}"/>
    <cellStyle name="Comma 17 2 2 2 2 2 2 5" xfId="4798" xr:uid="{9C67D5DF-0FF1-4F17-B1DE-38A651B3138F}"/>
    <cellStyle name="Comma 17 2 2 2 2 2 2 5 2" xfId="4803" xr:uid="{2D274439-50F3-45ED-94BC-8BCC4AF2A056}"/>
    <cellStyle name="Comma 17 2 2 2 2 2 2 5 2 2" xfId="7401" xr:uid="{92C90D30-7F97-4B33-923E-36C2858E66C9}"/>
    <cellStyle name="Comma 17 2 2 2 2 2 2 5 3" xfId="7402" xr:uid="{8FF96BD8-E6BA-4B12-881D-D1079439FF9C}"/>
    <cellStyle name="Comma 17 2 2 2 2 2 2 6" xfId="4809" xr:uid="{B85845A1-A9BD-4378-87CB-1E063D364628}"/>
    <cellStyle name="Comma 17 2 2 2 2 2 2 6 2" xfId="7404" xr:uid="{F74E78DE-980A-478A-888B-1F04672BBA73}"/>
    <cellStyle name="Comma 17 2 2 2 2 2 2 7" xfId="7410" xr:uid="{199FA105-CB0A-47CB-8284-82FE798642CE}"/>
    <cellStyle name="Comma 17 2 2 2 2 2 2 8" xfId="4782" xr:uid="{BE7C9B40-2745-41B3-9547-8CF5DAD6551E}"/>
    <cellStyle name="Comma 17 2 2 2 2 2 3" xfId="7411" xr:uid="{B9EE3369-52F2-46FF-B206-CDF69A83171A}"/>
    <cellStyle name="Comma 17 2 2 2 2 2 3 2" xfId="380" xr:uid="{D6BDF776-4561-435B-A0FD-EE050A993741}"/>
    <cellStyle name="Comma 17 2 2 2 2 2 3 2 2" xfId="3416" xr:uid="{0A92D8B3-2582-4932-B982-25BB4C65F4D0}"/>
    <cellStyle name="Comma 17 2 2 2 2 2 3 2 2 2" xfId="4987" xr:uid="{B38B4D40-F4D7-4C2F-BC73-917D6D4F923E}"/>
    <cellStyle name="Comma 17 2 2 2 2 2 3 2 2 2 2" xfId="7413" xr:uid="{4A5309E5-29B9-4EF7-A2C4-E208CE7CC1A5}"/>
    <cellStyle name="Comma 17 2 2 2 2 2 3 2 2 2 2 2" xfId="5532" xr:uid="{60478796-CB2B-49D8-BCE1-B219122AA241}"/>
    <cellStyle name="Comma 17 2 2 2 2 2 3 2 2 2 3" xfId="7416" xr:uid="{60D34D8D-79B5-47FD-BE71-6BCC732F8C1A}"/>
    <cellStyle name="Comma 17 2 2 2 2 2 3 2 2 3" xfId="7417" xr:uid="{333E9BD6-93FC-4048-A003-F8F79C981F77}"/>
    <cellStyle name="Comma 17 2 2 2 2 2 3 2 2 3 2" xfId="7418" xr:uid="{1FE7A52C-D052-4380-A339-D7A2D867B5D0}"/>
    <cellStyle name="Comma 17 2 2 2 2 2 3 2 2 4" xfId="7423" xr:uid="{14733677-43C4-47F4-99FF-BFAE9B8868C6}"/>
    <cellStyle name="Comma 17 2 2 2 2 2 3 2 3" xfId="7425" xr:uid="{3D4FA365-1F6D-41EF-BB7E-3AE148C41523}"/>
    <cellStyle name="Comma 17 2 2 2 2 2 3 2 3 2" xfId="7428" xr:uid="{77F142C2-521A-4512-BF24-FFDDB5ECF303}"/>
    <cellStyle name="Comma 17 2 2 2 2 2 3 2 3 2 2" xfId="7429" xr:uid="{D7124537-9518-4C6D-ABCF-2C171E114165}"/>
    <cellStyle name="Comma 17 2 2 2 2 2 3 2 3 3" xfId="7430" xr:uid="{58DD31C3-D676-41E2-A920-4E17D140AFDC}"/>
    <cellStyle name="Comma 17 2 2 2 2 2 3 2 4" xfId="2975" xr:uid="{06997345-DE3C-4616-9F71-0196825872FF}"/>
    <cellStyle name="Comma 17 2 2 2 2 2 3 2 4 2" xfId="4650" xr:uid="{6D716B31-6D55-493A-9789-732D4792BBB4}"/>
    <cellStyle name="Comma 17 2 2 2 2 2 3 2 5" xfId="4653" xr:uid="{25EE3352-5B9C-4CE9-B12B-D6179805DD8C}"/>
    <cellStyle name="Comma 17 2 2 2 2 2 3 3" xfId="4814" xr:uid="{BA943202-7F69-4E7C-A396-228515662B49}"/>
    <cellStyle name="Comma 17 2 2 2 2 2 3 3 2" xfId="3388" xr:uid="{915DD85C-7C12-4F92-B4AC-E509649E64C4}"/>
    <cellStyle name="Comma 17 2 2 2 2 2 3 3 2 2" xfId="4818" xr:uid="{EC471F5E-3935-4DBE-8F23-26D827AA4AAA}"/>
    <cellStyle name="Comma 17 2 2 2 2 2 3 3 2 2 2" xfId="7431" xr:uid="{39C0AC7B-1893-4FC9-957D-10640AAF7884}"/>
    <cellStyle name="Comma 17 2 2 2 2 2 3 3 2 3" xfId="7434" xr:uid="{5E2BDD75-04E6-433B-BADA-1BADCA13C44B}"/>
    <cellStyle name="Comma 17 2 2 2 2 2 3 3 3" xfId="4825" xr:uid="{8307060A-A522-456F-84A0-9B33EDFC8DCA}"/>
    <cellStyle name="Comma 17 2 2 2 2 2 3 3 3 2" xfId="7436" xr:uid="{97ED6A2B-F362-4581-B323-32CE893B4139}"/>
    <cellStyle name="Comma 17 2 2 2 2 2 3 3 4" xfId="4659" xr:uid="{6B67EF80-313D-4528-8745-493C296E96A3}"/>
    <cellStyle name="Comma 17 2 2 2 2 2 3 4" xfId="4832" xr:uid="{8B1DE60A-E9C3-4FC4-8C96-C13628A1938D}"/>
    <cellStyle name="Comma 17 2 2 2 2 2 3 4 2" xfId="4837" xr:uid="{E28AFE5D-60DC-408B-A874-59FE98FC1D81}"/>
    <cellStyle name="Comma 17 2 2 2 2 2 3 4 2 2" xfId="7440" xr:uid="{BB690800-D425-4F34-AC08-7978591AD0A2}"/>
    <cellStyle name="Comma 17 2 2 2 2 2 3 4 3" xfId="7444" xr:uid="{B7787661-8DE9-4C5D-9CD4-5C509EEED8CA}"/>
    <cellStyle name="Comma 17 2 2 2 2 2 3 5" xfId="4841" xr:uid="{F82186A5-B8F6-40E9-B869-FFA2B25290FF}"/>
    <cellStyle name="Comma 17 2 2 2 2 2 3 5 2" xfId="7446" xr:uid="{56C61D1A-C7C4-4859-BA46-5F30FDBDBB76}"/>
    <cellStyle name="Comma 17 2 2 2 2 2 3 6" xfId="7452" xr:uid="{B874C00D-B037-4EED-A3F4-40CD02E4E0C3}"/>
    <cellStyle name="Comma 17 2 2 2 2 2 3 7" xfId="7457" xr:uid="{39010918-46AB-4951-964B-BD4B13A27ABF}"/>
    <cellStyle name="Comma 17 2 2 2 2 2 4" xfId="7458" xr:uid="{0579E409-8F78-44AD-AC08-FA3F36BD15A2}"/>
    <cellStyle name="Comma 17 2 2 2 2 2 4 2" xfId="7459" xr:uid="{77FB97FC-C55A-4F41-B68A-AF97DCEBA286}"/>
    <cellStyle name="Comma 17 2 2 2 2 2 4 2 2" xfId="7460" xr:uid="{7B7223CC-45D9-403D-B57C-D89B51600155}"/>
    <cellStyle name="Comma 17 2 2 2 2 2 4 2 2 2" xfId="1640" xr:uid="{34B9440C-58A3-4DB4-A8A1-F9760A3A85EE}"/>
    <cellStyle name="Comma 17 2 2 2 2 2 4 2 2 2 2" xfId="7461" xr:uid="{72BFA871-CD50-4A40-8284-25D43E72B2E3}"/>
    <cellStyle name="Comma 17 2 2 2 2 2 4 2 2 3" xfId="4276" xr:uid="{9E4B8BA7-1C98-4210-B124-743CA99D8ADB}"/>
    <cellStyle name="Comma 17 2 2 2 2 2 4 2 3" xfId="7463" xr:uid="{3C018F75-76A5-4275-8D85-20F7B7C28046}"/>
    <cellStyle name="Comma 17 2 2 2 2 2 4 2 3 2" xfId="1299" xr:uid="{81C470F1-F47E-4E8D-A6B7-F0B19ABAF3F2}"/>
    <cellStyle name="Comma 17 2 2 2 2 2 4 2 4" xfId="4669" xr:uid="{E992BE7E-97E4-43A4-A9B0-EBB3E0D3773D}"/>
    <cellStyle name="Comma 17 2 2 2 2 2 4 3" xfId="4845" xr:uid="{3429A43B-F01B-46E7-A1C1-168781BD98E2}"/>
    <cellStyle name="Comma 17 2 2 2 2 2 4 3 2" xfId="4849" xr:uid="{DCE49979-167E-4FE3-ACAD-973ABA5F95B5}"/>
    <cellStyle name="Comma 17 2 2 2 2 2 4 3 2 2" xfId="7464" xr:uid="{2E430333-353F-4337-8359-572E955207B1}"/>
    <cellStyle name="Comma 17 2 2 2 2 2 4 3 3" xfId="7466" xr:uid="{B72A207E-1906-42A5-BDC1-7CB3FC44D069}"/>
    <cellStyle name="Comma 17 2 2 2 2 2 4 4" xfId="3887" xr:uid="{B28FB173-ADF2-447A-A226-7911838EA3CC}"/>
    <cellStyle name="Comma 17 2 2 2 2 2 4 4 2" xfId="7468" xr:uid="{A875403E-C043-4DC1-AC66-9A687BB21FD7}"/>
    <cellStyle name="Comma 17 2 2 2 2 2 4 5" xfId="7473" xr:uid="{6EDDB725-D7EE-4501-BAF6-01603C433C8D}"/>
    <cellStyle name="Comma 17 2 2 2 2 2 5" xfId="7477" xr:uid="{017E1D28-4253-46AC-81F9-3A3501A81294}"/>
    <cellStyle name="Comma 17 2 2 2 2 2 5 2" xfId="7478" xr:uid="{CEF6E710-ED03-47E6-B76C-EF5C55B35A7E}"/>
    <cellStyle name="Comma 17 2 2 2 2 2 5 2 2" xfId="7479" xr:uid="{F5D4A6F8-92B9-4A40-9D3D-7B4E528113EF}"/>
    <cellStyle name="Comma 17 2 2 2 2 2 5 2 2 2" xfId="802" xr:uid="{D45D87B7-5890-4BF3-83AA-E80F4F9221BE}"/>
    <cellStyle name="Comma 17 2 2 2 2 2 5 2 3" xfId="7480" xr:uid="{4461C10F-40C2-47E5-9CF6-BBB9DB3D6D13}"/>
    <cellStyle name="Comma 17 2 2 2 2 2 5 3" xfId="4856" xr:uid="{3A675D25-12A4-450C-92C7-E1C5B4678954}"/>
    <cellStyle name="Comma 17 2 2 2 2 2 5 3 2" xfId="2409" xr:uid="{B38F2FAD-5DC8-479F-B984-1B81B5E7F83A}"/>
    <cellStyle name="Comma 17 2 2 2 2 2 5 4" xfId="3496" xr:uid="{3B21E67D-7A84-4ED7-846B-DE99D2E2EAF8}"/>
    <cellStyle name="Comma 17 2 2 2 2 2 6" xfId="7483" xr:uid="{1DFB4BC9-20A6-4EDE-8D34-1DBBA792AC9B}"/>
    <cellStyle name="Comma 17 2 2 2 2 2 6 2" xfId="7486" xr:uid="{414E2157-1D6B-4602-A1D6-E08E84F2EE34}"/>
    <cellStyle name="Comma 17 2 2 2 2 2 6 2 2" xfId="5762" xr:uid="{E8D3FF6A-B00A-458B-B24A-AB73473F194B}"/>
    <cellStyle name="Comma 17 2 2 2 2 2 6 3" xfId="7489" xr:uid="{073A8E25-36C1-4A4C-BFAD-3033BF793496}"/>
    <cellStyle name="Comma 17 2 2 2 2 2 7" xfId="7492" xr:uid="{3F4FAB52-5F6A-4414-9D59-1F0EAFA96B72}"/>
    <cellStyle name="Comma 17 2 2 2 2 2 7 2" xfId="7495" xr:uid="{11EA5BFA-AA25-4D36-AD1E-0E9BEDAF32A7}"/>
    <cellStyle name="Comma 17 2 2 2 2 2 8" xfId="7502" xr:uid="{F620AD98-56EC-4780-8C78-F5A54A1B637E}"/>
    <cellStyle name="Comma 17 2 2 2 2 2 9" xfId="7508" xr:uid="{AE17832F-EFB9-4198-898A-77A520A10580}"/>
    <cellStyle name="Comma 17 2 2 2 2 3" xfId="4682" xr:uid="{922BBA4C-ED0E-430A-9E09-BC6013F4A4FE}"/>
    <cellStyle name="Comma 17 2 2 2 2 3 2" xfId="7510" xr:uid="{EF443AE7-D277-4FF2-B592-BBE76E3DCB54}"/>
    <cellStyle name="Comma 17 2 2 2 2 3 2 2" xfId="7511" xr:uid="{AB385748-43C4-4D3A-9737-9F8FD9B5F0E7}"/>
    <cellStyle name="Comma 17 2 2 2 2 3 2 2 2" xfId="1823" xr:uid="{6CBD758C-E353-4AA8-81DF-89AF6F6F3BC3}"/>
    <cellStyle name="Comma 17 2 2 2 2 3 2 2 2 2" xfId="5555" xr:uid="{A1CD520C-C27A-42BD-8D9D-C4B981FAB2B5}"/>
    <cellStyle name="Comma 17 2 2 2 2 3 2 2 2 2 2" xfId="7513" xr:uid="{E66A0E10-2AAB-4D34-ABF2-2E9E5A9BEBB7}"/>
    <cellStyle name="Comma 17 2 2 2 2 3 2 2 2 2 2 2" xfId="7515" xr:uid="{CCB3B926-CA3F-44C6-A8C1-870A025A0F15}"/>
    <cellStyle name="Comma 17 2 2 2 2 3 2 2 2 2 3" xfId="7519" xr:uid="{D81B890C-5AB5-4A57-9BC6-D74B6A6363DB}"/>
    <cellStyle name="Comma 17 2 2 2 2 3 2 2 2 3" xfId="5547" xr:uid="{E0FE86C9-5122-477A-9535-F32E049B12A5}"/>
    <cellStyle name="Comma 17 2 2 2 2 3 2 2 2 3 2" xfId="7521" xr:uid="{AB38B9E3-BBA7-495B-BCFA-01371A0377C0}"/>
    <cellStyle name="Comma 17 2 2 2 2 3 2 2 2 4" xfId="7524" xr:uid="{EC4713D8-36F3-4BAD-B1C5-A8BA749CCC9D}"/>
    <cellStyle name="Comma 17 2 2 2 2 3 2 2 3" xfId="1832" xr:uid="{829E8526-9A02-427B-8089-E8DB1ADD9B5A}"/>
    <cellStyle name="Comma 17 2 2 2 2 3 2 2 3 2" xfId="7286" xr:uid="{068D589B-2209-460D-88A7-B90C49276C88}"/>
    <cellStyle name="Comma 17 2 2 2 2 3 2 2 3 2 2" xfId="1309" xr:uid="{DBB67779-FF4E-4E55-8D19-49835C42F0A8}"/>
    <cellStyle name="Comma 17 2 2 2 2 3 2 2 3 3" xfId="7288" xr:uid="{C0CC39BB-1548-451B-8EE1-2CE9BF711E48}"/>
    <cellStyle name="Comma 17 2 2 2 2 3 2 2 4" xfId="1838" xr:uid="{318D77ED-0C4E-494D-A04C-0DCF23A63FDD}"/>
    <cellStyle name="Comma 17 2 2 2 2 3 2 2 4 2" xfId="7528" xr:uid="{D01D5B63-C3E7-49A2-A624-4786A880A339}"/>
    <cellStyle name="Comma 17 2 2 2 2 3 2 2 5" xfId="1845" xr:uid="{4465DC2B-D5EB-4CC7-AD89-C09E466920DC}"/>
    <cellStyle name="Comma 17 2 2 2 2 3 2 3" xfId="4866" xr:uid="{E6C1CDA3-6F3A-436F-89B0-64DA030804AF}"/>
    <cellStyle name="Comma 17 2 2 2 2 3 2 3 2" xfId="565" xr:uid="{4D12CEBC-967A-4345-AC95-B72BC9C129E8}"/>
    <cellStyle name="Comma 17 2 2 2 2 3 2 3 2 2" xfId="4872" xr:uid="{1C33B947-3163-4868-B3F3-BC03D43252D5}"/>
    <cellStyle name="Comma 17 2 2 2 2 3 2 3 2 2 2" xfId="7311" xr:uid="{EB3669D2-8156-42A3-9215-EF485FD8E742}"/>
    <cellStyle name="Comma 17 2 2 2 2 3 2 3 2 3" xfId="7530" xr:uid="{79F281A5-C809-4178-96F7-EDCE021A329E}"/>
    <cellStyle name="Comma 17 2 2 2 2 3 2 3 3" xfId="583" xr:uid="{5074123F-2CE1-44F6-B5AC-ED2CF19F28C4}"/>
    <cellStyle name="Comma 17 2 2 2 2 3 2 3 3 2" xfId="7532" xr:uid="{3C1D661C-EE82-47D6-A718-264AF1FB1C87}"/>
    <cellStyle name="Comma 17 2 2 2 2 3 2 3 4" xfId="595" xr:uid="{BEEB5D80-A233-449B-9183-0D7283E10D4A}"/>
    <cellStyle name="Comma 17 2 2 2 2 3 2 4" xfId="4877" xr:uid="{83324B3D-0669-4803-82FE-AF2A1926DED7}"/>
    <cellStyle name="Comma 17 2 2 2 2 3 2 4 2" xfId="4884" xr:uid="{BDF7601C-CDB7-4FB6-9B6B-F7A168493184}"/>
    <cellStyle name="Comma 17 2 2 2 2 3 2 4 2 2" xfId="7534" xr:uid="{A867F450-5D96-46E5-BBAE-66A7526B7DD8}"/>
    <cellStyle name="Comma 17 2 2 2 2 3 2 4 3" xfId="7536" xr:uid="{292A220D-3DDB-45CD-875B-3197F9A1341C}"/>
    <cellStyle name="Comma 17 2 2 2 2 3 2 5" xfId="4889" xr:uid="{A17A569F-7EBF-4E4F-A0BA-42E36C5737AD}"/>
    <cellStyle name="Comma 17 2 2 2 2 3 2 5 2" xfId="7538" xr:uid="{07FCD97B-B2C8-46A7-9DE3-02D198F9F017}"/>
    <cellStyle name="Comma 17 2 2 2 2 3 2 6" xfId="7541" xr:uid="{B65FEE55-E345-497E-9E47-695FD3FB58F2}"/>
    <cellStyle name="Comma 17 2 2 2 2 3 2 7" xfId="7543" xr:uid="{933E02D0-ADC7-413C-BCA0-D333874269F5}"/>
    <cellStyle name="Comma 17 2 2 2 2 3 3" xfId="7544" xr:uid="{572E8AF8-9AB2-45AC-8F71-568BBB23B9F8}"/>
    <cellStyle name="Comma 17 2 2 2 2 3 3 2" xfId="7546" xr:uid="{0DC0CBE7-BA6E-4481-8524-2E3ED076A44D}"/>
    <cellStyle name="Comma 17 2 2 2 2 3 3 2 2" xfId="3784" xr:uid="{8BD15901-C7C5-4B29-85E3-16247B39222A}"/>
    <cellStyle name="Comma 17 2 2 2 2 3 3 2 2 2" xfId="3791" xr:uid="{CA7B1201-01CC-41AC-913B-97258F7F8C01}"/>
    <cellStyle name="Comma 17 2 2 2 2 3 3 2 2 2 2" xfId="753" xr:uid="{534E6E30-204B-4C35-8570-E45977E1FF6D}"/>
    <cellStyle name="Comma 17 2 2 2 2 3 3 2 2 3" xfId="997" xr:uid="{C47AE5A9-4D09-4342-8A85-097F994E08CA}"/>
    <cellStyle name="Comma 17 2 2 2 2 3 3 2 3" xfId="3925" xr:uid="{6CDD3305-AA92-45B8-A7EE-8529A32E7F04}"/>
    <cellStyle name="Comma 17 2 2 2 2 3 3 2 3 2" xfId="3931" xr:uid="{660DD403-DDBD-4444-8624-B709655ED13C}"/>
    <cellStyle name="Comma 17 2 2 2 2 3 3 2 4" xfId="4004" xr:uid="{28A088D1-E75C-49F5-85B9-BFD3C9000EC1}"/>
    <cellStyle name="Comma 17 2 2 2 2 3 3 3" xfId="4897" xr:uid="{FE68CBAD-B578-4AA9-8EC9-DCC6656D90E6}"/>
    <cellStyle name="Comma 17 2 2 2 2 3 3 3 2" xfId="832" xr:uid="{59220D83-0AD2-49CE-BF18-5C959F646AA3}"/>
    <cellStyle name="Comma 17 2 2 2 2 3 3 3 2 2" xfId="4104" xr:uid="{00BEB5B9-572E-46CD-891D-246EAFED1179}"/>
    <cellStyle name="Comma 17 2 2 2 2 3 3 3 3" xfId="1693" xr:uid="{7162FDDE-5AB4-4994-BD2A-2DE01A133E50}"/>
    <cellStyle name="Comma 17 2 2 2 2 3 3 4" xfId="4902" xr:uid="{E0F561A9-FE5E-4CA4-8842-FA6CABAB4E23}"/>
    <cellStyle name="Comma 17 2 2 2 2 3 3 4 2" xfId="4216" xr:uid="{2287B5A3-60DF-4A11-867D-0380B99D40F8}"/>
    <cellStyle name="Comma 17 2 2 2 2 3 3 5" xfId="7548" xr:uid="{7A06D061-72E9-49CD-B8A7-86783701F29B}"/>
    <cellStyle name="Comma 17 2 2 2 2 3 4" xfId="6463" xr:uid="{744FD3CF-08C3-48D1-802B-79812950FEDF}"/>
    <cellStyle name="Comma 17 2 2 2 2 3 4 2" xfId="6069" xr:uid="{7BB4B96A-1C8B-4610-94CC-495B02C4F519}"/>
    <cellStyle name="Comma 17 2 2 2 2 3 4 2 2" xfId="5063" xr:uid="{8544D47E-95E2-4824-9CF7-B2F53BD1352A}"/>
    <cellStyle name="Comma 17 2 2 2 2 3 4 2 2 2" xfId="5069" xr:uid="{66D83913-B081-4950-A49D-C9F7F4962268}"/>
    <cellStyle name="Comma 17 2 2 2 2 3 4 2 3" xfId="5143" xr:uid="{78B0E13D-2681-445C-A29B-F4024805ED92}"/>
    <cellStyle name="Comma 17 2 2 2 2 3 4 3" xfId="4908" xr:uid="{EEE220DE-698C-41C6-A0B5-B363DFC91E0B}"/>
    <cellStyle name="Comma 17 2 2 2 2 3 4 3 2" xfId="515" xr:uid="{F794FD4A-0C69-4BEB-AE45-6BE7931FE000}"/>
    <cellStyle name="Comma 17 2 2 2 2 3 4 4" xfId="7549" xr:uid="{346368CD-F42C-4895-A1E0-4B4347BECD40}"/>
    <cellStyle name="Comma 17 2 2 2 2 3 5" xfId="6466" xr:uid="{8E66511E-E81A-4D5F-9F9F-4FF33EDE7F6F}"/>
    <cellStyle name="Comma 17 2 2 2 2 3 5 2" xfId="6470" xr:uid="{D6B15D91-E4C1-42A0-A380-1BF7E4DACE5D}"/>
    <cellStyle name="Comma 17 2 2 2 2 3 5 2 2" xfId="5836" xr:uid="{30733FAF-05C5-4935-B209-AE7902324C5A}"/>
    <cellStyle name="Comma 17 2 2 2 2 3 5 3" xfId="1795" xr:uid="{620A9B71-1FB9-445F-8991-07B463697689}"/>
    <cellStyle name="Comma 17 2 2 2 2 3 6" xfId="6477" xr:uid="{F9A89865-1427-4804-A525-CFD29E6237C3}"/>
    <cellStyle name="Comma 17 2 2 2 2 3 6 2" xfId="7555" xr:uid="{73EB2D5A-8F30-49C9-9711-B62903519C4F}"/>
    <cellStyle name="Comma 17 2 2 2 2 3 7" xfId="7559" xr:uid="{6A3A6265-2141-482D-8276-FA5BA296842A}"/>
    <cellStyle name="Comma 17 2 2 2 2 3 8" xfId="7567" xr:uid="{300731DE-DF59-4661-822D-61EB04F2D1AC}"/>
    <cellStyle name="Comma 17 2 2 2 2 4" xfId="7570" xr:uid="{8467F1E8-7E39-4DE8-82B5-BC149CBFA864}"/>
    <cellStyle name="Comma 17 2 2 2 2 4 2" xfId="2560" xr:uid="{D5FB6625-F49D-4302-BEA7-7EE1FE2281F3}"/>
    <cellStyle name="Comma 17 2 2 2 2 4 2 2" xfId="2564" xr:uid="{D5F3C68D-53FE-4D94-A944-4BFACF441041}"/>
    <cellStyle name="Comma 17 2 2 2 2 4 2 2 2" xfId="2578" xr:uid="{A10790D6-EEB2-4488-904E-C6027B864714}"/>
    <cellStyle name="Comma 17 2 2 2 2 4 2 2 2 2" xfId="2589" xr:uid="{7F8381B9-BF7A-43CE-8DAA-1377BF3D0F15}"/>
    <cellStyle name="Comma 17 2 2 2 2 4 2 2 2 2 2" xfId="7576" xr:uid="{978A4C36-D420-4674-AF44-FA470D8D08B8}"/>
    <cellStyle name="Comma 17 2 2 2 2 4 2 2 2 3" xfId="2598" xr:uid="{64EC9636-AE80-4324-8297-787D15BB81C2}"/>
    <cellStyle name="Comma 17 2 2 2 2 4 2 2 3" xfId="2612" xr:uid="{7FF01D82-9F63-4EE7-977A-0E30F4CB9482}"/>
    <cellStyle name="Comma 17 2 2 2 2 4 2 2 3 2" xfId="7583" xr:uid="{DFAB9E29-B448-4D81-8710-E868582606E2}"/>
    <cellStyle name="Comma 17 2 2 2 2 4 2 2 4" xfId="2622" xr:uid="{E16230B7-FC95-4E32-881E-6A6D75129DF6}"/>
    <cellStyle name="Comma 17 2 2 2 2 4 2 3" xfId="2627" xr:uid="{8C38E8CA-04CE-4D47-9662-DCF083040355}"/>
    <cellStyle name="Comma 17 2 2 2 2 4 2 3 2" xfId="2637" xr:uid="{15B92FDC-6F89-4814-BA36-5135747B400E}"/>
    <cellStyle name="Comma 17 2 2 2 2 4 2 3 2 2" xfId="2649" xr:uid="{A164BA3E-7FED-49BB-B3B2-4701B4E9C70C}"/>
    <cellStyle name="Comma 17 2 2 2 2 4 2 3 3" xfId="2653" xr:uid="{87AB7D68-2611-4D03-BA28-DA479E66ECBB}"/>
    <cellStyle name="Comma 17 2 2 2 2 4 2 4" xfId="2658" xr:uid="{68EA7CE6-C104-44A7-9626-C780A051F2AC}"/>
    <cellStyle name="Comma 17 2 2 2 2 4 2 4 2" xfId="2667" xr:uid="{C0DCB9D3-F6F5-4176-B1E6-D7623735F956}"/>
    <cellStyle name="Comma 17 2 2 2 2 4 2 5" xfId="2671" xr:uid="{EDCBFA55-9A51-4268-AD6C-109C36A2D279}"/>
    <cellStyle name="Comma 17 2 2 2 2 4 3" xfId="2755" xr:uid="{6355C670-3BCB-4358-AD78-E07DFF8E4F78}"/>
    <cellStyle name="Comma 17 2 2 2 2 4 3 2" xfId="2759" xr:uid="{E2694C95-BF1A-4B7C-A5E6-44D2F5036A52}"/>
    <cellStyle name="Comma 17 2 2 2 2 4 3 2 2" xfId="2772" xr:uid="{51AED811-1A3C-4D26-AFE1-4D0697CFB2F0}"/>
    <cellStyle name="Comma 17 2 2 2 2 4 3 2 2 2" xfId="2783" xr:uid="{88EFDEA6-6896-49C1-9EB8-1FE10A103DF7}"/>
    <cellStyle name="Comma 17 2 2 2 2 4 3 2 3" xfId="2795" xr:uid="{27B39F84-400A-40C7-B91F-02D6262821D1}"/>
    <cellStyle name="Comma 17 2 2 2 2 4 3 3" xfId="2816" xr:uid="{2EE8D414-A626-43B4-A960-85010F07EE19}"/>
    <cellStyle name="Comma 17 2 2 2 2 4 3 3 2" xfId="2847" xr:uid="{229E3EA4-4B64-446C-8B3C-4D2C80898A18}"/>
    <cellStyle name="Comma 17 2 2 2 2 4 3 4" xfId="6615" xr:uid="{B9C360A5-36DD-455D-B54D-80425D5BC233}"/>
    <cellStyle name="Comma 17 2 2 2 2 4 4" xfId="6482" xr:uid="{48C3AFFC-771C-4796-88FC-C518052281B0}"/>
    <cellStyle name="Comma 17 2 2 2 2 4 4 2" xfId="6489" xr:uid="{C61E8075-8151-4B12-B09E-FA1C115F1570}"/>
    <cellStyle name="Comma 17 2 2 2 2 4 4 2 2" xfId="7022" xr:uid="{8452863D-F231-459A-A0BB-71021F67B30E}"/>
    <cellStyle name="Comma 17 2 2 2 2 4 4 3" xfId="7585" xr:uid="{8EE0C894-7002-4F9E-835D-F242EF8E395E}"/>
    <cellStyle name="Comma 17 2 2 2 2 4 5" xfId="6496" xr:uid="{A55E95D8-7ADA-40AF-B95C-76E2B0171FA0}"/>
    <cellStyle name="Comma 17 2 2 2 2 4 5 2" xfId="6717" xr:uid="{3019A083-10F3-41B5-B693-8F954C51F94D}"/>
    <cellStyle name="Comma 17 2 2 2 2 4 6" xfId="6725" xr:uid="{90063B03-E999-45CE-9F90-D5D3F7783841}"/>
    <cellStyle name="Comma 17 2 2 2 2 4 7" xfId="7588" xr:uid="{5246C6A6-69DF-4359-939A-20A77CB37EF8}"/>
    <cellStyle name="Comma 17 2 2 2 2 5" xfId="7589" xr:uid="{21AEDCCB-DCB7-4198-8FCC-5D4931573632}"/>
    <cellStyle name="Comma 17 2 2 2 2 5 2" xfId="7590" xr:uid="{AA7A6E6D-D99B-428E-B9A1-D7ED59595E4A}"/>
    <cellStyle name="Comma 17 2 2 2 2 5 2 2" xfId="7597" xr:uid="{81D9ED3E-8DA3-410B-82CA-FE1E3C4C3C6F}"/>
    <cellStyle name="Comma 17 2 2 2 2 5 2 2 2" xfId="7600" xr:uid="{6361D0A9-2541-4936-8707-197FBE32AFBB}"/>
    <cellStyle name="Comma 17 2 2 2 2 5 2 2 2 2" xfId="2452" xr:uid="{F9935157-72DA-4624-8D1E-693DD5D64A08}"/>
    <cellStyle name="Comma 17 2 2 2 2 5 2 2 3" xfId="7603" xr:uid="{476B2839-35EC-4957-97E0-839532EFEB0A}"/>
    <cellStyle name="Comma 17 2 2 2 2 5 2 3" xfId="4931" xr:uid="{8B20F5A6-F9F3-45D4-A1F2-AE6CEEC83BA5}"/>
    <cellStyle name="Comma 17 2 2 2 2 5 2 3 2" xfId="7605" xr:uid="{309A4A90-EF34-48A0-B284-D84579830AEC}"/>
    <cellStyle name="Comma 17 2 2 2 2 5 2 4" xfId="2234" xr:uid="{EB0290B7-2487-42BE-AFF4-A71D28E1FB3A}"/>
    <cellStyle name="Comma 17 2 2 2 2 5 3" xfId="7607" xr:uid="{FFA5D106-4508-4099-A7E2-28C66C1FB4FD}"/>
    <cellStyle name="Comma 17 2 2 2 2 5 3 2" xfId="7610" xr:uid="{61206C67-3F9B-4AFD-87D6-AF7298373C8D}"/>
    <cellStyle name="Comma 17 2 2 2 2 5 3 2 2" xfId="7612" xr:uid="{7A514EE9-1984-4FD6-9C1C-8D431F860C45}"/>
    <cellStyle name="Comma 17 2 2 2 2 5 3 3" xfId="7614" xr:uid="{5CE261A0-8507-47B4-838E-C873452A66D0}"/>
    <cellStyle name="Comma 17 2 2 2 2 5 4" xfId="6505" xr:uid="{4CCFAFA2-B227-4474-AADB-21583B30F310}"/>
    <cellStyle name="Comma 17 2 2 2 2 5 4 2" xfId="2923" xr:uid="{137519D2-29C3-49DE-852E-1FB12F3BE9DB}"/>
    <cellStyle name="Comma 17 2 2 2 2 5 5" xfId="6732" xr:uid="{3DE9D384-025A-49CF-8D6B-ED631E15EBC9}"/>
    <cellStyle name="Comma 17 2 2 2 2 6" xfId="7617" xr:uid="{494C945D-03B8-4B3B-87A0-FF633AD04204}"/>
    <cellStyle name="Comma 17 2 2 2 2 6 2" xfId="7618" xr:uid="{2B70A0CC-7B31-4E9A-9957-2261080234F7}"/>
    <cellStyle name="Comma 17 2 2 2 2 6 2 2" xfId="7621" xr:uid="{9DBB8107-FEF7-4171-9E20-D46D55AF63C0}"/>
    <cellStyle name="Comma 17 2 2 2 2 6 2 2 2" xfId="7623" xr:uid="{64BA7D71-1842-40D6-BCCE-4171E4E849A8}"/>
    <cellStyle name="Comma 17 2 2 2 2 6 2 3" xfId="7626" xr:uid="{C0205BD4-7995-4E2C-B25B-C7537D13198D}"/>
    <cellStyle name="Comma 17 2 2 2 2 6 3" xfId="2461" xr:uid="{9961D749-ABFE-4699-B678-CA4280CB2F5B}"/>
    <cellStyle name="Comma 17 2 2 2 2 6 3 2" xfId="7628" xr:uid="{8229E726-3C66-453F-807E-964F1F844E47}"/>
    <cellStyle name="Comma 17 2 2 2 2 6 4" xfId="2467" xr:uid="{A984DF97-E057-47A7-83E8-C16749BE11D5}"/>
    <cellStyle name="Comma 17 2 2 2 2 7" xfId="7630" xr:uid="{ED77EDA8-C0EB-4CFF-B907-6C1626E30434}"/>
    <cellStyle name="Comma 17 2 2 2 2 7 2" xfId="7631" xr:uid="{78F4E804-2301-499D-B44F-7F027D68CA44}"/>
    <cellStyle name="Comma 17 2 2 2 2 7 2 2" xfId="7633" xr:uid="{5422D272-D57D-4C8C-88A3-EED9787399AB}"/>
    <cellStyle name="Comma 17 2 2 2 2 7 3" xfId="2472" xr:uid="{EC20EF64-9C5D-4644-8C4C-289163C0A536}"/>
    <cellStyle name="Comma 17 2 2 2 2 8" xfId="7635" xr:uid="{85CFD056-2345-4EC1-975D-F0A1A0C93020}"/>
    <cellStyle name="Comma 17 2 2 2 2 8 2" xfId="319" xr:uid="{7AB5DD9F-435E-4971-B4F6-B530851E1823}"/>
    <cellStyle name="Comma 17 2 2 2 2 9" xfId="7636" xr:uid="{0D9E1046-B626-4538-87B0-6E1EE6ABF881}"/>
    <cellStyle name="Comma 17 2 2 2 3" xfId="4684" xr:uid="{8856866F-9E32-4165-83CD-49AF760ACBC9}"/>
    <cellStyle name="Comma 17 2 2 2 3 2" xfId="4688" xr:uid="{852BA9A1-7D03-46FC-AA24-CE83B09153C9}"/>
    <cellStyle name="Comma 17 2 2 2 3 2 2" xfId="7637" xr:uid="{26071EEA-BD4D-4483-A087-21D7040C7C9F}"/>
    <cellStyle name="Comma 17 2 2 2 3 2 2 2" xfId="7640" xr:uid="{E3D333F6-0BE4-46A1-ADB5-9271C76CCB62}"/>
    <cellStyle name="Comma 17 2 2 2 3 2 2 2 2" xfId="4569" xr:uid="{B4A60539-0DD0-4B6C-835F-64765B1E3707}"/>
    <cellStyle name="Comma 17 2 2 2 3 2 2 2 2 2" xfId="4577" xr:uid="{0BD7FCA2-2367-4FBD-B6E8-3E946E93D1B4}"/>
    <cellStyle name="Comma 17 2 2 2 3 2 2 2 2 2 2" xfId="7642" xr:uid="{AFD8D71D-E11E-4046-8810-FEB7679C35A8}"/>
    <cellStyle name="Comma 17 2 2 2 3 2 2 2 2 2 2 2" xfId="7647" xr:uid="{347E0150-81A2-459D-ACAF-89171A62C673}"/>
    <cellStyle name="Comma 17 2 2 2 3 2 2 2 2 2 3" xfId="1418" xr:uid="{B0D1775B-007F-47A2-8E18-129A4FF53E14}"/>
    <cellStyle name="Comma 17 2 2 2 3 2 2 2 2 3" xfId="7648" xr:uid="{C8B44721-77AA-4CD2-9F6E-1343C6228CEC}"/>
    <cellStyle name="Comma 17 2 2 2 3 2 2 2 2 3 2" xfId="6897" xr:uid="{A1D49589-32E5-485A-B742-EBF12600F243}"/>
    <cellStyle name="Comma 17 2 2 2 3 2 2 2 2 4" xfId="7650" xr:uid="{589B8489-3141-4340-9B6C-D322E9C808C2}"/>
    <cellStyle name="Comma 17 2 2 2 3 2 2 2 3" xfId="4584" xr:uid="{AC5ADE8D-CF47-4135-8F3E-86AE377A5E10}"/>
    <cellStyle name="Comma 17 2 2 2 3 2 2 2 3 2" xfId="7654" xr:uid="{0FD4F39E-5310-40AB-BDEF-C75017454EC4}"/>
    <cellStyle name="Comma 17 2 2 2 3 2 2 2 3 2 2" xfId="7616" xr:uid="{A6B4F753-76BA-47CA-8E42-49DD9A0244EA}"/>
    <cellStyle name="Comma 17 2 2 2 3 2 2 2 3 3" xfId="7655" xr:uid="{78D291EA-CF80-4BA9-A6F3-DC99F5884938}"/>
    <cellStyle name="Comma 17 2 2 2 3 2 2 2 4" xfId="4590" xr:uid="{B410E276-B733-4F0E-9106-01A151E70345}"/>
    <cellStyle name="Comma 17 2 2 2 3 2 2 2 4 2" xfId="7324" xr:uid="{AF15BEE2-BB8E-4C60-96FC-6C94B598B4B8}"/>
    <cellStyle name="Comma 17 2 2 2 3 2 2 2 5" xfId="7331" xr:uid="{02B1B4A9-131A-4AED-B759-E4B9AFD211CD}"/>
    <cellStyle name="Comma 17 2 2 2 3 2 2 3" xfId="5147" xr:uid="{A380A9A3-BF75-4345-AFB1-6DA13D60A7C4}"/>
    <cellStyle name="Comma 17 2 2 2 3 2 2 3 2" xfId="3840" xr:uid="{0C29034E-96B0-4FF1-847C-69E28C0B2007}"/>
    <cellStyle name="Comma 17 2 2 2 3 2 2 3 2 2" xfId="5151" xr:uid="{F46A758D-4D9A-4E4D-9ABC-F182B5766CD0}"/>
    <cellStyle name="Comma 17 2 2 2 3 2 2 3 2 2 2" xfId="7656" xr:uid="{315FC815-5365-46B7-92C2-343DDC1EF172}"/>
    <cellStyle name="Comma 17 2 2 2 3 2 2 3 2 3" xfId="7657" xr:uid="{1096CAF5-1E94-4773-B48A-9D6D862D9B46}"/>
    <cellStyle name="Comma 17 2 2 2 3 2 2 3 3" xfId="5158" xr:uid="{DD45B8EC-0C20-4114-833F-92FBA2C5134E}"/>
    <cellStyle name="Comma 17 2 2 2 3 2 2 3 3 2" xfId="7658" xr:uid="{DDA2C124-870A-408C-A9A3-563C350139B0}"/>
    <cellStyle name="Comma 17 2 2 2 3 2 2 3 4" xfId="7340" xr:uid="{5421D4AA-FB32-4518-9217-E3C1C07C1E1E}"/>
    <cellStyle name="Comma 17 2 2 2 3 2 2 4" xfId="5163" xr:uid="{738FC5BD-9A3D-478D-8C42-9BAEAC7721B0}"/>
    <cellStyle name="Comma 17 2 2 2 3 2 2 4 2" xfId="1998" xr:uid="{8D2F762F-2D78-40CF-BE4C-0BBA1BFF222E}"/>
    <cellStyle name="Comma 17 2 2 2 3 2 2 4 2 2" xfId="2003" xr:uid="{BAF5F866-95A1-4C62-B996-32C8A4D565C9}"/>
    <cellStyle name="Comma 17 2 2 2 3 2 2 4 3" xfId="2006" xr:uid="{8AEDE6BB-5447-464B-A491-B8CE53CB9631}"/>
    <cellStyle name="Comma 17 2 2 2 3 2 2 5" xfId="5166" xr:uid="{A1982D6B-D2D9-4DA7-9313-A9A4677627A3}"/>
    <cellStyle name="Comma 17 2 2 2 3 2 2 5 2" xfId="2514" xr:uid="{721ACEE0-800D-4A18-B4A4-F98AD626AE1F}"/>
    <cellStyle name="Comma 17 2 2 2 3 2 2 6" xfId="7666" xr:uid="{FFD180F1-3F30-4530-9B7C-F7DA7174B718}"/>
    <cellStyle name="Comma 17 2 2 2 3 2 2 7" xfId="7668" xr:uid="{87765D69-65A2-41FE-914A-E84E5423CC05}"/>
    <cellStyle name="Comma 17 2 2 2 3 2 3" xfId="5504" xr:uid="{503EFC90-F273-4CC4-A2C4-5A61000A976B}"/>
    <cellStyle name="Comma 17 2 2 2 3 2 3 2" xfId="7669" xr:uid="{C8267490-7DE3-4591-836D-A64536015565}"/>
    <cellStyle name="Comma 17 2 2 2 3 2 3 2 2" xfId="4715" xr:uid="{AE81DC76-57EB-4B73-A1F1-D247514110D5}"/>
    <cellStyle name="Comma 17 2 2 2 3 2 3 2 2 2" xfId="7318" xr:uid="{94384256-C3D6-495F-9DC4-4F4CB0C9CBA8}"/>
    <cellStyle name="Comma 17 2 2 2 3 2 3 2 2 2 2" xfId="6140" xr:uid="{10A081C1-440C-48B8-9D17-50B2C374D2EF}"/>
    <cellStyle name="Comma 17 2 2 2 3 2 3 2 2 3" xfId="7321" xr:uid="{A96FFCB3-C363-49E8-A256-C92E13963D5A}"/>
    <cellStyle name="Comma 17 2 2 2 3 2 3 2 3" xfId="7673" xr:uid="{18E21491-9373-48AF-8805-62CD46CFD20A}"/>
    <cellStyle name="Comma 17 2 2 2 3 2 3 2 3 2" xfId="7335" xr:uid="{97CA416B-AE3B-448B-A22A-277A9418FE51}"/>
    <cellStyle name="Comma 17 2 2 2 3 2 3 2 4" xfId="4757" xr:uid="{39014419-B2C3-40E9-9DCF-16F9B154D590}"/>
    <cellStyle name="Comma 17 2 2 2 3 2 3 3" xfId="5172" xr:uid="{7ABD270F-F25A-4094-8985-A87ADFDC205E}"/>
    <cellStyle name="Comma 17 2 2 2 3 2 3 3 2" xfId="5180" xr:uid="{E5B6E998-EF77-46EC-B348-AF44A19D9A96}"/>
    <cellStyle name="Comma 17 2 2 2 3 2 3 3 2 2" xfId="7371" xr:uid="{48EA5773-6EE6-4DC0-A375-E24ACA12538A}"/>
    <cellStyle name="Comma 17 2 2 2 3 2 3 3 3" xfId="7675" xr:uid="{B573727D-978E-4744-A9A9-8F9CE3D8BECF}"/>
    <cellStyle name="Comma 17 2 2 2 3 2 3 4" xfId="5187" xr:uid="{320FB7BA-2846-4907-A689-46EA56C02470}"/>
    <cellStyle name="Comma 17 2 2 2 3 2 3 4 2" xfId="7680" xr:uid="{7D3AA844-E49C-4043-8BA6-5A28D0CF62EF}"/>
    <cellStyle name="Comma 17 2 2 2 3 2 3 5" xfId="7684" xr:uid="{257BF148-56EE-420A-B6B2-9BC31189E889}"/>
    <cellStyle name="Comma 17 2 2 2 3 2 4" xfId="7687" xr:uid="{FB2FB3D6-1C82-40B7-AAF6-EA424073A713}"/>
    <cellStyle name="Comma 17 2 2 2 3 2 4 2" xfId="7692" xr:uid="{722DD1CE-0CE5-494B-9600-3C7DB0796EEA}"/>
    <cellStyle name="Comma 17 2 2 2 3 2 4 2 2" xfId="7450" xr:uid="{B30D162C-CF4F-4F32-8930-16E38D9B81A5}"/>
    <cellStyle name="Comma 17 2 2 2 3 2 4 2 2 2" xfId="7421" xr:uid="{2AEE47B0-D097-4E55-B266-2DAA1FB6FCF6}"/>
    <cellStyle name="Comma 17 2 2 2 3 2 4 2 3" xfId="7455" xr:uid="{5D6EDF01-38A7-4D9E-A31B-0E8579EA58DE}"/>
    <cellStyle name="Comma 17 2 2 2 3 2 4 3" xfId="5196" xr:uid="{1FC891A1-B2FC-4FCB-872A-3E3DFFC0D2D1}"/>
    <cellStyle name="Comma 17 2 2 2 3 2 4 3 2" xfId="7695" xr:uid="{5EC13CCC-E3BB-4598-9F69-4D2800E8130F}"/>
    <cellStyle name="Comma 17 2 2 2 3 2 4 4" xfId="7702" xr:uid="{C81CDFA7-5140-4AC2-8D5F-8C53AE852141}"/>
    <cellStyle name="Comma 17 2 2 2 3 2 5" xfId="7705" xr:uid="{FC030BBB-E9DC-4993-986A-1D225A80C657}"/>
    <cellStyle name="Comma 17 2 2 2 3 2 5 2" xfId="7710" xr:uid="{0D15482E-A39C-4F13-9450-6E059D21DFC2}"/>
    <cellStyle name="Comma 17 2 2 2 3 2 5 2 2" xfId="7713" xr:uid="{8C71BDDD-FEEB-40BE-BE15-9B48B7341B40}"/>
    <cellStyle name="Comma 17 2 2 2 3 2 5 3" xfId="7717" xr:uid="{E08D48EB-C78C-4B10-AE30-6D79ACC4A8BF}"/>
    <cellStyle name="Comma 17 2 2 2 3 2 6" xfId="7721" xr:uid="{0295F7D7-2D34-4996-9E92-3CC63D95A042}"/>
    <cellStyle name="Comma 17 2 2 2 3 2 6 2" xfId="7729" xr:uid="{B4FCFB1D-0586-4E04-9C0F-3E1C7CC2D894}"/>
    <cellStyle name="Comma 17 2 2 2 3 2 7" xfId="44" xr:uid="{AFAF1220-2DA7-463F-AEC0-10AD59A32C11}"/>
    <cellStyle name="Comma 17 2 2 2 3 2 8" xfId="7739" xr:uid="{F347C736-26D4-4293-B8F1-CE8DA6D41F16}"/>
    <cellStyle name="Comma 17 2 2 2 3 3" xfId="7744" xr:uid="{BD4B5584-B073-4044-BA05-9804A6062764}"/>
    <cellStyle name="Comma 17 2 2 2 3 3 2" xfId="7745" xr:uid="{739577E8-3393-4994-831E-1CD9D080CABA}"/>
    <cellStyle name="Comma 17 2 2 2 3 3 2 2" xfId="7750" xr:uid="{64CE346F-467E-462E-A932-EB5DB02E4A0C}"/>
    <cellStyle name="Comma 17 2 2 2 3 3 2 2 2" xfId="5023" xr:uid="{0A114A74-13C1-431F-B432-603DBE17B3C5}"/>
    <cellStyle name="Comma 17 2 2 2 3 3 2 2 2 2" xfId="7751" xr:uid="{95B4EEB6-B30E-46B5-A58E-C315B347A156}"/>
    <cellStyle name="Comma 17 2 2 2 3 3 2 2 2 2 2" xfId="7752" xr:uid="{C28F7DB2-D818-4660-8619-531BDBFF48BE}"/>
    <cellStyle name="Comma 17 2 2 2 3 3 2 2 2 3" xfId="7753" xr:uid="{9FA764EE-2643-421D-8B95-6FB97CEBCE7E}"/>
    <cellStyle name="Comma 17 2 2 2 3 3 2 2 3" xfId="7758" xr:uid="{1029AC8A-A5BA-4061-8869-D8CDE43DCF11}"/>
    <cellStyle name="Comma 17 2 2 2 3 3 2 2 3 2" xfId="7759" xr:uid="{6114AC95-52B3-4B41-92FA-3878C2820DD1}"/>
    <cellStyle name="Comma 17 2 2 2 3 3 2 2 4" xfId="7427" xr:uid="{26C2BEAE-F0A6-422D-9AD2-B8573C82D25A}"/>
    <cellStyle name="Comma 17 2 2 2 3 3 2 3" xfId="5207" xr:uid="{B89F7368-54E8-446A-9F31-9A7CA04B22D1}"/>
    <cellStyle name="Comma 17 2 2 2 3 3 2 3 2" xfId="5215" xr:uid="{903F5CF7-BE67-4B10-A5A3-B04624A03D49}"/>
    <cellStyle name="Comma 17 2 2 2 3 3 2 3 2 2" xfId="7760" xr:uid="{520FBA49-372D-4B33-A18D-AB1B7F749F5E}"/>
    <cellStyle name="Comma 17 2 2 2 3 3 2 3 3" xfId="7761" xr:uid="{08B5EC11-8884-405E-B98E-684FE5E17DA4}"/>
    <cellStyle name="Comma 17 2 2 2 3 3 2 4" xfId="5223" xr:uid="{A87ED60D-A258-40FA-B94F-5BED42B5766A}"/>
    <cellStyle name="Comma 17 2 2 2 3 3 2 4 2" xfId="7762" xr:uid="{416D1D6E-E464-4339-B5DD-BB3CEA77C03C}"/>
    <cellStyle name="Comma 17 2 2 2 3 3 2 5" xfId="7764" xr:uid="{83FED0C4-7D2D-4854-924F-27A695D1FEFC}"/>
    <cellStyle name="Comma 17 2 2 2 3 3 3" xfId="7765" xr:uid="{622D2626-BC87-43D8-A0B8-65B9D002FEF3}"/>
    <cellStyle name="Comma 17 2 2 2 3 3 3 2" xfId="7770" xr:uid="{59EC9D90-CC8A-44FC-B39B-F415C2C21264}"/>
    <cellStyle name="Comma 17 2 2 2 3 3 3 2 2" xfId="7771" xr:uid="{95D95967-ED2F-43D6-AC28-8C7C3790AFC2}"/>
    <cellStyle name="Comma 17 2 2 2 3 3 3 2 2 2" xfId="7522" xr:uid="{47353A05-2271-43DA-8D16-2EB939ADB3BB}"/>
    <cellStyle name="Comma 17 2 2 2 3 3 3 2 3" xfId="7772" xr:uid="{1BD5613E-EDFA-41C3-8D9D-F89D89E58D03}"/>
    <cellStyle name="Comma 17 2 2 2 3 3 3 3" xfId="5233" xr:uid="{444E3DBF-75A0-4D68-9FA4-D7349C3B2C8C}"/>
    <cellStyle name="Comma 17 2 2 2 3 3 3 3 2" xfId="7773" xr:uid="{BAEA0F7F-CB42-487A-A086-BEF25701BA05}"/>
    <cellStyle name="Comma 17 2 2 2 3 3 3 4" xfId="7775" xr:uid="{3B73C5E1-8097-4E2E-98E8-307DCFB0CE59}"/>
    <cellStyle name="Comma 17 2 2 2 3 3 4" xfId="6520" xr:uid="{00838A49-4771-47A6-9722-FC88009A90EA}"/>
    <cellStyle name="Comma 17 2 2 2 3 3 4 2" xfId="6531" xr:uid="{824835D5-A8D3-459E-92EF-8922B4C18F8C}"/>
    <cellStyle name="Comma 17 2 2 2 3 3 4 2 2" xfId="7778" xr:uid="{F768EF42-6061-4784-A160-A99854AB6BA9}"/>
    <cellStyle name="Comma 17 2 2 2 3 3 4 3" xfId="7782" xr:uid="{F36E7FAB-3310-47C8-AEC4-4434932DF23C}"/>
    <cellStyle name="Comma 17 2 2 2 3 3 5" xfId="6540" xr:uid="{CA0BD808-A34E-46CD-BEEA-85845187DDB5}"/>
    <cellStyle name="Comma 17 2 2 2 3 3 5 2" xfId="7785" xr:uid="{6DCDF0ED-0718-440C-A5FB-6175C00DCB0A}"/>
    <cellStyle name="Comma 17 2 2 2 3 3 6" xfId="7789" xr:uid="{33338C05-139A-4FD3-9A97-E1BFC25639FD}"/>
    <cellStyle name="Comma 17 2 2 2 3 3 7" xfId="7797" xr:uid="{B37A0E3F-5BFB-4CAD-AB3A-8C76BDC93814}"/>
    <cellStyle name="Comma 17 2 2 2 3 4" xfId="7804" xr:uid="{11B74886-7742-43E1-B109-439549546FB5}"/>
    <cellStyle name="Comma 17 2 2 2 3 4 2" xfId="7806" xr:uid="{397DE8AE-D224-4267-9429-B947A8C4F8EE}"/>
    <cellStyle name="Comma 17 2 2 2 3 4 2 2" xfId="7809" xr:uid="{8C3882CA-5221-4072-9160-DD7D70122A97}"/>
    <cellStyle name="Comma 17 2 2 2 3 4 2 2 2" xfId="1289" xr:uid="{526FCB17-01BE-4159-AF4E-D6290066F122}"/>
    <cellStyle name="Comma 17 2 2 2 3 4 2 2 2 2" xfId="7810" xr:uid="{8A010B65-7EFE-481B-85D6-F71A1A4FA382}"/>
    <cellStyle name="Comma 17 2 2 2 3 4 2 2 3" xfId="1294" xr:uid="{9AC3F127-B042-44C1-9A60-37ECA029A7A0}"/>
    <cellStyle name="Comma 17 2 2 2 3 4 2 3" xfId="4356" xr:uid="{BD22B107-C565-4E10-BE2B-A61C48E3DB0E}"/>
    <cellStyle name="Comma 17 2 2 2 3 4 2 3 2" xfId="2833" xr:uid="{1DF0EE9F-C34D-4A0A-98D0-B3666B74B970}"/>
    <cellStyle name="Comma 17 2 2 2 3 4 2 4" xfId="4361" xr:uid="{F3172AD1-5337-4286-AC9D-B983941E3A6F}"/>
    <cellStyle name="Comma 17 2 2 2 3 4 3" xfId="7811" xr:uid="{C3E32E50-A54F-41C0-BE31-9E02852776CA}"/>
    <cellStyle name="Comma 17 2 2 2 3 4 3 2" xfId="7813" xr:uid="{E23D5DC4-E4B8-40DB-9428-BC410A12BF91}"/>
    <cellStyle name="Comma 17 2 2 2 3 4 3 2 2" xfId="1357" xr:uid="{58E03B09-5BD6-4503-A24A-26F2BB9E33C7}"/>
    <cellStyle name="Comma 17 2 2 2 3 4 3 3" xfId="4375" xr:uid="{0E421257-5ECF-44CC-8807-AD70B14B1DF7}"/>
    <cellStyle name="Comma 17 2 2 2 3 4 4" xfId="6552" xr:uid="{E4722692-BA47-49D3-B7D8-055701E936FB}"/>
    <cellStyle name="Comma 17 2 2 2 3 4 4 2" xfId="7817" xr:uid="{ECD771DE-576C-43A2-A4F3-84533A489E10}"/>
    <cellStyle name="Comma 17 2 2 2 3 4 5" xfId="6746" xr:uid="{7B1E43F0-1490-4D61-A099-91FD57682510}"/>
    <cellStyle name="Comma 17 2 2 2 3 5" xfId="6908" xr:uid="{A4BADBC2-0272-4E79-B448-B20F0A8EF9A2}"/>
    <cellStyle name="Comma 17 2 2 2 3 5 2" xfId="4056" xr:uid="{BFF1D7BF-5D7A-4060-94B7-ED8345DE8F4F}"/>
    <cellStyle name="Comma 17 2 2 2 3 5 2 2" xfId="4063" xr:uid="{20E68D74-2E78-4980-9675-79598B6F6E14}"/>
    <cellStyle name="Comma 17 2 2 2 3 5 2 2 2" xfId="7818" xr:uid="{809425EE-2623-4BB6-893D-DF3113DA5F53}"/>
    <cellStyle name="Comma 17 2 2 2 3 5 2 3" xfId="2366" xr:uid="{64051A9A-9BD8-4C06-B89D-4926E2A42011}"/>
    <cellStyle name="Comma 17 2 2 2 3 5 3" xfId="4069" xr:uid="{A86CE050-EA63-431A-944A-0776C9FE7F8D}"/>
    <cellStyle name="Comma 17 2 2 2 3 5 3 2" xfId="7820" xr:uid="{134D5E07-E71D-4231-89B0-76433C2CB335}"/>
    <cellStyle name="Comma 17 2 2 2 3 5 4" xfId="7824" xr:uid="{5CE48D77-54EB-42AB-9D51-F32113A18B1F}"/>
    <cellStyle name="Comma 17 2 2 2 3 6" xfId="6910" xr:uid="{806ADC66-A43D-423B-8343-EE9D1ACE66BC}"/>
    <cellStyle name="Comma 17 2 2 2 3 6 2" xfId="4089" xr:uid="{6925F25B-2E84-448F-B08D-5044E28C5FB5}"/>
    <cellStyle name="Comma 17 2 2 2 3 6 2 2" xfId="7826" xr:uid="{2E1BC86C-77AC-4568-960F-72214017F636}"/>
    <cellStyle name="Comma 17 2 2 2 3 6 3" xfId="2571" xr:uid="{75CADAF0-2CC7-46C7-B564-B979FF452158}"/>
    <cellStyle name="Comma 17 2 2 2 3 7" xfId="6913" xr:uid="{B537CFD7-0B3A-4083-B182-F4FE41E5383D}"/>
    <cellStyle name="Comma 17 2 2 2 3 7 2" xfId="3541" xr:uid="{73790392-EEB5-460A-ADB0-AFF20BA3D96E}"/>
    <cellStyle name="Comma 17 2 2 2 3 8" xfId="7829" xr:uid="{67D333DB-145F-430C-880C-F2C440527AC2}"/>
    <cellStyle name="Comma 17 2 2 2 3 9" xfId="7831" xr:uid="{98D0CF7B-E33F-431E-99C0-36683637CE82}"/>
    <cellStyle name="Comma 17 2 2 2 4" xfId="4690" xr:uid="{FA6198CB-A7C1-4F80-9B1A-5AC5EFB30A8F}"/>
    <cellStyle name="Comma 17 2 2 2 4 2" xfId="7832" xr:uid="{04B9B586-24B3-4B6D-9A50-E01075774880}"/>
    <cellStyle name="Comma 17 2 2 2 4 2 2" xfId="7833" xr:uid="{F1912DDA-32F5-4C81-A389-10495F034A02}"/>
    <cellStyle name="Comma 17 2 2 2 4 2 2 2" xfId="7836" xr:uid="{2DF70DB1-56BB-4D96-BBA3-2D7FEFD56696}"/>
    <cellStyle name="Comma 17 2 2 2 4 2 2 2 2" xfId="5595" xr:uid="{286455E5-041E-4733-873E-478FBE1577EE}"/>
    <cellStyle name="Comma 17 2 2 2 4 2 2 2 2 2" xfId="1090" xr:uid="{6495CB40-D353-4AF9-B6E2-0B61E711A1A7}"/>
    <cellStyle name="Comma 17 2 2 2 4 2 2 2 2 2 2" xfId="620" xr:uid="{AD88C79F-5694-430F-A984-85B19EFA8F69}"/>
    <cellStyle name="Comma 17 2 2 2 4 2 2 2 2 3" xfId="471" xr:uid="{6B545657-AE28-4332-85E0-51DBD9451581}"/>
    <cellStyle name="Comma 17 2 2 2 4 2 2 2 3" xfId="7280" xr:uid="{5FF87577-2100-4541-B168-8298AF26F972}"/>
    <cellStyle name="Comma 17 2 2 2 4 2 2 2 3 2" xfId="1178" xr:uid="{0E70A127-A6EE-4036-96AF-2E1069BF3466}"/>
    <cellStyle name="Comma 17 2 2 2 4 2 2 2 4" xfId="7284" xr:uid="{191A5ED2-A640-4851-92F6-39C0F1F1296D}"/>
    <cellStyle name="Comma 17 2 2 2 4 2 2 3" xfId="5326" xr:uid="{51559A90-108F-441F-9D72-07ED39A791A4}"/>
    <cellStyle name="Comma 17 2 2 2 4 2 2 3 2" xfId="5335" xr:uid="{23A70161-18BA-4A0B-9514-744DA8E93C99}"/>
    <cellStyle name="Comma 17 2 2 2 4 2 2 3 2 2" xfId="7838" xr:uid="{2A859AD8-0186-45CC-8B31-92FD10A8F347}"/>
    <cellStyle name="Comma 17 2 2 2 4 2 2 3 3" xfId="7840" xr:uid="{AFDD2F62-7DC4-4F00-943A-761FA15AB1DB}"/>
    <cellStyle name="Comma 17 2 2 2 4 2 2 4" xfId="5339" xr:uid="{D1E16738-745A-4FC6-B419-B7032D0DE3C8}"/>
    <cellStyle name="Comma 17 2 2 2 4 2 2 4 2" xfId="4537" xr:uid="{EDA35B34-6AFE-4F7A-8FDF-B6A660F6A69D}"/>
    <cellStyle name="Comma 17 2 2 2 4 2 2 5" xfId="2271" xr:uid="{B44212C4-F3FB-41AA-9851-68C3F7C58E3D}"/>
    <cellStyle name="Comma 17 2 2 2 4 2 3" xfId="693" xr:uid="{79C6E165-6F54-4EEC-A92A-12A122A72478}"/>
    <cellStyle name="Comma 17 2 2 2 4 2 3 2" xfId="1399" xr:uid="{ADCF7387-DE23-487D-B39B-D4E05BCC6831}"/>
    <cellStyle name="Comma 17 2 2 2 4 2 3 2 2" xfId="7841" xr:uid="{8503E901-AC3E-4A59-9F0E-A6D3F775B103}"/>
    <cellStyle name="Comma 17 2 2 2 4 2 3 2 2 2" xfId="7649" xr:uid="{B08AA532-C9D9-49F2-830D-257EE85AF431}"/>
    <cellStyle name="Comma 17 2 2 2 4 2 3 2 3" xfId="7843" xr:uid="{B8FC5524-E4A4-4144-9EBE-7069A3A44DC7}"/>
    <cellStyle name="Comma 17 2 2 2 4 2 3 3" xfId="1404" xr:uid="{82F64DEE-2D70-46FE-B231-94B9FF1DF470}"/>
    <cellStyle name="Comma 17 2 2 2 4 2 3 3 2" xfId="7845" xr:uid="{87863F49-1436-435B-AB00-7EB2D4F8A557}"/>
    <cellStyle name="Comma 17 2 2 2 4 2 3 4" xfId="1409" xr:uid="{1C5C1891-E095-4DC6-8D19-CC9185253028}"/>
    <cellStyle name="Comma 17 2 2 2 4 2 4" xfId="1429" xr:uid="{2EE3176D-3D79-4540-8FC9-E7FBC70C34BA}"/>
    <cellStyle name="Comma 17 2 2 2 4 2 4 2" xfId="177" xr:uid="{5C7C1F5E-9A4C-4E44-8960-3724C0D74B3E}"/>
    <cellStyle name="Comma 17 2 2 2 4 2 4 2 2" xfId="1660" xr:uid="{A76E3B49-44E6-4A8D-B86D-FE4066652C0F}"/>
    <cellStyle name="Comma 17 2 2 2 4 2 4 3" xfId="192" xr:uid="{69D2BC95-0A2B-4F56-B85A-B945FD597CA7}"/>
    <cellStyle name="Comma 17 2 2 2 4 2 5" xfId="1329" xr:uid="{8D386498-7428-4A91-BBC0-2AF5786B7117}"/>
    <cellStyle name="Comma 17 2 2 2 4 2 5 2" xfId="1439" xr:uid="{DCA089EE-908D-4E1A-92CC-9E14490B77D8}"/>
    <cellStyle name="Comma 17 2 2 2 4 2 6" xfId="1455" xr:uid="{B17E7817-3F52-4CE6-9C00-970C0A916858}"/>
    <cellStyle name="Comma 17 2 2 2 4 2 7" xfId="1466" xr:uid="{F373390B-9293-41F6-BF81-6A1A53452CB9}"/>
    <cellStyle name="Comma 17 2 2 2 4 3" xfId="7847" xr:uid="{B9F5711B-54B9-4E3A-9010-695FED66BE2C}"/>
    <cellStyle name="Comma 17 2 2 2 4 3 2" xfId="7848" xr:uid="{29D5A6BD-68DD-47A2-A681-C33D52B3929A}"/>
    <cellStyle name="Comma 17 2 2 2 4 3 2 2" xfId="7851" xr:uid="{D46544A6-FA7D-44BE-B818-284405E2AF0E}"/>
    <cellStyle name="Comma 17 2 2 2 4 3 2 2 2" xfId="7852" xr:uid="{D8FEABD9-FBFD-401C-A279-BBFD082F1912}"/>
    <cellStyle name="Comma 17 2 2 2 4 3 2 2 2 2" xfId="6586" xr:uid="{5038C17E-274B-45B9-82D1-9F60DDA26A11}"/>
    <cellStyle name="Comma 17 2 2 2 4 3 2 2 3" xfId="7853" xr:uid="{CEA9B31C-931C-461E-9593-12C75E84C4D7}"/>
    <cellStyle name="Comma 17 2 2 2 4 3 2 3" xfId="5348" xr:uid="{1AF00595-E9CB-457E-9DD8-C90FD4D1ECF2}"/>
    <cellStyle name="Comma 17 2 2 2 4 3 2 3 2" xfId="7854" xr:uid="{142F0570-8697-4EC8-B537-DD2C96C7174B}"/>
    <cellStyle name="Comma 17 2 2 2 4 3 2 4" xfId="7855" xr:uid="{0B8F1DC0-A24B-4C33-818E-A4A95420AD7C}"/>
    <cellStyle name="Comma 17 2 2 2 4 3 3" xfId="7856" xr:uid="{A3484D66-F6BA-42DD-A79B-5D8DBC54DEC6}"/>
    <cellStyle name="Comma 17 2 2 2 4 3 3 2" xfId="7497" xr:uid="{E2DEB802-CE48-492F-8426-F8A5FA4D8C2E}"/>
    <cellStyle name="Comma 17 2 2 2 4 3 3 2 2" xfId="7859" xr:uid="{DDE5FB03-9B74-4055-9864-74F0CE4326B0}"/>
    <cellStyle name="Comma 17 2 2 2 4 3 3 3" xfId="7504" xr:uid="{5F818BCE-357E-421F-8397-7F2F56BCF695}"/>
    <cellStyle name="Comma 17 2 2 2 4 3 4" xfId="6562" xr:uid="{E534C197-4BBB-468C-95AA-85E9DA96B051}"/>
    <cellStyle name="Comma 17 2 2 2 4 3 4 2" xfId="7562" xr:uid="{285619B3-12C5-4DFA-9E4C-83DA36FAE01D}"/>
    <cellStyle name="Comma 17 2 2 2 4 3 5" xfId="3205" xr:uid="{18C0ECAF-0ABD-4A1D-BD56-DBEB0DF5433C}"/>
    <cellStyle name="Comma 17 2 2 2 4 4" xfId="7860" xr:uid="{4A4FADA7-526A-4BC2-8577-50DA51725099}"/>
    <cellStyle name="Comma 17 2 2 2 4 4 2" xfId="7862" xr:uid="{98A2B671-63BC-4753-9CDE-3BF7E5FA0BFD}"/>
    <cellStyle name="Comma 17 2 2 2 4 4 2 2" xfId="7865" xr:uid="{E0B2BE68-2142-4B0D-9FB8-A12BB08AE53C}"/>
    <cellStyle name="Comma 17 2 2 2 4 4 2 2 2" xfId="7866" xr:uid="{0E4C62B4-7C10-4784-A155-18F7613A684C}"/>
    <cellStyle name="Comma 17 2 2 2 4 4 2 3" xfId="4502" xr:uid="{4EFE6F60-7DD3-4823-8687-FB84A4ABF6C9}"/>
    <cellStyle name="Comma 17 2 2 2 4 4 3" xfId="7867" xr:uid="{2D3E6678-C73D-477D-B0F5-D23670AAED37}"/>
    <cellStyle name="Comma 17 2 2 2 4 4 3 2" xfId="7732" xr:uid="{AF88F3F3-DD36-4150-8CE5-FD961EC22418}"/>
    <cellStyle name="Comma 17 2 2 2 4 4 4" xfId="7870" xr:uid="{0378A6B3-9E98-447C-BC3A-C9D0E6BE1CA8}"/>
    <cellStyle name="Comma 17 2 2 2 4 5" xfId="6634" xr:uid="{A63FF694-E0CB-4BB1-B543-B74D69750173}"/>
    <cellStyle name="Comma 17 2 2 2 4 5 2" xfId="4134" xr:uid="{3BEF8041-303F-40C9-A48E-8E0A15E52A26}"/>
    <cellStyle name="Comma 17 2 2 2 4 5 2 2" xfId="897" xr:uid="{52DF20A3-2D70-4F6E-B284-FB6D3B83CB57}"/>
    <cellStyle name="Comma 17 2 2 2 4 5 3" xfId="6673" xr:uid="{44953C10-9CAF-43B2-96AB-0BCA0C669CB1}"/>
    <cellStyle name="Comma 17 2 2 2 4 6" xfId="6810" xr:uid="{CA38A9B2-6D99-4CB1-B9D1-064AA6C96024}"/>
    <cellStyle name="Comma 17 2 2 2 4 6 2" xfId="6814" xr:uid="{F6EF8344-6BC5-479F-9786-529E80E0255E}"/>
    <cellStyle name="Comma 17 2 2 2 4 7" xfId="6892" xr:uid="{1F973197-6E70-4348-A7A0-3B6E4BAEF3E7}"/>
    <cellStyle name="Comma 17 2 2 2 4 8" xfId="6901" xr:uid="{09367491-B760-4D8B-A25C-92CF680D3F2D}"/>
    <cellStyle name="Comma 17 2 2 2 5" xfId="3310" xr:uid="{3208E424-8DD5-4A96-BA9C-75E4580221E7}"/>
    <cellStyle name="Comma 17 2 2 2 5 2" xfId="4744" xr:uid="{995AD5AA-AE78-4AD9-9ABB-89AB74B984EE}"/>
    <cellStyle name="Comma 17 2 2 2 5 2 2" xfId="7358" xr:uid="{52020370-2E11-4ED1-AEEC-658ED22D8CA6}"/>
    <cellStyle name="Comma 17 2 2 2 5 2 2 2" xfId="7873" xr:uid="{5C2273BD-5A37-496A-A5E5-D8BEBAC179EC}"/>
    <cellStyle name="Comma 17 2 2 2 5 2 2 2 2" xfId="3159" xr:uid="{CC423C20-303A-4D8B-B07E-CDE13319154B}"/>
    <cellStyle name="Comma 17 2 2 2 5 2 2 2 2 2" xfId="7875" xr:uid="{8D2E9817-A6A2-41BE-8092-0E474F6D9A14}"/>
    <cellStyle name="Comma 17 2 2 2 5 2 2 2 3" xfId="3468" xr:uid="{672BA565-863C-4107-A4E5-F82E45B68B8F}"/>
    <cellStyle name="Comma 17 2 2 2 5 2 2 3" xfId="5424" xr:uid="{0A3A42EC-870D-422B-B66C-ABD808CC6802}"/>
    <cellStyle name="Comma 17 2 2 2 5 2 2 3 2" xfId="7876" xr:uid="{81245A90-3257-41D5-A690-B7326783F39D}"/>
    <cellStyle name="Comma 17 2 2 2 5 2 2 4" xfId="7877" xr:uid="{2CFAAD0C-C23E-4C76-A9D4-237BCD68710F}"/>
    <cellStyle name="Comma 17 2 2 2 5 2 3" xfId="6169" xr:uid="{1CF16246-4BC8-44DD-BC67-C83E71495934}"/>
    <cellStyle name="Comma 17 2 2 2 5 2 3 2" xfId="6173" xr:uid="{A01BFBA8-09D4-4346-B171-298FCB658B0A}"/>
    <cellStyle name="Comma 17 2 2 2 5 2 3 2 2" xfId="6175" xr:uid="{00CD602A-3448-4C3E-A9BB-F6DB651753AB}"/>
    <cellStyle name="Comma 17 2 2 2 5 2 3 3" xfId="6177" xr:uid="{29717442-22E6-4FE1-BF3A-823D08D85F39}"/>
    <cellStyle name="Comma 17 2 2 2 5 2 4" xfId="6181" xr:uid="{F680AC17-A6ED-4433-B94F-77B8D4490B9B}"/>
    <cellStyle name="Comma 17 2 2 2 5 2 4 2" xfId="6189" xr:uid="{530B2396-D52E-4CEE-9ACA-6271E0FDE9EE}"/>
    <cellStyle name="Comma 17 2 2 2 5 2 5" xfId="6193" xr:uid="{D194967E-ED7B-43C3-9D5C-34EEE1472BBA}"/>
    <cellStyle name="Comma 17 2 2 2 5 3" xfId="7364" xr:uid="{A8E105F5-B028-4C97-B21A-C12926D8474F}"/>
    <cellStyle name="Comma 17 2 2 2 5 3 2" xfId="7882" xr:uid="{E83FEE11-9578-4D66-A3E0-F3ADD3156C57}"/>
    <cellStyle name="Comma 17 2 2 2 5 3 2 2" xfId="7887" xr:uid="{B20BB441-0A65-43C5-B92B-6CBC55C869E3}"/>
    <cellStyle name="Comma 17 2 2 2 5 3 2 2 2" xfId="3292" xr:uid="{A7D25683-27A2-49AC-B26C-FDF748C1C6F4}"/>
    <cellStyle name="Comma 17 2 2 2 5 3 2 3" xfId="7890" xr:uid="{E8FAF35D-F73F-4DA4-AA7A-B7E3DBE5F4CC}"/>
    <cellStyle name="Comma 17 2 2 2 5 3 3" xfId="6203" xr:uid="{4EFBED97-8B76-4D68-B37E-B5D3D2229974}"/>
    <cellStyle name="Comma 17 2 2 2 5 3 3 2" xfId="6213" xr:uid="{D3324AAA-603E-4ECC-93EA-8E5EE68F1A21}"/>
    <cellStyle name="Comma 17 2 2 2 5 3 4" xfId="6221" xr:uid="{616B5D96-32A0-4420-8734-6C884FF7C364}"/>
    <cellStyle name="Comma 17 2 2 2 5 4" xfId="7892" xr:uid="{CD898F49-7222-439A-A1CF-DD4131B7E4E8}"/>
    <cellStyle name="Comma 17 2 2 2 5 4 2" xfId="7896" xr:uid="{290EFC9A-1E35-4956-AA03-90FCFF2B61F6}"/>
    <cellStyle name="Comma 17 2 2 2 5 4 2 2" xfId="7899" xr:uid="{BA262C77-C88F-4DD2-8A99-B7A16E4CEC6B}"/>
    <cellStyle name="Comma 17 2 2 2 5 4 3" xfId="6229" xr:uid="{2FD185D9-EEFC-421D-A302-8EA4CDCF4326}"/>
    <cellStyle name="Comma 17 2 2 2 5 5" xfId="6920" xr:uid="{8109A6BF-8EB4-4424-8AF3-E35E85EB985D}"/>
    <cellStyle name="Comma 17 2 2 2 5 5 2" xfId="6945" xr:uid="{6138F8BA-A8DD-468D-A270-D6508D1DF867}"/>
    <cellStyle name="Comma 17 2 2 2 5 6" xfId="7009" xr:uid="{A8AAA6ED-FD2A-4ABD-809C-F4AF20F4E2FA}"/>
    <cellStyle name="Comma 17 2 2 2 5 7" xfId="7060" xr:uid="{F06ACA1B-C0DC-4D3F-964F-B56E4CA9CF33}"/>
    <cellStyle name="Comma 17 2 2 2 6" xfId="4750" xr:uid="{044E8564-1974-4F19-B6F1-8841FE134744}"/>
    <cellStyle name="Comma 17 2 2 2 6 2" xfId="7367" xr:uid="{B24DE782-2A47-4692-B8B6-7AC0AEB1D2C2}"/>
    <cellStyle name="Comma 17 2 2 2 6 2 2" xfId="7901" xr:uid="{14E69878-7AC7-4DD8-BD14-5C0518350F7B}"/>
    <cellStyle name="Comma 17 2 2 2 6 2 2 2" xfId="7905" xr:uid="{AFB62D52-9943-4B60-B0BB-58A2C5B4FA91}"/>
    <cellStyle name="Comma 17 2 2 2 6 2 2 2 2" xfId="7907" xr:uid="{20034E5B-FC2C-497E-9389-959EF3F87FC0}"/>
    <cellStyle name="Comma 17 2 2 2 6 2 2 3" xfId="7909" xr:uid="{AF12AB05-A43F-4D85-ABC4-F0DC1F65E35A}"/>
    <cellStyle name="Comma 17 2 2 2 6 2 3" xfId="6238" xr:uid="{327D37A4-0628-46D9-800C-C2C42520C7FD}"/>
    <cellStyle name="Comma 17 2 2 2 6 2 3 2" xfId="5775" xr:uid="{EA0C67B9-9072-4533-ADBC-9B0DDCF90F64}"/>
    <cellStyle name="Comma 17 2 2 2 6 2 4" xfId="6246" xr:uid="{8B011E3E-03BC-44C3-BE5B-347B33F59112}"/>
    <cellStyle name="Comma 17 2 2 2 6 3" xfId="7910" xr:uid="{DCF08267-06F6-4FCE-9EBD-F43E1606A3E8}"/>
    <cellStyle name="Comma 17 2 2 2 6 3 2" xfId="7915" xr:uid="{BFAD1D78-372E-4026-B013-CF5F39F21221}"/>
    <cellStyle name="Comma 17 2 2 2 6 3 2 2" xfId="5956" xr:uid="{4B0EEF15-CE31-4560-AAA4-42A3500E6A4C}"/>
    <cellStyle name="Comma 17 2 2 2 6 3 3" xfId="6259" xr:uid="{151E18B7-0FD3-4815-AF39-81264FF64A5F}"/>
    <cellStyle name="Comma 17 2 2 2 6 4" xfId="7919" xr:uid="{BC8350C0-311A-4929-AA27-79C2CD04E10B}"/>
    <cellStyle name="Comma 17 2 2 2 6 4 2" xfId="7923" xr:uid="{27F0FDB0-33D4-4196-9950-F73831DFACEC}"/>
    <cellStyle name="Comma 17 2 2 2 6 5" xfId="7078" xr:uid="{90205F91-8FBB-436B-AD9E-217D4A691925}"/>
    <cellStyle name="Comma 17 2 2 2 7" xfId="7373" xr:uid="{9B00032F-3298-4E4A-BC71-493EDE5AE6B0}"/>
    <cellStyle name="Comma 17 2 2 2 7 2" xfId="7227" xr:uid="{C1780D72-5F62-43B4-9D65-E295E2F4EF72}"/>
    <cellStyle name="Comma 17 2 2 2 7 2 2" xfId="7926" xr:uid="{5D816438-50FE-434C-8D25-CC9E4DA385CF}"/>
    <cellStyle name="Comma 17 2 2 2 7 2 2 2" xfId="7933" xr:uid="{C52F9708-1B48-4AEA-8A41-C47BFAABD58B}"/>
    <cellStyle name="Comma 17 2 2 2 7 2 3" xfId="3070" xr:uid="{0FC93A65-7733-48E4-B05A-2B9489223882}"/>
    <cellStyle name="Comma 17 2 2 2 7 3" xfId="7937" xr:uid="{BAB23AB9-AB00-48E5-AB7B-3BBD3F7538E0}"/>
    <cellStyle name="Comma 17 2 2 2 7 3 2" xfId="7944" xr:uid="{BF4E051A-FC2B-47EA-AF6A-B51700556A7E}"/>
    <cellStyle name="Comma 17 2 2 2 7 4" xfId="7949" xr:uid="{4F63D3DE-F427-45CE-BDD8-31295380CB4D}"/>
    <cellStyle name="Comma 17 2 2 2 8" xfId="7952" xr:uid="{6B7BED92-A8E3-43A0-9C3F-361A4E9778FD}"/>
    <cellStyle name="Comma 17 2 2 2 8 2" xfId="7956" xr:uid="{B812E75B-0BA5-4A50-8CCD-6671E442B410}"/>
    <cellStyle name="Comma 17 2 2 2 8 2 2" xfId="4583" xr:uid="{8A63451F-894A-46FB-AFB0-29F4DB562349}"/>
    <cellStyle name="Comma 17 2 2 2 8 3" xfId="7960" xr:uid="{46780340-489F-43AA-B047-A1D0A7465A54}"/>
    <cellStyle name="Comma 17 2 2 2 9" xfId="239" xr:uid="{30BB0244-06F1-4FC4-9A75-A697FF22DCCC}"/>
    <cellStyle name="Comma 17 2 2 2 9 2" xfId="7963" xr:uid="{7A34A79C-392C-4EBE-BAB8-8E24484D9B65}"/>
    <cellStyle name="Comma 17 2 2 3" xfId="7034" xr:uid="{FA6221BD-0A04-4C4E-818D-38C8CCFC2632}"/>
    <cellStyle name="Comma 17 2 2 3 10" xfId="1525" xr:uid="{EEC567F8-DD29-4CBA-A58D-CD85AD2D46FF}"/>
    <cellStyle name="Comma 17 2 2 3 2" xfId="874" xr:uid="{08943154-F9AC-4FFE-B087-EE40B1889096}"/>
    <cellStyle name="Comma 17 2 2 3 2 2" xfId="4710" xr:uid="{AE242E7E-962B-4339-8E06-E445A2727D34}"/>
    <cellStyle name="Comma 17 2 2 3 2 2 2" xfId="5692" xr:uid="{412C6588-F074-465D-A1A2-A3E29977F0A4}"/>
    <cellStyle name="Comma 17 2 2 3 2 2 2 2" xfId="5697" xr:uid="{57058BE2-C6CC-407B-9058-5A956359B4A1}"/>
    <cellStyle name="Comma 17 2 2 3 2 2 2 2 2" xfId="5703" xr:uid="{24309FFC-72B0-4F5C-99FD-08C0A038CCF4}"/>
    <cellStyle name="Comma 17 2 2 3 2 2 2 2 2 2" xfId="4764" xr:uid="{8EB406C8-7B5A-458C-B0D4-8E0948154FB9}"/>
    <cellStyle name="Comma 17 2 2 3 2 2 2 2 2 2 2" xfId="7383" xr:uid="{630083AD-0761-4B51-AC51-AB0B66B49DB2}"/>
    <cellStyle name="Comma 17 2 2 3 2 2 2 2 2 2 2 2" xfId="7967" xr:uid="{84F82F1C-EE00-4613-9B8D-6C8BEFACC4C7}"/>
    <cellStyle name="Comma 17 2 2 3 2 2 2 2 2 2 3" xfId="7971" xr:uid="{C4619301-33D2-45D1-87F1-699544504588}"/>
    <cellStyle name="Comma 17 2 2 3 2 2 2 2 2 3" xfId="7388" xr:uid="{C3246C37-C13B-4FA8-AB94-B62F053FA30F}"/>
    <cellStyle name="Comma 17 2 2 3 2 2 2 2 2 3 2" xfId="7975" xr:uid="{BFCD5F3A-97D0-4FAC-B2AB-1A35DD9D4DF8}"/>
    <cellStyle name="Comma 17 2 2 3 2 2 2 2 2 4" xfId="7978" xr:uid="{E6B117F7-B30B-457A-BEE4-88E483D7EF7C}"/>
    <cellStyle name="Comma 17 2 2 3 2 2 2 2 3" xfId="5709" xr:uid="{B38E6537-7014-4186-88B7-0DBE13E5633F}"/>
    <cellStyle name="Comma 17 2 2 3 2 2 2 2 3 2" xfId="7397" xr:uid="{47B0916D-8BA6-47AB-9EFE-416C2CCDB23E}"/>
    <cellStyle name="Comma 17 2 2 3 2 2 2 2 3 2 2" xfId="7979" xr:uid="{C10C1DCE-4D77-4D6F-912A-021A0E90766D}"/>
    <cellStyle name="Comma 17 2 2 3 2 2 2 2 3 3" xfId="7984" xr:uid="{689F2D5F-A758-4EE3-B266-5FDAFAC81665}"/>
    <cellStyle name="Comma 17 2 2 3 2 2 2 2 4" xfId="7987" xr:uid="{74F8C06B-4D21-430B-9BB8-5E9B97BCC797}"/>
    <cellStyle name="Comma 17 2 2 3 2 2 2 2 4 2" xfId="7989" xr:uid="{D2DA57AD-EFF3-4E4E-8589-258A2F70D631}"/>
    <cellStyle name="Comma 17 2 2 3 2 2 2 2 5" xfId="7991" xr:uid="{43C425A2-1F1C-4EF4-B8B5-98E22E553D4E}"/>
    <cellStyle name="Comma 17 2 2 3 2 2 2 3" xfId="5653" xr:uid="{A4E87EB8-7759-470E-A93D-22362E08C443}"/>
    <cellStyle name="Comma 17 2 2 3 2 2 2 3 2" xfId="2979" xr:uid="{F8205CF7-C204-4FAF-8BE2-1DEDCE739CCD}"/>
    <cellStyle name="Comma 17 2 2 3 2 2 2 3 2 2" xfId="4658" xr:uid="{C1801ADB-A600-44A8-ABD4-3FD08A3636B4}"/>
    <cellStyle name="Comma 17 2 2 3 2 2 2 3 2 2 2" xfId="7992" xr:uid="{3BC2F513-C673-4E24-B170-4E8408938508}"/>
    <cellStyle name="Comma 17 2 2 3 2 2 2 3 2 3" xfId="7996" xr:uid="{56808C8D-91FD-45D3-B144-215B3D475A90}"/>
    <cellStyle name="Comma 17 2 2 3 2 2 2 3 3" xfId="2987" xr:uid="{34EEE319-EC15-40DB-83B5-68C773085AD0}"/>
    <cellStyle name="Comma 17 2 2 3 2 2 2 3 3 2" xfId="7998" xr:uid="{76D7AFF9-EEBE-470E-B73F-D0AACA1AE748}"/>
    <cellStyle name="Comma 17 2 2 3 2 2 2 3 4" xfId="8003" xr:uid="{BA00BB6A-C0C4-46BC-97C2-5F9800155067}"/>
    <cellStyle name="Comma 17 2 2 3 2 2 2 4" xfId="5662" xr:uid="{9AA54E89-E8CB-42EC-B70D-B0297D2BD5FD}"/>
    <cellStyle name="Comma 17 2 2 3 2 2 2 4 2" xfId="4674" xr:uid="{44219ABD-D219-4B08-B4D6-FF8054277F0C}"/>
    <cellStyle name="Comma 17 2 2 3 2 2 2 4 2 2" xfId="8008" xr:uid="{C13AD500-1ECE-4A07-BC4B-832B09527557}"/>
    <cellStyle name="Comma 17 2 2 3 2 2 2 4 3" xfId="8010" xr:uid="{FF47F825-BF71-42B0-9600-935076717CEB}"/>
    <cellStyle name="Comma 17 2 2 3 2 2 2 5" xfId="5666" xr:uid="{1BDE1469-4840-40D2-B3FA-33FE8448CCAB}"/>
    <cellStyle name="Comma 17 2 2 3 2 2 2 5 2" xfId="7568" xr:uid="{351B021F-8369-4659-B9A3-B420AEAAC005}"/>
    <cellStyle name="Comma 17 2 2 3 2 2 2 6" xfId="8012" xr:uid="{61F97799-E142-4568-83A5-2E62D1B47E4F}"/>
    <cellStyle name="Comma 17 2 2 3 2 2 2 7" xfId="8014" xr:uid="{7639B143-4620-40F8-8816-DFB7C8EE1DDA}"/>
    <cellStyle name="Comma 17 2 2 3 2 2 3" xfId="5713" xr:uid="{8B341042-E46B-456F-8BD1-6678B5485E21}"/>
    <cellStyle name="Comma 17 2 2 3 2 2 3 2" xfId="5723" xr:uid="{65F31188-1740-4ACF-9B9C-12323597EA9F}"/>
    <cellStyle name="Comma 17 2 2 3 2 2 3 2 2" xfId="5727" xr:uid="{7C4A1B73-9890-428A-A7DF-7D326322E17E}"/>
    <cellStyle name="Comma 17 2 2 3 2 2 3 2 2 2" xfId="592" xr:uid="{1D523159-CEC7-432E-BA18-0BFF460EF010}"/>
    <cellStyle name="Comma 17 2 2 3 2 2 3 2 2 2 2" xfId="8015" xr:uid="{9F6DCC9F-F63F-4488-AA18-30B0BBC5AF33}"/>
    <cellStyle name="Comma 17 2 2 3 2 2 3 2 2 3" xfId="608" xr:uid="{41BCAB3F-629E-4FD7-A9DB-350A0E2E7FDB}"/>
    <cellStyle name="Comma 17 2 2 3 2 2 3 2 3" xfId="8017" xr:uid="{E0414D95-2B40-4319-B1E4-EA2F9D3E695F}"/>
    <cellStyle name="Comma 17 2 2 3 2 2 3 2 3 2" xfId="8018" xr:uid="{322E3AEA-64B2-4843-BD9B-9ADC5E2B02BA}"/>
    <cellStyle name="Comma 17 2 2 3 2 2 3 2 4" xfId="5079" xr:uid="{D2304047-FD0B-4832-902D-2F240DEF4476}"/>
    <cellStyle name="Comma 17 2 2 3 2 2 3 3" xfId="5675" xr:uid="{6147D5D9-BAAA-4495-89C6-A210910ECF33}"/>
    <cellStyle name="Comma 17 2 2 3 2 2 3 3 2" xfId="4696" xr:uid="{1A75F7D7-1CF0-43CB-9F5F-E8E150AA682B}"/>
    <cellStyle name="Comma 17 2 2 3 2 2 3 3 2 2" xfId="1700" xr:uid="{3D04001E-5CE8-4DEA-9950-6FC0734DA9B9}"/>
    <cellStyle name="Comma 17 2 2 3 2 2 3 3 3" xfId="8019" xr:uid="{C4D4C051-EAE8-471E-8179-C193B7EBC7CB}"/>
    <cellStyle name="Comma 17 2 2 3 2 2 3 4" xfId="5685" xr:uid="{A497FD3A-0038-4490-88F9-4E6A585EA9DB}"/>
    <cellStyle name="Comma 17 2 2 3 2 2 3 4 2" xfId="8022" xr:uid="{84F2EA43-1691-4CBF-88A9-C17D17CC9B60}"/>
    <cellStyle name="Comma 17 2 2 3 2 2 3 5" xfId="8028" xr:uid="{5F01D27C-446F-4B79-B74C-D1624363FB5C}"/>
    <cellStyle name="Comma 17 2 2 3 2 2 4" xfId="5731" xr:uid="{0AB4CC15-0A29-40C0-A9A0-8921EB03869E}"/>
    <cellStyle name="Comma 17 2 2 3 2 2 4 2" xfId="5735" xr:uid="{EAA3FE77-525B-4060-A68C-54C607F2E07F}"/>
    <cellStyle name="Comma 17 2 2 3 2 2 4 2 2" xfId="8030" xr:uid="{618DD8F2-EF15-40D4-ADD1-011223A836DE}"/>
    <cellStyle name="Comma 17 2 2 3 2 2 4 2 2 2" xfId="2886" xr:uid="{862E1A32-3A12-4EEC-B28F-ED13276A3175}"/>
    <cellStyle name="Comma 17 2 2 3 2 2 4 2 3" xfId="8031" xr:uid="{0CAD7A2B-E062-4166-BC7D-7B89D4E8524C}"/>
    <cellStyle name="Comma 17 2 2 3 2 2 4 3" xfId="5687" xr:uid="{38202C86-293D-4970-AA7F-3177159834BC}"/>
    <cellStyle name="Comma 17 2 2 3 2 2 4 3 2" xfId="8032" xr:uid="{3475EC98-A80F-4591-9E0A-F366E2042A02}"/>
    <cellStyle name="Comma 17 2 2 3 2 2 4 4" xfId="8035" xr:uid="{6C4A972A-027B-4B3A-80D4-3196FB5E151D}"/>
    <cellStyle name="Comma 17 2 2 3 2 2 5" xfId="5739" xr:uid="{582E8369-051C-4511-86B7-839E31D03F0A}"/>
    <cellStyle name="Comma 17 2 2 3 2 2 5 2" xfId="8036" xr:uid="{D283FE5D-7898-4595-B4E4-A98769E7880F}"/>
    <cellStyle name="Comma 17 2 2 3 2 2 5 2 2" xfId="8037" xr:uid="{8604148E-8574-4401-9AF3-D2EA69634565}"/>
    <cellStyle name="Comma 17 2 2 3 2 2 5 3" xfId="6954" xr:uid="{67BE976D-29FB-4B66-97F1-67665D9D5B9F}"/>
    <cellStyle name="Comma 17 2 2 3 2 2 6" xfId="5746" xr:uid="{E78F87DE-FB5A-4D47-A641-9C1B58582ADC}"/>
    <cellStyle name="Comma 17 2 2 3 2 2 6 2" xfId="8041" xr:uid="{B13A8A97-D27A-464B-8D4C-91536CC4C220}"/>
    <cellStyle name="Comma 17 2 2 3 2 2 7" xfId="8045" xr:uid="{D51EB46C-1D5F-49DF-8B97-45BB609DFD31}"/>
    <cellStyle name="Comma 17 2 2 3 2 2 8" xfId="6210" xr:uid="{4551144D-457A-4F7F-8BF0-5EE2381B2195}"/>
    <cellStyle name="Comma 17 2 2 3 2 3" xfId="8047" xr:uid="{95EC7CF8-5A07-41EC-9391-9EFBCB70C882}"/>
    <cellStyle name="Comma 17 2 2 3 2 3 2" xfId="5877" xr:uid="{DB25E1C4-FD48-452C-A9CA-1A42365FB788}"/>
    <cellStyle name="Comma 17 2 2 3 2 3 2 2" xfId="5882" xr:uid="{76823931-BA32-4FFA-BA49-DE11738C20DE}"/>
    <cellStyle name="Comma 17 2 2 3 2 3 2 2 2" xfId="3198" xr:uid="{BA25CFC5-F667-405C-B21F-1F339FB3C819}"/>
    <cellStyle name="Comma 17 2 2 3 2 3 2 2 2 2" xfId="7338" xr:uid="{351DA711-AD77-4B65-B597-B9B5D16FF455}"/>
    <cellStyle name="Comma 17 2 2 3 2 3 2 2 2 2 2" xfId="7342" xr:uid="{7203EAFB-9E07-4A4F-A582-4FC2406D3343}"/>
    <cellStyle name="Comma 17 2 2 3 2 3 2 2 2 3" xfId="7345" xr:uid="{0D0528F6-D1F0-4032-8626-C38E51856AAD}"/>
    <cellStyle name="Comma 17 2 2 3 2 3 2 2 3" xfId="7348" xr:uid="{E53206D2-3458-48C0-B5C7-1F6AC1A172C7}"/>
    <cellStyle name="Comma 17 2 2 3 2 3 2 2 3 2" xfId="2012" xr:uid="{BFE79661-5F98-4433-8D76-503AC66ECD8C}"/>
    <cellStyle name="Comma 17 2 2 3 2 3 2 2 4" xfId="7352" xr:uid="{270BD4DF-E0E8-4D44-9BC7-8984058E46C6}"/>
    <cellStyle name="Comma 17 2 2 3 2 3 2 3" xfId="5700" xr:uid="{3F146C37-7D57-4743-995D-90352BBF06EC}"/>
    <cellStyle name="Comma 17 2 2 3 2 3 2 3 2" xfId="4763" xr:uid="{F53C4CD3-E7F9-47F7-9C92-B48CAEE297E8}"/>
    <cellStyle name="Comma 17 2 2 3 2 3 2 3 2 2" xfId="7381" xr:uid="{BD688CC8-A410-4349-90FB-F4F595F4B3C1}"/>
    <cellStyle name="Comma 17 2 2 3 2 3 2 3 3" xfId="7386" xr:uid="{4837D5CD-6AE2-430D-B586-5B20551585C8}"/>
    <cellStyle name="Comma 17 2 2 3 2 3 2 4" xfId="5707" xr:uid="{5F4D6CDD-3788-4469-8D41-9E82F6BECF8F}"/>
    <cellStyle name="Comma 17 2 2 3 2 3 2 4 2" xfId="7395" xr:uid="{AD120D36-2D9B-4431-9A4A-E3F6D3CF0F1A}"/>
    <cellStyle name="Comma 17 2 2 3 2 3 2 5" xfId="7986" xr:uid="{8E92E62C-B31B-4C63-ABDA-DC3CC480C916}"/>
    <cellStyle name="Comma 17 2 2 3 2 3 3" xfId="5886" xr:uid="{2E0583A1-D825-4DE4-B609-F71DA7975F2B}"/>
    <cellStyle name="Comma 17 2 2 3 2 3 3 2" xfId="2965" xr:uid="{9E05BA4C-4C3A-4235-8FAD-64228E542A06}"/>
    <cellStyle name="Comma 17 2 2 3 2 3 3 2 2" xfId="2974" xr:uid="{0340C749-619B-4E8E-A1CA-881CB708D823}"/>
    <cellStyle name="Comma 17 2 2 3 2 3 3 2 2 2" xfId="4649" xr:uid="{9690AD51-A9D5-417F-BDC2-30B4FFA7D3A6}"/>
    <cellStyle name="Comma 17 2 2 3 2 3 3 2 3" xfId="4652" xr:uid="{7F749F37-0DA1-476D-A2C4-FE46CFD3CE7C}"/>
    <cellStyle name="Comma 17 2 2 3 2 3 3 3" xfId="2977" xr:uid="{DA9393ED-453D-41F9-B0A3-8F6A655DD3C5}"/>
    <cellStyle name="Comma 17 2 2 3 2 3 3 3 2" xfId="4655" xr:uid="{8336DBF7-679B-4AD3-BEFE-D2066FCF002F}"/>
    <cellStyle name="Comma 17 2 2 3 2 3 3 4" xfId="2984" xr:uid="{1D904077-E845-4650-8CDD-1C4095D5C2A4}"/>
    <cellStyle name="Comma 17 2 2 3 2 3 4" xfId="5889" xr:uid="{817C7FE4-5304-4CC9-B291-B63A589DFC37}"/>
    <cellStyle name="Comma 17 2 2 3 2 3 4 2" xfId="3022" xr:uid="{25CC6871-2229-49FB-ACFC-124876786085}"/>
    <cellStyle name="Comma 17 2 2 3 2 3 4 2 2" xfId="4666" xr:uid="{653EEE7D-29EC-4243-9375-841F0F50C0BA}"/>
    <cellStyle name="Comma 17 2 2 3 2 3 4 3" xfId="4672" xr:uid="{2DA1C651-A525-41D6-8A80-E8B5A640DF85}"/>
    <cellStyle name="Comma 17 2 2 3 2 3 5" xfId="5893" xr:uid="{D91B4AAA-F104-408A-B18E-089D103A9E0F}"/>
    <cellStyle name="Comma 17 2 2 3 2 3 5 2" xfId="4680" xr:uid="{B3FB5488-9792-42C3-842C-5080D929AE1B}"/>
    <cellStyle name="Comma 17 2 2 3 2 3 6" xfId="8050" xr:uid="{E24ABC8E-B3B6-4633-B9A3-3012ABEA64B9}"/>
    <cellStyle name="Comma 17 2 2 3 2 3 7" xfId="8053" xr:uid="{4D6FFA1F-C289-4F0B-8B7B-B0259974FD53}"/>
    <cellStyle name="Comma 17 2 2 3 2 4" xfId="8054" xr:uid="{A2F3C075-9921-4073-A68B-5D50165CE54B}"/>
    <cellStyle name="Comma 17 2 2 3 2 4 2" xfId="1113" xr:uid="{0A7A109F-C1B8-4462-BD82-22700B5A9DE8}"/>
    <cellStyle name="Comma 17 2 2 3 2 4 2 2" xfId="5950" xr:uid="{F7499C96-3563-4357-8E19-3E90C9161F33}"/>
    <cellStyle name="Comma 17 2 2 3 2 4 2 2 2" xfId="1835" xr:uid="{8800887C-B8B5-4712-AEEB-6650084A0F88}"/>
    <cellStyle name="Comma 17 2 2 3 2 4 2 2 2 2" xfId="7525" xr:uid="{133B33A4-3654-4D45-A296-2DFFB62A0C72}"/>
    <cellStyle name="Comma 17 2 2 3 2 4 2 2 3" xfId="1842" xr:uid="{8DB8424E-46E8-47F7-A095-4E781700497A}"/>
    <cellStyle name="Comma 17 2 2 3 2 4 2 3" xfId="5726" xr:uid="{32449475-80F8-4D84-AE5D-CCFEBE93BADF}"/>
    <cellStyle name="Comma 17 2 2 3 2 4 2 3 2" xfId="591" xr:uid="{BC23BECC-7D82-41BB-9954-DFD84EF4FAC9}"/>
    <cellStyle name="Comma 17 2 2 3 2 4 2 4" xfId="8016" xr:uid="{0F25D195-A768-4AF1-BAA4-3E2C9774264D}"/>
    <cellStyle name="Comma 17 2 2 3 2 4 3" xfId="1121" xr:uid="{F7D2B3E3-6F89-44DC-A700-7FE8EA66FF16}"/>
    <cellStyle name="Comma 17 2 2 3 2 4 3 2" xfId="3140" xr:uid="{E90771A6-2765-4625-A7B9-82DBD292EF0A}"/>
    <cellStyle name="Comma 17 2 2 3 2 4 3 2 2" xfId="4001" xr:uid="{8FC5BEB1-F386-42DB-BDE7-1CA7B7718425}"/>
    <cellStyle name="Comma 17 2 2 3 2 4 3 3" xfId="4694" xr:uid="{FD791ECC-B190-43CD-AC84-E69166383DDB}"/>
    <cellStyle name="Comma 17 2 2 3 2 4 4" xfId="1131" xr:uid="{8A8D3DF6-6499-49FA-8B6E-496C992BA5E7}"/>
    <cellStyle name="Comma 17 2 2 3 2 4 4 2" xfId="4707" xr:uid="{B938BB08-59C5-4D12-96D4-74EB9251ED93}"/>
    <cellStyle name="Comma 17 2 2 3 2 4 5" xfId="1143" xr:uid="{00C8340D-5F77-48F8-9912-D3BCFD389BB7}"/>
    <cellStyle name="Comma 17 2 2 3 2 5" xfId="8055" xr:uid="{0E22438E-679D-4177-9576-F61C0BFFC4DE}"/>
    <cellStyle name="Comma 17 2 2 3 2 5 2" xfId="5976" xr:uid="{EEF7C387-45DA-4A60-A26E-AF5320CF8B19}"/>
    <cellStyle name="Comma 17 2 2 3 2 5 2 2" xfId="8056" xr:uid="{2BA90A38-190E-45B6-AC3B-ECA2D4FBC6B2}"/>
    <cellStyle name="Comma 17 2 2 3 2 5 2 2 2" xfId="2616" xr:uid="{2AB3CD7E-D434-456F-AD34-7CFB668E613F}"/>
    <cellStyle name="Comma 17 2 2 3 2 5 2 3" xfId="8029" xr:uid="{0413CD0E-E233-4C55-A172-48E4FBAB9E0C}"/>
    <cellStyle name="Comma 17 2 2 3 2 5 3" xfId="8057" xr:uid="{DE028E63-3AF1-4C1C-BFB8-7185A039025E}"/>
    <cellStyle name="Comma 17 2 2 3 2 5 3 2" xfId="4727" xr:uid="{BC8388CD-B14F-4310-896B-1F52E15E9CE4}"/>
    <cellStyle name="Comma 17 2 2 3 2 5 4" xfId="8058" xr:uid="{C0BD42C5-29AF-4CFD-ACBA-3E1D15841687}"/>
    <cellStyle name="Comma 17 2 2 3 2 6" xfId="7326" xr:uid="{59800C18-6E03-462D-B365-6A053E856EFA}"/>
    <cellStyle name="Comma 17 2 2 3 2 6 2" xfId="8059" xr:uid="{A9814CB6-EF5F-418E-928B-8D0B1916DF65}"/>
    <cellStyle name="Comma 17 2 2 3 2 6 2 2" xfId="8060" xr:uid="{954552AF-927A-493A-81DF-4C9A07DBB70C}"/>
    <cellStyle name="Comma 17 2 2 3 2 6 3" xfId="8061" xr:uid="{B0B2AA63-41EC-4E59-A247-6B0868A38D0D}"/>
    <cellStyle name="Comma 17 2 2 3 2 7" xfId="5902" xr:uid="{B03B8030-D567-42C3-88A6-8DD00F962808}"/>
    <cellStyle name="Comma 17 2 2 3 2 7 2" xfId="5904" xr:uid="{7FF0CA9F-81DD-41E2-B623-DE80A786FFEF}"/>
    <cellStyle name="Comma 17 2 2 3 2 8" xfId="5910" xr:uid="{A665FDD6-5304-4756-9124-D2ECA46B7824}"/>
    <cellStyle name="Comma 17 2 2 3 2 9" xfId="5913" xr:uid="{F2592A19-2DEA-412B-883E-140B1DD290CD}"/>
    <cellStyle name="Comma 17 2 2 3 3" xfId="4714" xr:uid="{276D856D-0DE7-4269-A623-A41EDCC7E7D5}"/>
    <cellStyle name="Comma 17 2 2 3 3 2" xfId="7317" xr:uid="{4DCF0EF5-F4BB-4F99-B63D-07A079F4A854}"/>
    <cellStyle name="Comma 17 2 2 3 3 2 2" xfId="6135" xr:uid="{1627C291-A26C-4380-B5F2-23283BE6887B}"/>
    <cellStyle name="Comma 17 2 2 3 3 2 2 2" xfId="6144" xr:uid="{21D17DB7-FC8F-4F60-A465-22F0436F3C10}"/>
    <cellStyle name="Comma 17 2 2 3 3 2 2 2 2" xfId="6147" xr:uid="{021CA7D9-C8F1-410A-8336-F1C3CB2B4334}"/>
    <cellStyle name="Comma 17 2 2 3 3 2 2 2 2 2" xfId="8000" xr:uid="{A5E30DC5-F60D-4F2E-81B3-50E7F56E33E8}"/>
    <cellStyle name="Comma 17 2 2 3 3 2 2 2 2 2 2" xfId="8062" xr:uid="{EF42A1A8-384D-4EBD-B67E-D229F65D55A3}"/>
    <cellStyle name="Comma 17 2 2 3 3 2 2 2 2 3" xfId="8064" xr:uid="{D6423122-98B2-4136-BAB6-78A361F14A53}"/>
    <cellStyle name="Comma 17 2 2 3 3 2 2 2 3" xfId="8067" xr:uid="{13D395A1-A61C-4541-871D-C5E07A4CD94F}"/>
    <cellStyle name="Comma 17 2 2 3 3 2 2 2 3 2" xfId="8068" xr:uid="{EA7884B1-0041-4FA6-B667-3D023D6ACC5B}"/>
    <cellStyle name="Comma 17 2 2 3 3 2 2 2 4" xfId="7653" xr:uid="{B1D4F690-79CE-4483-9D1B-1060995E41F6}"/>
    <cellStyle name="Comma 17 2 2 3 3 2 2 3" xfId="5865" xr:uid="{D491245A-49F3-44E1-9127-AFFAC81206E0}"/>
    <cellStyle name="Comma 17 2 2 3 3 2 2 3 2" xfId="5084" xr:uid="{11FEE7F4-4C53-4ACC-AC7C-86027BEADBBB}"/>
    <cellStyle name="Comma 17 2 2 3 3 2 2 3 2 2" xfId="8069" xr:uid="{EF43F6A5-34F1-4114-81F4-2916FABDBB34}"/>
    <cellStyle name="Comma 17 2 2 3 3 2 2 3 3" xfId="8071" xr:uid="{C537A7FE-C7D4-48D0-8237-1CA7B24ECE47}"/>
    <cellStyle name="Comma 17 2 2 3 3 2 2 4" xfId="5869" xr:uid="{4F633610-5AA8-47FA-975C-60D3E51A1936}"/>
    <cellStyle name="Comma 17 2 2 3 3 2 2 4 2" xfId="8072" xr:uid="{8E183BCB-DAF9-4915-A87B-F6A6B45D3879}"/>
    <cellStyle name="Comma 17 2 2 3 3 2 2 5" xfId="8074" xr:uid="{542419AA-9A6C-4AFB-A50E-76B14915E2EC}"/>
    <cellStyle name="Comma 17 2 2 3 3 2 3" xfId="6150" xr:uid="{308187DD-3343-47F3-B5D1-9EE890CAB08E}"/>
    <cellStyle name="Comma 17 2 2 3 3 2 3 2" xfId="6153" xr:uid="{C0B549B6-60BC-4764-BB76-77D9066E8AFF}"/>
    <cellStyle name="Comma 17 2 2 3 3 2 3 2 2" xfId="8076" xr:uid="{82B852F9-9E5E-48DF-93AE-F312FA0B930D}"/>
    <cellStyle name="Comma 17 2 2 3 3 2 3 2 2 2" xfId="7976" xr:uid="{390B965A-8071-4A56-80F0-9F99D4E5BD47}"/>
    <cellStyle name="Comma 17 2 2 3 3 2 3 2 3" xfId="8077" xr:uid="{81B8BA8A-60C2-4AEA-B36C-A0144A11BE26}"/>
    <cellStyle name="Comma 17 2 2 3 3 2 3 3" xfId="5873" xr:uid="{52F0FE86-CB5C-4737-9056-435B3F475131}"/>
    <cellStyle name="Comma 17 2 2 3 3 2 3 3 2" xfId="8081" xr:uid="{397F2ACD-736B-4BD6-8DD2-618AE5BAACCD}"/>
    <cellStyle name="Comma 17 2 2 3 3 2 3 4" xfId="8084" xr:uid="{81C45D37-E00C-47E7-956E-6F4A7324B4D3}"/>
    <cellStyle name="Comma 17 2 2 3 3 2 4" xfId="6158" xr:uid="{792AF48D-7DAB-4983-BD59-BBF64EF3DDBC}"/>
    <cellStyle name="Comma 17 2 2 3 3 2 4 2" xfId="8087" xr:uid="{DF05D631-3A22-44B8-B9A4-AD5D44BD87A9}"/>
    <cellStyle name="Comma 17 2 2 3 3 2 4 2 2" xfId="8090" xr:uid="{010C7C50-12DD-461A-88E9-9C117E61BA91}"/>
    <cellStyle name="Comma 17 2 2 3 3 2 4 3" xfId="8094" xr:uid="{FDD6AF4E-0662-4633-A6CC-6BB35DD18187}"/>
    <cellStyle name="Comma 17 2 2 3 3 2 5" xfId="6163" xr:uid="{2D76D0C6-B6C1-4DA2-A671-4557C4FDBFAC}"/>
    <cellStyle name="Comma 17 2 2 3 3 2 5 2" xfId="8097" xr:uid="{13CF7FD6-2C8A-49CA-B1D9-ACE46A0F7985}"/>
    <cellStyle name="Comma 17 2 2 3 3 2 6" xfId="8102" xr:uid="{F7CD4861-3529-45DB-81E9-BCC339E8CD0E}"/>
    <cellStyle name="Comma 17 2 2 3 3 2 7" xfId="8106" xr:uid="{E012C6FF-51C9-4087-B9D5-AD7B40CC9667}"/>
    <cellStyle name="Comma 17 2 2 3 3 3" xfId="7320" xr:uid="{894CF3E7-DBD6-4423-8167-D3EE989E7BDE}"/>
    <cellStyle name="Comma 17 2 2 3 3 3 2" xfId="6274" xr:uid="{C1F05FDD-A822-4EBF-B808-A22E89F41B0B}"/>
    <cellStyle name="Comma 17 2 2 3 3 3 2 2" xfId="3191" xr:uid="{D1ACDC97-2CE3-46CF-B012-E42B246028DB}"/>
    <cellStyle name="Comma 17 2 2 3 3 3 2 2 2" xfId="4589" xr:uid="{A0DF3998-FB1B-4B5E-B6A3-08D94483A766}"/>
    <cellStyle name="Comma 17 2 2 3 3 3 2 2 2 2" xfId="7323" xr:uid="{D88DBA16-178E-4D17-8BC0-81E7B2C54236}"/>
    <cellStyle name="Comma 17 2 2 3 3 3 2 2 3" xfId="7329" xr:uid="{E6D95109-F333-4BE1-92C3-13CC25D685F2}"/>
    <cellStyle name="Comma 17 2 2 3 3 3 2 3" xfId="3196" xr:uid="{CD2F7227-EE12-472C-882C-D4FA923DAA2D}"/>
    <cellStyle name="Comma 17 2 2 3 3 3 2 3 2" xfId="7337" xr:uid="{61A1DCB6-A9BC-4341-9AD4-B5D992463509}"/>
    <cellStyle name="Comma 17 2 2 3 3 3 2 4" xfId="7347" xr:uid="{14E97909-6016-45F8-A608-017B640018D9}"/>
    <cellStyle name="Comma 17 2 2 3 3 3 3" xfId="6276" xr:uid="{B3870CA7-4C9F-47D4-BC5C-E82D9B68FA56}"/>
    <cellStyle name="Comma 17 2 2 3 3 3 3 2" xfId="3317" xr:uid="{95C6D5E2-08F2-4554-9BF6-CCFBF2776F38}"/>
    <cellStyle name="Comma 17 2 2 3 3 3 3 2 2" xfId="4756" xr:uid="{2FFB294E-732E-48CC-87AA-C01AD6B2424C}"/>
    <cellStyle name="Comma 17 2 2 3 3 3 3 3" xfId="4761" xr:uid="{A8666D9B-867C-400E-B61D-ED459BA7B2EB}"/>
    <cellStyle name="Comma 17 2 2 3 3 3 4" xfId="6281" xr:uid="{5D756507-4A3D-4437-BEF7-E4EFCA1C1B5F}"/>
    <cellStyle name="Comma 17 2 2 3 3 3 4 2" xfId="4790" xr:uid="{EDC67BCD-1E1D-44A0-83B7-7B82967E1821}"/>
    <cellStyle name="Comma 17 2 2 3 3 3 5" xfId="8109" xr:uid="{6B5A6F2F-95E3-47D2-965B-82D46B2FB42C}"/>
    <cellStyle name="Comma 17 2 2 3 3 4" xfId="1662" xr:uid="{6BD55BC8-C1D8-4981-813F-C395E8ACE5CA}"/>
    <cellStyle name="Comma 17 2 2 3 3 4 2" xfId="6307" xr:uid="{F5061906-5D93-4E8A-B383-3B1B4430B831}"/>
    <cellStyle name="Comma 17 2 2 3 3 4 2 2" xfId="7424" xr:uid="{2B22BF76-5720-4F55-85C4-0DFD81858368}"/>
    <cellStyle name="Comma 17 2 2 3 3 4 2 2 2" xfId="7426" xr:uid="{190F835E-86B4-4C15-B97C-A81FCBC217B1}"/>
    <cellStyle name="Comma 17 2 2 3 3 4 2 3" xfId="2972" xr:uid="{B868B7BB-61B2-42AC-905E-86B6C5ABFB6D}"/>
    <cellStyle name="Comma 17 2 2 3 3 4 3" xfId="8110" xr:uid="{FA03673A-5389-4CEF-9D3D-BAC6705D0F7F}"/>
    <cellStyle name="Comma 17 2 2 3 3 4 3 2" xfId="4823" xr:uid="{1AE5F5CE-8F0A-494F-AD20-9B5F0C64D1FC}"/>
    <cellStyle name="Comma 17 2 2 3 3 4 4" xfId="8113" xr:uid="{1CA40D22-F994-48DC-934A-EF1CB4C53B2A}"/>
    <cellStyle name="Comma 17 2 2 3 3 5" xfId="1664" xr:uid="{D69E086C-DCE4-4011-9556-653A6398E084}"/>
    <cellStyle name="Comma 17 2 2 3 3 5 2" xfId="4205" xr:uid="{6E6F005A-B8D7-44F9-8629-1FD8069ED8BB}"/>
    <cellStyle name="Comma 17 2 2 3 3 5 2 2" xfId="7462" xr:uid="{DFFF44C7-F9F6-4DB8-B5FE-5F42F880C54B}"/>
    <cellStyle name="Comma 17 2 2 3 3 5 3" xfId="8114" xr:uid="{01E95BD2-DC64-4394-BA3A-D3648EC542C4}"/>
    <cellStyle name="Comma 17 2 2 3 3 6" xfId="240" xr:uid="{88A64842-F073-4949-AEB4-42E711FF2F9F}"/>
    <cellStyle name="Comma 17 2 2 3 3 6 2" xfId="8115" xr:uid="{ABEBCE93-7984-4AE4-838C-CEADD024F17C}"/>
    <cellStyle name="Comma 17 2 2 3 3 7" xfId="304" xr:uid="{5FDFCD9A-34B7-4C76-BE6C-C8EE5157A273}"/>
    <cellStyle name="Comma 17 2 2 3 3 8" xfId="316" xr:uid="{62AB142F-B878-453E-BA69-AF45C524BD5B}"/>
    <cellStyle name="Comma 17 2 2 3 4" xfId="7672" xr:uid="{F006A4D6-E29A-4F54-8A61-6C7246F3116D}"/>
    <cellStyle name="Comma 17 2 2 3 4 2" xfId="7334" xr:uid="{37EADE26-21C5-4E19-8997-87CDAA8A174D}"/>
    <cellStyle name="Comma 17 2 2 3 4 2 2" xfId="6396" xr:uid="{E70B6EB9-BD8F-4DC3-B5F3-C177531776B4}"/>
    <cellStyle name="Comma 17 2 2 3 4 2 2 2" xfId="6400" xr:uid="{558D8228-FFFF-4A66-80DF-5B2C437DDEC6}"/>
    <cellStyle name="Comma 17 2 2 3 4 2 2 2 2" xfId="8119" xr:uid="{92E78204-4679-4211-AFFF-CACB0D05FBD0}"/>
    <cellStyle name="Comma 17 2 2 3 4 2 2 2 2 2" xfId="8121" xr:uid="{8703C7D6-6D37-4A53-95C7-E08A53E143F5}"/>
    <cellStyle name="Comma 17 2 2 3 4 2 2 2 3" xfId="8123" xr:uid="{1F9D25E5-6F38-4A6A-9E54-F170CF205E52}"/>
    <cellStyle name="Comma 17 2 2 3 4 2 2 3" xfId="5944" xr:uid="{2A81A414-E4D6-480B-A6C7-EB1DB36C3751}"/>
    <cellStyle name="Comma 17 2 2 3 4 2 2 3 2" xfId="8125" xr:uid="{75CF2D50-32CD-4A32-AADF-30E4551F9C09}"/>
    <cellStyle name="Comma 17 2 2 3 4 2 2 4" xfId="8127" xr:uid="{E7108D38-B055-43DB-8576-C0CD1C02A23C}"/>
    <cellStyle name="Comma 17 2 2 3 4 2 3" xfId="6403" xr:uid="{745596F9-D1AC-4375-A0F5-5EE8CF769665}"/>
    <cellStyle name="Comma 17 2 2 3 4 2 3 2" xfId="1245" xr:uid="{B752EAFB-2633-42D0-BFC8-3350B1A62ADA}"/>
    <cellStyle name="Comma 17 2 2 3 4 2 3 2 2" xfId="8129" xr:uid="{A739DE09-B900-4BB7-9FF3-F65596C6CA4B}"/>
    <cellStyle name="Comma 17 2 2 3 4 2 3 3" xfId="1251" xr:uid="{9B5B5A78-A639-444A-9181-EEB93783F70B}"/>
    <cellStyle name="Comma 17 2 2 3 4 2 4" xfId="6410" xr:uid="{345EDE65-1FF0-4559-848E-9B45CDB70C2D}"/>
    <cellStyle name="Comma 17 2 2 3 4 2 4 2" xfId="8134" xr:uid="{534F9301-1B98-47DC-AA3D-4892F5C661FE}"/>
    <cellStyle name="Comma 17 2 2 3 4 2 5" xfId="8139" xr:uid="{DB89AD7B-019B-4FA3-9256-C6FC3AA96D9D}"/>
    <cellStyle name="Comma 17 2 2 3 4 3" xfId="8140" xr:uid="{678BF0D1-4C83-4125-8342-CBB852839F8B}"/>
    <cellStyle name="Comma 17 2 2 3 4 3 2" xfId="6441" xr:uid="{F96F904D-0C77-40E5-B7A1-C2A29A3E4212}"/>
    <cellStyle name="Comma 17 2 2 3 4 3 2 2" xfId="1829" xr:uid="{D11FACF0-BEE4-4C28-BB7D-55423BD2AA23}"/>
    <cellStyle name="Comma 17 2 2 3 4 3 2 2 2" xfId="7282" xr:uid="{167F461F-7581-420E-8038-FCAA680CD94B}"/>
    <cellStyle name="Comma 17 2 2 3 4 3 2 3" xfId="1834" xr:uid="{2654FDAA-CC81-412D-9B2D-558D56EC4D97}"/>
    <cellStyle name="Comma 17 2 2 3 4 3 3" xfId="8142" xr:uid="{1FD9E2B4-215B-4012-844F-3FA1480F8CAD}"/>
    <cellStyle name="Comma 17 2 2 3 4 3 3 2" xfId="580" xr:uid="{7EFA3B81-72C1-42B8-B874-201546904BA3}"/>
    <cellStyle name="Comma 17 2 2 3 4 3 4" xfId="8148" xr:uid="{3FC56E89-C7ED-46FD-AFD1-B2D486F21058}"/>
    <cellStyle name="Comma 17 2 2 3 4 4" xfId="8149" xr:uid="{C7F0058E-DC4F-42BA-865F-1E82DA8251A4}"/>
    <cellStyle name="Comma 17 2 2 3 4 4 2" xfId="8151" xr:uid="{0F07BC1F-CFFB-4B0E-8EE3-C110E5593C46}"/>
    <cellStyle name="Comma 17 2 2 3 4 4 2 2" xfId="3922" xr:uid="{B79B0B06-FE0C-4896-87AB-23B8AC0E525A}"/>
    <cellStyle name="Comma 17 2 2 3 4 4 3" xfId="8153" xr:uid="{1F431D33-9D27-408E-97EB-ED08C38F94EE}"/>
    <cellStyle name="Comma 17 2 2 3 4 5" xfId="6936" xr:uid="{F18B6BCD-EE4A-4C2D-8B01-E72F9067E15E}"/>
    <cellStyle name="Comma 17 2 2 3 4 5 2" xfId="8156" xr:uid="{507AB81D-A820-4462-93F6-CFC6DE363056}"/>
    <cellStyle name="Comma 17 2 2 3 4 6" xfId="8158" xr:uid="{E8D086F4-ADB3-431C-A769-C9B2916CE501}"/>
    <cellStyle name="Comma 17 2 2 3 4 7" xfId="5923" xr:uid="{0D18EC9F-8DD4-4681-8278-6DE19AEFF563}"/>
    <cellStyle name="Comma 17 2 2 3 5" xfId="4755" xr:uid="{412F1026-E583-4DCE-B6BB-AB4822C291E5}"/>
    <cellStyle name="Comma 17 2 2 3 5 2" xfId="7375" xr:uid="{0D32C7EC-FEBB-4BCD-B5F8-7E577965D02C}"/>
    <cellStyle name="Comma 17 2 2 3 5 2 2" xfId="6511" xr:uid="{A7C23D27-17D5-4A47-AD33-1AFE1FD9F487}"/>
    <cellStyle name="Comma 17 2 2 3 5 2 2 2" xfId="2466" xr:uid="{1D28CA9A-BBED-4BCC-9466-EA826B29DD34}"/>
    <cellStyle name="Comma 17 2 2 3 5 2 2 2 2" xfId="8160" xr:uid="{8A70988A-23E1-4A8D-927A-0FA80F60F892}"/>
    <cellStyle name="Comma 17 2 2 3 5 2 2 3" xfId="8162" xr:uid="{8A756111-3219-4887-9086-0C49707CEDBC}"/>
    <cellStyle name="Comma 17 2 2 3 5 2 3" xfId="6289" xr:uid="{3034373B-CE9D-4BBE-8FBD-E757E1865DD8}"/>
    <cellStyle name="Comma 17 2 2 3 5 2 3 2" xfId="6292" xr:uid="{C3BDEFC5-734C-44EA-B405-D09EF6477528}"/>
    <cellStyle name="Comma 17 2 2 3 5 2 4" xfId="6298" xr:uid="{2F9B2F6C-AEBF-4C46-A00B-401686897D96}"/>
    <cellStyle name="Comma 17 2 2 3 5 3" xfId="8163" xr:uid="{CDA005E9-E5CE-4811-BFF3-4DF9CC68B111}"/>
    <cellStyle name="Comma 17 2 2 3 5 3 2" xfId="8167" xr:uid="{923AD8BD-7A7F-497B-B6F5-08C24FF822EA}"/>
    <cellStyle name="Comma 17 2 2 3 5 3 2 2" xfId="2606" xr:uid="{556449A9-8E30-4754-8CF5-05D131C0C6C0}"/>
    <cellStyle name="Comma 17 2 2 3 5 3 3" xfId="2882" xr:uid="{AC0EC160-9164-42BD-B13F-E66066F3C55E}"/>
    <cellStyle name="Comma 17 2 2 3 5 4" xfId="8169" xr:uid="{4EBC8444-C420-4A88-8B29-27DE18685A80}"/>
    <cellStyle name="Comma 17 2 2 3 5 4 2" xfId="8173" xr:uid="{90987A2D-5815-475B-B4F5-8B1441C69DD3}"/>
    <cellStyle name="Comma 17 2 2 3 5 5" xfId="8175" xr:uid="{CF13477B-E66F-468A-A518-49EB8297B80C}"/>
    <cellStyle name="Comma 17 2 2 3 6" xfId="7378" xr:uid="{83A40715-9285-45D3-BFC1-474B1833EFB2}"/>
    <cellStyle name="Comma 17 2 2 3 6 2" xfId="2024" xr:uid="{10067679-5282-4B64-BD5A-340BA962AC0C}"/>
    <cellStyle name="Comma 17 2 2 3 6 2 2" xfId="2032" xr:uid="{E39AEBF0-5BDC-438D-A4B0-B753EA3193E5}"/>
    <cellStyle name="Comma 17 2 2 3 6 2 2 2" xfId="8177" xr:uid="{62A30E97-9448-402B-A035-38BDA96F377F}"/>
    <cellStyle name="Comma 17 2 2 3 6 2 3" xfId="6304" xr:uid="{EAF8683D-AA69-48F9-AAE7-640274EFF759}"/>
    <cellStyle name="Comma 17 2 2 3 6 3" xfId="2035" xr:uid="{A6599983-6A34-486E-98FF-BBC51BED0470}"/>
    <cellStyle name="Comma 17 2 2 3 6 3 2" xfId="2044" xr:uid="{50C3B003-6514-40ED-8A98-BE47C2FF159F}"/>
    <cellStyle name="Comma 17 2 2 3 6 4" xfId="2049" xr:uid="{219CC077-EED2-49FE-9BC7-9EAB57A49BC8}"/>
    <cellStyle name="Comma 17 2 2 3 7" xfId="8179" xr:uid="{E3C2505A-0E7D-4C44-80BE-A8DD2711948E}"/>
    <cellStyle name="Comma 17 2 2 3 7 2" xfId="2692" xr:uid="{4831409B-7EFE-43E8-A3CA-50B2BA635532}"/>
    <cellStyle name="Comma 17 2 2 3 7 2 2" xfId="2708" xr:uid="{60448FF2-EE7B-4D15-ADCE-DF47D8A17B91}"/>
    <cellStyle name="Comma 17 2 2 3 7 3" xfId="2717" xr:uid="{84E0122C-A487-42BF-BA9C-7111B5D67A54}"/>
    <cellStyle name="Comma 17 2 2 3 8" xfId="8181" xr:uid="{1BAFA8A9-446B-40DE-8831-66E68F343350}"/>
    <cellStyle name="Comma 17 2 2 3 8 2" xfId="3449" xr:uid="{C02DD228-1047-4BD2-A7CE-934DC54DDB8B}"/>
    <cellStyle name="Comma 17 2 2 3 9" xfId="8183" xr:uid="{9844B9E3-77B1-4B13-BC5C-1ABF9DB44EB3}"/>
    <cellStyle name="Comma 17 2 2 4" xfId="7038" xr:uid="{383DCB09-C741-45D8-9EFD-7868422E5118}"/>
    <cellStyle name="Comma 17 2 2 4 2" xfId="3865" xr:uid="{24233A81-C60B-49A9-AA6F-359835003978}"/>
    <cellStyle name="Comma 17 2 2 4 2 2" xfId="8186" xr:uid="{A221E23C-EC54-400B-9FA0-29D24BEDCBA4}"/>
    <cellStyle name="Comma 17 2 2 4 2 2 2" xfId="7132" xr:uid="{D110E2C4-D52D-4712-B0F2-B33297A966DD}"/>
    <cellStyle name="Comma 17 2 2 4 2 2 2 2" xfId="7137" xr:uid="{15ABB8C4-D9B0-41C8-BCB0-CDB579516BD8}"/>
    <cellStyle name="Comma 17 2 2 4 2 2 2 2 2" xfId="8191" xr:uid="{2594A0DB-D3FF-4444-9408-43E46E4727A3}"/>
    <cellStyle name="Comma 17 2 2 4 2 2 2 2 2 2" xfId="8197" xr:uid="{8FC9D0BB-886F-4319-9EB6-618F26B0E06F}"/>
    <cellStyle name="Comma 17 2 2 4 2 2 2 2 2 2 2" xfId="8202" xr:uid="{FF03CA66-D51C-47FC-A65D-0951FC3450EC}"/>
    <cellStyle name="Comma 17 2 2 4 2 2 2 2 2 3" xfId="8209" xr:uid="{63BB0FB6-0C86-4432-85CC-F963E677DC84}"/>
    <cellStyle name="Comma 17 2 2 4 2 2 2 2 3" xfId="8211" xr:uid="{30E06AE6-498B-47CC-95CF-360C941C7333}"/>
    <cellStyle name="Comma 17 2 2 4 2 2 2 2 3 2" xfId="8217" xr:uid="{D2F3EEBA-F54E-4A08-9FB5-F9D63BDF6C75}"/>
    <cellStyle name="Comma 17 2 2 4 2 2 2 2 4" xfId="8221" xr:uid="{7141B324-E74E-46A5-8826-4B5BE59136D1}"/>
    <cellStyle name="Comma 17 2 2 4 2 2 2 3" xfId="6113" xr:uid="{8E19600D-A2D4-447E-A871-39C6FF1FB0E0}"/>
    <cellStyle name="Comma 17 2 2 4 2 2 2 3 2" xfId="4394" xr:uid="{653559E8-4CB7-4560-93FD-2BE24EDCF5BE}"/>
    <cellStyle name="Comma 17 2 2 4 2 2 2 3 2 2" xfId="8224" xr:uid="{3057113D-5419-45ED-AF93-6EE8F3456461}"/>
    <cellStyle name="Comma 17 2 2 4 2 2 2 3 3" xfId="4401" xr:uid="{7E6AD99D-23F7-4D71-AAC6-C3914B60EA00}"/>
    <cellStyle name="Comma 17 2 2 4 2 2 2 4" xfId="6116" xr:uid="{FC47174D-0763-452D-B905-AEF8D230EDD6}"/>
    <cellStyle name="Comma 17 2 2 4 2 2 2 4 2" xfId="2398" xr:uid="{74F0CDDB-5584-47E9-82D1-1E78953D9A26}"/>
    <cellStyle name="Comma 17 2 2 4 2 2 2 5" xfId="4461" xr:uid="{62D4786D-E56E-43CE-AD20-98514CE1B1EA}"/>
    <cellStyle name="Comma 17 2 2 4 2 2 3" xfId="7145" xr:uid="{5050335C-81DF-4DF1-9215-B0D49635FFB2}"/>
    <cellStyle name="Comma 17 2 2 4 2 2 3 2" xfId="8230" xr:uid="{3DE0E9E4-F056-4390-BB22-ADBDD3510E0C}"/>
    <cellStyle name="Comma 17 2 2 4 2 2 3 2 2" xfId="1904" xr:uid="{17DFE2D6-B83E-4329-8D0F-21AD55F0EEB8}"/>
    <cellStyle name="Comma 17 2 2 4 2 2 3 2 2 2" xfId="8235" xr:uid="{E3F4B341-278C-460D-93FD-4E57641F6E43}"/>
    <cellStyle name="Comma 17 2 2 4 2 2 3 2 3" xfId="1909" xr:uid="{C7B0498D-514D-41D7-93FF-25471C655545}"/>
    <cellStyle name="Comma 17 2 2 4 2 2 3 3" xfId="6125" xr:uid="{6BBAF012-873D-4E9F-BA9E-F6D7E90E7EF1}"/>
    <cellStyle name="Comma 17 2 2 4 2 2 3 3 2" xfId="6646" xr:uid="{46BE130A-246E-4068-9F15-5EAF2183D3DE}"/>
    <cellStyle name="Comma 17 2 2 4 2 2 3 4" xfId="6656" xr:uid="{4B9E191E-58DB-471D-8179-5666679C275A}"/>
    <cellStyle name="Comma 17 2 2 4 2 2 4" xfId="7152" xr:uid="{3940CF28-45EF-4107-B9A6-C6A1B9B9D4D7}"/>
    <cellStyle name="Comma 17 2 2 4 2 2 4 2" xfId="4294" xr:uid="{3A3079D5-A2A3-4964-A04B-1D5499954A1E}"/>
    <cellStyle name="Comma 17 2 2 4 2 2 4 2 2" xfId="8238" xr:uid="{4F6866E2-1DDB-4446-A2A1-05769233FB3B}"/>
    <cellStyle name="Comma 17 2 2 4 2 2 4 3" xfId="4299" xr:uid="{7CD7E058-050D-44C2-A3EE-8317DFCDE7D2}"/>
    <cellStyle name="Comma 17 2 2 4 2 2 5" xfId="6005" xr:uid="{06DC3227-FF4F-4D5D-9AA4-A6C12A440FBF}"/>
    <cellStyle name="Comma 17 2 2 4 2 2 5 2" xfId="6009" xr:uid="{7C2AA444-6EC2-4072-98AA-526BAC6B322C}"/>
    <cellStyle name="Comma 17 2 2 4 2 2 6" xfId="5795" xr:uid="{3CE27DEE-DF59-40CB-910E-09A755487387}"/>
    <cellStyle name="Comma 17 2 2 4 2 2 7" xfId="5807" xr:uid="{1C6AC822-0301-4419-9C3D-029FB3017E40}"/>
    <cellStyle name="Comma 17 2 2 4 2 3" xfId="8240" xr:uid="{EBE15808-43E5-4BD3-9B2B-2A418636930A}"/>
    <cellStyle name="Comma 17 2 2 4 2 3 2" xfId="7171" xr:uid="{96D2E3E5-28E4-4767-A5B7-97DDB9DB331B}"/>
    <cellStyle name="Comma 17 2 2 4 2 3 2 2" xfId="6968" xr:uid="{E042254C-A388-4D62-B7AF-B98C248B9839}"/>
    <cellStyle name="Comma 17 2 2 4 2 3 2 2 2" xfId="7985" xr:uid="{CD41D230-6478-49F7-BFC0-BB1F54DB4AF9}"/>
    <cellStyle name="Comma 17 2 2 4 2 3 2 2 2 2" xfId="7988" xr:uid="{BEDA339F-CB91-442E-B1A1-497EAD0ED1A8}"/>
    <cellStyle name="Comma 17 2 2 4 2 3 2 2 3" xfId="7990" xr:uid="{2AF765D0-E68B-4189-811B-0BD6595DAA93}"/>
    <cellStyle name="Comma 17 2 2 4 2 3 2 3" xfId="6146" xr:uid="{86CFDB06-60F2-4DB1-B664-5A72C0335AB9}"/>
    <cellStyle name="Comma 17 2 2 4 2 3 2 3 2" xfId="7999" xr:uid="{D991A0BB-B685-4CB8-86E7-74C60B5F17D5}"/>
    <cellStyle name="Comma 17 2 2 4 2 3 2 4" xfId="8065" xr:uid="{1BCDB9D4-6FD8-4175-97FD-3DFE047D77C0}"/>
    <cellStyle name="Comma 17 2 2 4 2 3 3" xfId="8245" xr:uid="{1A8541C7-0CC9-4E32-ACAF-5C9674F26BFD}"/>
    <cellStyle name="Comma 17 2 2 4 2 3 3 2" xfId="3638" xr:uid="{8DDCD74B-637B-4189-B366-0F5B2BD09D44}"/>
    <cellStyle name="Comma 17 2 2 4 2 3 3 2 2" xfId="5078" xr:uid="{6387A383-D673-4AB9-ADD2-9ECC6E39F123}"/>
    <cellStyle name="Comma 17 2 2 4 2 3 3 3" xfId="5082" xr:uid="{21C7B347-98BA-4AB6-9A57-E8D5E3D9C010}"/>
    <cellStyle name="Comma 17 2 2 4 2 3 4" xfId="6607" xr:uid="{0686F59B-9BA9-4E91-9D42-D698950E4FEF}"/>
    <cellStyle name="Comma 17 2 2 4 2 3 4 2" xfId="5092" xr:uid="{D2308F03-9BB3-44AF-BBFF-758D12C8711E}"/>
    <cellStyle name="Comma 17 2 2 4 2 3 5" xfId="6327" xr:uid="{AB792605-E707-47AB-9114-CB30A784ABA1}"/>
    <cellStyle name="Comma 17 2 2 4 2 4" xfId="8247" xr:uid="{33A024DD-1E1C-4735-B9BD-9F1A7E880D9A}"/>
    <cellStyle name="Comma 17 2 2 4 2 4 2" xfId="8251" xr:uid="{7458AA31-B5F1-42F7-8CA0-A0AC6DA37C6C}"/>
    <cellStyle name="Comma 17 2 2 4 2 4 2 2" xfId="8252" xr:uid="{F009DB03-D9E5-4E33-8858-5E9305BDE8F3}"/>
    <cellStyle name="Comma 17 2 2 4 2 4 2 2 2" xfId="7351" xr:uid="{7D3D7175-5548-4740-A644-A35B47D100CF}"/>
    <cellStyle name="Comma 17 2 2 4 2 4 2 3" xfId="8075" xr:uid="{81C1C81D-48DD-4C75-8256-E019BC83E92D}"/>
    <cellStyle name="Comma 17 2 2 4 2 4 3" xfId="8255" xr:uid="{240FF968-4A78-4F3C-AF09-6E8CDC226253}"/>
    <cellStyle name="Comma 17 2 2 4 2 4 3 2" xfId="5105" xr:uid="{FFDF717E-46E3-4D05-92E0-0278C12AC9DF}"/>
    <cellStyle name="Comma 17 2 2 4 2 4 4" xfId="8257" xr:uid="{1371DCBF-1EB5-4B92-8EA9-9A02D9B8BA8D}"/>
    <cellStyle name="Comma 17 2 2 4 2 5" xfId="8259" xr:uid="{122B815B-B500-4C2E-9D92-35012DB8A8AC}"/>
    <cellStyle name="Comma 17 2 2 4 2 5 2" xfId="8260" xr:uid="{DFBCB3DD-B8B4-4DC4-AD49-1595B77D91DD}"/>
    <cellStyle name="Comma 17 2 2 4 2 5 2 2" xfId="8261" xr:uid="{AAA65BBB-C5AA-48F5-8902-1B200FBF4411}"/>
    <cellStyle name="Comma 17 2 2 4 2 5 3" xfId="8263" xr:uid="{C02427A1-F7B5-457F-A1EB-C9CF76020337}"/>
    <cellStyle name="Comma 17 2 2 4 2 6" xfId="8265" xr:uid="{5E38C403-A964-419D-9C51-93877C7E9260}"/>
    <cellStyle name="Comma 17 2 2 4 2 6 2" xfId="8266" xr:uid="{D99DCE16-7B02-4517-B407-1398674E5142}"/>
    <cellStyle name="Comma 17 2 2 4 2 7" xfId="5928" xr:uid="{5795A9F2-F861-4957-B194-37EAB8010C92}"/>
    <cellStyle name="Comma 17 2 2 4 2 8" xfId="5932" xr:uid="{013EF84D-EEF8-49E2-8677-F5769A25D2E0}"/>
    <cellStyle name="Comma 17 2 2 4 3" xfId="5178" xr:uid="{1FBE633A-DC2F-45B3-9BC2-4ACFF8468480}"/>
    <cellStyle name="Comma 17 2 2 4 3 2" xfId="7370" xr:uid="{E9E8836B-F829-4003-8D5D-A4AA5A7F33D3}"/>
    <cellStyle name="Comma 17 2 2 4 3 2 2" xfId="7226" xr:uid="{137A7560-F04F-49F1-BD08-E3D704F7D7A8}"/>
    <cellStyle name="Comma 17 2 2 4 3 2 2 2" xfId="7925" xr:uid="{4A17796C-DFE9-4700-9A31-1E6B6EC9E835}"/>
    <cellStyle name="Comma 17 2 2 4 3 2 2 2 2" xfId="7932" xr:uid="{BE750765-0A00-40C5-BC8F-B003320E6D93}"/>
    <cellStyle name="Comma 17 2 2 4 3 2 2 2 2 2" xfId="1799" xr:uid="{118E3595-9A71-4975-957E-B1FFE7B18FC6}"/>
    <cellStyle name="Comma 17 2 2 4 3 2 2 2 3" xfId="334" xr:uid="{07EBECB9-01E2-4186-BDA6-349545AD71D8}"/>
    <cellStyle name="Comma 17 2 2 4 3 2 2 3" xfId="3069" xr:uid="{91A50235-A210-4A3F-B941-E99F2E8983EE}"/>
    <cellStyle name="Comma 17 2 2 4 3 2 2 3 2" xfId="8270" xr:uid="{80B8A789-500D-4B70-9D07-129AA343DB0E}"/>
    <cellStyle name="Comma 17 2 2 4 3 2 2 4" xfId="8271" xr:uid="{4FAD1C81-A5A0-499E-ACDD-FA2406ECAF65}"/>
    <cellStyle name="Comma 17 2 2 4 3 2 3" xfId="7936" xr:uid="{16C9A362-93D7-459D-801F-298AD315EFFE}"/>
    <cellStyle name="Comma 17 2 2 4 3 2 3 2" xfId="7939" xr:uid="{BFF99AD3-2759-4815-80FC-681E80EF5179}"/>
    <cellStyle name="Comma 17 2 2 4 3 2 3 2 2" xfId="8275" xr:uid="{875D89E8-2572-4882-AAF0-173163AC33E0}"/>
    <cellStyle name="Comma 17 2 2 4 3 2 3 3" xfId="6671" xr:uid="{99A576ED-1327-412B-969C-48F4152151AA}"/>
    <cellStyle name="Comma 17 2 2 4 3 2 4" xfId="7948" xr:uid="{2112DF8D-E5DD-40C4-9BC2-58428E799560}"/>
    <cellStyle name="Comma 17 2 2 4 3 2 4 2" xfId="8279" xr:uid="{56CE90AC-B430-49D8-BBA8-B5EA588BF39F}"/>
    <cellStyle name="Comma 17 2 2 4 3 2 5" xfId="7205" xr:uid="{38C6A89C-C760-4F21-A99B-CF83659266B5}"/>
    <cellStyle name="Comma 17 2 2 4 3 3" xfId="7950" xr:uid="{7A0E02FF-F86A-4E31-A4F7-282C167BA92E}"/>
    <cellStyle name="Comma 17 2 2 4 3 3 2" xfId="7954" xr:uid="{7B777883-B4A4-4B24-880C-6AA971460FB3}"/>
    <cellStyle name="Comma 17 2 2 4 3 3 2 2" xfId="4580" xr:uid="{B506687E-6396-4F00-921D-F9A57FB88F5B}"/>
    <cellStyle name="Comma 17 2 2 4 3 3 2 2 2" xfId="7652" xr:uid="{973A4DD2-3110-4EA8-A13B-968D1C62D2DF}"/>
    <cellStyle name="Comma 17 2 2 4 3 3 2 3" xfId="4587" xr:uid="{36A3282A-440D-451C-8451-277CC8928332}"/>
    <cellStyle name="Comma 17 2 2 4 3 3 3" xfId="7958" xr:uid="{B973F8B6-B445-44FE-A4FD-F82EE24E6967}"/>
    <cellStyle name="Comma 17 2 2 4 3 3 3 2" xfId="5156" xr:uid="{B2091FCA-04B0-4535-87F5-E71BCF777282}"/>
    <cellStyle name="Comma 17 2 2 4 3 3 4" xfId="8283" xr:uid="{E8B99FE4-E5A2-467B-9699-D1C3806022AB}"/>
    <cellStyle name="Comma 17 2 2 4 3 4" xfId="237" xr:uid="{1A06667E-ECA7-4279-B122-A560E1409262}"/>
    <cellStyle name="Comma 17 2 2 4 3 4 2" xfId="7961" xr:uid="{CADB9357-F590-442B-8F65-34A7442D2801}"/>
    <cellStyle name="Comma 17 2 2 4 3 4 2 2" xfId="7670" xr:uid="{581C28D0-7AD0-4B48-BF33-B06E5EADF25B}"/>
    <cellStyle name="Comma 17 2 2 4 3 4 3" xfId="8285" xr:uid="{1E504D2D-FDB3-4843-B209-74F5CA94AD12}"/>
    <cellStyle name="Comma 17 2 2 4 3 5" xfId="1023" xr:uid="{9C0F8DE8-177D-43E7-86EA-7B950EEFF4BD}"/>
    <cellStyle name="Comma 17 2 2 4 3 5 2" xfId="8287" xr:uid="{538CF453-CC7E-4904-B266-C329F5CA8CAE}"/>
    <cellStyle name="Comma 17 2 2 4 3 6" xfId="1027" xr:uid="{976261FA-ADFB-46C7-BCB6-A59C1A5C24A4}"/>
    <cellStyle name="Comma 17 2 2 4 3 7" xfId="1031" xr:uid="{61399381-E6DD-45D9-A01E-541A0A096010}"/>
    <cellStyle name="Comma 17 2 2 4 4" xfId="7674" xr:uid="{F43AC48D-9691-4677-97CD-9AD8BDACE286}"/>
    <cellStyle name="Comma 17 2 2 4 4 2" xfId="8178" xr:uid="{B379359B-824A-407E-862A-1EFAA70A18AB}"/>
    <cellStyle name="Comma 17 2 2 4 4 2 2" xfId="2691" xr:uid="{B241D434-EAF9-458E-AE14-048DDCE6BD6D}"/>
    <cellStyle name="Comma 17 2 2 4 4 2 2 2" xfId="2700" xr:uid="{F34A7171-5296-4C16-8711-29197DD5C73A}"/>
    <cellStyle name="Comma 17 2 2 4 4 2 2 2 2" xfId="8288" xr:uid="{531CA72C-D46D-4122-A61E-24BF422BC7F3}"/>
    <cellStyle name="Comma 17 2 2 4 4 2 2 3" xfId="8295" xr:uid="{B78C48AC-A534-484E-9FBC-D07C8DAB1327}"/>
    <cellStyle name="Comma 17 2 2 4 4 2 3" xfId="2716" xr:uid="{B7E5BBA6-FC4C-41C9-8D6D-35FFD639005C}"/>
    <cellStyle name="Comma 17 2 2 4 4 2 3 2" xfId="2727" xr:uid="{5B84086F-7E59-4A84-82AF-669A1FA8B26B}"/>
    <cellStyle name="Comma 17 2 2 4 4 2 4" xfId="2737" xr:uid="{52B7A1EC-09C8-4F51-A3BA-6561C7E03897}"/>
    <cellStyle name="Comma 17 2 2 4 4 3" xfId="8180" xr:uid="{1C78CD1A-5971-4747-B71E-C96D79E9D4DD}"/>
    <cellStyle name="Comma 17 2 2 4 4 3 2" xfId="3447" xr:uid="{1667F2F0-3DD1-4110-955E-49DC10CD66EB}"/>
    <cellStyle name="Comma 17 2 2 4 4 3 2 2" xfId="7757" xr:uid="{2B617F37-E62D-4739-9A53-199CA9699F43}"/>
    <cellStyle name="Comma 17 2 2 4 4 3 3" xfId="7215" xr:uid="{AD8885A1-E0EB-4582-AC52-FBD4EA654D14}"/>
    <cellStyle name="Comma 17 2 2 4 4 4" xfId="8182" xr:uid="{A59427A6-EE7A-4247-820E-8796D8863FEC}"/>
    <cellStyle name="Comma 17 2 2 4 4 4 2" xfId="8298" xr:uid="{7587D994-AEBB-4362-A78A-C5D6F3F23869}"/>
    <cellStyle name="Comma 17 2 2 4 4 5" xfId="8300" xr:uid="{FE261BD9-D463-40D2-AA5C-4C8A984EF9D1}"/>
    <cellStyle name="Comma 17 2 2 4 5" xfId="7380" xr:uid="{01C75B70-3A0F-46A2-9D65-11114047293C}"/>
    <cellStyle name="Comma 17 2 2 4 5 2" xfId="7965" xr:uid="{9E506EF3-E613-4889-9D99-0814550EFD51}"/>
    <cellStyle name="Comma 17 2 2 4 5 2 2" xfId="968" xr:uid="{513A6E39-C1EB-4510-A328-2BD8CD0CA3EF}"/>
    <cellStyle name="Comma 17 2 2 4 5 2 2 2" xfId="1171" xr:uid="{9EA63A1E-7155-4032-8BC0-38364A53A518}"/>
    <cellStyle name="Comma 17 2 2 4 5 2 3" xfId="980" xr:uid="{AD9DDA8D-B8C9-47B7-87D3-2BBD09EF3734}"/>
    <cellStyle name="Comma 17 2 2 4 5 3" xfId="8302" xr:uid="{102D1EB1-48F5-47DC-99A5-FE671A66B725}"/>
    <cellStyle name="Comma 17 2 2 4 5 3 2" xfId="8310" xr:uid="{BDCBD991-A0B2-4D27-98DD-4873E6E83E73}"/>
    <cellStyle name="Comma 17 2 2 4 5 4" xfId="8313" xr:uid="{6382685B-CD3D-4E9B-A04B-0DB673807589}"/>
    <cellStyle name="Comma 17 2 2 4 6" xfId="7969" xr:uid="{613CEB2C-2DD9-4BAA-814D-322817E0E947}"/>
    <cellStyle name="Comma 17 2 2 4 6 2" xfId="8315" xr:uid="{480C1D8A-9F3B-4F9D-B623-0C6D5655762C}"/>
    <cellStyle name="Comma 17 2 2 4 6 2 2" xfId="1075" xr:uid="{DDF85477-6E66-4044-9627-29516273FE42}"/>
    <cellStyle name="Comma 17 2 2 4 6 3" xfId="8317" xr:uid="{EB27449C-6FBA-4257-9DD9-D47063C8DB52}"/>
    <cellStyle name="Comma 17 2 2 4 7" xfId="7964" xr:uid="{D2A224C7-B2CD-4EC9-A680-CC34335FF638}"/>
    <cellStyle name="Comma 17 2 2 4 7 2" xfId="962" xr:uid="{1CF84BDB-65BE-416B-9DE8-5D53224900CF}"/>
    <cellStyle name="Comma 17 2 2 4 8" xfId="8301" xr:uid="{C0B2306F-3B49-4986-B041-6E48DA6D6EC7}"/>
    <cellStyle name="Comma 17 2 2 4 9" xfId="8311" xr:uid="{34495FDF-11BD-4F88-AD5F-599732FD98D0}"/>
    <cellStyle name="Comma 17 2 2 5" xfId="8325" xr:uid="{D5323465-2026-4660-8045-82746FBC7AF1}"/>
    <cellStyle name="Comma 17 2 2 5 2" xfId="8331" xr:uid="{92A70998-4D14-466F-9C82-8F51EA0BA584}"/>
    <cellStyle name="Comma 17 2 2 5 2 2" xfId="8334" xr:uid="{A4EB55AC-4938-40A6-BBCF-822A9416FBA5}"/>
    <cellStyle name="Comma 17 2 2 5 2 2 2" xfId="8337" xr:uid="{E1491D65-9D05-4E94-B8B9-49452846CF7C}"/>
    <cellStyle name="Comma 17 2 2 5 2 2 2 2" xfId="8341" xr:uid="{9A7F36C6-C652-492B-8C12-B082A857DFCE}"/>
    <cellStyle name="Comma 17 2 2 5 2 2 2 2 2" xfId="8343" xr:uid="{BBB4C980-DB7C-4F76-BCB1-17824B99CDAC}"/>
    <cellStyle name="Comma 17 2 2 5 2 2 2 2 2 2" xfId="8345" xr:uid="{4CB176E4-F353-4023-91B5-09216810C16D}"/>
    <cellStyle name="Comma 17 2 2 5 2 2 2 2 3" xfId="8347" xr:uid="{773421FD-FE2F-41B2-9AF4-8B5D31C2E525}"/>
    <cellStyle name="Comma 17 2 2 5 2 2 2 3" xfId="6385" xr:uid="{9FE37FC5-867B-41F0-A13A-C6F08DFBD5DE}"/>
    <cellStyle name="Comma 17 2 2 5 2 2 2 3 2" xfId="8349" xr:uid="{CF00FAD3-FF36-445F-906A-0ADF9C5F9273}"/>
    <cellStyle name="Comma 17 2 2 5 2 2 2 4" xfId="8355" xr:uid="{C6FD5896-A570-4C31-8052-650909824C89}"/>
    <cellStyle name="Comma 17 2 2 5 2 2 3" xfId="8357" xr:uid="{7927CBCB-D310-433B-A7EB-B5AAA912612E}"/>
    <cellStyle name="Comma 17 2 2 5 2 2 3 2" xfId="8363" xr:uid="{5240645C-04ED-4962-81E1-F97B0EBF7C5C}"/>
    <cellStyle name="Comma 17 2 2 5 2 2 3 2 2" xfId="8366" xr:uid="{8903CAE9-687E-4011-ACCF-3C1D5179EA2B}"/>
    <cellStyle name="Comma 17 2 2 5 2 2 3 3" xfId="6690" xr:uid="{A4ADF7B1-E4C3-43EF-887F-8C698B6AFFB2}"/>
    <cellStyle name="Comma 17 2 2 5 2 2 4" xfId="4994" xr:uid="{6CC5BE17-FE2B-473A-A58E-6089EB371872}"/>
    <cellStyle name="Comma 17 2 2 5 2 2 4 2" xfId="4330" xr:uid="{6AF605F8-7BA1-47CA-9F24-8FF7633A1D2A}"/>
    <cellStyle name="Comma 17 2 2 5 2 2 5" xfId="4998" xr:uid="{BF574208-F482-4FC9-A214-9CD6256EE1BE}"/>
    <cellStyle name="Comma 17 2 2 5 2 3" xfId="8369" xr:uid="{13115001-6F15-49A4-A717-FDE047392D87}"/>
    <cellStyle name="Comma 17 2 2 5 2 3 2" xfId="8373" xr:uid="{55481BF2-7108-4B0E-BCC5-E88C2F24F109}"/>
    <cellStyle name="Comma 17 2 2 5 2 3 2 2" xfId="8375" xr:uid="{852ABC31-342E-44F8-B697-4AFD6094BF35}"/>
    <cellStyle name="Comma 17 2 2 5 2 3 2 2 2" xfId="8218" xr:uid="{55122835-1735-49B4-A326-79FB64D3A7FB}"/>
    <cellStyle name="Comma 17 2 2 5 2 3 2 3" xfId="8116" xr:uid="{E5574355-9B10-454B-A022-755D398DCA78}"/>
    <cellStyle name="Comma 17 2 2 5 2 3 3" xfId="8378" xr:uid="{352E5E1C-98D9-49EA-8F12-98696009891B}"/>
    <cellStyle name="Comma 17 2 2 5 2 3 3 2" xfId="5295" xr:uid="{E4BABD46-345B-43F9-BB4C-AD49C061CA81}"/>
    <cellStyle name="Comma 17 2 2 5 2 3 4" xfId="5009" xr:uid="{8138FD6E-8FFE-456F-AFFC-DBB28D05A779}"/>
    <cellStyle name="Comma 17 2 2 5 2 4" xfId="7644" xr:uid="{7CF8EEA4-CC82-48B4-8DC7-44B679543401}"/>
    <cellStyle name="Comma 17 2 2 5 2 4 2" xfId="263" xr:uid="{6AB16173-2F4C-4365-862C-4B4D04F20131}"/>
    <cellStyle name="Comma 17 2 2 5 2 4 2 2" xfId="8379" xr:uid="{7830B6F3-8F12-4DA8-BE25-F15A10D958B8}"/>
    <cellStyle name="Comma 17 2 2 5 2 4 3" xfId="266" xr:uid="{B8AE43DB-20CD-4668-A761-09804858FD06}"/>
    <cellStyle name="Comma 17 2 2 5 2 5" xfId="8382" xr:uid="{CD0904D3-21A5-4D93-B87D-A786CEC991EF}"/>
    <cellStyle name="Comma 17 2 2 5 2 5 2" xfId="8388" xr:uid="{5FD6538D-FF6E-4062-82E1-805C1E99CED3}"/>
    <cellStyle name="Comma 17 2 2 5 2 6" xfId="6398" xr:uid="{414FA18D-2C94-49C0-A2F9-99EFA180E1C2}"/>
    <cellStyle name="Comma 17 2 2 5 2 7" xfId="5940" xr:uid="{CA8EFFC6-68A4-480A-9FC5-7D41EDAF767D}"/>
    <cellStyle name="Comma 17 2 2 5 3" xfId="7679" xr:uid="{E1867FB7-C9A3-4901-BA3E-B67FF6CEEDB3}"/>
    <cellStyle name="Comma 17 2 2 5 3 2" xfId="8389" xr:uid="{B763A521-BA0A-4DFA-A697-4DAE6072C97B}"/>
    <cellStyle name="Comma 17 2 2 5 3 2 2" xfId="8390" xr:uid="{1EC11F8E-72C0-442E-BD8A-8CE59DC9B3C7}"/>
    <cellStyle name="Comma 17 2 2 5 3 2 2 2" xfId="8391" xr:uid="{6FF15D29-C096-4E9A-A90A-8F903D265768}"/>
    <cellStyle name="Comma 17 2 2 5 3 2 2 2 2" xfId="8394" xr:uid="{290A5D15-8331-4347-83CF-40A2F47F5410}"/>
    <cellStyle name="Comma 17 2 2 5 3 2 2 3" xfId="8397" xr:uid="{BC11BA0E-B4FF-449B-AFE5-9062B4AEDFBD}"/>
    <cellStyle name="Comma 17 2 2 5 3 2 3" xfId="8398" xr:uid="{2DE3F0DC-6D11-4937-9E02-80C9256F64FF}"/>
    <cellStyle name="Comma 17 2 2 5 3 2 3 2" xfId="8399" xr:uid="{C36D6718-4355-4F28-9EE4-CC4AE936C5B5}"/>
    <cellStyle name="Comma 17 2 2 5 3 2 4" xfId="5036" xr:uid="{436472A4-C12B-478F-A444-A855892B9F35}"/>
    <cellStyle name="Comma 17 2 2 5 3 3" xfId="8401" xr:uid="{82291D7D-1CFD-4F4C-B20C-78A2107A37A3}"/>
    <cellStyle name="Comma 17 2 2 5 3 3 2" xfId="8403" xr:uid="{32851BEC-72F2-4E98-B34D-EE9E2850E102}"/>
    <cellStyle name="Comma 17 2 2 5 3 3 2 2" xfId="7278" xr:uid="{400FC51E-4C8A-4A52-A61F-B5CD51E0075B}"/>
    <cellStyle name="Comma 17 2 2 5 3 3 3" xfId="8404" xr:uid="{75BD7C9A-8D9C-49E1-9946-FD3685664D76}"/>
    <cellStyle name="Comma 17 2 2 5 3 4" xfId="1237" xr:uid="{41162F8A-6A99-4AE3-A4CB-A52A3B495C9A}"/>
    <cellStyle name="Comma 17 2 2 5 3 4 2" xfId="8405" xr:uid="{68D50B78-513F-4C68-82DC-60721D97ECDA}"/>
    <cellStyle name="Comma 17 2 2 5 3 5" xfId="1240" xr:uid="{4BCFF042-53BB-4800-8618-0641A9A08402}"/>
    <cellStyle name="Comma 17 2 2 5 4" xfId="8406" xr:uid="{3F091C39-7F6C-4276-83B3-09444554E0AC}"/>
    <cellStyle name="Comma 17 2 2 5 4 2" xfId="8407" xr:uid="{DBF4AA15-2708-4CFE-99AB-24BD27D0580E}"/>
    <cellStyle name="Comma 17 2 2 5 4 2 2" xfId="4629" xr:uid="{67F9EB99-2FEB-4855-990F-AED33514EAA7}"/>
    <cellStyle name="Comma 17 2 2 5 4 2 2 2" xfId="8411" xr:uid="{DC3C69F0-3CD0-4589-A065-579CFD1477A8}"/>
    <cellStyle name="Comma 17 2 2 5 4 2 3" xfId="4637" xr:uid="{45DA2326-2798-44C0-838A-379C14AAD2D6}"/>
    <cellStyle name="Comma 17 2 2 5 4 3" xfId="8413" xr:uid="{81396DFE-E72D-4988-9E13-AF9DE0EB3D1E}"/>
    <cellStyle name="Comma 17 2 2 5 4 3 2" xfId="1783" xr:uid="{CA27C8E3-AF97-4DD6-ABD5-0F628FCBA954}"/>
    <cellStyle name="Comma 17 2 2 5 4 4" xfId="8414" xr:uid="{1A3B6F0E-ED8C-4BA9-AE0E-454FD1DD00CB}"/>
    <cellStyle name="Comma 17 2 2 5 5" xfId="7972" xr:uid="{226C4648-0635-4E4A-99FD-E35363F3281D}"/>
    <cellStyle name="Comma 17 2 2 5 5 2" xfId="8415" xr:uid="{D0B0F1A7-74B5-4539-BC31-EFA7F97B8792}"/>
    <cellStyle name="Comma 17 2 2 5 5 2 2" xfId="5060" xr:uid="{36F7F350-E02E-49E1-A14E-1CF6DD06611C}"/>
    <cellStyle name="Comma 17 2 2 5 5 3" xfId="8416" xr:uid="{5DDDD378-D83A-4977-94FA-5A0393BD0936}"/>
    <cellStyle name="Comma 17 2 2 5 6" xfId="8417" xr:uid="{08AECC99-3B35-4653-8180-7EB31C888755}"/>
    <cellStyle name="Comma 17 2 2 5 6 2" xfId="205" xr:uid="{81BCB018-4DC0-4EC8-BC06-871D40170C20}"/>
    <cellStyle name="Comma 17 2 2 5 7" xfId="8314" xr:uid="{260B1455-1A4C-48C8-88A0-881FAD941649}"/>
    <cellStyle name="Comma 17 2 2 5 8" xfId="8316" xr:uid="{0EFC5E5A-D0CD-48F9-A593-DB0438217565}"/>
    <cellStyle name="Comma 17 2 2 6" xfId="891" xr:uid="{409E44C5-E536-4AD6-85DD-338D9839AF73}"/>
    <cellStyle name="Comma 17 2 2 6 2" xfId="936" xr:uid="{86B2B94A-458F-49C6-BD70-B338C68C8321}"/>
    <cellStyle name="Comma 17 2 2 6 2 2" xfId="3693" xr:uid="{26209FB4-B583-4A86-A726-D2DDFF991183}"/>
    <cellStyle name="Comma 17 2 2 6 2 2 2" xfId="3697" xr:uid="{F2A3D576-1442-4EE0-A926-2E5678BF7333}"/>
    <cellStyle name="Comma 17 2 2 6 2 2 2 2" xfId="2906" xr:uid="{8B75E4E4-E893-4077-A4C0-D2109B73F422}"/>
    <cellStyle name="Comma 17 2 2 6 2 2 2 2 2" xfId="2914" xr:uid="{CE88AA60-1A2E-4054-B8E4-AF98DF0E2658}"/>
    <cellStyle name="Comma 17 2 2 6 2 2 2 3" xfId="2920" xr:uid="{ED15FF6C-23D5-468A-9B10-C9DD6C6935CF}"/>
    <cellStyle name="Comma 17 2 2 6 2 2 3" xfId="3703" xr:uid="{3D5CC60F-894F-4284-8EDA-72552D6058FD}"/>
    <cellStyle name="Comma 17 2 2 6 2 2 3 2" xfId="2946" xr:uid="{0DA9D0EF-5E43-49FC-A337-9373B103EB10}"/>
    <cellStyle name="Comma 17 2 2 6 2 2 4" xfId="3716" xr:uid="{DA29F645-1C7C-4FB4-AF64-A3E8D870872D}"/>
    <cellStyle name="Comma 17 2 2 6 2 3" xfId="1807" xr:uid="{A6B9A1B0-40B6-45B8-9C3B-84190CD3F843}"/>
    <cellStyle name="Comma 17 2 2 6 2 3 2" xfId="3729" xr:uid="{86208D90-0937-4261-802B-4EE0DBAF3E21}"/>
    <cellStyle name="Comma 17 2 2 6 2 3 2 2" xfId="3004" xr:uid="{BBC335DA-53E3-41D7-8997-7736AA700D2C}"/>
    <cellStyle name="Comma 17 2 2 6 2 3 3" xfId="3733" xr:uid="{BCF0A294-CBD3-40C5-876C-224CDB2DAF0B}"/>
    <cellStyle name="Comma 17 2 2 6 2 4" xfId="1814" xr:uid="{47C42FB8-7DAF-48F2-8793-61F43FE21DB0}"/>
    <cellStyle name="Comma 17 2 2 6 2 4 2" xfId="457" xr:uid="{EB004E0A-89B4-45F9-8A19-96CC0435DA17}"/>
    <cellStyle name="Comma 17 2 2 6 2 5" xfId="1822" xr:uid="{FF93F891-2B97-4B2C-9AE7-C2FEFA5ED6C1}"/>
    <cellStyle name="Comma 17 2 2 6 3" xfId="942" xr:uid="{1F4FED44-2D67-4EC2-A01F-5E1301FF0499}"/>
    <cellStyle name="Comma 17 2 2 6 3 2" xfId="3739" xr:uid="{F6E8993D-BDFA-49E8-8C22-639A81326E90}"/>
    <cellStyle name="Comma 17 2 2 6 3 2 2" xfId="3744" xr:uid="{68212122-C664-4AC8-B10B-16348642183E}"/>
    <cellStyle name="Comma 17 2 2 6 3 2 2 2" xfId="3107" xr:uid="{2F0270AC-20A1-4BF8-9A69-8F4FBAB9CFB6}"/>
    <cellStyle name="Comma 17 2 2 6 3 2 3" xfId="3751" xr:uid="{ED477366-CE5C-4E6A-9451-E02D59126D81}"/>
    <cellStyle name="Comma 17 2 2 6 3 3" xfId="3458" xr:uid="{0FDCE727-C3FD-4980-886F-F5A107BD01A0}"/>
    <cellStyle name="Comma 17 2 2 6 3 3 2" xfId="3464" xr:uid="{5C0601E7-8C1D-4BDB-8824-65299E741B6C}"/>
    <cellStyle name="Comma 17 2 2 6 3 4" xfId="284" xr:uid="{59CDDC78-1E13-4A27-A358-A6CDA455F720}"/>
    <cellStyle name="Comma 17 2 2 6 4" xfId="948" xr:uid="{6BF2CA73-FDE3-4535-BF99-19E3A688C98C}"/>
    <cellStyle name="Comma 17 2 2 6 4 2" xfId="3760" xr:uid="{0769EEDC-8BDD-4986-A5EB-923E922CB7C0}"/>
    <cellStyle name="Comma 17 2 2 6 4 2 2" xfId="3768" xr:uid="{3D0E4CED-9ADE-4DB7-A30E-819620919F97}"/>
    <cellStyle name="Comma 17 2 2 6 4 3" xfId="3474" xr:uid="{2CBD85EC-EC87-49B9-9794-78046E4AF014}"/>
    <cellStyle name="Comma 17 2 2 6 5" xfId="676" xr:uid="{343B983C-5160-4555-AD9E-0EEA604E1CB8}"/>
    <cellStyle name="Comma 17 2 2 6 5 2" xfId="3775" xr:uid="{9751D404-DC45-449B-99E2-B010426CDACC}"/>
    <cellStyle name="Comma 17 2 2 6 6" xfId="955" xr:uid="{A6CAAFB5-5CB4-4785-90B9-62F60041D5DA}"/>
    <cellStyle name="Comma 17 2 2 6 7" xfId="961" xr:uid="{CA960110-1E67-48A3-8710-8BC97AFCC54C}"/>
    <cellStyle name="Comma 17 2 2 7" xfId="988" xr:uid="{EF3603AD-7B19-4B69-9AB1-B0769C67DFF1}"/>
    <cellStyle name="Comma 17 2 2 7 2" xfId="992" xr:uid="{EE1DD94B-E407-4965-8309-BE4869599655}"/>
    <cellStyle name="Comma 17 2 2 7 2 2" xfId="1492" xr:uid="{A6A9B4B2-7A72-4EF5-80A2-4955DED0CE0A}"/>
    <cellStyle name="Comma 17 2 2 7 2 2 2" xfId="1926" xr:uid="{85CBD5E0-4250-49BD-9600-3022C1DA5F1A}"/>
    <cellStyle name="Comma 17 2 2 7 2 2 2 2" xfId="3299" xr:uid="{6ECE5AF9-673F-4FDA-9BCD-A8F0196371E4}"/>
    <cellStyle name="Comma 17 2 2 7 2 2 3" xfId="3863" xr:uid="{FD01D294-C961-405E-A66F-ED09D7423341}"/>
    <cellStyle name="Comma 17 2 2 7 2 3" xfId="1503" xr:uid="{25AF78C7-7FB5-4750-9C08-B96CBCA68599}"/>
    <cellStyle name="Comma 17 2 2 7 2 3 2" xfId="3872" xr:uid="{49B78FAE-22ED-404F-A8AC-0171E8131286}"/>
    <cellStyle name="Comma 17 2 2 7 2 4" xfId="3594" xr:uid="{87107990-A3D0-4DED-9FB2-ED5EDF65D047}"/>
    <cellStyle name="Comma 17 2 2 7 3" xfId="3874" xr:uid="{7C6393D6-6104-41C2-8D26-9E9A9AE3E05B}"/>
    <cellStyle name="Comma 17 2 2 7 3 2" xfId="417" xr:uid="{1090E97B-99B2-46E8-B734-E7C892061A6D}"/>
    <cellStyle name="Comma 17 2 2 7 3 2 2" xfId="3886" xr:uid="{14F238A3-1647-4AE2-BD48-89E647600767}"/>
    <cellStyle name="Comma 17 2 2 7 3 3" xfId="435" xr:uid="{FBB410B9-E875-457C-BA99-C5A591F2C639}"/>
    <cellStyle name="Comma 17 2 2 7 4" xfId="3897" xr:uid="{45CE624E-40C8-4240-BFD3-9EE96A0288D3}"/>
    <cellStyle name="Comma 17 2 2 7 4 2" xfId="1554" xr:uid="{D1D1DDAD-C20D-4748-9391-843873114EA0}"/>
    <cellStyle name="Comma 17 2 2 7 5" xfId="3906" xr:uid="{3BDE7D6E-AF19-4254-813E-8F5E9B4E6AC0}"/>
    <cellStyle name="Comma 17 2 2 8" xfId="465" xr:uid="{E7E2DEFF-F03E-4DE2-B955-DF59AA3CEA5C}"/>
    <cellStyle name="Comma 17 2 2 8 2" xfId="1008" xr:uid="{C1BD5B79-25CE-4912-9DBC-7E0083723E33}"/>
    <cellStyle name="Comma 17 2 2 8 2 2" xfId="3972" xr:uid="{EE09AF01-4589-4D77-86EF-D2F03A2F2D94}"/>
    <cellStyle name="Comma 17 2 2 8 2 2 2" xfId="3979" xr:uid="{26BA6FC0-AF1F-402F-A77D-E08776E24F83}"/>
    <cellStyle name="Comma 17 2 2 8 2 3" xfId="3984" xr:uid="{98D188C9-1EFE-4D78-AFE2-62BFD8243D81}"/>
    <cellStyle name="Comma 17 2 2 8 3" xfId="3987" xr:uid="{5EEAFE3A-70CA-4D7F-B7D2-E3ADF908B4AF}"/>
    <cellStyle name="Comma 17 2 2 8 3 2" xfId="3992" xr:uid="{4FCEE204-984A-45FF-9FA9-6FBE10EDDB8B}"/>
    <cellStyle name="Comma 17 2 2 8 4" xfId="3997" xr:uid="{AFB82A4C-5AB7-40EB-A773-49F00671AFFE}"/>
    <cellStyle name="Comma 17 2 2 9" xfId="1014" xr:uid="{5B73EF06-FF1B-4C5E-82BA-E10EA188F56A}"/>
    <cellStyle name="Comma 17 2 2 9 2" xfId="1019" xr:uid="{77AB668A-599E-4553-B89E-E5E004850C79}"/>
    <cellStyle name="Comma 17 2 2 9 2 2" xfId="4026" xr:uid="{6AED48A1-C6BE-4624-9AB2-61357FF1161C}"/>
    <cellStyle name="Comma 17 2 2 9 3" xfId="4028" xr:uid="{1BAB5F45-308B-42E0-888F-23AB4E84A37D}"/>
    <cellStyle name="Comma 17 2 3" xfId="7045" xr:uid="{CF2ECC94-E83B-4F11-B287-9630F63F9DD2}"/>
    <cellStyle name="Comma 17 2 3 10" xfId="456" xr:uid="{69047302-DB0C-4EE8-AA4A-48DFE2EF95E6}"/>
    <cellStyle name="Comma 17 2 3 11" xfId="8420" xr:uid="{DBE36D74-B5F9-4A06-BFA7-23AE7AD3F133}"/>
    <cellStyle name="Comma 17 2 3 2" xfId="8422" xr:uid="{52E004C6-DD40-43A5-90A3-2D87E1A44F58}"/>
    <cellStyle name="Comma 17 2 3 2 10" xfId="8423" xr:uid="{0F0A685C-5686-4BE5-94D1-B9E36ED9EB29}"/>
    <cellStyle name="Comma 17 2 3 2 2" xfId="8424" xr:uid="{76783D2A-CA97-4349-92B3-E1E4CC7B9B35}"/>
    <cellStyle name="Comma 17 2 3 2 2 2" xfId="8425" xr:uid="{E9134B9C-396E-4921-AC27-D69752D1D564}"/>
    <cellStyle name="Comma 17 2 3 2 2 2 2" xfId="8426" xr:uid="{C17B7C7A-BB2F-47D3-9B23-4C959C1EA280}"/>
    <cellStyle name="Comma 17 2 3 2 2 2 2 2" xfId="8427" xr:uid="{2BA21056-D2E4-4F53-95C9-45888F112C66}"/>
    <cellStyle name="Comma 17 2 3 2 2 2 2 2 2" xfId="8430" xr:uid="{2CD5140F-E288-42B6-A5E5-63C9F40004A4}"/>
    <cellStyle name="Comma 17 2 3 2 2 2 2 2 2 2" xfId="8433" xr:uid="{F240F124-AB42-4985-831D-4C90E073AAD2}"/>
    <cellStyle name="Comma 17 2 3 2 2 2 2 2 2 2 2" xfId="3424" xr:uid="{E3F2DAB3-CA4B-43D3-8405-634BD180B42E}"/>
    <cellStyle name="Comma 17 2 3 2 2 2 2 2 2 2 2 2" xfId="3426" xr:uid="{5338720D-8537-4E72-A72E-39AEFF59F555}"/>
    <cellStyle name="Comma 17 2 3 2 2 2 2 2 2 2 3" xfId="3437" xr:uid="{FFFBCCCE-E027-456B-B2F8-F399F9D27BE9}"/>
    <cellStyle name="Comma 17 2 3 2 2 2 2 2 2 3" xfId="8435" xr:uid="{370BAF3B-2092-4AE1-BC63-03452AF1AD72}"/>
    <cellStyle name="Comma 17 2 3 2 2 2 2 2 2 3 2" xfId="3513" xr:uid="{443AD70E-3554-4FA9-ABAB-464CAF77C6C5}"/>
    <cellStyle name="Comma 17 2 3 2 2 2 2 2 2 4" xfId="7441" xr:uid="{3F069046-7505-425B-A4C8-1A201B11A8F7}"/>
    <cellStyle name="Comma 17 2 3 2 2 2 2 2 3" xfId="6536" xr:uid="{1DB05767-DEFC-44DE-A1CF-804B2F239970}"/>
    <cellStyle name="Comma 17 2 3 2 2 2 2 2 3 2" xfId="8439" xr:uid="{2C362275-B87C-429A-9E80-789CDCA7644D}"/>
    <cellStyle name="Comma 17 2 3 2 2 2 2 2 3 2 2" xfId="3882" xr:uid="{1689F009-9EEC-476E-86E8-970309CE80C1}"/>
    <cellStyle name="Comma 17 2 3 2 2 2 2 2 3 3" xfId="8442" xr:uid="{DF913870-A808-48F1-9C95-B9C7575EC067}"/>
    <cellStyle name="Comma 17 2 3 2 2 2 2 2 4" xfId="8446" xr:uid="{7DB097FC-7A66-4FF0-BABF-FF78196E84DA}"/>
    <cellStyle name="Comma 17 2 3 2 2 2 2 2 4 2" xfId="8449" xr:uid="{2C9EE363-31A7-4988-AEBF-A991782AF20A}"/>
    <cellStyle name="Comma 17 2 3 2 2 2 2 2 5" xfId="8453" xr:uid="{004532F9-4905-4DBE-868B-4CC812494B1A}"/>
    <cellStyle name="Comma 17 2 3 2 2 2 2 3" xfId="8454" xr:uid="{95E84994-A37D-45DC-9CD6-2CEC5874765F}"/>
    <cellStyle name="Comma 17 2 3 2 2 2 2 3 2" xfId="8457" xr:uid="{BBF2433A-14DD-4C5D-82E4-2ECEDCB2F54F}"/>
    <cellStyle name="Comma 17 2 3 2 2 2 2 3 2 2" xfId="8459" xr:uid="{467C5822-0B78-442D-A1B4-616E4C8AA2BF}"/>
    <cellStyle name="Comma 17 2 3 2 2 2 2 3 2 2 2" xfId="4720" xr:uid="{02FBD604-2CCE-405D-9F66-25234F175DBE}"/>
    <cellStyle name="Comma 17 2 3 2 2 2 2 3 2 3" xfId="8460" xr:uid="{7DC80F4A-6B9F-42E4-84BE-46AF9FE86332}"/>
    <cellStyle name="Comma 17 2 3 2 2 2 2 3 3" xfId="8464" xr:uid="{88E1D8D2-4704-4662-8A7C-067DA2C35697}"/>
    <cellStyle name="Comma 17 2 3 2 2 2 2 3 3 2" xfId="8467" xr:uid="{F6FD9E4F-DE5D-46B3-A8C6-7DC9E0A0FD18}"/>
    <cellStyle name="Comma 17 2 3 2 2 2 2 3 4" xfId="8470" xr:uid="{890A5386-522C-4043-80A2-57E5FB5129F7}"/>
    <cellStyle name="Comma 17 2 3 2 2 2 2 4" xfId="8472" xr:uid="{55504A9E-7C00-41A2-98AA-73408DADD834}"/>
    <cellStyle name="Comma 17 2 3 2 2 2 2 4 2" xfId="8475" xr:uid="{4414CD43-F986-4654-B7A8-D70DD5B0C40E}"/>
    <cellStyle name="Comma 17 2 3 2 2 2 2 4 2 2" xfId="8476" xr:uid="{869C5CF9-6D91-4317-9511-0230E90BCE18}"/>
    <cellStyle name="Comma 17 2 3 2 2 2 2 4 3" xfId="8479" xr:uid="{D68053AD-15AB-4952-A25D-6911EDC98923}"/>
    <cellStyle name="Comma 17 2 3 2 2 2 2 5" xfId="8481" xr:uid="{97E6FE48-22CE-46E3-A9E7-7BB82E3C32A2}"/>
    <cellStyle name="Comma 17 2 3 2 2 2 2 5 2" xfId="8482" xr:uid="{7CB154AB-61AF-43B0-8389-D8E29F22741A}"/>
    <cellStyle name="Comma 17 2 3 2 2 2 2 6" xfId="8484" xr:uid="{0D4CE53F-A1C4-46B2-8D4D-4167F6DAAE94}"/>
    <cellStyle name="Comma 17 2 3 2 2 2 2 7" xfId="8485" xr:uid="{EAE398AF-B362-4DBE-96B0-9FAD1787DB40}"/>
    <cellStyle name="Comma 17 2 3 2 2 2 3" xfId="8486" xr:uid="{CE66515F-3119-452F-A022-8F838998FE47}"/>
    <cellStyle name="Comma 17 2 3 2 2 2 3 2" xfId="8487" xr:uid="{3583995A-F520-4BC5-85C8-E9955C754F3A}"/>
    <cellStyle name="Comma 17 2 3 2 2 2 3 2 2" xfId="8491" xr:uid="{7C0E38B1-3C52-48B9-A25B-EACBCB876B02}"/>
    <cellStyle name="Comma 17 2 3 2 2 2 3 2 2 2" xfId="8493" xr:uid="{24783F79-FE05-4B41-963A-08D1F78D20AD}"/>
    <cellStyle name="Comma 17 2 3 2 2 2 3 2 2 2 2" xfId="6702" xr:uid="{D0C7DDE5-9E00-4B60-A9EE-F44556479E3F}"/>
    <cellStyle name="Comma 17 2 3 2 2 2 3 2 2 3" xfId="8494" xr:uid="{1CD85452-AAA7-4C66-9099-167CCDE5A125}"/>
    <cellStyle name="Comma 17 2 3 2 2 2 3 2 3" xfId="8500" xr:uid="{594BD727-3211-48D9-8013-5D1C0E571A4D}"/>
    <cellStyle name="Comma 17 2 3 2 2 2 3 2 3 2" xfId="8504" xr:uid="{01D707A7-7E11-4CD7-9E3F-2EA0F7D4B168}"/>
    <cellStyle name="Comma 17 2 3 2 2 2 3 2 4" xfId="8508" xr:uid="{84E504D6-0C20-43A6-A94D-FBDDAD6211EA}"/>
    <cellStyle name="Comma 17 2 3 2 2 2 3 3" xfId="8509" xr:uid="{4DA9B738-6D3A-4065-9427-720D559A00E3}"/>
    <cellStyle name="Comma 17 2 3 2 2 2 3 3 2" xfId="8511" xr:uid="{B9EBAF70-A999-41EF-A803-990193FEAFCF}"/>
    <cellStyle name="Comma 17 2 3 2 2 2 3 3 2 2" xfId="8518" xr:uid="{7F51A782-3D8A-4CFA-9FB2-977FBF5E24B5}"/>
    <cellStyle name="Comma 17 2 3 2 2 2 3 3 3" xfId="8525" xr:uid="{A51468BB-AA52-4E10-995B-6CFD447777AC}"/>
    <cellStyle name="Comma 17 2 3 2 2 2 3 4" xfId="8527" xr:uid="{D4280677-B030-4881-9ECC-F4D303853DDC}"/>
    <cellStyle name="Comma 17 2 3 2 2 2 3 4 2" xfId="8528" xr:uid="{7241613D-D697-4937-A1CA-DB0744AAB5B2}"/>
    <cellStyle name="Comma 17 2 3 2 2 2 3 5" xfId="8529" xr:uid="{5677151D-A4EB-47D0-9F20-77B85C3D1B23}"/>
    <cellStyle name="Comma 17 2 3 2 2 2 4" xfId="3742" xr:uid="{FD1103A6-D6D9-498B-B4DF-15434C3FEFDB}"/>
    <cellStyle name="Comma 17 2 3 2 2 2 4 2" xfId="3749" xr:uid="{E0D37868-B0F1-4E91-9573-5E8219DEC255}"/>
    <cellStyle name="Comma 17 2 3 2 2 2 4 2 2" xfId="3111" xr:uid="{2601AAE7-9BB3-4D53-8C22-063D5B39785D}"/>
    <cellStyle name="Comma 17 2 3 2 2 2 4 2 2 2" xfId="8530" xr:uid="{C5BE8EA9-FFFB-4776-838F-D95E80C6DF71}"/>
    <cellStyle name="Comma 17 2 3 2 2 2 4 2 3" xfId="8536" xr:uid="{0617D162-3347-4770-990C-B2B7C37828E0}"/>
    <cellStyle name="Comma 17 2 3 2 2 2 4 3" xfId="3758" xr:uid="{38EA4A88-0B05-43C0-BF4E-14A0EFAF48BE}"/>
    <cellStyle name="Comma 17 2 3 2 2 2 4 3 2" xfId="8537" xr:uid="{990BEA14-BEC3-482D-9E22-3FF714CB6ABF}"/>
    <cellStyle name="Comma 17 2 3 2 2 2 4 4" xfId="8540" xr:uid="{D5C24059-E984-474A-AEFD-4E2582B82408}"/>
    <cellStyle name="Comma 17 2 3 2 2 2 5" xfId="3461" xr:uid="{F8FA4C26-5D26-4EAF-8474-E964DC27C303}"/>
    <cellStyle name="Comma 17 2 3 2 2 2 5 2" xfId="3465" xr:uid="{5B7B6A74-8601-4B90-947C-669869A5A193}"/>
    <cellStyle name="Comma 17 2 3 2 2 2 5 2 2" xfId="8541" xr:uid="{1EC1E664-A180-47BB-9ED9-7419335BC0C6}"/>
    <cellStyle name="Comma 17 2 3 2 2 2 5 3" xfId="8542" xr:uid="{48D1CB41-9B66-4E0F-AC7D-BE4D265ADC1F}"/>
    <cellStyle name="Comma 17 2 3 2 2 2 6" xfId="290" xr:uid="{3872D5EA-B54C-4F49-9B70-76F4F307D052}"/>
    <cellStyle name="Comma 17 2 3 2 2 2 6 2" xfId="8545" xr:uid="{9036B1A6-F1DC-413B-A50E-08B7E43EEDA9}"/>
    <cellStyle name="Comma 17 2 3 2 2 2 7" xfId="8548" xr:uid="{889A14C6-7366-40A3-A465-ECC61AA359BF}"/>
    <cellStyle name="Comma 17 2 3 2 2 2 8" xfId="8550" xr:uid="{A30A33BE-1A09-489C-B1DE-46CD410E2033}"/>
    <cellStyle name="Comma 17 2 3 2 2 3" xfId="8552" xr:uid="{46484D43-C6E1-4CE2-B9DC-0427A5B4B5E5}"/>
    <cellStyle name="Comma 17 2 3 2 2 3 2" xfId="8553" xr:uid="{C1A5BD4A-DBCC-4857-8DFB-27537638C64E}"/>
    <cellStyle name="Comma 17 2 3 2 2 3 2 2" xfId="8554" xr:uid="{1029FF03-2809-433E-A979-E7180738FA2D}"/>
    <cellStyle name="Comma 17 2 3 2 2 3 2 2 2" xfId="7558" xr:uid="{439B7605-2F6F-42F1-9057-9724BB3DB5B1}"/>
    <cellStyle name="Comma 17 2 3 2 2 3 2 2 2 2" xfId="8556" xr:uid="{D64F4188-9338-4502-B05B-C5EB6AE7B7C6}"/>
    <cellStyle name="Comma 17 2 3 2 2 3 2 2 2 2 2" xfId="8557" xr:uid="{C06D7EAC-AF97-4B1F-A2C3-2DB13B83075C}"/>
    <cellStyle name="Comma 17 2 3 2 2 3 2 2 2 3" xfId="8559" xr:uid="{78EABFBC-8D5D-4D5B-BE16-7A0F89D84E5A}"/>
    <cellStyle name="Comma 17 2 3 2 2 3 2 2 3" xfId="7566" xr:uid="{6A636D3D-FC69-497B-BC14-5B60487B9002}"/>
    <cellStyle name="Comma 17 2 3 2 2 3 2 2 3 2" xfId="8562" xr:uid="{B9FE6F9D-728C-4329-BFB5-C8726B050170}"/>
    <cellStyle name="Comma 17 2 3 2 2 3 2 2 4" xfId="8565" xr:uid="{3E11BC93-3E9D-4FA3-AF19-71CE82691ACA}"/>
    <cellStyle name="Comma 17 2 3 2 2 3 2 3" xfId="8566" xr:uid="{E4C543B3-FB9E-4FE1-A2FB-B38C1396C6A7}"/>
    <cellStyle name="Comma 17 2 3 2 2 3 2 3 2" xfId="7587" xr:uid="{5E08F35C-D0C9-4136-AAED-E52D19AFD68B}"/>
    <cellStyle name="Comma 17 2 3 2 2 3 2 3 2 2" xfId="8567" xr:uid="{D7C168C0-A083-4BD0-9BDD-9860F75DA099}"/>
    <cellStyle name="Comma 17 2 3 2 2 3 2 3 3" xfId="8570" xr:uid="{1B4FAE96-8781-417D-850C-5DC48B94FFAD}"/>
    <cellStyle name="Comma 17 2 3 2 2 3 2 4" xfId="8572" xr:uid="{BD4978C2-93B6-4B92-9E69-C2FECC98E67E}"/>
    <cellStyle name="Comma 17 2 3 2 2 3 2 4 2" xfId="8574" xr:uid="{1133772F-0DEB-4F7B-AB5A-EEFB534EA06B}"/>
    <cellStyle name="Comma 17 2 3 2 2 3 2 5" xfId="8575" xr:uid="{BBE450A2-6CC2-466F-9205-EB296505AC57}"/>
    <cellStyle name="Comma 17 2 3 2 2 3 3" xfId="8576" xr:uid="{38933215-F56E-468A-90DB-27801E4A59DF}"/>
    <cellStyle name="Comma 17 2 3 2 2 3 3 2" xfId="8577" xr:uid="{E5D0B772-8C1D-442D-87E1-BE24312AECC9}"/>
    <cellStyle name="Comma 17 2 3 2 2 3 3 2 2" xfId="7803" xr:uid="{17691E6C-F7A1-4CA7-8657-1852E80F431D}"/>
    <cellStyle name="Comma 17 2 3 2 2 3 3 2 2 2" xfId="8578" xr:uid="{611A0463-6258-4B7B-B75A-E7828508123C}"/>
    <cellStyle name="Comma 17 2 3 2 2 3 3 2 3" xfId="8586" xr:uid="{0DA4E6A1-6557-4ACF-B630-91ECB4CF7477}"/>
    <cellStyle name="Comma 17 2 3 2 2 3 3 3" xfId="8587" xr:uid="{D1AC4C87-C0E7-43FC-84C4-48C76469FC47}"/>
    <cellStyle name="Comma 17 2 3 2 2 3 3 3 2" xfId="8588" xr:uid="{3EFF9628-5670-4F76-BCD1-D3E286711323}"/>
    <cellStyle name="Comma 17 2 3 2 2 3 3 4" xfId="8589" xr:uid="{3C822834-E2B6-41DB-A811-FA6424973C08}"/>
    <cellStyle name="Comma 17 2 3 2 2 3 4" xfId="3764" xr:uid="{9DEA0A1B-2503-45B5-B8A1-0A531E2519E9}"/>
    <cellStyle name="Comma 17 2 3 2 2 3 4 2" xfId="3773" xr:uid="{62823654-C8B3-4A64-BB4C-64091BD38C5E}"/>
    <cellStyle name="Comma 17 2 3 2 2 3 4 2 2" xfId="8594" xr:uid="{E8338540-DEB4-4F48-B76D-96E3AE6039A8}"/>
    <cellStyle name="Comma 17 2 3 2 2 3 4 3" xfId="8599" xr:uid="{EBDDAF66-528F-4293-BDC6-BD51DBCB1C69}"/>
    <cellStyle name="Comma 17 2 3 2 2 3 5" xfId="3477" xr:uid="{B39C3B94-4E1F-4756-AA8A-76010B5D3BBD}"/>
    <cellStyle name="Comma 17 2 3 2 2 3 5 2" xfId="8600" xr:uid="{94A3C949-268F-43D9-BADA-0DF7F298BE87}"/>
    <cellStyle name="Comma 17 2 3 2 2 3 6" xfId="8603" xr:uid="{47D78FBB-7C90-4C26-9ECB-703D58B67C8E}"/>
    <cellStyle name="Comma 17 2 3 2 2 3 7" xfId="8606" xr:uid="{68C5203A-5222-42D7-8365-B0E02C1F5164}"/>
    <cellStyle name="Comma 17 2 3 2 2 4" xfId="8607" xr:uid="{9B948D26-682E-40B1-85A9-F0C8D5740ED5}"/>
    <cellStyle name="Comma 17 2 3 2 2 4 2" xfId="8611" xr:uid="{74DC3C47-4D74-4962-82B4-8D53F66A3F5A}"/>
    <cellStyle name="Comma 17 2 3 2 2 4 2 2" xfId="8614" xr:uid="{6F5CA912-AA05-4B63-91A6-BF485E96EEF1}"/>
    <cellStyle name="Comma 17 2 3 2 2 4 2 2 2" xfId="8052" xr:uid="{2BA339CA-2EB3-4390-A4EC-6F3EE5D5C141}"/>
    <cellStyle name="Comma 17 2 3 2 2 4 2 2 2 2" xfId="8616" xr:uid="{98D13734-7D58-4043-818A-196C4DAE0E06}"/>
    <cellStyle name="Comma 17 2 3 2 2 4 2 2 3" xfId="8617" xr:uid="{D23981F4-4141-40EE-AFEB-B13E52694BB2}"/>
    <cellStyle name="Comma 17 2 3 2 2 4 2 3" xfId="8619" xr:uid="{4627544C-DEC6-402D-B03D-43D1C77B887C}"/>
    <cellStyle name="Comma 17 2 3 2 2 4 2 3 2" xfId="1150" xr:uid="{0034CEE1-50DC-4556-9AF5-F3B2DFE73F95}"/>
    <cellStyle name="Comma 17 2 3 2 2 4 2 4" xfId="8620" xr:uid="{877C23B3-67EE-4A96-8B21-680F1DCD0D90}"/>
    <cellStyle name="Comma 17 2 3 2 2 4 3" xfId="8623" xr:uid="{31117925-8717-4EEE-A9BA-C3646524A654}"/>
    <cellStyle name="Comma 17 2 3 2 2 4 3 2" xfId="8625" xr:uid="{7AECFE1A-3319-42DA-A10C-FCE0EA6B584E}"/>
    <cellStyle name="Comma 17 2 3 2 2 4 3 2 2" xfId="8626" xr:uid="{A6854984-6115-4902-A82F-96448B63C1EE}"/>
    <cellStyle name="Comma 17 2 3 2 2 4 3 3" xfId="8627" xr:uid="{0A8247FE-3147-4712-A425-01B06DC35FEB}"/>
    <cellStyle name="Comma 17 2 3 2 2 4 4" xfId="3780" xr:uid="{5C28AE55-FB5D-42F5-9EE3-12D7530EA841}"/>
    <cellStyle name="Comma 17 2 3 2 2 4 4 2" xfId="8631" xr:uid="{E55F2C86-803C-4090-BFEF-2359FF006BF4}"/>
    <cellStyle name="Comma 17 2 3 2 2 4 5" xfId="8636" xr:uid="{F8193633-FF82-444A-8491-CED8ED5D2C9E}"/>
    <cellStyle name="Comma 17 2 3 2 2 5" xfId="8638" xr:uid="{77F103BA-EAC8-48A7-8BD1-41703071AF5C}"/>
    <cellStyle name="Comma 17 2 3 2 2 5 2" xfId="8639" xr:uid="{7D146875-0EF1-4452-9AE6-B467828DB757}"/>
    <cellStyle name="Comma 17 2 3 2 2 5 2 2" xfId="8643" xr:uid="{A6CE3B4F-36A8-4309-B9D1-4713302C5B25}"/>
    <cellStyle name="Comma 17 2 3 2 2 5 2 2 2" xfId="8646" xr:uid="{FBCB6D5A-6540-4BA7-98B7-AA453A03FAF5}"/>
    <cellStyle name="Comma 17 2 3 2 2 5 2 3" xfId="8648" xr:uid="{BD4375F2-68D2-4F1C-B561-6DAA4D8510DC}"/>
    <cellStyle name="Comma 17 2 3 2 2 5 3" xfId="8649" xr:uid="{D1FC0BF3-5DE0-4A56-B4F3-2BFC03BA35CE}"/>
    <cellStyle name="Comma 17 2 3 2 2 5 3 2" xfId="8651" xr:uid="{64CA0187-F49E-4F0B-9B44-44702A93DC28}"/>
    <cellStyle name="Comma 17 2 3 2 2 5 4" xfId="8654" xr:uid="{4C48BFF7-8388-4B8A-9122-6C19A351778B}"/>
    <cellStyle name="Comma 17 2 3 2 2 6" xfId="8655" xr:uid="{69E308CF-6286-4284-B2CD-F8E8ADB328DF}"/>
    <cellStyle name="Comma 17 2 3 2 2 6 2" xfId="8656" xr:uid="{8FD09053-5732-4D32-8CEE-538B8DB7E39F}"/>
    <cellStyle name="Comma 17 2 3 2 2 6 2 2" xfId="8658" xr:uid="{6477F097-552D-4CA2-9E9D-865E93D2F68F}"/>
    <cellStyle name="Comma 17 2 3 2 2 6 3" xfId="8659" xr:uid="{0D3818A3-BF44-483B-BE01-DBEC9008B67C}"/>
    <cellStyle name="Comma 17 2 3 2 2 7" xfId="8660" xr:uid="{0A6DB587-1C1A-471F-98E4-AF391F0EEC09}"/>
    <cellStyle name="Comma 17 2 3 2 2 7 2" xfId="8661" xr:uid="{953470A7-ABE6-4B3C-BECA-B16464060D09}"/>
    <cellStyle name="Comma 17 2 3 2 2 8" xfId="8663" xr:uid="{D4B4AE97-3608-4D4B-9177-B4AE68E1F0A0}"/>
    <cellStyle name="Comma 17 2 3 2 2 9" xfId="8665" xr:uid="{CD29A554-47FB-4C34-84DF-43C96D5AB71D}"/>
    <cellStyle name="Comma 17 2 3 2 3" xfId="8666" xr:uid="{FF77552D-08F1-4E72-9BF5-58581B9E11B8}"/>
    <cellStyle name="Comma 17 2 3 2 3 2" xfId="8667" xr:uid="{458E6213-5E39-4DA4-8D0D-82319C0D9AAF}"/>
    <cellStyle name="Comma 17 2 3 2 3 2 2" xfId="8669" xr:uid="{58A34BB2-C040-4E83-9321-DBE36C6385E5}"/>
    <cellStyle name="Comma 17 2 3 2 3 2 2 2" xfId="8670" xr:uid="{729383B0-F25A-4882-AF21-8D9976ADC080}"/>
    <cellStyle name="Comma 17 2 3 2 3 2 2 2 2" xfId="8673" xr:uid="{75E619E3-18F1-4570-8625-CD64653D5508}"/>
    <cellStyle name="Comma 17 2 3 2 3 2 2 2 2 2" xfId="8676" xr:uid="{5C70FA1B-BE8E-462F-8EF4-D7D23BD4F24F}"/>
    <cellStyle name="Comma 17 2 3 2 3 2 2 2 2 2 2" xfId="8678" xr:uid="{6C7947CE-33A8-4878-B085-84F1B83F12B4}"/>
    <cellStyle name="Comma 17 2 3 2 3 2 2 2 2 3" xfId="8680" xr:uid="{AC0BB671-6BD3-4584-8055-948BB51DE832}"/>
    <cellStyle name="Comma 17 2 3 2 3 2 2 2 3" xfId="8682" xr:uid="{47C8D1E7-4A56-4548-AA4B-9FE5C43741D8}"/>
    <cellStyle name="Comma 17 2 3 2 3 2 2 2 3 2" xfId="8684" xr:uid="{0694C12E-52C6-4FDD-B7A9-E9A43C39BBF5}"/>
    <cellStyle name="Comma 17 2 3 2 3 2 2 2 4" xfId="7394" xr:uid="{EB2072BA-8CC5-4599-858E-1E6A7044DFA3}"/>
    <cellStyle name="Comma 17 2 3 2 3 2 2 3" xfId="8685" xr:uid="{31E8B3DE-A54B-41F5-B17D-E89D50679382}"/>
    <cellStyle name="Comma 17 2 3 2 3 2 2 3 2" xfId="8687" xr:uid="{7F524EF1-4C10-4DA1-BAC2-2ED30CB0205C}"/>
    <cellStyle name="Comma 17 2 3 2 3 2 2 3 2 2" xfId="8689" xr:uid="{E5D20429-FA4C-481E-B564-D8A816EC76D6}"/>
    <cellStyle name="Comma 17 2 3 2 3 2 2 3 3" xfId="8690" xr:uid="{187E75D5-AD7C-47C4-93CB-9637E4F25859}"/>
    <cellStyle name="Comma 17 2 3 2 3 2 2 4" xfId="8692" xr:uid="{B34E7671-7F2C-417B-A258-01F0857A8FE0}"/>
    <cellStyle name="Comma 17 2 3 2 3 2 2 4 2" xfId="8693" xr:uid="{C8247762-A4D6-4E53-9ABE-3AC0F3508D84}"/>
    <cellStyle name="Comma 17 2 3 2 3 2 2 5" xfId="8695" xr:uid="{5CE9D7C8-6975-49C9-85BF-6E4EA884E4E0}"/>
    <cellStyle name="Comma 17 2 3 2 3 2 3" xfId="8697" xr:uid="{EF05B142-B379-4A05-A42A-A13A97FBD4D1}"/>
    <cellStyle name="Comma 17 2 3 2 3 2 3 2" xfId="8698" xr:uid="{A902CC8D-D32F-4441-AB8A-3419DEE7D685}"/>
    <cellStyle name="Comma 17 2 3 2 3 2 3 2 2" xfId="8699" xr:uid="{734E78EE-FF80-48CE-BB58-10F34ED59537}"/>
    <cellStyle name="Comma 17 2 3 2 3 2 3 2 2 2" xfId="8703" xr:uid="{9C3D1CE6-557E-499F-94F9-FB34828CC568}"/>
    <cellStyle name="Comma 17 2 3 2 3 2 3 2 3" xfId="8705" xr:uid="{7C091D89-50D5-400F-B434-6F660B73B046}"/>
    <cellStyle name="Comma 17 2 3 2 3 2 3 3" xfId="8706" xr:uid="{E9D3A45C-3D1B-4554-A405-270365668743}"/>
    <cellStyle name="Comma 17 2 3 2 3 2 3 3 2" xfId="8707" xr:uid="{942715F1-3410-438B-A730-6380705274E8}"/>
    <cellStyle name="Comma 17 2 3 2 3 2 3 4" xfId="8708" xr:uid="{5A64EB28-B03B-48E9-B0A4-6CE56F06C8E1}"/>
    <cellStyle name="Comma 17 2 3 2 3 2 4" xfId="422" xr:uid="{669D1F3E-C176-4926-BFF3-DE81B3D11EEB}"/>
    <cellStyle name="Comma 17 2 3 2 3 2 4 2" xfId="3896" xr:uid="{7B16C24B-75B7-4D4A-92CA-5E2D01E249E7}"/>
    <cellStyle name="Comma 17 2 3 2 3 2 4 2 2" xfId="8714" xr:uid="{7886E0DD-1DE3-43A7-BA22-F68E6EDB537E}"/>
    <cellStyle name="Comma 17 2 3 2 3 2 4 3" xfId="8719" xr:uid="{F820A606-8114-4699-895C-E8CDA4FEF19B}"/>
    <cellStyle name="Comma 17 2 3 2 3 2 5" xfId="439" xr:uid="{CC4EF8F9-68AE-4B37-B1AE-8E2AEB354D38}"/>
    <cellStyle name="Comma 17 2 3 2 3 2 5 2" xfId="8723" xr:uid="{CE08B144-6040-4729-AC26-7419B4C3EB00}"/>
    <cellStyle name="Comma 17 2 3 2 3 2 6" xfId="8728" xr:uid="{39357201-A2E9-4820-8137-8EB99D226891}"/>
    <cellStyle name="Comma 17 2 3 2 3 2 7" xfId="8732" xr:uid="{38B78255-A41D-4CAB-8495-106E8A8D524E}"/>
    <cellStyle name="Comma 17 2 3 2 3 3" xfId="8734" xr:uid="{74B6780A-A067-4082-A17C-372D6A18FC61}"/>
    <cellStyle name="Comma 17 2 3 2 3 3 2" xfId="8736" xr:uid="{C1ACE82F-F0A6-405F-854B-EC3D4D2C324A}"/>
    <cellStyle name="Comma 17 2 3 2 3 3 2 2" xfId="8737" xr:uid="{03940CE2-42D3-4A9D-8175-D05DB4B5C953}"/>
    <cellStyle name="Comma 17 2 3 2 3 3 2 2 2" xfId="8605" xr:uid="{61EB8A6F-E300-4896-AD2C-ABEB1CE49EA3}"/>
    <cellStyle name="Comma 17 2 3 2 3 3 2 2 2 2" xfId="8738" xr:uid="{E91F38CC-6AC6-46F3-9837-402F3B1CB395}"/>
    <cellStyle name="Comma 17 2 3 2 3 3 2 2 3" xfId="8739" xr:uid="{B1C691CF-CDE3-4ABF-9512-F20DDDE95D44}"/>
    <cellStyle name="Comma 17 2 3 2 3 3 2 3" xfId="8740" xr:uid="{CEE792DA-152E-4B3C-B40B-6730F8F143CD}"/>
    <cellStyle name="Comma 17 2 3 2 3 3 2 3 2" xfId="8743" xr:uid="{618E3724-7D0F-4FD9-B7C4-BF9CAD4773C0}"/>
    <cellStyle name="Comma 17 2 3 2 3 3 2 4" xfId="8744" xr:uid="{64E217B4-14B5-4FEE-AE98-F29D1C4ED192}"/>
    <cellStyle name="Comma 17 2 3 2 3 3 3" xfId="8746" xr:uid="{F13335BF-65F2-4FD3-A400-E51956C101EE}"/>
    <cellStyle name="Comma 17 2 3 2 3 3 3 2" xfId="8747" xr:uid="{7BAEFF8A-6D1F-4167-97BA-3FC6F49FF3D7}"/>
    <cellStyle name="Comma 17 2 3 2 3 3 3 2 2" xfId="8748" xr:uid="{858973A9-FC17-40DF-8EA9-18EF630AC3FC}"/>
    <cellStyle name="Comma 17 2 3 2 3 3 3 3" xfId="8749" xr:uid="{C3113544-8BE8-45E8-9C02-216F2EA3BDF7}"/>
    <cellStyle name="Comma 17 2 3 2 3 3 4" xfId="1564" xr:uid="{47A1C7A1-B53F-4C96-AB7C-ABF14DFEA103}"/>
    <cellStyle name="Comma 17 2 3 2 3 3 4 2" xfId="8753" xr:uid="{2EA76768-6A88-4833-9DE4-8218E890B037}"/>
    <cellStyle name="Comma 17 2 3 2 3 3 5" xfId="8756" xr:uid="{2451545F-FC21-4D42-9A84-F13B118B14DD}"/>
    <cellStyle name="Comma 17 2 3 2 3 4" xfId="8757" xr:uid="{CCF1D890-411A-46B7-8ECA-0D453BB45594}"/>
    <cellStyle name="Comma 17 2 3 2 3 4 2" xfId="8760" xr:uid="{63F28B63-C756-409E-927B-5FBE2EE9A3CC}"/>
    <cellStyle name="Comma 17 2 3 2 3 4 2 2" xfId="8762" xr:uid="{1C179DEE-8F02-475C-9444-EB6E7C57BBD1}"/>
    <cellStyle name="Comma 17 2 3 2 3 4 2 2 2" xfId="8764" xr:uid="{60286C5A-D637-482D-B06E-261343957174}"/>
    <cellStyle name="Comma 17 2 3 2 3 4 2 3" xfId="8766" xr:uid="{384B410D-206F-4CA7-898F-C8122A435CD2}"/>
    <cellStyle name="Comma 17 2 3 2 3 4 3" xfId="8769" xr:uid="{400DF538-AD2F-4750-869A-937D7CBC3273}"/>
    <cellStyle name="Comma 17 2 3 2 3 4 3 2" xfId="8771" xr:uid="{0BB06DC5-7AFF-4913-A91D-F55CF080855B}"/>
    <cellStyle name="Comma 17 2 3 2 3 4 4" xfId="8777" xr:uid="{B8E12480-AEFE-4612-BFA1-022FC15E34BD}"/>
    <cellStyle name="Comma 17 2 3 2 3 5" xfId="8779" xr:uid="{B6BCA4FB-C160-453B-B524-A9BFB490C7E3}"/>
    <cellStyle name="Comma 17 2 3 2 3 5 2" xfId="8784" xr:uid="{63CCC74A-D940-4A8B-817E-36411BDC471E}"/>
    <cellStyle name="Comma 17 2 3 2 3 5 2 2" xfId="8789" xr:uid="{8CD7F88B-279B-4C0D-8B4A-AFD48899BCFD}"/>
    <cellStyle name="Comma 17 2 3 2 3 5 3" xfId="8794" xr:uid="{82B63D77-6202-434F-B7D8-10B26F696E37}"/>
    <cellStyle name="Comma 17 2 3 2 3 6" xfId="8796" xr:uid="{99AAD8CB-5370-435C-93A8-D56FBA7E7FF3}"/>
    <cellStyle name="Comma 17 2 3 2 3 6 2" xfId="8800" xr:uid="{FDFA4C42-89A2-4212-8DF8-7BA16E3A54EB}"/>
    <cellStyle name="Comma 17 2 3 2 3 7" xfId="8804" xr:uid="{73B8942D-A694-479D-9F17-E64C613FE394}"/>
    <cellStyle name="Comma 17 2 3 2 3 8" xfId="8809" xr:uid="{C46A1BAF-94B5-417E-A44D-9E3564632F23}"/>
    <cellStyle name="Comma 17 2 3 2 4" xfId="8810" xr:uid="{9167B7AA-3876-47A5-B9E1-4595AF2982DC}"/>
    <cellStyle name="Comma 17 2 3 2 4 2" xfId="8811" xr:uid="{152725FB-C651-4CCA-AFD7-519B35E3E9D2}"/>
    <cellStyle name="Comma 17 2 3 2 4 2 2" xfId="8812" xr:uid="{17E8CCEA-5825-4BF2-8705-3005D89C1553}"/>
    <cellStyle name="Comma 17 2 3 2 4 2 2 2" xfId="8814" xr:uid="{D1A6553E-434C-42C9-A092-785483738B5D}"/>
    <cellStyle name="Comma 17 2 3 2 4 2 2 2 2" xfId="8816" xr:uid="{9B243443-B1C7-4ECC-9380-C12106162E5F}"/>
    <cellStyle name="Comma 17 2 3 2 4 2 2 2 2 2" xfId="8817" xr:uid="{AE02413F-128C-4AAE-861D-BE391A9EC7AF}"/>
    <cellStyle name="Comma 17 2 3 2 4 2 2 2 3" xfId="8819" xr:uid="{4F82E506-F70C-440B-B8BE-419F59068339}"/>
    <cellStyle name="Comma 17 2 3 2 4 2 2 3" xfId="8823" xr:uid="{B56CC0E1-4C73-4247-A61C-E696F1AA79EC}"/>
    <cellStyle name="Comma 17 2 3 2 4 2 2 3 2" xfId="8825" xr:uid="{A7042916-B9AB-4B68-8A6F-87C4EED8A981}"/>
    <cellStyle name="Comma 17 2 3 2 4 2 2 4" xfId="8827" xr:uid="{6F6834E7-2716-4CFF-A8B7-24DFE8856E22}"/>
    <cellStyle name="Comma 17 2 3 2 4 2 3" xfId="8828" xr:uid="{C5628F56-957D-4C44-90D6-BE6DD42343A9}"/>
    <cellStyle name="Comma 17 2 3 2 4 2 3 2" xfId="8829" xr:uid="{A0D1D1C2-5F6B-46AF-B22E-C6E456D1862F}"/>
    <cellStyle name="Comma 17 2 3 2 4 2 3 2 2" xfId="8830" xr:uid="{1BD17FB6-D45C-43B3-930B-AA285BB50358}"/>
    <cellStyle name="Comma 17 2 3 2 4 2 3 3" xfId="8831" xr:uid="{A404DC70-4786-47BC-A362-0F6F5A161101}"/>
    <cellStyle name="Comma 17 2 3 2 4 2 4" xfId="3995" xr:uid="{825F9B49-82F1-46D7-B744-DEF7F18C8295}"/>
    <cellStyle name="Comma 17 2 3 2 4 2 4 2" xfId="8837" xr:uid="{037726D1-899C-49F6-BFEE-A2F72B5E82CC}"/>
    <cellStyle name="Comma 17 2 3 2 4 2 5" xfId="8840" xr:uid="{E1D1E304-14EE-40D6-9257-E380D0FDB278}"/>
    <cellStyle name="Comma 17 2 3 2 4 3" xfId="8841" xr:uid="{0F663DE7-56A6-4F9D-9A59-F3241D567745}"/>
    <cellStyle name="Comma 17 2 3 2 4 3 2" xfId="8842" xr:uid="{44F1A323-B227-4FF1-97DC-E56F39511B28}"/>
    <cellStyle name="Comma 17 2 3 2 4 3 2 2" xfId="8845" xr:uid="{90E37060-41CF-42DE-AE71-736EB5FDA895}"/>
    <cellStyle name="Comma 17 2 3 2 4 3 2 2 2" xfId="8846" xr:uid="{25BA65BC-6823-45B6-9656-600F24C9238D}"/>
    <cellStyle name="Comma 17 2 3 2 4 3 2 3" xfId="8850" xr:uid="{C250DAC5-B9AF-4086-B152-1AB3EE3314E3}"/>
    <cellStyle name="Comma 17 2 3 2 4 3 3" xfId="8851" xr:uid="{752A5BC7-7E7A-499C-8EBC-0108EB588FE0}"/>
    <cellStyle name="Comma 17 2 3 2 4 3 3 2" xfId="8854" xr:uid="{289E77B3-D1C7-49C8-A61A-8620F2E3D6AF}"/>
    <cellStyle name="Comma 17 2 3 2 4 3 4" xfId="8857" xr:uid="{066AE663-EA17-4BC9-ABBB-C1BFF682E96C}"/>
    <cellStyle name="Comma 17 2 3 2 4 4" xfId="8858" xr:uid="{EAD71D73-5DEA-4181-B073-CC1F5662AC6F}"/>
    <cellStyle name="Comma 17 2 3 2 4 4 2" xfId="8859" xr:uid="{1368512E-A16C-46D8-AF3D-0539841C6F9D}"/>
    <cellStyle name="Comma 17 2 3 2 4 4 2 2" xfId="4363" xr:uid="{BC7EE214-83FD-4019-ACFA-61E1038F06BE}"/>
    <cellStyle name="Comma 17 2 3 2 4 4 3" xfId="8860" xr:uid="{7A9B9EF4-3812-447D-AC6F-74B76CB7E3E7}"/>
    <cellStyle name="Comma 17 2 3 2 4 5" xfId="8862" xr:uid="{92E088EC-F4BF-4445-B308-31D45217CEE6}"/>
    <cellStyle name="Comma 17 2 3 2 4 5 2" xfId="8864" xr:uid="{6D595C0A-DCA0-48BD-967A-8DC1FC9B812E}"/>
    <cellStyle name="Comma 17 2 3 2 4 6" xfId="8866" xr:uid="{E93E9416-859A-42BC-B8FE-2EBBAA80B8E7}"/>
    <cellStyle name="Comma 17 2 3 2 4 7" xfId="8870" xr:uid="{557ABBBF-13C2-420D-B14B-1D691FF156C0}"/>
    <cellStyle name="Comma 17 2 3 2 5" xfId="8675" xr:uid="{4394DE62-1356-4709-AE21-DD2FACA2AEF5}"/>
    <cellStyle name="Comma 17 2 3 2 5 2" xfId="8677" xr:uid="{5F0CC106-CB1B-48B2-B666-2F9E7EC91597}"/>
    <cellStyle name="Comma 17 2 3 2 5 2 2" xfId="8871" xr:uid="{84D7DEC4-E0C2-4769-8B28-0B7B0BF490F5}"/>
    <cellStyle name="Comma 17 2 3 2 5 2 2 2" xfId="8875" xr:uid="{E30509EA-8B98-418A-9F37-9B201E9F0595}"/>
    <cellStyle name="Comma 17 2 3 2 5 2 2 2 2" xfId="8876" xr:uid="{524E63EB-8285-4423-A69A-825382BE1842}"/>
    <cellStyle name="Comma 17 2 3 2 5 2 2 3" xfId="8878" xr:uid="{F1424927-2119-46CB-92D4-BB5300D9E00B}"/>
    <cellStyle name="Comma 17 2 3 2 5 2 3" xfId="8880" xr:uid="{80A70EC3-3522-464B-A988-55BAE932C85B}"/>
    <cellStyle name="Comma 17 2 3 2 5 2 3 2" xfId="8881" xr:uid="{45B9074E-C071-4A83-B9A7-034F12C7B261}"/>
    <cellStyle name="Comma 17 2 3 2 5 2 4" xfId="8884" xr:uid="{8BBBDD40-98E6-4B71-BF85-F227B50842DB}"/>
    <cellStyle name="Comma 17 2 3 2 5 3" xfId="8885" xr:uid="{426476C8-985D-427E-834E-F350F08828DE}"/>
    <cellStyle name="Comma 17 2 3 2 5 3 2" xfId="8889" xr:uid="{CA2F16A7-3CB4-4197-9F86-377EE4397979}"/>
    <cellStyle name="Comma 17 2 3 2 5 3 2 2" xfId="8892" xr:uid="{E041865F-14DC-443C-B358-EEFDD863B88B}"/>
    <cellStyle name="Comma 17 2 3 2 5 3 3" xfId="8895" xr:uid="{449A74A3-2751-4319-9168-8BF8A8958051}"/>
    <cellStyle name="Comma 17 2 3 2 5 4" xfId="8897" xr:uid="{BAA96092-0D1E-4B71-A2B4-37F836CCB8AC}"/>
    <cellStyle name="Comma 17 2 3 2 5 4 2" xfId="8900" xr:uid="{08BE48B8-A704-4188-A3E5-B81FFEE4CB16}"/>
    <cellStyle name="Comma 17 2 3 2 5 5" xfId="8902" xr:uid="{24B3E86D-602B-4786-BF10-B995BA8A6883}"/>
    <cellStyle name="Comma 17 2 3 2 6" xfId="8679" xr:uid="{B7491C02-AAD9-49DE-8C52-B2969F525947}"/>
    <cellStyle name="Comma 17 2 3 2 6 2" xfId="8907" xr:uid="{34B5253B-47B5-445C-A0A1-6B966051F943}"/>
    <cellStyle name="Comma 17 2 3 2 6 2 2" xfId="8911" xr:uid="{C4C694FD-8622-46EB-981F-E75185D55162}"/>
    <cellStyle name="Comma 17 2 3 2 6 2 2 2" xfId="8912" xr:uid="{F7E755F2-6BE4-45F2-9A15-04713A9CA6D3}"/>
    <cellStyle name="Comma 17 2 3 2 6 2 3" xfId="8913" xr:uid="{4897F982-14E8-4BA3-A9A0-BD5EAC8C9B84}"/>
    <cellStyle name="Comma 17 2 3 2 6 3" xfId="8918" xr:uid="{66D1F017-8E71-472E-9862-DB06E16B01DB}"/>
    <cellStyle name="Comma 17 2 3 2 6 3 2" xfId="8921" xr:uid="{F99E5608-9D58-4620-B445-2E10CC83CB07}"/>
    <cellStyle name="Comma 17 2 3 2 6 4" xfId="8924" xr:uid="{9D76F5F0-A40B-4EB3-BF01-E7CD00CE1EB3}"/>
    <cellStyle name="Comma 17 2 3 2 7" xfId="8925" xr:uid="{3C9101F8-1C54-4EFF-A706-3290C1148736}"/>
    <cellStyle name="Comma 17 2 3 2 7 2" xfId="8927" xr:uid="{54F2F15F-2761-41AA-94A5-82282B14FF0D}"/>
    <cellStyle name="Comma 17 2 3 2 7 2 2" xfId="8928" xr:uid="{9C87EC57-6B8D-458D-8058-5A0FC80891A0}"/>
    <cellStyle name="Comma 17 2 3 2 7 3" xfId="8930" xr:uid="{0A63881A-C6E5-4276-A22C-A3F0ECBCCB79}"/>
    <cellStyle name="Comma 17 2 3 2 8" xfId="8931" xr:uid="{92082450-6FB4-4752-BD7D-600CFD877842}"/>
    <cellStyle name="Comma 17 2 3 2 8 2" xfId="8934" xr:uid="{0A909C56-BD9E-46A9-89B8-E953C4ED11B8}"/>
    <cellStyle name="Comma 17 2 3 2 9" xfId="8935" xr:uid="{5906D305-7C96-4BE1-B197-F96BD8DC26C3}"/>
    <cellStyle name="Comma 17 2 3 3" xfId="8937" xr:uid="{65E2C552-F94C-4C89-B6A5-95FB7163D6D4}"/>
    <cellStyle name="Comma 17 2 3 3 2" xfId="8939" xr:uid="{659E0C18-DC58-47EF-AF7D-786DE31E6D59}"/>
    <cellStyle name="Comma 17 2 3 3 2 2" xfId="8940" xr:uid="{8AB2A1AF-A83C-4C75-970C-D654280C0F8F}"/>
    <cellStyle name="Comma 17 2 3 3 2 2 2" xfId="8941" xr:uid="{94BEA4E1-37D7-47EB-8D8E-2397982DFC44}"/>
    <cellStyle name="Comma 17 2 3 3 2 2 2 2" xfId="8943" xr:uid="{04332761-1DAB-40EF-AEED-D717A41AA345}"/>
    <cellStyle name="Comma 17 2 3 3 2 2 2 2 2" xfId="8946" xr:uid="{386FC998-9FF6-4340-83FD-BC1A184FF7D6}"/>
    <cellStyle name="Comma 17 2 3 3 2 2 2 2 2 2" xfId="520" xr:uid="{4F64E4A5-5073-4AD9-B7BC-FBBF7C69068A}"/>
    <cellStyle name="Comma 17 2 3 3 2 2 2 2 2 2 2" xfId="5285" xr:uid="{7E5BFB20-FC9C-422E-8EB6-37E0E92BAA90}"/>
    <cellStyle name="Comma 17 2 3 3 2 2 2 2 2 3" xfId="529" xr:uid="{BA3B1BC0-CA7D-49C9-8801-2D87849E697C}"/>
    <cellStyle name="Comma 17 2 3 3 2 2 2 2 3" xfId="8948" xr:uid="{C56B5755-F025-4953-A805-53E89410FA62}"/>
    <cellStyle name="Comma 17 2 3 3 2 2 2 2 3 2" xfId="5396" xr:uid="{D655D824-E6C2-41C5-B98D-31D2ED741ADA}"/>
    <cellStyle name="Comma 17 2 3 3 2 2 2 2 4" xfId="8950" xr:uid="{133FAB7F-446A-4678-AA78-525B117894D8}"/>
    <cellStyle name="Comma 17 2 3 3 2 2 2 3" xfId="8955" xr:uid="{5424BA52-E5C0-4D8B-ADE1-30FDD3F29618}"/>
    <cellStyle name="Comma 17 2 3 3 2 2 2 3 2" xfId="8956" xr:uid="{31276CE5-33AE-4C75-8FD1-32B2D83E631B}"/>
    <cellStyle name="Comma 17 2 3 3 2 2 2 3 2 2" xfId="1102" xr:uid="{47322D69-B1DC-41BC-A1F0-831F43FCB66B}"/>
    <cellStyle name="Comma 17 2 3 3 2 2 2 3 3" xfId="8957" xr:uid="{72914D2C-6412-4C4C-BF44-33D22BB27615}"/>
    <cellStyle name="Comma 17 2 3 3 2 2 2 4" xfId="8960" xr:uid="{72D98FE5-78BD-4BD3-9D05-4FE5FAD597E9}"/>
    <cellStyle name="Comma 17 2 3 3 2 2 2 4 2" xfId="8962" xr:uid="{FFBCA888-09C6-419D-94BA-AAE962E6A91D}"/>
    <cellStyle name="Comma 17 2 3 3 2 2 2 5" xfId="8965" xr:uid="{4F8A5436-50AB-44FA-9A11-8C98FEDD0458}"/>
    <cellStyle name="Comma 17 2 3 3 2 2 3" xfId="8966" xr:uid="{5605B7E5-46E0-4917-815B-341DC2459C23}"/>
    <cellStyle name="Comma 17 2 3 3 2 2 3 2" xfId="8967" xr:uid="{57BBEDDD-73DC-4E20-BE69-D3CCBCA2416C}"/>
    <cellStyle name="Comma 17 2 3 3 2 2 3 2 2" xfId="8970" xr:uid="{676F4D9E-9CF9-4344-A3B2-A8A3BF97F98E}"/>
    <cellStyle name="Comma 17 2 3 3 2 2 3 2 2 2" xfId="1954" xr:uid="{912323F5-A32A-43F0-8F5C-E70806D2F590}"/>
    <cellStyle name="Comma 17 2 3 3 2 2 3 2 3" xfId="8974" xr:uid="{97E607A5-46B6-49E2-8A84-D5A900BB3912}"/>
    <cellStyle name="Comma 17 2 3 3 2 2 3 3" xfId="8979" xr:uid="{E9C1CBA4-C093-4EAB-9117-55BBD568419D}"/>
    <cellStyle name="Comma 17 2 3 3 2 2 3 3 2" xfId="8980" xr:uid="{E5856B77-83E1-4280-8B16-6775473C7AEC}"/>
    <cellStyle name="Comma 17 2 3 3 2 2 3 4" xfId="8982" xr:uid="{9A971E22-EC96-407E-8BE9-84A37FE51EA0}"/>
    <cellStyle name="Comma 17 2 3 3 2 2 4" xfId="4097" xr:uid="{200F3326-CDF3-491A-84BF-DFB3E0712FFD}"/>
    <cellStyle name="Comma 17 2 3 3 2 2 4 2" xfId="4099" xr:uid="{2DE92634-4E34-4E32-85A7-BB18DE8B290A}"/>
    <cellStyle name="Comma 17 2 3 3 2 2 4 2 2" xfId="8983" xr:uid="{201E7886-EFF7-41AD-894B-329D111E89CC}"/>
    <cellStyle name="Comma 17 2 3 3 2 2 4 3" xfId="8987" xr:uid="{F092A0FD-9B0E-4F9E-A49B-E78556C5D25B}"/>
    <cellStyle name="Comma 17 2 3 3 2 2 5" xfId="3529" xr:uid="{12E04D42-FE5A-45DA-A399-ACF91117B47F}"/>
    <cellStyle name="Comma 17 2 3 3 2 2 5 2" xfId="8988" xr:uid="{212479F3-0029-48BA-B608-5465DCE5F4F4}"/>
    <cellStyle name="Comma 17 2 3 3 2 2 6" xfId="8991" xr:uid="{84F5BC2B-FE21-4575-BF45-D710F378DD67}"/>
    <cellStyle name="Comma 17 2 3 3 2 2 7" xfId="8993" xr:uid="{6105E9F3-495C-4F0A-882D-409C57C45607}"/>
    <cellStyle name="Comma 17 2 3 3 2 3" xfId="8994" xr:uid="{8CD37ED1-2481-439B-AEBE-8386F36D8996}"/>
    <cellStyle name="Comma 17 2 3 3 2 3 2" xfId="8995" xr:uid="{F218F7B9-69C9-4425-B78E-11AF5E4BBDD6}"/>
    <cellStyle name="Comma 17 2 3 3 2 3 2 2" xfId="8996" xr:uid="{3320E6C7-B6F8-4395-9DBB-F2B93F52159E}"/>
    <cellStyle name="Comma 17 2 3 3 2 3 2 2 2" xfId="8998" xr:uid="{EC675A85-7CE7-4EC4-AF4D-BB5EA336B55C}"/>
    <cellStyle name="Comma 17 2 3 3 2 3 2 2 2 2" xfId="8999" xr:uid="{8A293664-1F18-4206-BA4F-B3319691D58D}"/>
    <cellStyle name="Comma 17 2 3 3 2 3 2 2 3" xfId="9005" xr:uid="{E0851DD2-BC9B-4DFB-9C94-3225B6745A42}"/>
    <cellStyle name="Comma 17 2 3 3 2 3 2 3" xfId="9010" xr:uid="{ECC7821B-C123-48BB-8556-69EDBD8C9F91}"/>
    <cellStyle name="Comma 17 2 3 3 2 3 2 3 2" xfId="9012" xr:uid="{6352A8DE-2886-427D-9867-E198ACD45D52}"/>
    <cellStyle name="Comma 17 2 3 3 2 3 2 4" xfId="9013" xr:uid="{7581DA8C-E536-42CF-A944-926F43E1A81E}"/>
    <cellStyle name="Comma 17 2 3 3 2 3 3" xfId="9014" xr:uid="{E5C6C3AE-21FC-44DF-8BC1-AFE4CAEA91C4}"/>
    <cellStyle name="Comma 17 2 3 3 2 3 3 2" xfId="9015" xr:uid="{F78E40F7-37FA-4143-83C6-FFC63D9A1BE1}"/>
    <cellStyle name="Comma 17 2 3 3 2 3 3 2 2" xfId="9018" xr:uid="{0711C3A9-413F-4AE1-BE83-5AC7171409CF}"/>
    <cellStyle name="Comma 17 2 3 3 2 3 3 3" xfId="9023" xr:uid="{29EB9BD4-C319-47C9-A1CE-1073769D83A4}"/>
    <cellStyle name="Comma 17 2 3 3 2 3 4" xfId="4101" xr:uid="{82BD9C0C-6EDE-47D2-8D07-9C8940542D28}"/>
    <cellStyle name="Comma 17 2 3 3 2 3 4 2" xfId="2388" xr:uid="{BCF9C09F-B386-4500-BDAD-FDADF44D7BC8}"/>
    <cellStyle name="Comma 17 2 3 3 2 3 5" xfId="9024" xr:uid="{8BDB1EFB-8D1A-482D-8541-E10C0CD0DEE5}"/>
    <cellStyle name="Comma 17 2 3 3 2 4" xfId="9025" xr:uid="{FE871683-6B0C-4775-9213-C6140B6490F4}"/>
    <cellStyle name="Comma 17 2 3 3 2 4 2" xfId="9026" xr:uid="{C1A26D77-AAC9-4638-B7CD-78FC7AD33700}"/>
    <cellStyle name="Comma 17 2 3 3 2 4 2 2" xfId="9027" xr:uid="{E100D811-3537-4E4C-9E63-F5C097EC5FCE}"/>
    <cellStyle name="Comma 17 2 3 3 2 4 2 2 2" xfId="9029" xr:uid="{6E0B3F61-B28C-46EF-8D08-377ECEE8C193}"/>
    <cellStyle name="Comma 17 2 3 3 2 4 2 3" xfId="9032" xr:uid="{F4EB789B-CB20-4760-A25C-BC04C99F5A71}"/>
    <cellStyle name="Comma 17 2 3 3 2 4 3" xfId="9033" xr:uid="{DF924457-FDE5-41D1-85BC-3A5CA570B941}"/>
    <cellStyle name="Comma 17 2 3 3 2 4 3 2" xfId="9034" xr:uid="{FAF3AA28-5DC0-448B-8415-A9C2D1E1596D}"/>
    <cellStyle name="Comma 17 2 3 3 2 4 4" xfId="9035" xr:uid="{56DC0530-2998-4FA2-A632-B5B105E246B4}"/>
    <cellStyle name="Comma 17 2 3 3 2 5" xfId="9036" xr:uid="{2B15473E-57FD-4FAE-9634-443793109EC7}"/>
    <cellStyle name="Comma 17 2 3 3 2 5 2" xfId="9039" xr:uid="{C4679162-E741-4890-A8E1-6309ED09C9F0}"/>
    <cellStyle name="Comma 17 2 3 3 2 5 2 2" xfId="9043" xr:uid="{199C3C95-4F9B-494D-A465-0444DFB5DD4D}"/>
    <cellStyle name="Comma 17 2 3 3 2 5 3" xfId="9046" xr:uid="{A580E972-8733-4510-81FA-06D6533F2812}"/>
    <cellStyle name="Comma 17 2 3 3 2 6" xfId="9047" xr:uid="{B70749CA-86D9-490D-A9EC-70728977FAB4}"/>
    <cellStyle name="Comma 17 2 3 3 2 6 2" xfId="9049" xr:uid="{CD8422DE-37AB-4C67-A657-1E6956C1519E}"/>
    <cellStyle name="Comma 17 2 3 3 2 7" xfId="9050" xr:uid="{8059B0A1-028A-4A1F-A56C-33E0526476AD}"/>
    <cellStyle name="Comma 17 2 3 3 2 8" xfId="9051" xr:uid="{6BEB1C4C-5198-4723-B347-438111C4D3A3}"/>
    <cellStyle name="Comma 17 2 3 3 3" xfId="9053" xr:uid="{6FB4C195-D32A-4F82-BB98-CCD72EB65DDE}"/>
    <cellStyle name="Comma 17 2 3 3 3 2" xfId="9054" xr:uid="{C77A6EF6-AABE-41AE-AF4B-1444703BB77E}"/>
    <cellStyle name="Comma 17 2 3 3 3 2 2" xfId="9055" xr:uid="{B8CC3B75-8429-45FC-8365-D612313A8416}"/>
    <cellStyle name="Comma 17 2 3 3 3 2 2 2" xfId="9056" xr:uid="{0BF53699-AB24-4D78-98E1-586B05C5F0D6}"/>
    <cellStyle name="Comma 17 2 3 3 3 2 2 2 2" xfId="9057" xr:uid="{AF84D80D-4649-43EB-AEDC-8BECA3C25D13}"/>
    <cellStyle name="Comma 17 2 3 3 3 2 2 2 2 2" xfId="9058" xr:uid="{C94C9C90-6A30-440F-8789-9D9A2683ACFB}"/>
    <cellStyle name="Comma 17 2 3 3 3 2 2 2 3" xfId="9059" xr:uid="{F4AA7D88-09EC-45BD-9E71-99A786322B93}"/>
    <cellStyle name="Comma 17 2 3 3 3 2 2 3" xfId="9060" xr:uid="{06FE431C-2589-4DF6-99F3-B3173C22A132}"/>
    <cellStyle name="Comma 17 2 3 3 3 2 2 3 2" xfId="9061" xr:uid="{0D1278B1-406A-4936-B589-CFA31717C9FA}"/>
    <cellStyle name="Comma 17 2 3 3 3 2 2 4" xfId="9062" xr:uid="{3F3EC266-F730-4A40-836C-160AF7DE92A2}"/>
    <cellStyle name="Comma 17 2 3 3 3 2 3" xfId="9063" xr:uid="{92105DEF-876A-42E1-8CDC-4F2321EA8FE2}"/>
    <cellStyle name="Comma 17 2 3 3 3 2 3 2" xfId="9064" xr:uid="{7DC4DFD8-C069-48C4-B557-1DFB7875846D}"/>
    <cellStyle name="Comma 17 2 3 3 3 2 3 2 2" xfId="9065" xr:uid="{F93414D3-6083-409C-9D1D-E9A1CE581292}"/>
    <cellStyle name="Comma 17 2 3 3 3 2 3 3" xfId="9066" xr:uid="{D8889F42-A5CB-455F-990F-4C31ADA37F4E}"/>
    <cellStyle name="Comma 17 2 3 3 3 2 4" xfId="4162" xr:uid="{391DAA5B-42D2-4EC2-82AA-0F6E5FEAD125}"/>
    <cellStyle name="Comma 17 2 3 3 3 2 4 2" xfId="9071" xr:uid="{9FD40284-16B6-4C5A-AB6F-C55909C17F5A}"/>
    <cellStyle name="Comma 17 2 3 3 3 2 5" xfId="9074" xr:uid="{83212032-A220-4CD0-8B49-8F43EAF33643}"/>
    <cellStyle name="Comma 17 2 3 3 3 3" xfId="9075" xr:uid="{FF2D7F23-3B8A-4505-9B99-D7EA0ACCEDDE}"/>
    <cellStyle name="Comma 17 2 3 3 3 3 2" xfId="9076" xr:uid="{993CF31B-A5AE-48A6-9035-1F617926E087}"/>
    <cellStyle name="Comma 17 2 3 3 3 3 2 2" xfId="9077" xr:uid="{D98CBAAB-1342-410C-AFED-8B8CE93F3F02}"/>
    <cellStyle name="Comma 17 2 3 3 3 3 2 2 2" xfId="7399" xr:uid="{854D52FE-E992-4CDC-9F46-2320A028327D}"/>
    <cellStyle name="Comma 17 2 3 3 3 3 2 3" xfId="9078" xr:uid="{8D8D3266-61F5-44C5-9DD1-5F640E9E1EB9}"/>
    <cellStyle name="Comma 17 2 3 3 3 3 3" xfId="9079" xr:uid="{F72E431E-2A2A-4AC8-8847-C7E3AE05ED21}"/>
    <cellStyle name="Comma 17 2 3 3 3 3 3 2" xfId="9080" xr:uid="{2D4B76D1-8D40-41F0-A76D-E753D637864D}"/>
    <cellStyle name="Comma 17 2 3 3 3 3 4" xfId="9083" xr:uid="{721DE360-2646-4938-8294-35A76F38AF9E}"/>
    <cellStyle name="Comma 17 2 3 3 3 4" xfId="9084" xr:uid="{936E8EC2-1C06-43CD-9605-3AB1287E33AE}"/>
    <cellStyle name="Comma 17 2 3 3 3 4 2" xfId="9085" xr:uid="{78D7CFF2-335E-44C0-8A97-FB772666CD31}"/>
    <cellStyle name="Comma 17 2 3 3 3 4 2 2" xfId="9086" xr:uid="{2E9FFB1C-95DF-40D5-8CAF-DD94BFAE7451}"/>
    <cellStyle name="Comma 17 2 3 3 3 4 3" xfId="9087" xr:uid="{7B7AC767-22E0-4DC6-99F4-40EDD8FCD0AD}"/>
    <cellStyle name="Comma 17 2 3 3 3 5" xfId="9089" xr:uid="{2A1534CA-D1F3-46C8-99EB-B4FDB5F1666D}"/>
    <cellStyle name="Comma 17 2 3 3 3 5 2" xfId="9093" xr:uid="{4B953A62-2754-4F1A-B4DE-A09283B9E271}"/>
    <cellStyle name="Comma 17 2 3 3 3 6" xfId="9095" xr:uid="{0B369479-5B78-4164-BA8A-A86CCE031EAE}"/>
    <cellStyle name="Comma 17 2 3 3 3 7" xfId="9099" xr:uid="{7925B9EC-1D57-4A73-93FB-BEB6A28EA355}"/>
    <cellStyle name="Comma 17 2 3 3 4" xfId="9100" xr:uid="{7F508E41-9846-402A-8AF5-3906F707CDC2}"/>
    <cellStyle name="Comma 17 2 3 3 4 2" xfId="9101" xr:uid="{1A55F8A6-7918-49D5-B360-A54950E55D7B}"/>
    <cellStyle name="Comma 17 2 3 3 4 2 2" xfId="9103" xr:uid="{B4A66FA9-5C4C-49E3-87F8-E033E82E42F5}"/>
    <cellStyle name="Comma 17 2 3 3 4 2 2 2" xfId="9105" xr:uid="{FE190EE8-60FB-4FBD-96D4-A8527FD62B0E}"/>
    <cellStyle name="Comma 17 2 3 3 4 2 2 2 2" xfId="9107" xr:uid="{BCE82838-65ED-4E44-8472-EB847AC0EF89}"/>
    <cellStyle name="Comma 17 2 3 3 4 2 2 3" xfId="9110" xr:uid="{AA69103F-BC94-4AB7-9C80-87012033C1CF}"/>
    <cellStyle name="Comma 17 2 3 3 4 2 3" xfId="9112" xr:uid="{F738C6B1-2C9A-4CD3-ABC5-D9B0164A4540}"/>
    <cellStyle name="Comma 17 2 3 3 4 2 3 2" xfId="9114" xr:uid="{FC71924E-38DC-447C-BE45-D39CA7A730B9}"/>
    <cellStyle name="Comma 17 2 3 3 4 2 4" xfId="9118" xr:uid="{6EDF98AE-B49F-4D50-9153-B64DFF07E781}"/>
    <cellStyle name="Comma 17 2 3 3 4 3" xfId="9119" xr:uid="{EC95399B-53F6-412B-B6B0-605D9C2DC956}"/>
    <cellStyle name="Comma 17 2 3 3 4 3 2" xfId="9121" xr:uid="{EF87222F-C8A1-4F37-9EAE-65E3C24A70F4}"/>
    <cellStyle name="Comma 17 2 3 3 4 3 2 2" xfId="9123" xr:uid="{693C53EA-3AC0-45A6-A8D2-24C097253809}"/>
    <cellStyle name="Comma 17 2 3 3 4 3 3" xfId="9125" xr:uid="{24CB6939-E128-45C1-9FD2-F9D8CE9A0BF8}"/>
    <cellStyle name="Comma 17 2 3 3 4 4" xfId="9126" xr:uid="{0B9B1064-25C6-48D5-A1A2-BA15595A36A8}"/>
    <cellStyle name="Comma 17 2 3 3 4 4 2" xfId="9128" xr:uid="{F957DA43-0051-43BA-8977-FF8469ACC2E9}"/>
    <cellStyle name="Comma 17 2 3 3 4 5" xfId="9130" xr:uid="{28EF099F-FC00-4590-A705-2F0FC9E5BCAE}"/>
    <cellStyle name="Comma 17 2 3 3 5" xfId="8683" xr:uid="{B701E33E-3E27-404E-B699-9BAF6B1DC215}"/>
    <cellStyle name="Comma 17 2 3 3 5 2" xfId="9131" xr:uid="{1712DF74-FA0E-42D8-903A-6CEE604A9953}"/>
    <cellStyle name="Comma 17 2 3 3 5 2 2" xfId="9132" xr:uid="{BC717131-1D21-4921-8CB6-261A7DFF0EEC}"/>
    <cellStyle name="Comma 17 2 3 3 5 2 2 2" xfId="9137" xr:uid="{24ED69C6-5AB7-4C93-8D7E-D8735EB2DC7E}"/>
    <cellStyle name="Comma 17 2 3 3 5 2 3" xfId="9138" xr:uid="{6066F9BC-4514-426C-8DC9-EE61A793E452}"/>
    <cellStyle name="Comma 17 2 3 3 5 3" xfId="9141" xr:uid="{6A15FF12-2E31-496B-9B5A-37E257CB9343}"/>
    <cellStyle name="Comma 17 2 3 3 5 3 2" xfId="9145" xr:uid="{FFC1B136-BD00-416C-94C4-ED875003CDEF}"/>
    <cellStyle name="Comma 17 2 3 3 5 4" xfId="9146" xr:uid="{5B61DB94-38C7-4112-8553-19B02FA177FE}"/>
    <cellStyle name="Comma 17 2 3 3 6" xfId="9147" xr:uid="{05C2311B-B3BC-4425-95E9-E2D44EC069F9}"/>
    <cellStyle name="Comma 17 2 3 3 6 2" xfId="9149" xr:uid="{0D3C42A0-F770-4EDB-8985-D85658C374D1}"/>
    <cellStyle name="Comma 17 2 3 3 6 2 2" xfId="9151" xr:uid="{AC4B867D-FD0E-41CE-AB58-CF9186E82601}"/>
    <cellStyle name="Comma 17 2 3 3 6 3" xfId="9154" xr:uid="{E535B9CA-3782-4062-87BA-784B49D819B4}"/>
    <cellStyle name="Comma 17 2 3 3 7" xfId="9156" xr:uid="{EE8D5726-B3A3-4916-B739-C44A873D8128}"/>
    <cellStyle name="Comma 17 2 3 3 7 2" xfId="9159" xr:uid="{D1702F82-CBF0-4B99-8AE7-A3537EA8EE64}"/>
    <cellStyle name="Comma 17 2 3 3 8" xfId="9162" xr:uid="{60BFDA88-B962-4905-893E-1A4D284D680C}"/>
    <cellStyle name="Comma 17 2 3 3 9" xfId="9164" xr:uid="{D804F472-10F5-41AD-A7A9-649C1793BF74}"/>
    <cellStyle name="Comma 17 2 3 4" xfId="9167" xr:uid="{D934DB93-A096-4B18-93DD-F87FC809A5AA}"/>
    <cellStyle name="Comma 17 2 3 4 2" xfId="9168" xr:uid="{A311A104-0187-4B90-A318-2BD97F6A76C4}"/>
    <cellStyle name="Comma 17 2 3 4 2 2" xfId="9169" xr:uid="{A6DA6E02-3510-4ED3-956E-E64293151082}"/>
    <cellStyle name="Comma 17 2 3 4 2 2 2" xfId="9170" xr:uid="{9B4266CF-3BF9-42E7-A870-A7CFFD15F3C7}"/>
    <cellStyle name="Comma 17 2 3 4 2 2 2 2" xfId="9171" xr:uid="{ABB4CB03-A88E-4C71-8187-8B965AB8E2DC}"/>
    <cellStyle name="Comma 17 2 3 4 2 2 2 2 2" xfId="9174" xr:uid="{EED71432-A460-41CE-8796-EB8FFC03E880}"/>
    <cellStyle name="Comma 17 2 3 4 2 2 2 2 2 2" xfId="9179" xr:uid="{FF3BE988-475E-4635-811E-1D89600AA4C9}"/>
    <cellStyle name="Comma 17 2 3 4 2 2 2 2 3" xfId="9182" xr:uid="{8544415A-C5EF-44D2-82F3-452E672417A5}"/>
    <cellStyle name="Comma 17 2 3 4 2 2 2 3" xfId="9184" xr:uid="{110AA3A8-6E70-4EA7-94AC-8541563781D5}"/>
    <cellStyle name="Comma 17 2 3 4 2 2 2 3 2" xfId="9187" xr:uid="{BC3F92DA-426A-484E-9465-B8E58082B461}"/>
    <cellStyle name="Comma 17 2 3 4 2 2 2 4" xfId="9189" xr:uid="{2719BD07-B00B-4C97-B77F-C56DA8F29FC4}"/>
    <cellStyle name="Comma 17 2 3 4 2 2 3" xfId="6319" xr:uid="{A04977BA-EB84-4970-A3E6-1D90C4D2588B}"/>
    <cellStyle name="Comma 17 2 3 4 2 2 3 2" xfId="9190" xr:uid="{A5561743-6518-4286-8D14-A74D22860691}"/>
    <cellStyle name="Comma 17 2 3 4 2 2 3 2 2" xfId="9192" xr:uid="{1EFBA49F-09CC-4CF3-8A06-7E641467F225}"/>
    <cellStyle name="Comma 17 2 3 4 2 2 3 3" xfId="9194" xr:uid="{23C94355-6E71-4FDC-9259-D6F6DEB7B449}"/>
    <cellStyle name="Comma 17 2 3 4 2 2 4" xfId="4213" xr:uid="{728FCA2B-0B70-458B-A0A2-B23CE575F143}"/>
    <cellStyle name="Comma 17 2 3 4 2 2 4 2" xfId="9195" xr:uid="{E896A35C-A441-4852-93A0-B9667E0DEDD9}"/>
    <cellStyle name="Comma 17 2 3 4 2 2 5" xfId="9196" xr:uid="{18B56C5E-FF1D-40E8-8CEA-8E0EFE284366}"/>
    <cellStyle name="Comma 17 2 3 4 2 3" xfId="9197" xr:uid="{3733BD85-FE52-47F4-8CFC-9AD121D2E1ED}"/>
    <cellStyle name="Comma 17 2 3 4 2 3 2" xfId="9198" xr:uid="{71482C81-8757-4EA2-87F4-0DDE364F9DAD}"/>
    <cellStyle name="Comma 17 2 3 4 2 3 2 2" xfId="9199" xr:uid="{EADFCE22-D8C1-4197-AC5D-EDAC1D71836E}"/>
    <cellStyle name="Comma 17 2 3 4 2 3 2 2 2" xfId="9202" xr:uid="{08E6FD50-E328-476D-BBD6-720729D504FA}"/>
    <cellStyle name="Comma 17 2 3 4 2 3 2 3" xfId="9204" xr:uid="{6DAD2350-5DE5-4F15-B44F-CDC259B1194B}"/>
    <cellStyle name="Comma 17 2 3 4 2 3 3" xfId="9205" xr:uid="{9BACD54C-FDCF-4864-844D-19AB1AFAB403}"/>
    <cellStyle name="Comma 17 2 3 4 2 3 3 2" xfId="9206" xr:uid="{41240364-37E1-4A4B-902A-A217125FCB1F}"/>
    <cellStyle name="Comma 17 2 3 4 2 3 4" xfId="9208" xr:uid="{0A59F80A-D8CD-410F-9018-DDECBF2AA9D5}"/>
    <cellStyle name="Comma 17 2 3 4 2 4" xfId="9209" xr:uid="{D5E60323-28E9-4AF3-9E9A-ABA8E112391F}"/>
    <cellStyle name="Comma 17 2 3 4 2 4 2" xfId="9213" xr:uid="{70516E16-66A3-4FD9-8B01-28EEAA352402}"/>
    <cellStyle name="Comma 17 2 3 4 2 4 2 2" xfId="9216" xr:uid="{8DF8B900-EA3D-4047-A09E-ACE9A6914F42}"/>
    <cellStyle name="Comma 17 2 3 4 2 4 3" xfId="9220" xr:uid="{2D8EB3FA-4605-40EC-BA14-9DB980C50F37}"/>
    <cellStyle name="Comma 17 2 3 4 2 5" xfId="9221" xr:uid="{DDB914C7-70C5-4AB6-8CD0-6EA7AF3CAA2A}"/>
    <cellStyle name="Comma 17 2 3 4 2 5 2" xfId="9224" xr:uid="{29FF9DCE-C71C-4B6D-B520-B6C1DFEE465F}"/>
    <cellStyle name="Comma 17 2 3 4 2 6" xfId="9225" xr:uid="{6ED3C3F1-7491-41C8-BA49-41B63ABEE07A}"/>
    <cellStyle name="Comma 17 2 3 4 2 7" xfId="9226" xr:uid="{4B4E2B2F-9071-414A-B9F1-E62CBDA134DD}"/>
    <cellStyle name="Comma 17 2 3 4 3" xfId="9227" xr:uid="{B420E08E-B801-4963-BFA1-B11FC5148527}"/>
    <cellStyle name="Comma 17 2 3 4 3 2" xfId="9228" xr:uid="{9D55F79A-9F2B-4165-8ADD-88BAC18E5A6D}"/>
    <cellStyle name="Comma 17 2 3 4 3 2 2" xfId="9230" xr:uid="{99B3DDFE-6298-490B-B35F-9679F214A951}"/>
    <cellStyle name="Comma 17 2 3 4 3 2 2 2" xfId="9231" xr:uid="{EB7E9E0C-4782-40C0-9C7A-7AD901FCCDD0}"/>
    <cellStyle name="Comma 17 2 3 4 3 2 2 2 2" xfId="9233" xr:uid="{86FE0B1A-4C45-4E2C-A836-0E47BA2DDF38}"/>
    <cellStyle name="Comma 17 2 3 4 3 2 2 3" xfId="9235" xr:uid="{AC741453-A37D-402E-A41C-CD7016F6BFEE}"/>
    <cellStyle name="Comma 17 2 3 4 3 2 3" xfId="9236" xr:uid="{DAB3872B-D5D6-411D-8726-0B09F1F19F7B}"/>
    <cellStyle name="Comma 17 2 3 4 3 2 3 2" xfId="9237" xr:uid="{020F6971-38C9-49D7-87BE-D24A93EF59E0}"/>
    <cellStyle name="Comma 17 2 3 4 3 2 4" xfId="9240" xr:uid="{17812AEB-B1E9-4252-9F42-5E6118DA9FDC}"/>
    <cellStyle name="Comma 17 2 3 4 3 3" xfId="9241" xr:uid="{7BB194C7-867F-45D8-BD55-219843E66002}"/>
    <cellStyle name="Comma 17 2 3 4 3 3 2" xfId="9243" xr:uid="{7E93F666-381E-4103-A0DE-AC4CC789EBF1}"/>
    <cellStyle name="Comma 17 2 3 4 3 3 2 2" xfId="9245" xr:uid="{9092E396-E863-4014-B006-6B2BFA042131}"/>
    <cellStyle name="Comma 17 2 3 4 3 3 3" xfId="9247" xr:uid="{CB04B4F3-AC33-434F-92E1-41CD2AB7FAEE}"/>
    <cellStyle name="Comma 17 2 3 4 3 4" xfId="9248" xr:uid="{6F5CAD9B-38EA-46A0-9FC0-69E22C064AB0}"/>
    <cellStyle name="Comma 17 2 3 4 3 4 2" xfId="9250" xr:uid="{411E9613-EFF9-4295-96F0-A22223786C86}"/>
    <cellStyle name="Comma 17 2 3 4 3 5" xfId="9252" xr:uid="{D5757422-8795-4A2D-8941-BE39C6E73803}"/>
    <cellStyle name="Comma 17 2 3 4 4" xfId="9253" xr:uid="{E1931BBD-B979-4E91-9C0E-95606F718946}"/>
    <cellStyle name="Comma 17 2 3 4 4 2" xfId="9254" xr:uid="{C07031BB-7B31-4656-BD83-C850A5304C4A}"/>
    <cellStyle name="Comma 17 2 3 4 4 2 2" xfId="9257" xr:uid="{AC4CBC84-D4A4-45FE-A547-9CC6E077A1E5}"/>
    <cellStyle name="Comma 17 2 3 4 4 2 2 2" xfId="9260" xr:uid="{405CAA07-2E1E-4227-A98A-FE0D1530E1EC}"/>
    <cellStyle name="Comma 17 2 3 4 4 2 3" xfId="9265" xr:uid="{2457D104-2806-4F51-9AB0-D61F8CD8035F}"/>
    <cellStyle name="Comma 17 2 3 4 4 3" xfId="9266" xr:uid="{388E0055-05BC-4FFF-8150-BB776D9F0F5C}"/>
    <cellStyle name="Comma 17 2 3 4 4 3 2" xfId="9268" xr:uid="{8C17855D-84AD-4053-8618-2BC3D8D1F344}"/>
    <cellStyle name="Comma 17 2 3 4 4 4" xfId="9269" xr:uid="{2F4CFBFD-2834-4869-8954-B12C525F66F4}"/>
    <cellStyle name="Comma 17 2 3 4 5" xfId="9270" xr:uid="{D4FCB838-662D-40C9-9319-AA06892AFB76}"/>
    <cellStyle name="Comma 17 2 3 4 5 2" xfId="9271" xr:uid="{27D8C57E-89E2-4FFD-962B-E66D6C5130B1}"/>
    <cellStyle name="Comma 17 2 3 4 5 2 2" xfId="9273" xr:uid="{0A702995-F5D7-4610-9DEC-B89097DB78BA}"/>
    <cellStyle name="Comma 17 2 3 4 5 3" xfId="9274" xr:uid="{205680CB-5FEE-46F5-AE89-B9E6A76929D5}"/>
    <cellStyle name="Comma 17 2 3 4 6" xfId="9275" xr:uid="{0E1E0452-0826-4A99-8AB9-041B4A4A7B77}"/>
    <cellStyle name="Comma 17 2 3 4 6 2" xfId="9277" xr:uid="{D4E160F1-E5F2-4577-BEE3-012D66423C13}"/>
    <cellStyle name="Comma 17 2 3 4 7" xfId="9280" xr:uid="{0B9B83DC-F5AC-4323-919E-1B5DF21A0232}"/>
    <cellStyle name="Comma 17 2 3 4 8" xfId="9282" xr:uid="{5B64F9F6-872B-4BCF-91F4-81E946A995AF}"/>
    <cellStyle name="Comma 17 2 3 5" xfId="9288" xr:uid="{FF5FB1B7-D3CF-49A5-B14F-79FD16E3F0AE}"/>
    <cellStyle name="Comma 17 2 3 5 2" xfId="9290" xr:uid="{A9008169-04DD-4B44-89FE-B7E6654611EF}"/>
    <cellStyle name="Comma 17 2 3 5 2 2" xfId="9291" xr:uid="{0D254109-66C8-47E3-85F2-189C083838BA}"/>
    <cellStyle name="Comma 17 2 3 5 2 2 2" xfId="9292" xr:uid="{F1EE2216-7FB6-4914-BAAF-E54FF7A7849C}"/>
    <cellStyle name="Comma 17 2 3 5 2 2 2 2" xfId="9293" xr:uid="{16768EDD-3B77-4C35-991F-894B4DB0E460}"/>
    <cellStyle name="Comma 17 2 3 5 2 2 2 2 2" xfId="9295" xr:uid="{841AB9FA-CD3E-4200-908B-AB8CACC0B8DB}"/>
    <cellStyle name="Comma 17 2 3 5 2 2 2 3" xfId="9297" xr:uid="{76A3023B-CDC5-4072-AD3E-401F14B26C6F}"/>
    <cellStyle name="Comma 17 2 3 5 2 2 3" xfId="9299" xr:uid="{9D79FCA9-F77B-45CE-87BB-7EA445C4E01C}"/>
    <cellStyle name="Comma 17 2 3 5 2 2 3 2" xfId="742" xr:uid="{860F51ED-FE36-450A-98B9-5856896F714F}"/>
    <cellStyle name="Comma 17 2 3 5 2 2 4" xfId="9301" xr:uid="{E82F68FF-A05D-4732-961F-59EA698B79AE}"/>
    <cellStyle name="Comma 17 2 3 5 2 3" xfId="9303" xr:uid="{963ADC08-E65D-4AED-A0A4-04BD05D70F9D}"/>
    <cellStyle name="Comma 17 2 3 5 2 3 2" xfId="9305" xr:uid="{E2280C06-AA31-4A33-BE17-BE26EDC41E27}"/>
    <cellStyle name="Comma 17 2 3 5 2 3 2 2" xfId="9306" xr:uid="{3DD004E9-8AEA-4B32-B161-EC2A6096EF0D}"/>
    <cellStyle name="Comma 17 2 3 5 2 3 3" xfId="9307" xr:uid="{ECA6A571-96FD-4BA9-816B-686406AD7DCD}"/>
    <cellStyle name="Comma 17 2 3 5 2 4" xfId="9309" xr:uid="{9686C4BE-9A78-4140-AE94-C88A05048892}"/>
    <cellStyle name="Comma 17 2 3 5 2 4 2" xfId="9310" xr:uid="{7FDBB560-9772-4988-ACB6-F1BE52772955}"/>
    <cellStyle name="Comma 17 2 3 5 2 5" xfId="9311" xr:uid="{D7422F0E-EE2B-4154-9496-35F3EFE738E9}"/>
    <cellStyle name="Comma 17 2 3 5 3" xfId="9312" xr:uid="{6D659E53-B72A-4966-B3B9-4296DC8E4579}"/>
    <cellStyle name="Comma 17 2 3 5 3 2" xfId="9313" xr:uid="{540EE5C7-539C-4900-9737-55E032DF2F63}"/>
    <cellStyle name="Comma 17 2 3 5 3 2 2" xfId="9314" xr:uid="{207C8389-07DC-4E48-8287-432A13CEDE5A}"/>
    <cellStyle name="Comma 17 2 3 5 3 2 2 2" xfId="9317" xr:uid="{BBA67F41-0334-4BF3-9E59-A5F61F480B8F}"/>
    <cellStyle name="Comma 17 2 3 5 3 2 3" xfId="9318" xr:uid="{92F1108F-6BEB-47C9-8192-DB388BE69764}"/>
    <cellStyle name="Comma 17 2 3 5 3 3" xfId="9320" xr:uid="{B8070AF9-733D-43A2-9357-A2D91D5CD5D0}"/>
    <cellStyle name="Comma 17 2 3 5 3 3 2" xfId="9321" xr:uid="{5E093C4A-E30E-4FD8-8F6E-94B1134EDBBA}"/>
    <cellStyle name="Comma 17 2 3 5 3 4" xfId="9322" xr:uid="{D1167929-BF30-4251-8F9F-82F1FDB6946E}"/>
    <cellStyle name="Comma 17 2 3 5 4" xfId="9323" xr:uid="{729D6E1D-D879-4831-9B27-F42D9CC7B73D}"/>
    <cellStyle name="Comma 17 2 3 5 4 2" xfId="9324" xr:uid="{064A19C8-C337-4F64-BE8F-821D0CD00C16}"/>
    <cellStyle name="Comma 17 2 3 5 4 2 2" xfId="9326" xr:uid="{3DF309C5-17E4-40DF-A0FD-04FF81B5575F}"/>
    <cellStyle name="Comma 17 2 3 5 4 3" xfId="9327" xr:uid="{16D1E204-9B5D-4807-805E-D1F8DB2E2E59}"/>
    <cellStyle name="Comma 17 2 3 5 5" xfId="9328" xr:uid="{0D22D7D9-5D1B-4B3D-A622-0CE09A92E00E}"/>
    <cellStyle name="Comma 17 2 3 5 5 2" xfId="9329" xr:uid="{ECA45EDF-7499-4972-9C64-88C7080185CB}"/>
    <cellStyle name="Comma 17 2 3 5 6" xfId="9330" xr:uid="{264AEF78-1928-4930-B425-2119B814B3E8}"/>
    <cellStyle name="Comma 17 2 3 5 7" xfId="9332" xr:uid="{1D64764C-DD90-46C2-8233-D55E38D2200C}"/>
    <cellStyle name="Comma 17 2 3 6" xfId="9335" xr:uid="{D4A5194A-C56F-4299-B9B5-A74A1800FDE0}"/>
    <cellStyle name="Comma 17 2 3 6 2" xfId="9337" xr:uid="{610D7293-30BF-4421-88A3-4CC74FCC0339}"/>
    <cellStyle name="Comma 17 2 3 6 2 2" xfId="9339" xr:uid="{115C265A-9091-4CAD-947C-A83984BD2B4A}"/>
    <cellStyle name="Comma 17 2 3 6 2 2 2" xfId="9341" xr:uid="{8D618A45-DA44-4485-B53A-7B5AAC1330E8}"/>
    <cellStyle name="Comma 17 2 3 6 2 2 2 2" xfId="9342" xr:uid="{9F94F41B-E701-4EAE-A4D2-E63ECC58571C}"/>
    <cellStyle name="Comma 17 2 3 6 2 2 3" xfId="9347" xr:uid="{133FADC9-29B8-4E9B-B773-7BB20743FD1C}"/>
    <cellStyle name="Comma 17 2 3 6 2 3" xfId="9350" xr:uid="{D7EFB82F-84F6-4E3D-AE12-C7AD50FB5FE6}"/>
    <cellStyle name="Comma 17 2 3 6 2 3 2" xfId="9352" xr:uid="{8E6DCDAA-C533-4D76-B6BE-897E12C022F9}"/>
    <cellStyle name="Comma 17 2 3 6 2 4" xfId="9355" xr:uid="{9037E4F8-3084-4299-AF7C-2A5C740563D5}"/>
    <cellStyle name="Comma 17 2 3 6 3" xfId="9357" xr:uid="{D89D4B02-CC2B-4CF9-BB1B-F44C43EBD7C0}"/>
    <cellStyle name="Comma 17 2 3 6 3 2" xfId="9361" xr:uid="{68E7134E-EA11-4309-A962-714B3F889258}"/>
    <cellStyle name="Comma 17 2 3 6 3 2 2" xfId="9363" xr:uid="{808F6AA4-D6FF-4A27-9C39-C7981DA0E33C}"/>
    <cellStyle name="Comma 17 2 3 6 3 3" xfId="9367" xr:uid="{39D3624A-9134-4061-9ABA-692D8E4208FB}"/>
    <cellStyle name="Comma 17 2 3 6 4" xfId="9369" xr:uid="{562C3D4A-7CA1-472D-A44A-B7AF4019FA5B}"/>
    <cellStyle name="Comma 17 2 3 6 4 2" xfId="9372" xr:uid="{1017850A-5D1B-4E8A-A5C0-274B9D769467}"/>
    <cellStyle name="Comma 17 2 3 6 5" xfId="9374" xr:uid="{CC06AD39-9A85-470B-A93F-B7EA2A73B53E}"/>
    <cellStyle name="Comma 17 2 3 7" xfId="9375" xr:uid="{6BBDA2AB-B4DA-492D-9B54-3B1B459025EE}"/>
    <cellStyle name="Comma 17 2 3 7 2" xfId="9377" xr:uid="{626585D0-C4EF-40CD-B797-95F95D954F68}"/>
    <cellStyle name="Comma 17 2 3 7 2 2" xfId="9380" xr:uid="{CEF826EE-B4CF-44CF-86BB-FFC45F100D50}"/>
    <cellStyle name="Comma 17 2 3 7 2 2 2" xfId="4149" xr:uid="{39FAB2C6-1D09-4DC5-A1B3-BEBC5E0ED0EC}"/>
    <cellStyle name="Comma 17 2 3 7 2 3" xfId="9384" xr:uid="{227C6342-59CE-4E03-BC40-DA5EE6D13A28}"/>
    <cellStyle name="Comma 17 2 3 7 3" xfId="9386" xr:uid="{E8109E64-2C42-44F8-8E02-41175E266D4D}"/>
    <cellStyle name="Comma 17 2 3 7 3 2" xfId="9389" xr:uid="{C9A89AE0-0DB2-45B3-9D24-395026D25510}"/>
    <cellStyle name="Comma 17 2 3 7 4" xfId="9391" xr:uid="{26BA212D-13AD-480C-8A43-E71EC7201E0B}"/>
    <cellStyle name="Comma 17 2 3 8" xfId="9393" xr:uid="{053B6E66-1167-4E83-9D48-F10AA743C2A6}"/>
    <cellStyle name="Comma 17 2 3 8 2" xfId="9395" xr:uid="{EB18BEDD-E505-4559-A4F3-5C9F6EFC450A}"/>
    <cellStyle name="Comma 17 2 3 8 2 2" xfId="9398" xr:uid="{A16785A1-CF7F-49F1-B5F3-75B88A9B8489}"/>
    <cellStyle name="Comma 17 2 3 8 3" xfId="9400" xr:uid="{D5B6A8CB-BC1B-4006-B90E-A7E4985D1F5F}"/>
    <cellStyle name="Comma 17 2 3 9" xfId="9401" xr:uid="{76CCC409-C0EC-4DB1-AB06-E9CBCD0AD7E2}"/>
    <cellStyle name="Comma 17 2 3 9 2" xfId="9403" xr:uid="{0F8FEFED-754C-47B3-B053-B5D820F85EA9}"/>
    <cellStyle name="Comma 17 2 4" xfId="9406" xr:uid="{CA6EE74D-A34A-409D-8A44-5F40852F6849}"/>
    <cellStyle name="Comma 17 2 4 10" xfId="9407" xr:uid="{966D45F6-BCCD-40EE-8F8C-F9B6D6742702}"/>
    <cellStyle name="Comma 17 2 4 2" xfId="9409" xr:uid="{4C8A8CC1-DD3B-4E9C-ADBC-48BD13CE6277}"/>
    <cellStyle name="Comma 17 2 4 2 2" xfId="9411" xr:uid="{DB539965-6A58-4CB8-ABF0-9F239B95783C}"/>
    <cellStyle name="Comma 17 2 4 2 2 2" xfId="9415" xr:uid="{CB153438-2B74-492A-8DE7-A739458C7E2C}"/>
    <cellStyle name="Comma 17 2 4 2 2 2 2" xfId="9417" xr:uid="{0B4FAD46-0393-4D99-8ECD-EF3C7A168037}"/>
    <cellStyle name="Comma 17 2 4 2 2 2 2 2" xfId="9419" xr:uid="{87D44BD5-0DC0-48CA-8965-82C0BC4696C1}"/>
    <cellStyle name="Comma 17 2 4 2 2 2 2 2 2" xfId="9421" xr:uid="{2DA805E3-DF00-4225-B2C9-9039664FF57D}"/>
    <cellStyle name="Comma 17 2 4 2 2 2 2 2 2 2" xfId="9423" xr:uid="{92767DEF-7C39-4F18-B312-716098734C81}"/>
    <cellStyle name="Comma 17 2 4 2 2 2 2 2 2 2 2" xfId="9425" xr:uid="{697CDC96-11A9-46AD-A24E-C7F630177A89}"/>
    <cellStyle name="Comma 17 2 4 2 2 2 2 2 2 3" xfId="9426" xr:uid="{49E11087-F542-4C57-A617-631B6ADE4FE5}"/>
    <cellStyle name="Comma 17 2 4 2 2 2 2 2 3" xfId="9429" xr:uid="{EC6176DA-27DD-474C-8746-4C5FD8C383BA}"/>
    <cellStyle name="Comma 17 2 4 2 2 2 2 2 3 2" xfId="9430" xr:uid="{BD7A98E3-95D9-4611-A35C-4A70500D0A9B}"/>
    <cellStyle name="Comma 17 2 4 2 2 2 2 2 4" xfId="9431" xr:uid="{AC67A936-8E50-4117-A0FC-1D6BD6C34AC4}"/>
    <cellStyle name="Comma 17 2 4 2 2 2 2 3" xfId="9434" xr:uid="{43CD2411-03CA-4C99-B819-C96DE605B299}"/>
    <cellStyle name="Comma 17 2 4 2 2 2 2 3 2" xfId="2270" xr:uid="{5DD50127-8AAD-40B9-82A0-3681E7C28A3F}"/>
    <cellStyle name="Comma 17 2 4 2 2 2 2 3 2 2" xfId="9435" xr:uid="{B0D6CAE1-26C9-4DBD-929F-4B77EDF12F6B}"/>
    <cellStyle name="Comma 17 2 4 2 2 2 2 3 3" xfId="9436" xr:uid="{CE908F52-B6B8-4332-8CD1-C1F5B681B719}"/>
    <cellStyle name="Comma 17 2 4 2 2 2 2 4" xfId="9440" xr:uid="{E99D0F14-446A-4068-A801-BEB2035E305F}"/>
    <cellStyle name="Comma 17 2 4 2 2 2 2 4 2" xfId="9441" xr:uid="{0E12A660-AB8B-44E1-8CB8-866325123094}"/>
    <cellStyle name="Comma 17 2 4 2 2 2 2 5" xfId="9442" xr:uid="{4BB29B1C-F0E3-42E5-83CA-65E45F1A4A2D}"/>
    <cellStyle name="Comma 17 2 4 2 2 2 3" xfId="9444" xr:uid="{58382FEA-56A9-4E0C-B400-0B41B3B5864A}"/>
    <cellStyle name="Comma 17 2 4 2 2 2 3 2" xfId="9446" xr:uid="{CA5C6351-A5AF-4972-94D4-F8DF82911823}"/>
    <cellStyle name="Comma 17 2 4 2 2 2 3 2 2" xfId="9448" xr:uid="{4B52C395-FD7E-44D7-AA61-86F40F06C3B2}"/>
    <cellStyle name="Comma 17 2 4 2 2 2 3 2 2 2" xfId="9449" xr:uid="{049DAFC5-4B7B-4DD9-B72B-D8B7FB5B7295}"/>
    <cellStyle name="Comma 17 2 4 2 2 2 3 2 3" xfId="9450" xr:uid="{A97B8E92-3062-473A-A999-C843487BB036}"/>
    <cellStyle name="Comma 17 2 4 2 2 2 3 3" xfId="9452" xr:uid="{8FB88F94-6211-4F9E-8F7D-2E947AC8FCED}"/>
    <cellStyle name="Comma 17 2 4 2 2 2 3 3 2" xfId="9453" xr:uid="{47A93E7D-2CA2-4844-9806-900C04D9F824}"/>
    <cellStyle name="Comma 17 2 4 2 2 2 3 4" xfId="9455" xr:uid="{7F66706E-3925-4633-94CD-51463EE72016}"/>
    <cellStyle name="Comma 17 2 4 2 2 2 4" xfId="5031" xr:uid="{9AF0EA47-8CDF-4B1D-B660-F0D3AB26A2CC}"/>
    <cellStyle name="Comma 17 2 4 2 2 2 4 2" xfId="5038" xr:uid="{A0C78241-6E20-459E-890B-8F82FF4C51CF}"/>
    <cellStyle name="Comma 17 2 4 2 2 2 4 2 2" xfId="4487" xr:uid="{142C26B2-099E-4C93-BF50-513A19824911}"/>
    <cellStyle name="Comma 17 2 4 2 2 2 4 3" xfId="5041" xr:uid="{5C6CA541-4FBB-41CD-BEE8-F1F0D5619822}"/>
    <cellStyle name="Comma 17 2 4 2 2 2 5" xfId="3938" xr:uid="{2A671C80-B19C-4B2D-A933-282387E6C755}"/>
    <cellStyle name="Comma 17 2 4 2 2 2 5 2" xfId="3944" xr:uid="{E6AFA3D6-29AC-4C45-A0A4-F1A6ACDB35D2}"/>
    <cellStyle name="Comma 17 2 4 2 2 2 6" xfId="3952" xr:uid="{07BD9B2C-32FD-4A36-9831-E3B714A714E5}"/>
    <cellStyle name="Comma 17 2 4 2 2 2 7" xfId="9457" xr:uid="{1F80B231-4880-45CB-BFAB-07188869E65E}"/>
    <cellStyle name="Comma 17 2 4 2 2 3" xfId="9461" xr:uid="{49736AEA-5D90-4992-A1B3-97DBB58266BE}"/>
    <cellStyle name="Comma 17 2 4 2 2 3 2" xfId="9463" xr:uid="{006DEC6C-3B31-4685-9B27-FC5E4F627CBA}"/>
    <cellStyle name="Comma 17 2 4 2 2 3 2 2" xfId="9465" xr:uid="{1CE8FF87-81EE-4072-A900-CAB8EB4C0065}"/>
    <cellStyle name="Comma 17 2 4 2 2 3 2 2 2" xfId="9467" xr:uid="{C22F40CD-E02A-4F7B-A1D5-831DC6BD77B2}"/>
    <cellStyle name="Comma 17 2 4 2 2 3 2 2 2 2" xfId="9468" xr:uid="{F851D799-54E8-4B33-92DD-753EA0BA98D8}"/>
    <cellStyle name="Comma 17 2 4 2 2 3 2 2 3" xfId="9469" xr:uid="{8A50C230-54A8-4DF1-B559-B791BFE81BE5}"/>
    <cellStyle name="Comma 17 2 4 2 2 3 2 3" xfId="9471" xr:uid="{209F8944-3C4D-47A7-9FCC-C381BF322A14}"/>
    <cellStyle name="Comma 17 2 4 2 2 3 2 3 2" xfId="9472" xr:uid="{EC95A29C-E329-400D-A82C-9CD00245E1C4}"/>
    <cellStyle name="Comma 17 2 4 2 2 3 2 4" xfId="9474" xr:uid="{3146F7F0-88C7-4E72-8C5A-E53918943033}"/>
    <cellStyle name="Comma 17 2 4 2 2 3 3" xfId="9476" xr:uid="{1EC774CF-C7C9-4354-BC23-876BFDEFF0BE}"/>
    <cellStyle name="Comma 17 2 4 2 2 3 3 2" xfId="9478" xr:uid="{3A9E5F6B-1D84-475C-A9AE-B3CC5EF9105C}"/>
    <cellStyle name="Comma 17 2 4 2 2 3 3 2 2" xfId="9479" xr:uid="{3B5D4E4D-C429-4A42-BD67-638AE225C419}"/>
    <cellStyle name="Comma 17 2 4 2 2 3 3 3" xfId="9480" xr:uid="{F2FDB729-B6D1-42C2-961C-72073F2A1244}"/>
    <cellStyle name="Comma 17 2 4 2 2 3 4" xfId="5047" xr:uid="{F2F83016-3D6D-4194-BB75-7B77C9896CFE}"/>
    <cellStyle name="Comma 17 2 4 2 2 3 4 2" xfId="5050" xr:uid="{A9518676-F4AF-495D-838D-48A9A9059F70}"/>
    <cellStyle name="Comma 17 2 4 2 2 3 5" xfId="3960" xr:uid="{3892CFE8-5856-4AA4-90C8-3116835D8711}"/>
    <cellStyle name="Comma 17 2 4 2 2 4" xfId="9484" xr:uid="{73F45A7C-B4F3-4AF9-88EB-7D13AA8CEC00}"/>
    <cellStyle name="Comma 17 2 4 2 2 4 2" xfId="9486" xr:uid="{E75E47A7-F6B8-4F31-8C9A-E37265D54EC3}"/>
    <cellStyle name="Comma 17 2 4 2 2 4 2 2" xfId="9490" xr:uid="{5580E253-746B-4469-A769-5992BF7C9F61}"/>
    <cellStyle name="Comma 17 2 4 2 2 4 2 2 2" xfId="9493" xr:uid="{BB6C6C89-F808-408F-99B6-E9881AA188F5}"/>
    <cellStyle name="Comma 17 2 4 2 2 4 2 3" xfId="9494" xr:uid="{4F009639-9A69-4F85-87CF-CD8A81AB0EE4}"/>
    <cellStyle name="Comma 17 2 4 2 2 4 3" xfId="9497" xr:uid="{DE936871-1F29-4B3E-8C4A-531A23D8AFD9}"/>
    <cellStyle name="Comma 17 2 4 2 2 4 3 2" xfId="9499" xr:uid="{1A63474E-AA11-4147-BF5B-18B466A4636B}"/>
    <cellStyle name="Comma 17 2 4 2 2 4 4" xfId="5055" xr:uid="{279C7944-3DFF-4FBE-99CF-58851CD8CCCD}"/>
    <cellStyle name="Comma 17 2 4 2 2 5" xfId="9503" xr:uid="{98A57DFD-CF14-46A4-A715-21F5A0004DE5}"/>
    <cellStyle name="Comma 17 2 4 2 2 5 2" xfId="9507" xr:uid="{D24E8700-1E7C-489F-8064-91E01C3EDDD2}"/>
    <cellStyle name="Comma 17 2 4 2 2 5 2 2" xfId="9510" xr:uid="{F64B9275-9156-414B-A1FD-5D205C4B4960}"/>
    <cellStyle name="Comma 17 2 4 2 2 5 3" xfId="9515" xr:uid="{41200461-6B73-4D30-9EF3-E28BC96BCD00}"/>
    <cellStyle name="Comma 17 2 4 2 2 6" xfId="9520" xr:uid="{39DE0D40-BF42-49E0-A033-98DB7C61E9F3}"/>
    <cellStyle name="Comma 17 2 4 2 2 6 2" xfId="9523" xr:uid="{1F1F6EA8-20EB-4CC9-BEBC-41671AACB874}"/>
    <cellStyle name="Comma 17 2 4 2 2 7" xfId="9524" xr:uid="{479E02FE-DC45-4AD5-A95E-50C1E633E259}"/>
    <cellStyle name="Comma 17 2 4 2 2 8" xfId="9536" xr:uid="{3F76E15B-335F-40AE-ABCC-024D5A821484}"/>
    <cellStyle name="Comma 17 2 4 2 3" xfId="9537" xr:uid="{86F0675C-3208-44F6-AB46-01D3CE3EA0A1}"/>
    <cellStyle name="Comma 17 2 4 2 3 2" xfId="9539" xr:uid="{290DE0C9-761B-4B4E-841A-5FDA71F310B0}"/>
    <cellStyle name="Comma 17 2 4 2 3 2 2" xfId="9543" xr:uid="{9A5794F1-455F-4DF4-8851-033E0AF15326}"/>
    <cellStyle name="Comma 17 2 4 2 3 2 2 2" xfId="9545" xr:uid="{F4EB4A5D-8AB0-43FA-BC2E-CAC15FDC991D}"/>
    <cellStyle name="Comma 17 2 4 2 3 2 2 2 2" xfId="9548" xr:uid="{1DC2C910-2C5C-4290-AB30-B43CFB1D49C0}"/>
    <cellStyle name="Comma 17 2 4 2 3 2 2 2 2 2" xfId="9550" xr:uid="{E6AD0D31-2034-4BBC-AB54-712F0DDF35B6}"/>
    <cellStyle name="Comma 17 2 4 2 3 2 2 2 3" xfId="9551" xr:uid="{F29A6A39-E7D1-492F-B3BA-1A14798B1FCA}"/>
    <cellStyle name="Comma 17 2 4 2 3 2 2 3" xfId="9553" xr:uid="{7BAD3FFE-A507-4F96-A063-6A3D0DCBA3E6}"/>
    <cellStyle name="Comma 17 2 4 2 3 2 2 3 2" xfId="9554" xr:uid="{0206AB8D-3F2E-44E9-8B75-A665044BEB2B}"/>
    <cellStyle name="Comma 17 2 4 2 3 2 2 4" xfId="9557" xr:uid="{BFC002FB-EE07-4D72-AE63-4BBC313BACBF}"/>
    <cellStyle name="Comma 17 2 4 2 3 2 3" xfId="9559" xr:uid="{20E8A327-082B-496E-950A-DE56C753175E}"/>
    <cellStyle name="Comma 17 2 4 2 3 2 3 2" xfId="9561" xr:uid="{397B262E-2842-40B6-BDA9-9CE47A244684}"/>
    <cellStyle name="Comma 17 2 4 2 3 2 3 2 2" xfId="9563" xr:uid="{F929C936-80EE-4F3C-9007-937441E542FB}"/>
    <cellStyle name="Comma 17 2 4 2 3 2 3 3" xfId="9564" xr:uid="{3DBA82EA-0494-4903-A0E2-3B658A298F57}"/>
    <cellStyle name="Comma 17 2 4 2 3 2 4" xfId="5119" xr:uid="{67A1B43B-FA92-40EC-ADE1-4880F76A4E68}"/>
    <cellStyle name="Comma 17 2 4 2 3 2 4 2" xfId="5126" xr:uid="{F041CDE0-EF2E-4626-A45F-3E7590123F67}"/>
    <cellStyle name="Comma 17 2 4 2 3 2 5" xfId="3976" xr:uid="{B81B0839-CA6C-4A5D-9556-6F13962DCBBD}"/>
    <cellStyle name="Comma 17 2 4 2 3 3" xfId="9566" xr:uid="{6234014A-49D1-44C2-A8B9-B4D3EB0FC7B5}"/>
    <cellStyle name="Comma 17 2 4 2 3 3 2" xfId="9569" xr:uid="{B0BD0949-9FEA-4C03-9815-9810C0BFA70E}"/>
    <cellStyle name="Comma 17 2 4 2 3 3 2 2" xfId="9571" xr:uid="{1F016D2A-A7F1-4AE8-8D63-C11E0B86AC14}"/>
    <cellStyle name="Comma 17 2 4 2 3 3 2 2 2" xfId="9572" xr:uid="{76D98CC3-0F19-4A57-B5F9-4B909A26F37E}"/>
    <cellStyle name="Comma 17 2 4 2 3 3 2 3" xfId="9573" xr:uid="{373A0BE2-A659-4C92-B980-8232E57A6E24}"/>
    <cellStyle name="Comma 17 2 4 2 3 3 3" xfId="9575" xr:uid="{501DBB3B-F0C4-4FE8-A7E3-E97F22DA28D7}"/>
    <cellStyle name="Comma 17 2 4 2 3 3 3 2" xfId="9576" xr:uid="{B0738859-B839-4E15-A53F-F78E8A4EC5DD}"/>
    <cellStyle name="Comma 17 2 4 2 3 3 4" xfId="5133" xr:uid="{CBF6BA73-1696-410A-80BA-ECDC898CA831}"/>
    <cellStyle name="Comma 17 2 4 2 3 4" xfId="9578" xr:uid="{EA30BDC5-9FFE-401E-BC9B-C5E0BA776AC2}"/>
    <cellStyle name="Comma 17 2 4 2 3 4 2" xfId="9580" xr:uid="{573A9B47-CDEC-4FA7-84BC-52EC9E9166B3}"/>
    <cellStyle name="Comma 17 2 4 2 3 4 2 2" xfId="9582" xr:uid="{C613CA6B-5096-465A-B65C-7A9B52202C06}"/>
    <cellStyle name="Comma 17 2 4 2 3 4 3" xfId="9584" xr:uid="{079967A0-6BB9-4513-B08A-EE3BFA038FEE}"/>
    <cellStyle name="Comma 17 2 4 2 3 5" xfId="9587" xr:uid="{4B52EBF1-45A2-4476-92F3-E50B43285E3B}"/>
    <cellStyle name="Comma 17 2 4 2 3 5 2" xfId="9591" xr:uid="{35EAC91B-01E8-4382-9D62-D39C4FDE5C98}"/>
    <cellStyle name="Comma 17 2 4 2 3 6" xfId="9594" xr:uid="{D6A41E55-1986-4875-84C2-23502A69A522}"/>
    <cellStyle name="Comma 17 2 4 2 3 7" xfId="9597" xr:uid="{4F166033-A075-4C54-9A6C-7C8AA8AB4FDC}"/>
    <cellStyle name="Comma 17 2 4 2 4" xfId="9598" xr:uid="{DE3E8B01-5141-473F-BB34-0A417D29A8B0}"/>
    <cellStyle name="Comma 17 2 4 2 4 2" xfId="9600" xr:uid="{24CAFC46-34EB-4866-8AB4-B1FA8E04A487}"/>
    <cellStyle name="Comma 17 2 4 2 4 2 2" xfId="9603" xr:uid="{1C808C3C-FEE8-4C79-B24F-E71EED5EABB2}"/>
    <cellStyle name="Comma 17 2 4 2 4 2 2 2" xfId="4806" xr:uid="{AF8777B0-11C8-4847-BD4D-53219B41A1DB}"/>
    <cellStyle name="Comma 17 2 4 2 4 2 2 2 2" xfId="7403" xr:uid="{9D1DC655-5B1C-4142-BBDB-969FD9AC516D}"/>
    <cellStyle name="Comma 17 2 4 2 4 2 2 3" xfId="7407" xr:uid="{97A575D8-9310-4222-ABE2-AF832149EE94}"/>
    <cellStyle name="Comma 17 2 4 2 4 2 3" xfId="9605" xr:uid="{4580A521-1F83-44DC-93A7-C80AFD656DA7}"/>
    <cellStyle name="Comma 17 2 4 2 4 2 3 2" xfId="7451" xr:uid="{CAE494CF-6B57-4F35-8EE7-AB6579164CD7}"/>
    <cellStyle name="Comma 17 2 4 2 4 2 4" xfId="5199" xr:uid="{54FA8F8D-C7D1-4292-A91A-9A91D89FB611}"/>
    <cellStyle name="Comma 17 2 4 2 4 3" xfId="9607" xr:uid="{5E32680A-3648-4BBE-B621-EEF635C6F8EE}"/>
    <cellStyle name="Comma 17 2 4 2 4 3 2" xfId="9609" xr:uid="{A7B0B56F-9B80-4817-AD87-FACCE904A852}"/>
    <cellStyle name="Comma 17 2 4 2 4 3 2 2" xfId="7539" xr:uid="{4CC4C239-1D1B-4CEE-99B3-4C1C8B5C39B7}"/>
    <cellStyle name="Comma 17 2 4 2 4 3 3" xfId="9610" xr:uid="{221DABB6-0351-4305-A9C7-E8C3967A75F0}"/>
    <cellStyle name="Comma 17 2 4 2 4 4" xfId="9612" xr:uid="{C598EF74-F79A-4B92-AD45-3E8684435BAD}"/>
    <cellStyle name="Comma 17 2 4 2 4 4 2" xfId="9615" xr:uid="{37911550-0E73-4365-8D7B-40B55BC08727}"/>
    <cellStyle name="Comma 17 2 4 2 4 5" xfId="9617" xr:uid="{4D0A64E4-E5BA-4BD6-AEBF-495B09466C63}"/>
    <cellStyle name="Comma 17 2 4 2 5" xfId="8688" xr:uid="{7AF79A08-3357-483A-AF74-A0E8C9F4C736}"/>
    <cellStyle name="Comma 17 2 4 2 5 2" xfId="9619" xr:uid="{4BB617D8-E5FF-414D-83E7-516C4EED3C30}"/>
    <cellStyle name="Comma 17 2 4 2 5 2 2" xfId="9626" xr:uid="{7E2C0A72-5E6E-4A30-AAAE-BE3370497C34}"/>
    <cellStyle name="Comma 17 2 4 2 5 2 2 2" xfId="7665" xr:uid="{68AAF414-72A0-45A6-A9E7-65CC6E330FAF}"/>
    <cellStyle name="Comma 17 2 4 2 5 2 3" xfId="9634" xr:uid="{6C1982F0-59CA-4C3A-A356-9A92D2EA8D5D}"/>
    <cellStyle name="Comma 17 2 4 2 5 3" xfId="9636" xr:uid="{B74BBC17-B93C-4E63-A8B7-FA5DF121B943}"/>
    <cellStyle name="Comma 17 2 4 2 5 3 2" xfId="9645" xr:uid="{37410100-5F41-4011-9E98-F4CE8384915E}"/>
    <cellStyle name="Comma 17 2 4 2 5 4" xfId="9646" xr:uid="{05DDED93-2CA0-4C4A-A115-303939108E31}"/>
    <cellStyle name="Comma 17 2 4 2 6" xfId="9648" xr:uid="{C610079C-DC94-4E7B-BCD2-ECBEBBA138AB}"/>
    <cellStyle name="Comma 17 2 4 2 6 2" xfId="9651" xr:uid="{323EADB4-E885-4DA0-B586-B0DB79E782C1}"/>
    <cellStyle name="Comma 17 2 4 2 6 2 2" xfId="9655" xr:uid="{1037AE29-65C6-483A-A3A0-E172C935DB8F}"/>
    <cellStyle name="Comma 17 2 4 2 6 3" xfId="9657" xr:uid="{45A32BDA-BAF2-4D53-8CEB-26EAA7D8D6F5}"/>
    <cellStyle name="Comma 17 2 4 2 7" xfId="9659" xr:uid="{2AE5F54D-871E-432C-B9AE-CCD080284518}"/>
    <cellStyle name="Comma 17 2 4 2 7 2" xfId="9663" xr:uid="{0BA77A75-332B-406B-9A3E-93384E6A51A0}"/>
    <cellStyle name="Comma 17 2 4 2 8" xfId="9665" xr:uid="{FE941812-B7FC-4DD0-843B-E543291CD2F3}"/>
    <cellStyle name="Comma 17 2 4 2 9" xfId="9667" xr:uid="{88F250E6-2BD9-4A7E-A65E-14DC2A05E130}"/>
    <cellStyle name="Comma 17 2 4 3" xfId="9669" xr:uid="{1DA8EF3F-BEB2-4B4B-BC16-B2AA0852C0D8}"/>
    <cellStyle name="Comma 17 2 4 3 2" xfId="9671" xr:uid="{F79E2D55-8EEB-4166-82C2-FBE5B212450D}"/>
    <cellStyle name="Comma 17 2 4 3 2 2" xfId="9674" xr:uid="{4C03E91B-70C2-42AA-924B-19BDF146D267}"/>
    <cellStyle name="Comma 17 2 4 3 2 2 2" xfId="9676" xr:uid="{9E60CAD6-DAE8-4B3A-BEBE-6BDDFA7FD90C}"/>
    <cellStyle name="Comma 17 2 4 3 2 2 2 2" xfId="9682" xr:uid="{424B8127-CB5D-42A6-BB54-85CF70AFBA1F}"/>
    <cellStyle name="Comma 17 2 4 3 2 2 2 2 2" xfId="9688" xr:uid="{DA9D89FD-855C-4F65-BBE3-480BC287C913}"/>
    <cellStyle name="Comma 17 2 4 3 2 2 2 2 2 2" xfId="9689" xr:uid="{664A1A4F-5E7E-49C5-A3DA-217988D28BB4}"/>
    <cellStyle name="Comma 17 2 4 3 2 2 2 2 3" xfId="9690" xr:uid="{99AF6B1A-CB1B-4787-8707-A4D0A1FF2E7D}"/>
    <cellStyle name="Comma 17 2 4 3 2 2 2 3" xfId="9697" xr:uid="{E918F416-4C0E-4AD0-AC61-812187B388CE}"/>
    <cellStyle name="Comma 17 2 4 3 2 2 2 3 2" xfId="9700" xr:uid="{CDF8C57A-7FE6-41B0-B750-3889F90FBED4}"/>
    <cellStyle name="Comma 17 2 4 3 2 2 2 4" xfId="9705" xr:uid="{605C54F1-267B-4FB6-91C7-44FFC714B024}"/>
    <cellStyle name="Comma 17 2 4 3 2 2 3" xfId="9708" xr:uid="{E5836041-1809-4F83-B118-457A231E5F6C}"/>
    <cellStyle name="Comma 17 2 4 3 2 2 3 2" xfId="9714" xr:uid="{B4DFB54F-CE83-49E6-9C0B-A1FB1B81AC50}"/>
    <cellStyle name="Comma 17 2 4 3 2 2 3 2 2" xfId="9715" xr:uid="{1A2D06D9-7F3A-4794-A3C2-635925D586CD}"/>
    <cellStyle name="Comma 17 2 4 3 2 2 3 3" xfId="9722" xr:uid="{65E2D570-7E66-415D-A434-19FD399A08BB}"/>
    <cellStyle name="Comma 17 2 4 3 2 2 4" xfId="5269" xr:uid="{80ECCB5B-98C7-4E57-B5BB-3B7DA5EA56DE}"/>
    <cellStyle name="Comma 17 2 4 3 2 2 4 2" xfId="5277" xr:uid="{1AB5CF6E-A57E-49D8-94FA-1B13E3D60588}"/>
    <cellStyle name="Comma 17 2 4 3 2 2 5" xfId="4014" xr:uid="{9ED512A4-C755-48EC-99CA-3EFCBE4B058E}"/>
    <cellStyle name="Comma 17 2 4 3 2 3" xfId="9724" xr:uid="{9F29240F-F88C-481B-A331-22F5104B08E8}"/>
    <cellStyle name="Comma 17 2 4 3 2 3 2" xfId="9726" xr:uid="{1B9264A5-8FCD-4183-A2B7-68AF5210480A}"/>
    <cellStyle name="Comma 17 2 4 3 2 3 2 2" xfId="9728" xr:uid="{2D403684-7C2D-4ED2-8503-130932118F88}"/>
    <cellStyle name="Comma 17 2 4 3 2 3 2 2 2" xfId="9730" xr:uid="{A89FC55B-3FF7-45E7-AF60-65E8227ED716}"/>
    <cellStyle name="Comma 17 2 4 3 2 3 2 3" xfId="9731" xr:uid="{909465C4-3635-4195-9AB8-E975411BAF58}"/>
    <cellStyle name="Comma 17 2 4 3 2 3 3" xfId="9733" xr:uid="{E8324E3D-936A-4621-A85C-5EE3DF20C467}"/>
    <cellStyle name="Comma 17 2 4 3 2 3 3 2" xfId="9734" xr:uid="{29C2F67F-471A-4559-B5EF-018C6AA06FC2}"/>
    <cellStyle name="Comma 17 2 4 3 2 3 4" xfId="5280" xr:uid="{94557074-0F38-463A-972C-F814E584612E}"/>
    <cellStyle name="Comma 17 2 4 3 2 4" xfId="9736" xr:uid="{04DC4487-317A-4A30-9846-D6840D762B4A}"/>
    <cellStyle name="Comma 17 2 4 3 2 4 2" xfId="9738" xr:uid="{61502A32-D549-4DF4-9E21-22C7A0F3867A}"/>
    <cellStyle name="Comma 17 2 4 3 2 4 2 2" xfId="9739" xr:uid="{D607EC30-6837-4264-8A72-8924F4597DC6}"/>
    <cellStyle name="Comma 17 2 4 3 2 4 3" xfId="9742" xr:uid="{A992F56D-2F55-426A-84FF-7C06EEB39F40}"/>
    <cellStyle name="Comma 17 2 4 3 2 5" xfId="9744" xr:uid="{A15E38E2-251B-4707-A88C-68CE7F0B3595}"/>
    <cellStyle name="Comma 17 2 4 3 2 5 2" xfId="9747" xr:uid="{75D304A6-2E3D-4A94-BC20-0A0F76F014D2}"/>
    <cellStyle name="Comma 17 2 4 3 2 6" xfId="9749" xr:uid="{1FDF534A-B963-46F7-A6F2-94BDEAD37700}"/>
    <cellStyle name="Comma 17 2 4 3 2 7" xfId="9754" xr:uid="{8CBED6D0-D077-4C65-89C4-221EE5C26F26}"/>
    <cellStyle name="Comma 17 2 4 3 3" xfId="9755" xr:uid="{0D6A60A6-F59A-4B38-A153-D7F7D7CC6293}"/>
    <cellStyle name="Comma 17 2 4 3 3 2" xfId="9757" xr:uid="{88BFA51C-AFA3-4FD5-8AAD-287CE31415BB}"/>
    <cellStyle name="Comma 17 2 4 3 3 2 2" xfId="9759" xr:uid="{BCE603D4-C31A-43B1-9BD4-F1E642CA473D}"/>
    <cellStyle name="Comma 17 2 4 3 3 2 2 2" xfId="9761" xr:uid="{7650BE92-13BF-4989-9121-E36672A49E0A}"/>
    <cellStyle name="Comma 17 2 4 3 3 2 2 2 2" xfId="9762" xr:uid="{3CAABDF1-E9FC-4EA5-8122-DEDAA05FDD04}"/>
    <cellStyle name="Comma 17 2 4 3 3 2 2 3" xfId="9763" xr:uid="{9541FAEC-9898-46AB-9035-3DD372504668}"/>
    <cellStyle name="Comma 17 2 4 3 3 2 3" xfId="9765" xr:uid="{CF7E1478-2DA7-4C09-99E8-19A403C35D48}"/>
    <cellStyle name="Comma 17 2 4 3 3 2 3 2" xfId="9766" xr:uid="{1F5641FD-161C-400E-9E72-DDA76E49F0E5}"/>
    <cellStyle name="Comma 17 2 4 3 3 2 4" xfId="5320" xr:uid="{8E753EEF-6ABC-4944-A749-61CD00F4825D}"/>
    <cellStyle name="Comma 17 2 4 3 3 3" xfId="9768" xr:uid="{48F798E4-4EE8-4FE8-9192-5A59644DF7F0}"/>
    <cellStyle name="Comma 17 2 4 3 3 3 2" xfId="9770" xr:uid="{E43BDDFA-46D3-4B63-B28A-2058C4EE52F5}"/>
    <cellStyle name="Comma 17 2 4 3 3 3 2 2" xfId="9771" xr:uid="{004418CA-ABCD-4C12-9BB2-9C6075F701A0}"/>
    <cellStyle name="Comma 17 2 4 3 3 3 3" xfId="9772" xr:uid="{2BE135F2-BEDF-4B6A-8C2C-E09FCF65771F}"/>
    <cellStyle name="Comma 17 2 4 3 3 4" xfId="9774" xr:uid="{79A69C35-A090-46F7-A6D8-7E978FADF9AE}"/>
    <cellStyle name="Comma 17 2 4 3 3 4 2" xfId="9775" xr:uid="{B6A33309-36AB-4B26-8118-CA29D1F04DFB}"/>
    <cellStyle name="Comma 17 2 4 3 3 5" xfId="9777" xr:uid="{83BA4B73-5D27-4473-9E61-0848357BC0AD}"/>
    <cellStyle name="Comma 17 2 4 3 4" xfId="9778" xr:uid="{2B8C9685-6086-49AB-AE31-8CD7A640FB66}"/>
    <cellStyle name="Comma 17 2 4 3 4 2" xfId="9780" xr:uid="{98655CAA-6AF1-4CB0-9019-21908A5DED06}"/>
    <cellStyle name="Comma 17 2 4 3 4 2 2" xfId="9785" xr:uid="{045FBC4E-FA17-4AE4-9AE0-479D5C63B07A}"/>
    <cellStyle name="Comma 17 2 4 3 4 2 2 2" xfId="8011" xr:uid="{49A68570-0EEC-41F5-ADC3-29070C9135C5}"/>
    <cellStyle name="Comma 17 2 4 3 4 2 3" xfId="9789" xr:uid="{D9B1361D-4655-4478-8E3F-3FF8AA8281FE}"/>
    <cellStyle name="Comma 17 2 4 3 4 3" xfId="9791" xr:uid="{38CF4C79-8A08-40C6-A98B-FC97AD652769}"/>
    <cellStyle name="Comma 17 2 4 3 4 3 2" xfId="9796" xr:uid="{05DA0618-F2A0-4D2B-AB07-933B10CA8017}"/>
    <cellStyle name="Comma 17 2 4 3 4 4" xfId="9797" xr:uid="{2ED61D52-C4E6-43B2-A0D5-684760C6FC7B}"/>
    <cellStyle name="Comma 17 2 4 3 5" xfId="9798" xr:uid="{0D35DB14-09A6-4389-98F8-A5A6CAB1A75C}"/>
    <cellStyle name="Comma 17 2 4 3 5 2" xfId="9800" xr:uid="{67F7F8A4-010A-4886-BF05-90E70974F234}"/>
    <cellStyle name="Comma 17 2 4 3 5 2 2" xfId="9804" xr:uid="{28E42DA8-DA8E-4004-8FB5-AB36582BB16A}"/>
    <cellStyle name="Comma 17 2 4 3 5 3" xfId="9805" xr:uid="{CF8B7B1C-9307-4FF9-ABB7-2CE32EFC8BF1}"/>
    <cellStyle name="Comma 17 2 4 3 6" xfId="9807" xr:uid="{C2E29519-7D06-46BA-8689-6BDACDCE71BB}"/>
    <cellStyle name="Comma 17 2 4 3 6 2" xfId="9810" xr:uid="{2D3E82D5-F39F-4337-B62E-505A410342C1}"/>
    <cellStyle name="Comma 17 2 4 3 7" xfId="9813" xr:uid="{09CA4EE6-13CC-49C5-A09B-D0D1EC5EF8C6}"/>
    <cellStyle name="Comma 17 2 4 3 8" xfId="9816" xr:uid="{724019C6-8735-4C2D-8956-72C0095A4486}"/>
    <cellStyle name="Comma 17 2 4 4" xfId="9819" xr:uid="{75C81D8F-326C-4E9E-98F9-3BF918E3B0FF}"/>
    <cellStyle name="Comma 17 2 4 4 2" xfId="9820" xr:uid="{DF9877B5-874C-4A5C-883C-47AF63133448}"/>
    <cellStyle name="Comma 17 2 4 4 2 2" xfId="9822" xr:uid="{90C8C005-CEB1-422B-BB7A-835D6F6BF9BA}"/>
    <cellStyle name="Comma 17 2 4 4 2 2 2" xfId="9824" xr:uid="{279AC511-46C8-4F14-B2A9-24410A3C0639}"/>
    <cellStyle name="Comma 17 2 4 4 2 2 2 2" xfId="9826" xr:uid="{340349A8-0FEA-4A4C-9C51-EB619BC0146D}"/>
    <cellStyle name="Comma 17 2 4 4 2 2 2 2 2" xfId="1526" xr:uid="{06D6B293-66AD-42C3-8E1D-1A8D11A3AFA8}"/>
    <cellStyle name="Comma 17 2 4 4 2 2 2 3" xfId="9828" xr:uid="{71D0852A-0BE2-4486-B934-CA2AFE4E9DC5}"/>
    <cellStyle name="Comma 17 2 4 4 2 2 3" xfId="9831" xr:uid="{F8D0561C-4053-4DEE-997F-6A93C57D7F70}"/>
    <cellStyle name="Comma 17 2 4 4 2 2 3 2" xfId="9832" xr:uid="{5159D753-F1F9-495D-B3C5-B8359BF64ED5}"/>
    <cellStyle name="Comma 17 2 4 4 2 2 4" xfId="5389" xr:uid="{929E65C5-282C-411E-965D-DFB0988E5494}"/>
    <cellStyle name="Comma 17 2 4 4 2 3" xfId="9834" xr:uid="{F7794696-13C7-4EBC-858B-1C5A6CAFDC13}"/>
    <cellStyle name="Comma 17 2 4 4 2 3 2" xfId="9836" xr:uid="{87292E31-30EF-4D66-BBC5-9C5920253F84}"/>
    <cellStyle name="Comma 17 2 4 4 2 3 2 2" xfId="7908" xr:uid="{38359D5E-9933-42D3-90F2-41BCDBD25ABD}"/>
    <cellStyle name="Comma 17 2 4 4 2 3 3" xfId="9837" xr:uid="{891B7917-1927-4FA8-92BB-579EAE8B5AFA}"/>
    <cellStyle name="Comma 17 2 4 4 2 4" xfId="9839" xr:uid="{24058289-BFF4-4BB9-AFA8-F891D3AC6C12}"/>
    <cellStyle name="Comma 17 2 4 4 2 4 2" xfId="9840" xr:uid="{469B8363-0D15-4276-8154-8F118E2A27E0}"/>
    <cellStyle name="Comma 17 2 4 4 2 5" xfId="9841" xr:uid="{9DCDE328-ABF9-4E0B-B02D-64FF44CDB5D4}"/>
    <cellStyle name="Comma 17 2 4 4 3" xfId="9842" xr:uid="{8F2DAB4B-CC4E-47E0-868C-2521A85BFF7A}"/>
    <cellStyle name="Comma 17 2 4 4 3 2" xfId="9844" xr:uid="{F859E62A-79BF-435A-9D7F-6818170480A6}"/>
    <cellStyle name="Comma 17 2 4 4 3 2 2" xfId="9846" xr:uid="{52191A01-F3D8-4514-940A-D79AF8ED9B17}"/>
    <cellStyle name="Comma 17 2 4 4 3 2 2 2" xfId="9847" xr:uid="{975E6804-4F2C-448A-ABA1-3114A474C2DD}"/>
    <cellStyle name="Comma 17 2 4 4 3 2 3" xfId="9848" xr:uid="{C32D9E2C-5F62-4C44-9AB3-5BD5C2BCAA21}"/>
    <cellStyle name="Comma 17 2 4 4 3 3" xfId="9850" xr:uid="{10639176-F7F6-4B47-BA5B-9B33897E00A8}"/>
    <cellStyle name="Comma 17 2 4 4 3 3 2" xfId="9851" xr:uid="{D7BAD745-1AC4-4187-B6ED-D786EFA4B153}"/>
    <cellStyle name="Comma 17 2 4 4 3 4" xfId="9852" xr:uid="{A615B148-B33D-47ED-9285-BB8093AD7E3D}"/>
    <cellStyle name="Comma 17 2 4 4 4" xfId="9853" xr:uid="{9FCA9103-D825-4B74-BFD7-1B21615D27A7}"/>
    <cellStyle name="Comma 17 2 4 4 4 2" xfId="9855" xr:uid="{A6511028-A1F3-46DB-9E2D-C303364A7CB4}"/>
    <cellStyle name="Comma 17 2 4 4 4 2 2" xfId="9856" xr:uid="{4DAEB6A9-A8B1-452E-9104-CC5737658A29}"/>
    <cellStyle name="Comma 17 2 4 4 4 3" xfId="9857" xr:uid="{54342298-EB29-4FEB-8BF9-666BAA35E75E}"/>
    <cellStyle name="Comma 17 2 4 4 5" xfId="9858" xr:uid="{B9BE599A-B3B6-4283-A443-D5AAE94F46FA}"/>
    <cellStyle name="Comma 17 2 4 4 5 2" xfId="9859" xr:uid="{F59EBEB4-E788-4175-94DC-C429B74AD325}"/>
    <cellStyle name="Comma 17 2 4 4 6" xfId="9861" xr:uid="{A0F6B79C-CB29-4A4C-9AA3-40F22EC76FAB}"/>
    <cellStyle name="Comma 17 2 4 4 7" xfId="9864" xr:uid="{43A99CA8-A701-4648-A6A2-3FFFA84821FB}"/>
    <cellStyle name="Comma 17 2 4 5" xfId="9868" xr:uid="{7FDCD520-0728-4B0D-B77D-A16F9025394C}"/>
    <cellStyle name="Comma 17 2 4 5 2" xfId="1801" xr:uid="{CA369BBA-A80A-44CD-8942-F528851518CB}"/>
    <cellStyle name="Comma 17 2 4 5 2 2" xfId="9872" xr:uid="{BA18B5C1-2E3E-44D1-857B-BAB52E5D3C76}"/>
    <cellStyle name="Comma 17 2 4 5 2 2 2" xfId="9874" xr:uid="{6957B576-8C59-4579-B912-16517F28ACCA}"/>
    <cellStyle name="Comma 17 2 4 5 2 2 2 2" xfId="9875" xr:uid="{15B7D95E-DD4E-43A6-AA0F-12AA6B5B6025}"/>
    <cellStyle name="Comma 17 2 4 5 2 2 3" xfId="9876" xr:uid="{4F85D996-6347-4E92-89A3-4728E41C7058}"/>
    <cellStyle name="Comma 17 2 4 5 2 3" xfId="9881" xr:uid="{2CC89E24-BDCB-4E45-87F5-20646E992E02}"/>
    <cellStyle name="Comma 17 2 4 5 2 3 2" xfId="9882" xr:uid="{6194D8AE-4090-4A5A-81A4-A47EDCBC495E}"/>
    <cellStyle name="Comma 17 2 4 5 2 4" xfId="9883" xr:uid="{A898B70E-85FE-4D19-B565-AAB63397DF0C}"/>
    <cellStyle name="Comma 17 2 4 5 3" xfId="1803" xr:uid="{37BDC7C2-2D90-4638-A64D-EE47E118EF57}"/>
    <cellStyle name="Comma 17 2 4 5 3 2" xfId="9886" xr:uid="{B37E9706-F1D7-491A-A56D-C49AA47302DB}"/>
    <cellStyle name="Comma 17 2 4 5 3 2 2" xfId="9888" xr:uid="{9F5926CC-0970-4375-AC32-3BC174092D38}"/>
    <cellStyle name="Comma 17 2 4 5 3 3" xfId="9890" xr:uid="{F909231D-669F-4129-A57F-7E187EF20506}"/>
    <cellStyle name="Comma 17 2 4 5 4" xfId="1805" xr:uid="{8BABACBA-ACA8-482E-9BEC-1C7052120D9E}"/>
    <cellStyle name="Comma 17 2 4 5 4 2" xfId="9892" xr:uid="{239862FD-FCE4-48F7-B4C0-95B2F433B87A}"/>
    <cellStyle name="Comma 17 2 4 5 5" xfId="9893" xr:uid="{AAE6D203-EBE2-4C0C-AEA9-5970AAAA7129}"/>
    <cellStyle name="Comma 17 2 4 6" xfId="9894" xr:uid="{0BE6D194-55DF-4E72-BC54-250B67A3F0DC}"/>
    <cellStyle name="Comma 17 2 4 6 2" xfId="9896" xr:uid="{4BE72D07-6B35-4F12-9C4F-E59BD5B87A4E}"/>
    <cellStyle name="Comma 17 2 4 6 2 2" xfId="9899" xr:uid="{0406F551-76BD-460D-94A4-DC9F15586611}"/>
    <cellStyle name="Comma 17 2 4 6 2 2 2" xfId="9900" xr:uid="{FBE89222-A746-4907-A81B-6C58CF229550}"/>
    <cellStyle name="Comma 17 2 4 6 2 3" xfId="9905" xr:uid="{3A9F7E6A-2746-4BCA-9ECB-5C67F241CFBF}"/>
    <cellStyle name="Comma 17 2 4 6 3" xfId="9908" xr:uid="{1F240BD5-B918-453B-BAC2-048D9023CA85}"/>
    <cellStyle name="Comma 17 2 4 6 3 2" xfId="9912" xr:uid="{AAF931AA-2E7B-4AED-BD52-4A9C6DB09EA6}"/>
    <cellStyle name="Comma 17 2 4 6 4" xfId="9915" xr:uid="{12F9B257-EB70-445C-B52D-B386E953FAB9}"/>
    <cellStyle name="Comma 17 2 4 7" xfId="9916" xr:uid="{40B5CC3E-3EB1-44EC-BBAF-A971FB146B12}"/>
    <cellStyle name="Comma 17 2 4 7 2" xfId="9918" xr:uid="{8B7533FE-8BE3-4DF6-9B02-C8EA292B3175}"/>
    <cellStyle name="Comma 17 2 4 7 2 2" xfId="9921" xr:uid="{1B3278FC-90FF-455E-A1D2-C1FD1D699D55}"/>
    <cellStyle name="Comma 17 2 4 7 3" xfId="9924" xr:uid="{F4F999FE-F36E-487A-9151-D159F6BCEEAA}"/>
    <cellStyle name="Comma 17 2 4 8" xfId="9925" xr:uid="{EC155EEB-FABC-4DEE-99F5-1073ACAD4951}"/>
    <cellStyle name="Comma 17 2 4 8 2" xfId="9927" xr:uid="{CE8A0CD9-47DE-4FE0-8BA1-783476D5A165}"/>
    <cellStyle name="Comma 17 2 4 9" xfId="9928" xr:uid="{A78C759C-18E8-4F99-8615-9F5374E0795F}"/>
    <cellStyle name="Comma 17 2 5" xfId="9930" xr:uid="{A5428204-2716-49EA-8DA4-2E49094113D0}"/>
    <cellStyle name="Comma 17 2 5 2" xfId="9931" xr:uid="{0096FA23-8E54-40B1-97CB-BA7D6B7251FA}"/>
    <cellStyle name="Comma 17 2 5 2 2" xfId="9932" xr:uid="{7B95702A-77BD-4EE9-8FA3-EDBACAF87EAA}"/>
    <cellStyle name="Comma 17 2 5 2 2 2" xfId="9934" xr:uid="{A1F122BB-31B3-4998-BA0D-DAB1C21C48C4}"/>
    <cellStyle name="Comma 17 2 5 2 2 2 2" xfId="9936" xr:uid="{876A2904-063F-46FE-AD02-F826FC8A9D57}"/>
    <cellStyle name="Comma 17 2 5 2 2 2 2 2" xfId="9940" xr:uid="{0CDE7167-4415-4109-BA1E-E2D1F3C5B6E1}"/>
    <cellStyle name="Comma 17 2 5 2 2 2 2 2 2" xfId="9944" xr:uid="{70AEB9F8-F3FB-436A-835E-772FABEB3937}"/>
    <cellStyle name="Comma 17 2 5 2 2 2 2 2 2 2" xfId="9945" xr:uid="{1BF29CAF-1BEE-41CA-83D6-24C3CFDB71CB}"/>
    <cellStyle name="Comma 17 2 5 2 2 2 2 2 3" xfId="7025" xr:uid="{2C6B38F1-F757-4D4E-AB80-2493955E872B}"/>
    <cellStyle name="Comma 17 2 5 2 2 2 2 3" xfId="9948" xr:uid="{86AEC372-6C8C-408B-8883-EEE14C956DB4}"/>
    <cellStyle name="Comma 17 2 5 2 2 2 2 3 2" xfId="9950" xr:uid="{19694F5F-E502-41B4-B8E5-46987FF275D5}"/>
    <cellStyle name="Comma 17 2 5 2 2 2 2 4" xfId="9951" xr:uid="{5916E3CB-4CFB-4000-9B72-DDF94B963357}"/>
    <cellStyle name="Comma 17 2 5 2 2 2 3" xfId="9953" xr:uid="{65965CCF-3C47-416B-BC23-6CC01E490182}"/>
    <cellStyle name="Comma 17 2 5 2 2 2 3 2" xfId="9956" xr:uid="{938D2723-544B-43D1-AEF1-AF8A7A24D7DC}"/>
    <cellStyle name="Comma 17 2 5 2 2 2 3 2 2" xfId="9957" xr:uid="{4912F320-6804-4E96-8594-791928CBA79D}"/>
    <cellStyle name="Comma 17 2 5 2 2 2 3 3" xfId="9958" xr:uid="{DDB2ACFC-9002-415A-9FC8-3E821CC05B72}"/>
    <cellStyle name="Comma 17 2 5 2 2 2 4" xfId="5821" xr:uid="{2DF29ED7-0725-4D86-923A-C0E8C2698D85}"/>
    <cellStyle name="Comma 17 2 5 2 2 2 4 2" xfId="5826" xr:uid="{CBF2A558-0FB8-4C63-B5DD-912628BCA1CA}"/>
    <cellStyle name="Comma 17 2 5 2 2 2 5" xfId="4173" xr:uid="{99171A0A-4866-422A-A766-B10977D57D10}"/>
    <cellStyle name="Comma 17 2 5 2 2 3" xfId="9960" xr:uid="{AC9DD993-0A81-471E-9680-1E5DD2F53035}"/>
    <cellStyle name="Comma 17 2 5 2 2 3 2" xfId="9962" xr:uid="{AB7EA188-571F-499F-8B55-DEE25A2A5145}"/>
    <cellStyle name="Comma 17 2 5 2 2 3 2 2" xfId="9966" xr:uid="{75F52507-1BC4-48B5-95D0-22C9F1C5C759}"/>
    <cellStyle name="Comma 17 2 5 2 2 3 2 2 2" xfId="9967" xr:uid="{C6D16F1A-8EA8-4F42-813A-6E2AF843A731}"/>
    <cellStyle name="Comma 17 2 5 2 2 3 2 3" xfId="9968" xr:uid="{EF006CD2-3D50-44C4-849B-75BE8BD3DC94}"/>
    <cellStyle name="Comma 17 2 5 2 2 3 3" xfId="9971" xr:uid="{D6A95B02-38CD-4063-8C0A-6769845D2FFE}"/>
    <cellStyle name="Comma 17 2 5 2 2 3 3 2" xfId="9973" xr:uid="{4319C6F5-A468-4314-9E74-477448978B93}"/>
    <cellStyle name="Comma 17 2 5 2 2 3 4" xfId="5831" xr:uid="{DDE2A4BE-4828-4B4F-B8AC-029A87730522}"/>
    <cellStyle name="Comma 17 2 5 2 2 4" xfId="9975" xr:uid="{C2AF8593-438A-400B-AA0F-415301FCD7D5}"/>
    <cellStyle name="Comma 17 2 5 2 2 4 2" xfId="9977" xr:uid="{9121A2C9-2AC4-4B51-9D09-E46F32445D1E}"/>
    <cellStyle name="Comma 17 2 5 2 2 4 2 2" xfId="9978" xr:uid="{D74FA122-DEC1-4AFB-B818-4412D7A261E1}"/>
    <cellStyle name="Comma 17 2 5 2 2 4 3" xfId="9981" xr:uid="{5417A38B-C137-4584-8720-9A50C2E6CADC}"/>
    <cellStyle name="Comma 17 2 5 2 2 5" xfId="9983" xr:uid="{BFE5C9F7-C46C-45FB-B4BD-A12B27209C4A}"/>
    <cellStyle name="Comma 17 2 5 2 2 5 2" xfId="9986" xr:uid="{68A1F174-6C04-4A5D-88DF-9EA34499E03A}"/>
    <cellStyle name="Comma 17 2 5 2 2 6" xfId="9988" xr:uid="{A7191406-723D-4275-8F2A-B5A86A44C96A}"/>
    <cellStyle name="Comma 17 2 5 2 2 7" xfId="9991" xr:uid="{E17E3A8C-8155-4014-B28F-9BBB8547254A}"/>
    <cellStyle name="Comma 17 2 5 2 3" xfId="9993" xr:uid="{7CB580B9-7396-4C4F-8072-D5CCDDAE0839}"/>
    <cellStyle name="Comma 17 2 5 2 3 2" xfId="9996" xr:uid="{D0D5C833-A008-41A4-B219-34FD0613982A}"/>
    <cellStyle name="Comma 17 2 5 2 3 2 2" xfId="9998" xr:uid="{A81CF95D-969B-4FFF-9BEE-CA9595E92032}"/>
    <cellStyle name="Comma 17 2 5 2 3 2 2 2" xfId="10001" xr:uid="{F99C83AD-A313-4E74-A478-21F204BE3FE8}"/>
    <cellStyle name="Comma 17 2 5 2 3 2 2 2 2" xfId="10002" xr:uid="{F2B1FB49-4196-4052-B14D-8B6CF5EA4B0D}"/>
    <cellStyle name="Comma 17 2 5 2 3 2 2 3" xfId="10003" xr:uid="{A51AB480-5CDD-4CA5-A90C-74AF8DBDED30}"/>
    <cellStyle name="Comma 17 2 5 2 3 2 3" xfId="10005" xr:uid="{9B1A0607-232C-47CC-B9C7-832F706CBAFE}"/>
    <cellStyle name="Comma 17 2 5 2 3 2 3 2" xfId="10006" xr:uid="{0A7EA889-95CB-4080-A7C8-1C7341C5871C}"/>
    <cellStyle name="Comma 17 2 5 2 3 2 4" xfId="5856" xr:uid="{103CA4DF-FB59-4544-90FF-B4D218D42636}"/>
    <cellStyle name="Comma 17 2 5 2 3 3" xfId="10008" xr:uid="{D20C3C76-978B-4C64-AE6D-55035DAD66CA}"/>
    <cellStyle name="Comma 17 2 5 2 3 3 2" xfId="10010" xr:uid="{4C8D6C43-07AA-4D64-956C-A39F4812FE7E}"/>
    <cellStyle name="Comma 17 2 5 2 3 3 2 2" xfId="10011" xr:uid="{E88DA401-C2EE-4C88-8E07-55241082DE7C}"/>
    <cellStyle name="Comma 17 2 5 2 3 3 3" xfId="10013" xr:uid="{9FE1D760-B3E1-4E82-8027-005F96C79F13}"/>
    <cellStyle name="Comma 17 2 5 2 3 4" xfId="10015" xr:uid="{53E85120-30D0-432D-A056-39620A1FAB33}"/>
    <cellStyle name="Comma 17 2 5 2 3 4 2" xfId="10016" xr:uid="{CC7DCEC8-C02A-4D79-BAE3-0C2148C958F8}"/>
    <cellStyle name="Comma 17 2 5 2 3 5" xfId="10019" xr:uid="{379FAAA1-0237-4DF5-A52F-BDF10F8EDC23}"/>
    <cellStyle name="Comma 17 2 5 2 4" xfId="10021" xr:uid="{6CDF3E71-E057-4446-AD8C-24B15CE48A58}"/>
    <cellStyle name="Comma 17 2 5 2 4 2" xfId="10023" xr:uid="{9D6686AE-0329-4231-9EF3-7F35D2A414E4}"/>
    <cellStyle name="Comma 17 2 5 2 4 2 2" xfId="10025" xr:uid="{03514DEF-3F3A-4533-AB71-F707E191D4F2}"/>
    <cellStyle name="Comma 17 2 5 2 4 2 2 2" xfId="8483" xr:uid="{8BFCB872-C89D-44E9-A5C9-C0A9B7C7BB62}"/>
    <cellStyle name="Comma 17 2 5 2 4 2 3" xfId="10028" xr:uid="{4A2FAD25-491F-453A-9CE4-1E08F70CE8B5}"/>
    <cellStyle name="Comma 17 2 5 2 4 3" xfId="10030" xr:uid="{49DAE2BC-4706-4655-B2B7-C10D0EAEC2F6}"/>
    <cellStyle name="Comma 17 2 5 2 4 3 2" xfId="10031" xr:uid="{59EC22BA-3647-4E4A-AE03-2D7771E3BEAC}"/>
    <cellStyle name="Comma 17 2 5 2 4 4" xfId="10032" xr:uid="{B70DBF62-FE23-4333-A9A3-F51B8BDDE7D4}"/>
    <cellStyle name="Comma 17 2 5 2 5" xfId="10033" xr:uid="{85E96D22-EA2E-4B7A-9E21-79AC0321CE2F}"/>
    <cellStyle name="Comma 17 2 5 2 5 2" xfId="10035" xr:uid="{2D36BC43-3C38-470B-98A3-74F0216FB40A}"/>
    <cellStyle name="Comma 17 2 5 2 5 2 2" xfId="10037" xr:uid="{D02AD2A6-C0F7-44D9-AD97-0F1E145590B7}"/>
    <cellStyle name="Comma 17 2 5 2 5 3" xfId="10038" xr:uid="{18B96E12-5226-409F-B59C-611E3651100D}"/>
    <cellStyle name="Comma 17 2 5 2 6" xfId="10040" xr:uid="{41E29637-1CFA-4EEA-B8DA-F9973D7D6B18}"/>
    <cellStyle name="Comma 17 2 5 2 6 2" xfId="10042" xr:uid="{47F0FFD4-DE50-4FDB-BC02-309A55C109CA}"/>
    <cellStyle name="Comma 17 2 5 2 7" xfId="10046" xr:uid="{11AB1139-519A-40C5-ACFC-CF6D1602770A}"/>
    <cellStyle name="Comma 17 2 5 2 8" xfId="10048" xr:uid="{A5B75FA5-22B3-4032-81E9-5F2211FBF498}"/>
    <cellStyle name="Comma 17 2 5 3" xfId="10051" xr:uid="{E1256837-8ED8-48C2-8E4A-55D6B42AD977}"/>
    <cellStyle name="Comma 17 2 5 3 2" xfId="10052" xr:uid="{E69415E1-5F7D-40FB-A903-702ACBF6574F}"/>
    <cellStyle name="Comma 17 2 5 3 2 2" xfId="10054" xr:uid="{F4DEB9BC-77C0-4E62-98E3-81B1CE5FB234}"/>
    <cellStyle name="Comma 17 2 5 3 2 2 2" xfId="10056" xr:uid="{361BAD2C-D858-4D13-8EC6-16830E2763A4}"/>
    <cellStyle name="Comma 17 2 5 3 2 2 2 2" xfId="10059" xr:uid="{ACD64154-B0BF-4C66-B1E9-99EEE1ABA48A}"/>
    <cellStyle name="Comma 17 2 5 3 2 2 2 2 2" xfId="10060" xr:uid="{1BFF3341-DEE3-4354-9FF0-BFDFE952D53B}"/>
    <cellStyle name="Comma 17 2 5 3 2 2 2 3" xfId="10061" xr:uid="{E4377DF0-5965-480A-913B-E112E5B57D69}"/>
    <cellStyle name="Comma 17 2 5 3 2 2 3" xfId="10063" xr:uid="{03F7E90A-E225-46B1-B6B9-04DDD450C2F5}"/>
    <cellStyle name="Comma 17 2 5 3 2 2 3 2" xfId="10064" xr:uid="{DDD6E3CD-50ED-43C6-973D-CE6C3451C481}"/>
    <cellStyle name="Comma 17 2 5 3 2 2 4" xfId="5924" xr:uid="{5ACCBE0D-92F0-4B71-8A7B-0947408C18D5}"/>
    <cellStyle name="Comma 17 2 5 3 2 3" xfId="10066" xr:uid="{8DDEB964-AF27-4B3B-B74C-90B9CCB398F8}"/>
    <cellStyle name="Comma 17 2 5 3 2 3 2" xfId="10069" xr:uid="{73F7B1CD-40A9-4B20-A7AA-53DF2D32EC75}"/>
    <cellStyle name="Comma 17 2 5 3 2 3 2 2" xfId="10071" xr:uid="{573E9F21-6047-4836-AC70-1C1DC10FE87F}"/>
    <cellStyle name="Comma 17 2 5 3 2 3 3" xfId="9965" xr:uid="{F955B6D5-7897-40B7-9AEA-9D5573B35CED}"/>
    <cellStyle name="Comma 17 2 5 3 2 4" xfId="10073" xr:uid="{2B43F267-0177-430E-98E7-975035A5F95F}"/>
    <cellStyle name="Comma 17 2 5 3 2 4 2" xfId="10075" xr:uid="{E0A2A858-7555-4DA6-B919-26A2E97B0A3A}"/>
    <cellStyle name="Comma 17 2 5 3 2 5" xfId="10076" xr:uid="{1F1DD6FA-409D-4A5E-A34E-55B87A28C797}"/>
    <cellStyle name="Comma 17 2 5 3 3" xfId="10078" xr:uid="{D1500C2B-5D26-4483-844F-D4F0874FF7D2}"/>
    <cellStyle name="Comma 17 2 5 3 3 2" xfId="10080" xr:uid="{A28ABB51-F782-4344-B592-3401A4C40834}"/>
    <cellStyle name="Comma 17 2 5 3 3 2 2" xfId="10082" xr:uid="{6210C079-4A78-4175-A09D-566C7AF5A239}"/>
    <cellStyle name="Comma 17 2 5 3 3 2 2 2" xfId="10083" xr:uid="{7833C8E5-5A34-4BA4-894F-21F6EFAA6846}"/>
    <cellStyle name="Comma 17 2 5 3 3 2 3" xfId="10086" xr:uid="{7DFACAD5-D588-4BEE-BA02-6C785D0AB199}"/>
    <cellStyle name="Comma 17 2 5 3 3 3" xfId="10088" xr:uid="{BA62B499-3FCF-4739-BB60-392C9B447F36}"/>
    <cellStyle name="Comma 17 2 5 3 3 3 2" xfId="10090" xr:uid="{17EC4AB1-FC53-4E0F-93B1-E85EC53D5519}"/>
    <cellStyle name="Comma 17 2 5 3 3 4" xfId="10091" xr:uid="{796C90B2-99F5-491F-9375-2CBB8F7B3D9C}"/>
    <cellStyle name="Comma 17 2 5 3 4" xfId="10092" xr:uid="{6E44461F-1103-431D-B14F-BB04A644B865}"/>
    <cellStyle name="Comma 17 2 5 3 4 2" xfId="10094" xr:uid="{A2D92EC4-6675-464E-90FE-5EE673F51FBB}"/>
    <cellStyle name="Comma 17 2 5 3 4 2 2" xfId="10096" xr:uid="{C9838266-A7F2-44F5-95B8-CB5169494D74}"/>
    <cellStyle name="Comma 17 2 5 3 4 3" xfId="10097" xr:uid="{E60A879C-5006-467A-92D1-B1D67F04D944}"/>
    <cellStyle name="Comma 17 2 5 3 5" xfId="10098" xr:uid="{34C78F96-A210-446C-B499-119B1CABD7CD}"/>
    <cellStyle name="Comma 17 2 5 3 5 2" xfId="10099" xr:uid="{89C95B0E-8405-4C55-A775-AB46D0732806}"/>
    <cellStyle name="Comma 17 2 5 3 6" xfId="10101" xr:uid="{D546D350-B873-4AB6-B7A0-992327E30717}"/>
    <cellStyle name="Comma 17 2 5 3 7" xfId="10104" xr:uid="{ADBBF8FC-B1B8-49E2-B12D-0F4E15F07D6D}"/>
    <cellStyle name="Comma 17 2 5 4" xfId="10106" xr:uid="{2D9BA2B7-BE3A-43E5-B293-95F58E464E1C}"/>
    <cellStyle name="Comma 17 2 5 4 2" xfId="10107" xr:uid="{AE18BE25-6359-42B4-BCD5-88F5FDDD7249}"/>
    <cellStyle name="Comma 17 2 5 4 2 2" xfId="10109" xr:uid="{BA9C9BDF-83EC-43A3-B8FB-C9B753DA3DF0}"/>
    <cellStyle name="Comma 17 2 5 4 2 2 2" xfId="10111" xr:uid="{B6F75964-4CAD-4608-9024-BE42C0C4B615}"/>
    <cellStyle name="Comma 17 2 5 4 2 2 2 2" xfId="10112" xr:uid="{F25F8428-8F0E-4E2E-A7F9-A2A84281DD46}"/>
    <cellStyle name="Comma 17 2 5 4 2 2 3" xfId="10113" xr:uid="{AF0D81CC-AB58-4A0F-8CE4-B3E1E66FE584}"/>
    <cellStyle name="Comma 17 2 5 4 2 3" xfId="10115" xr:uid="{3BBB8FF9-0628-465D-AF26-25B8E5D5E38B}"/>
    <cellStyle name="Comma 17 2 5 4 2 3 2" xfId="10117" xr:uid="{B7605AC7-6612-4EA7-AF9A-731117684E20}"/>
    <cellStyle name="Comma 17 2 5 4 2 4" xfId="10118" xr:uid="{801F5D54-EAE1-4067-B9E9-77CC5EC9E56A}"/>
    <cellStyle name="Comma 17 2 5 4 3" xfId="10119" xr:uid="{A4B430E5-93A5-4E07-928A-58AE793FCE5F}"/>
    <cellStyle name="Comma 17 2 5 4 3 2" xfId="10121" xr:uid="{C5FB0ED1-5548-40F2-89D3-D4E27170E628}"/>
    <cellStyle name="Comma 17 2 5 4 3 2 2" xfId="10122" xr:uid="{6D2E2A79-FC88-4A60-8B33-4B2FC53B4CCD}"/>
    <cellStyle name="Comma 17 2 5 4 3 3" xfId="10123" xr:uid="{9A3074EB-D24B-44DE-A729-F7BCD3B9040B}"/>
    <cellStyle name="Comma 17 2 5 4 4" xfId="10124" xr:uid="{0C5DF0E9-D349-4750-928C-D94D7D2384A2}"/>
    <cellStyle name="Comma 17 2 5 4 4 2" xfId="10125" xr:uid="{E79F3AF1-607C-408E-B2F9-F260F55973BD}"/>
    <cellStyle name="Comma 17 2 5 4 5" xfId="10126" xr:uid="{6AF03340-59EF-4587-8E9D-421AFCEEC27D}"/>
    <cellStyle name="Comma 17 2 5 5" xfId="10127" xr:uid="{8F1CB369-11F7-422D-BE87-9919B6B47FA2}"/>
    <cellStyle name="Comma 17 2 5 5 2" xfId="10128" xr:uid="{12754460-1699-4F52-83C1-552A2739FC2B}"/>
    <cellStyle name="Comma 17 2 5 5 2 2" xfId="10130" xr:uid="{1E29A84E-A7D7-439B-AB2F-D2F63158037A}"/>
    <cellStyle name="Comma 17 2 5 5 2 2 2" xfId="10131" xr:uid="{0E061808-7371-4424-B869-1BC0E02B5D48}"/>
    <cellStyle name="Comma 17 2 5 5 2 3" xfId="10132" xr:uid="{0D3DD4E1-3FFD-47A0-BD1A-A47882D93389}"/>
    <cellStyle name="Comma 17 2 5 5 3" xfId="5245" xr:uid="{553F3C4F-73F3-47BD-BB12-8FBF2B4DC04A}"/>
    <cellStyle name="Comma 17 2 5 5 3 2" xfId="5248" xr:uid="{121C88A5-14C6-4BBD-A2F5-91EAD04A3044}"/>
    <cellStyle name="Comma 17 2 5 5 4" xfId="1194" xr:uid="{B304F0AD-F6FB-4253-8951-3CA397EFC74D}"/>
    <cellStyle name="Comma 17 2 5 6" xfId="10133" xr:uid="{FA7E5377-7A64-49B4-8728-281A7DCBB985}"/>
    <cellStyle name="Comma 17 2 5 6 2" xfId="10135" xr:uid="{1A85962A-5E1C-403F-832B-E6C4BFE1850D}"/>
    <cellStyle name="Comma 17 2 5 6 2 2" xfId="10137" xr:uid="{4E1582ED-654F-4975-9BD5-882C75E1345E}"/>
    <cellStyle name="Comma 17 2 5 6 3" xfId="1267" xr:uid="{AD52AD63-4363-4A4E-A933-6880BBEE207D}"/>
    <cellStyle name="Comma 17 2 5 7" xfId="10138" xr:uid="{9CD1F754-7AF2-4A21-B67D-FDD83244BDEF}"/>
    <cellStyle name="Comma 17 2 5 7 2" xfId="9707" xr:uid="{32FDEC90-D870-4D96-95CD-CC759059A99A}"/>
    <cellStyle name="Comma 17 2 5 8" xfId="10139" xr:uid="{B9CEAD01-47E8-424B-9154-22F9747EF7F3}"/>
    <cellStyle name="Comma 17 2 5 9" xfId="10141" xr:uid="{468101C1-61CF-4A4D-9CDA-D87FA2869CD6}"/>
    <cellStyle name="Comma 17 2 6" xfId="10142" xr:uid="{D497925B-11CD-4201-BFCA-1B657CC6A31D}"/>
    <cellStyle name="Comma 17 2 6 2" xfId="10143" xr:uid="{4353EFC5-98B3-4BD6-9421-EC10EBB7276B}"/>
    <cellStyle name="Comma 17 2 6 2 2" xfId="10144" xr:uid="{1A1DC80E-1BDF-43DA-97AE-2C093647B3EC}"/>
    <cellStyle name="Comma 17 2 6 2 2 2" xfId="10146" xr:uid="{024C75FF-089B-463D-9A3C-57C6525F4F8E}"/>
    <cellStyle name="Comma 17 2 6 2 2 2 2" xfId="10148" xr:uid="{5FEA697E-E7D9-4A64-9422-CC494F27C139}"/>
    <cellStyle name="Comma 17 2 6 2 2 2 2 2" xfId="10153" xr:uid="{3114966C-9598-4ED7-BFDA-C881EEC91A48}"/>
    <cellStyle name="Comma 17 2 6 2 2 2 2 2 2" xfId="10154" xr:uid="{97F8914B-24F1-4FC6-BA8D-497EC1F55D19}"/>
    <cellStyle name="Comma 17 2 6 2 2 2 2 3" xfId="10156" xr:uid="{F5C6CEDE-EEB3-455D-90F4-FC93BD215DAC}"/>
    <cellStyle name="Comma 17 2 6 2 2 2 3" xfId="10159" xr:uid="{96AF1817-9E0B-4230-99C2-AFCE1C30AA91}"/>
    <cellStyle name="Comma 17 2 6 2 2 2 3 2" xfId="10161" xr:uid="{1B7EA300-1DA1-480A-A21C-0AB9176CC8F5}"/>
    <cellStyle name="Comma 17 2 6 2 2 2 4" xfId="6231" xr:uid="{27F80EC5-277B-433A-8BEF-0AA722CFC13D}"/>
    <cellStyle name="Comma 17 2 6 2 2 3" xfId="10163" xr:uid="{38723B1B-EC51-445D-BA67-8338B1839103}"/>
    <cellStyle name="Comma 17 2 6 2 2 3 2" xfId="10165" xr:uid="{62B07988-D1E1-4024-8EF2-441102DC8ED1}"/>
    <cellStyle name="Comma 17 2 6 2 2 3 2 2" xfId="10168" xr:uid="{676E5C7F-AAA8-472D-9D0D-6B0C1EF11315}"/>
    <cellStyle name="Comma 17 2 6 2 2 3 3" xfId="10171" xr:uid="{4CD3F7D5-16C9-4334-BDF7-07A737338F31}"/>
    <cellStyle name="Comma 17 2 6 2 2 4" xfId="10174" xr:uid="{FAC18BF0-17F2-4D62-81EC-A8CE778F9723}"/>
    <cellStyle name="Comma 17 2 6 2 2 4 2" xfId="10176" xr:uid="{C1140B0B-E8AC-4928-B3BE-C8AD56B32BFB}"/>
    <cellStyle name="Comma 17 2 6 2 2 5" xfId="1939" xr:uid="{E31A2FEB-3088-4ABF-8184-4C02D4FCE5BE}"/>
    <cellStyle name="Comma 17 2 6 2 3" xfId="10177" xr:uid="{4AB8C5DB-7FE3-4643-9B8A-A3B46B56A99D}"/>
    <cellStyle name="Comma 17 2 6 2 3 2" xfId="10179" xr:uid="{C453D40E-B28C-4506-9408-1D90BB87CF6B}"/>
    <cellStyle name="Comma 17 2 6 2 3 2 2" xfId="10181" xr:uid="{142FC22F-A073-49CA-AB9F-6F3FE4E4FB71}"/>
    <cellStyle name="Comma 17 2 6 2 3 2 2 2" xfId="10184" xr:uid="{C11E223E-385E-4246-9A70-892CF1F297D1}"/>
    <cellStyle name="Comma 17 2 6 2 3 2 3" xfId="10186" xr:uid="{598ED330-F594-479F-BE06-FFEB2D70A05E}"/>
    <cellStyle name="Comma 17 2 6 2 3 3" xfId="10188" xr:uid="{32927A77-8E4A-4A73-BF04-9EE5F757EE64}"/>
    <cellStyle name="Comma 17 2 6 2 3 3 2" xfId="10189" xr:uid="{69993B48-36F9-4A5D-B403-836A06E123AB}"/>
    <cellStyle name="Comma 17 2 6 2 3 4" xfId="10190" xr:uid="{1D771EC6-7729-4D0E-A019-216D94BF989D}"/>
    <cellStyle name="Comma 17 2 6 2 4" xfId="10191" xr:uid="{6040928A-1A0E-4485-9153-AA38F97F27D9}"/>
    <cellStyle name="Comma 17 2 6 2 4 2" xfId="10193" xr:uid="{1657D105-2A63-4615-A143-A3E8880C5058}"/>
    <cellStyle name="Comma 17 2 6 2 4 2 2" xfId="10195" xr:uid="{36368A1D-EAF0-49F2-8E69-1A17109D0CB0}"/>
    <cellStyle name="Comma 17 2 6 2 4 3" xfId="10196" xr:uid="{D15C646B-E179-498C-9082-8411E11AB738}"/>
    <cellStyle name="Comma 17 2 6 2 5" xfId="10197" xr:uid="{66744D5D-F898-41CF-B8BB-5BA3242893C2}"/>
    <cellStyle name="Comma 17 2 6 2 5 2" xfId="10198" xr:uid="{952DF6BF-F16E-4312-9C0F-6D52A92A3894}"/>
    <cellStyle name="Comma 17 2 6 2 6" xfId="10200" xr:uid="{A408795E-2006-4059-AE48-0BA8DE238A9D}"/>
    <cellStyle name="Comma 17 2 6 2 7" xfId="10202" xr:uid="{E6BFC2B1-FE2E-476B-B3C7-C07849D25624}"/>
    <cellStyle name="Comma 17 2 6 3" xfId="10203" xr:uid="{10B43A5B-054E-4C5C-9594-CCA898424EC8}"/>
    <cellStyle name="Comma 17 2 6 3 2" xfId="10204" xr:uid="{7A0512C0-9713-42AE-BCC6-0C5636177423}"/>
    <cellStyle name="Comma 17 2 6 3 2 2" xfId="10206" xr:uid="{8505F088-C16B-43CE-B654-1BEF29D55D8F}"/>
    <cellStyle name="Comma 17 2 6 3 2 2 2" xfId="10208" xr:uid="{D4ED6CF9-C66C-429A-8A3B-5A8056ACA31E}"/>
    <cellStyle name="Comma 17 2 6 3 2 2 2 2" xfId="10209" xr:uid="{1FAE376B-6489-40FC-B9C1-8EC62EC857EF}"/>
    <cellStyle name="Comma 17 2 6 3 2 2 3" xfId="10211" xr:uid="{5E44751A-488D-4079-9F6E-53FD406D6CAB}"/>
    <cellStyle name="Comma 17 2 6 3 2 3" xfId="10213" xr:uid="{6D1C1D8C-4EE4-4CF4-8031-A6494065E263}"/>
    <cellStyle name="Comma 17 2 6 3 2 3 2" xfId="10215" xr:uid="{FE6C7767-A129-4ABF-B353-A0F679E54C4D}"/>
    <cellStyle name="Comma 17 2 6 3 2 4" xfId="10216" xr:uid="{DD34F867-F463-47EC-BD6F-DE8C2999AE9D}"/>
    <cellStyle name="Comma 17 2 6 3 3" xfId="10217" xr:uid="{1B9BFC42-FE24-4687-9F7F-C631FD70F693}"/>
    <cellStyle name="Comma 17 2 6 3 3 2" xfId="10219" xr:uid="{808E638B-586F-4316-8F62-39991A3171E3}"/>
    <cellStyle name="Comma 17 2 6 3 3 2 2" xfId="10220" xr:uid="{9076A52C-14FD-407E-8BB1-63D430065A53}"/>
    <cellStyle name="Comma 17 2 6 3 3 3" xfId="10221" xr:uid="{327C122F-3D68-4D6B-8DE8-A32DC1D351CE}"/>
    <cellStyle name="Comma 17 2 6 3 4" xfId="10222" xr:uid="{7F1A9190-2DD8-4C50-BDF4-FD038208A7B4}"/>
    <cellStyle name="Comma 17 2 6 3 4 2" xfId="10223" xr:uid="{ED2BE9EC-36BF-4A7E-8604-4EB302D984CC}"/>
    <cellStyle name="Comma 17 2 6 3 5" xfId="10224" xr:uid="{A6855963-300E-4032-AA1C-3852EA12B68C}"/>
    <cellStyle name="Comma 17 2 6 4" xfId="10226" xr:uid="{5AA0DC1B-E81A-43E8-BB1C-DD9A9E651F22}"/>
    <cellStyle name="Comma 17 2 6 4 2" xfId="10227" xr:uid="{40CC25DE-F546-421C-AA11-7D813E828C59}"/>
    <cellStyle name="Comma 17 2 6 4 2 2" xfId="10229" xr:uid="{A8B585CF-9A05-42E1-8FF3-5F9693D6B295}"/>
    <cellStyle name="Comma 17 2 6 4 2 2 2" xfId="10230" xr:uid="{0A2C267D-DA1A-43A6-B751-45693E8692C0}"/>
    <cellStyle name="Comma 17 2 6 4 2 3" xfId="10232" xr:uid="{63C09EC1-7BE8-4B49-AD29-30897D776AE0}"/>
    <cellStyle name="Comma 17 2 6 4 3" xfId="10233" xr:uid="{CFE38C12-6730-4F9C-92C2-8814B6EB4ADB}"/>
    <cellStyle name="Comma 17 2 6 4 3 2" xfId="10236" xr:uid="{2465F25D-E1C2-4A3D-B704-B936AC723F0C}"/>
    <cellStyle name="Comma 17 2 6 4 4" xfId="10237" xr:uid="{9A09964F-4C89-491B-B6C6-80408DB409E1}"/>
    <cellStyle name="Comma 17 2 6 5" xfId="10239" xr:uid="{AF3DD835-2D4D-4E76-AC00-FD5F6E73A7BD}"/>
    <cellStyle name="Comma 17 2 6 5 2" xfId="10241" xr:uid="{9396CC3F-7B38-49A6-839E-A28A303F5278}"/>
    <cellStyle name="Comma 17 2 6 5 2 2" xfId="10243" xr:uid="{94C9B9FC-28F1-4C0A-9B40-C2B95CA3172F}"/>
    <cellStyle name="Comma 17 2 6 5 3" xfId="5287" xr:uid="{D4455E43-4B31-4245-AAFE-8DE79DA4D129}"/>
    <cellStyle name="Comma 17 2 6 6" xfId="10245" xr:uid="{9D1864C3-F2E2-4DCD-975F-8EBD1702AFFD}"/>
    <cellStyle name="Comma 17 2 6 6 2" xfId="10248" xr:uid="{B8935A25-4F91-4AA2-BCDB-3D639224929B}"/>
    <cellStyle name="Comma 17 2 6 7" xfId="10250" xr:uid="{60267C27-27D9-435C-962B-EEDEFB971586}"/>
    <cellStyle name="Comma 17 2 6 8" xfId="10251" xr:uid="{2DADB5F7-5AB0-46B5-B092-09E65918F69C}"/>
    <cellStyle name="Comma 17 2 7" xfId="10252" xr:uid="{7DBE96DE-B0F0-4FFB-B0DE-4C2F18543182}"/>
    <cellStyle name="Comma 17 2 7 2" xfId="10253" xr:uid="{0D1BB94E-6726-4CB0-8116-31594E3FFC5D}"/>
    <cellStyle name="Comma 17 2 7 2 2" xfId="10254" xr:uid="{62BAFE79-84A5-43C9-A8CE-761E8AE6BCCB}"/>
    <cellStyle name="Comma 17 2 7 2 2 2" xfId="10256" xr:uid="{1A7D87FA-CBD0-4173-AE70-CE1D804E2AB5}"/>
    <cellStyle name="Comma 17 2 7 2 2 2 2" xfId="10259" xr:uid="{AB2A0D36-FE32-43B2-9330-F0B8081E4844}"/>
    <cellStyle name="Comma 17 2 7 2 2 2 2 2" xfId="10260" xr:uid="{52E9D9D2-9A7A-4172-9A44-E3F979AF978C}"/>
    <cellStyle name="Comma 17 2 7 2 2 2 3" xfId="10262" xr:uid="{D262CD12-6CF3-4A6A-BDCF-0E75C684DD50}"/>
    <cellStyle name="Comma 17 2 7 2 2 3" xfId="8873" xr:uid="{5A617B8B-CC8A-41F9-B2F8-4512736A0A5C}"/>
    <cellStyle name="Comma 17 2 7 2 2 3 2" xfId="8874" xr:uid="{C5D6ED0E-54CD-4D0D-B0BC-7B8BD170EEE5}"/>
    <cellStyle name="Comma 17 2 7 2 2 4" xfId="8879" xr:uid="{29AA43D8-CB0A-4DA7-8998-9966FDE19F98}"/>
    <cellStyle name="Comma 17 2 7 2 3" xfId="10265" xr:uid="{FD5DC1E0-F98D-4394-A109-72958EBFAE93}"/>
    <cellStyle name="Comma 17 2 7 2 3 2" xfId="10270" xr:uid="{06E38F58-B4B6-4E12-86C7-2B5B44701985}"/>
    <cellStyle name="Comma 17 2 7 2 3 2 2" xfId="10273" xr:uid="{FF7E785C-10F3-49A7-874F-490B5916C73F}"/>
    <cellStyle name="Comma 17 2 7 2 3 3" xfId="8888" xr:uid="{C8AEA5E0-02FF-4BA7-A0EF-893743E53532}"/>
    <cellStyle name="Comma 17 2 7 2 4" xfId="10276" xr:uid="{FDD5DA65-43E3-4190-B2E4-EC0B47E1E27C}"/>
    <cellStyle name="Comma 17 2 7 2 4 2" xfId="10279" xr:uid="{2B832944-B07F-4869-A9B1-9956D46ABA13}"/>
    <cellStyle name="Comma 17 2 7 2 5" xfId="10280" xr:uid="{C987D816-F649-473C-899D-314AF67C1A77}"/>
    <cellStyle name="Comma 17 2 7 3" xfId="10281" xr:uid="{0A762E69-4E17-4A07-87B9-44687F9D745F}"/>
    <cellStyle name="Comma 17 2 7 3 2" xfId="10283" xr:uid="{744138FF-C4F8-46B0-A314-0E8F3D2CDC75}"/>
    <cellStyle name="Comma 17 2 7 3 2 2" xfId="10285" xr:uid="{2A5F8EF2-1623-4790-86D7-579DC7775E2A}"/>
    <cellStyle name="Comma 17 2 7 3 2 2 2" xfId="10286" xr:uid="{4C818F0D-DCA4-4E5C-9E3B-7797875E34E6}"/>
    <cellStyle name="Comma 17 2 7 3 2 3" xfId="8910" xr:uid="{6B3D7968-E023-4C71-B4AC-7964BE48D750}"/>
    <cellStyle name="Comma 17 2 7 3 3" xfId="10289" xr:uid="{99083601-043F-4B14-B111-1DD34277C4A8}"/>
    <cellStyle name="Comma 17 2 7 3 3 2" xfId="10292" xr:uid="{1FCDA753-CDC5-49DB-AF8E-32AD66CDF0E4}"/>
    <cellStyle name="Comma 17 2 7 3 4" xfId="10294" xr:uid="{0E263D95-5DEE-43DC-ABF8-BF69E9D6367D}"/>
    <cellStyle name="Comma 17 2 7 4" xfId="10295" xr:uid="{377FFD84-8F15-4DC4-9ACD-330B4E9A4022}"/>
    <cellStyle name="Comma 17 2 7 4 2" xfId="10296" xr:uid="{69FFAD5D-86DD-4FC2-915A-6BA0717D0902}"/>
    <cellStyle name="Comma 17 2 7 4 2 2" xfId="10297" xr:uid="{5E1A2BF5-DF88-4586-8EB2-B974592EC93D}"/>
    <cellStyle name="Comma 17 2 7 4 3" xfId="10299" xr:uid="{4F7387C4-6129-49D3-9471-A60C30CCE6C9}"/>
    <cellStyle name="Comma 17 2 7 5" xfId="10301" xr:uid="{B57DD902-9266-4B91-895F-0E869F4F18BD}"/>
    <cellStyle name="Comma 17 2 7 5 2" xfId="10303" xr:uid="{B5F0F655-AEEE-48DD-B62C-5F17236215C4}"/>
    <cellStyle name="Comma 17 2 7 6" xfId="10305" xr:uid="{5AF891EF-1DA9-4699-9E53-032946D07C01}"/>
    <cellStyle name="Comma 17 2 7 7" xfId="10307" xr:uid="{B1D7A4F7-4CDD-4A5D-8371-0DF453EDB25F}"/>
    <cellStyle name="Comma 17 2 8" xfId="10308" xr:uid="{AEB1AEC0-51DD-47C9-B817-E0D485DFC93D}"/>
    <cellStyle name="Comma 17 2 8 2" xfId="10309" xr:uid="{51FA8926-5771-472B-BDFC-DEC8EB3A61B5}"/>
    <cellStyle name="Comma 17 2 8 2 2" xfId="10310" xr:uid="{F2701D6F-E71B-4896-9EA9-83B9A329D7DD}"/>
    <cellStyle name="Comma 17 2 8 2 2 2" xfId="10314" xr:uid="{908AB777-8E04-48A4-8391-AA375A8C7611}"/>
    <cellStyle name="Comma 17 2 8 2 2 2 2" xfId="10317" xr:uid="{A9FD599F-C964-4A43-95F6-51AEBDE49E0E}"/>
    <cellStyle name="Comma 17 2 8 2 2 3" xfId="9135" xr:uid="{CEC9C1F2-4F23-48C5-9A57-18C6E9C97642}"/>
    <cellStyle name="Comma 17 2 8 2 3" xfId="10319" xr:uid="{F512D840-F3C7-4A71-B847-AE29E30C9E07}"/>
    <cellStyle name="Comma 17 2 8 2 3 2" xfId="10324" xr:uid="{16965272-D4F0-4074-BDDD-7AD512CAB225}"/>
    <cellStyle name="Comma 17 2 8 2 4" xfId="10325" xr:uid="{4F99D9C4-5915-43F4-9CB9-9D0ADAC10C51}"/>
    <cellStyle name="Comma 17 2 8 3" xfId="10326" xr:uid="{C52112FB-B333-4A96-89CD-C69BEA1E1B19}"/>
    <cellStyle name="Comma 17 2 8 3 2" xfId="10327" xr:uid="{5C70AFC7-C092-4E78-952A-643DDF9F3EE9}"/>
    <cellStyle name="Comma 17 2 8 3 2 2" xfId="10330" xr:uid="{C641829F-9C63-4D77-9392-EB9F60FB5CBB}"/>
    <cellStyle name="Comma 17 2 8 3 3" xfId="10331" xr:uid="{2FF9AAFB-3E69-4F39-BB54-35A852AE4E65}"/>
    <cellStyle name="Comma 17 2 8 4" xfId="10332" xr:uid="{EFBC4825-D269-4495-9768-2566ACDAD170}"/>
    <cellStyle name="Comma 17 2 8 4 2" xfId="10333" xr:uid="{83FBE7E2-D1E0-419F-B834-04EF17689E32}"/>
    <cellStyle name="Comma 17 2 8 5" xfId="10335" xr:uid="{487FF4B5-B7C2-4A68-A6F4-A47224A784E5}"/>
    <cellStyle name="Comma 17 2 9" xfId="10336" xr:uid="{3FE96855-2C97-458B-8597-1A9190B8EC2D}"/>
    <cellStyle name="Comma 17 2 9 2" xfId="10340" xr:uid="{C13C8498-6CBB-4B07-82DF-5634DE63EF3C}"/>
    <cellStyle name="Comma 17 2 9 2 2" xfId="10344" xr:uid="{BC073E01-FC8C-40BC-A4FA-7B2293289239}"/>
    <cellStyle name="Comma 17 2 9 2 2 2" xfId="10348" xr:uid="{27CFFAB3-7498-4957-A891-DF551008337A}"/>
    <cellStyle name="Comma 17 2 9 2 3" xfId="10350" xr:uid="{216CCEAD-9223-442A-A92E-A0A7012EE87D}"/>
    <cellStyle name="Comma 17 2 9 3" xfId="10354" xr:uid="{1A43BD6D-C8B6-406C-99CE-953ED2060CB9}"/>
    <cellStyle name="Comma 17 2 9 3 2" xfId="10356" xr:uid="{216789CD-BB58-4EE5-9FB4-3234D953A10A}"/>
    <cellStyle name="Comma 17 2 9 4" xfId="10358" xr:uid="{74D3D9E3-4B0E-4F41-A797-367317B0FEA2}"/>
    <cellStyle name="Comma 17 3" xfId="10360" xr:uid="{CD637211-1A99-46DC-99A4-ACB8CBE795F1}"/>
    <cellStyle name="Comma 17 3 10" xfId="10363" xr:uid="{F3B8C1BD-AB30-442E-932F-448DB2611B8C}"/>
    <cellStyle name="Comma 17 3 10 2" xfId="10364" xr:uid="{8F779BEA-8996-41BC-B413-2E21CA4EAAD8}"/>
    <cellStyle name="Comma 17 3 10 2 2" xfId="10365" xr:uid="{DF59ED16-D59E-4E92-AD23-FF2F4941380B}"/>
    <cellStyle name="Comma 17 3 10 3" xfId="10366" xr:uid="{7263E3CD-9C8A-4986-B922-E11EF83F352C}"/>
    <cellStyle name="Comma 17 3 11" xfId="10370" xr:uid="{4824CE8C-674A-4F90-822F-1FC00A34DAC5}"/>
    <cellStyle name="Comma 17 3 11 2" xfId="10373" xr:uid="{191C4688-6E78-45E5-8604-6727B43A8603}"/>
    <cellStyle name="Comma 17 3 12" xfId="10376" xr:uid="{59A60AC2-9E1A-430A-9C9E-A84FC293C1BE}"/>
    <cellStyle name="Comma 17 3 13" xfId="10378" xr:uid="{728E5402-2A19-4A52-AF73-4FE8819E327C}"/>
    <cellStyle name="Comma 17 3 14" xfId="10380" xr:uid="{9B50FF4A-FE5D-40B9-B7F4-AF50D37E1298}"/>
    <cellStyle name="Comma 17 3 15" xfId="2213" xr:uid="{49D1205F-E599-477F-982F-4EFA7700451A}"/>
    <cellStyle name="Comma 17 3 2" xfId="10381" xr:uid="{401ECA77-AEDB-40C8-9102-5AA3F2083AFB}"/>
    <cellStyle name="Comma 17 3 2 10" xfId="9207" xr:uid="{693640BA-287F-4979-94C0-488AC9E9D107}"/>
    <cellStyle name="Comma 17 3 2 10 2" xfId="10382" xr:uid="{D91E711B-24E2-450E-93B8-2389367B9706}"/>
    <cellStyle name="Comma 17 3 2 11" xfId="10383" xr:uid="{9A05140B-096A-43DF-80E5-E0CD1EBE67F6}"/>
    <cellStyle name="Comma 17 3 2 12" xfId="10384" xr:uid="{4B45EFF3-2A35-47FF-8B94-5592B43D565F}"/>
    <cellStyle name="Comma 17 3 2 13" xfId="10386" xr:uid="{D1FA047A-24AC-42E6-B418-DA9D4C5BFDF3}"/>
    <cellStyle name="Comma 17 3 2 2" xfId="10387" xr:uid="{62B72CDF-246F-4642-9B22-A5921B9C816D}"/>
    <cellStyle name="Comma 17 3 2 2 10" xfId="10389" xr:uid="{25B8B7F5-E70F-44E9-85AE-408D86445F68}"/>
    <cellStyle name="Comma 17 3 2 2 11" xfId="10392" xr:uid="{C72EF57D-5DEF-4B4A-8507-22A5293F9D39}"/>
    <cellStyle name="Comma 17 3 2 2 2" xfId="10393" xr:uid="{6D30BCFE-AA2C-4731-B784-8FB17965F0B8}"/>
    <cellStyle name="Comma 17 3 2 2 2 10" xfId="2805" xr:uid="{359BDD7A-D762-4DE7-8D38-A829D35FA37D}"/>
    <cellStyle name="Comma 17 3 2 2 2 2" xfId="10394" xr:uid="{2C00E3ED-A99E-42A3-9CCE-44FE0FE6CD2F}"/>
    <cellStyle name="Comma 17 3 2 2 2 2 2" xfId="10395" xr:uid="{E8027F53-EFC5-472E-A6B2-0CDEBAF479AE}"/>
    <cellStyle name="Comma 17 3 2 2 2 2 2 2" xfId="10396" xr:uid="{6DC2412D-2551-4DA8-B2B1-00219C558569}"/>
    <cellStyle name="Comma 17 3 2 2 2 2 2 2 2" xfId="10397" xr:uid="{27D93D39-743E-4878-810E-EED67E942458}"/>
    <cellStyle name="Comma 17 3 2 2 2 2 2 2 2 2" xfId="10398" xr:uid="{8CA24D95-6866-45DC-811A-2C35C104FD37}"/>
    <cellStyle name="Comma 17 3 2 2 2 2 2 2 2 2 2" xfId="10400" xr:uid="{7A99A4EB-2DF2-42DB-8F57-8AA948F9303A}"/>
    <cellStyle name="Comma 17 3 2 2 2 2 2 2 2 2 2 2" xfId="7006" xr:uid="{09E3899E-4044-430C-9832-B312E8C8104A}"/>
    <cellStyle name="Comma 17 3 2 2 2 2 2 2 2 2 2 2 2" xfId="10402" xr:uid="{43FF5570-77E4-4976-B7A0-1BCCE09D3DD8}"/>
    <cellStyle name="Comma 17 3 2 2 2 2 2 2 2 2 2 3" xfId="6882" xr:uid="{69283DE4-E7DC-409E-898E-586C44A068D8}"/>
    <cellStyle name="Comma 17 3 2 2 2 2 2 2 2 2 3" xfId="10404" xr:uid="{9EA5C913-A4FF-4C65-B1E5-A14378053F9C}"/>
    <cellStyle name="Comma 17 3 2 2 2 2 2 2 2 2 3 2" xfId="7056" xr:uid="{F31B32B4-8DE8-49F9-BA35-C3E49A97E9F0}"/>
    <cellStyle name="Comma 17 3 2 2 2 2 2 2 2 2 4" xfId="10406" xr:uid="{8BFF59F7-C4D6-46A9-B84E-2789864954F2}"/>
    <cellStyle name="Comma 17 3 2 2 2 2 2 2 2 3" xfId="10407" xr:uid="{C6271DE7-ACF6-4FA4-B0D2-D44B212DE191}"/>
    <cellStyle name="Comma 17 3 2 2 2 2 2 2 2 3 2" xfId="10409" xr:uid="{085F4FBD-2F39-42EE-9EC7-143EF0F91D25}"/>
    <cellStyle name="Comma 17 3 2 2 2 2 2 2 2 3 2 2" xfId="7155" xr:uid="{C2EF7612-643C-473F-8F77-090ED282B36D}"/>
    <cellStyle name="Comma 17 3 2 2 2 2 2 2 2 3 3" xfId="10411" xr:uid="{A9F65136-E2C5-4846-9818-7151F41A030F}"/>
    <cellStyle name="Comma 17 3 2 2 2 2 2 2 2 4" xfId="10412" xr:uid="{56F8D539-E87D-40AE-90D0-84EA03329201}"/>
    <cellStyle name="Comma 17 3 2 2 2 2 2 2 2 4 2" xfId="10414" xr:uid="{F7BEB1E8-D4BB-45C1-87A6-C018D62A0F88}"/>
    <cellStyle name="Comma 17 3 2 2 2 2 2 2 2 5" xfId="10417" xr:uid="{2DBA4B7A-ED46-4845-878A-E006D8737A69}"/>
    <cellStyle name="Comma 17 3 2 2 2 2 2 2 3" xfId="10418" xr:uid="{E3EF97F2-51E6-4742-9A00-193786D72B0B}"/>
    <cellStyle name="Comma 17 3 2 2 2 2 2 2 3 2" xfId="10419" xr:uid="{EF10804E-745B-472B-BE7B-BF15AA9C92E3}"/>
    <cellStyle name="Comma 17 3 2 2 2 2 2 2 3 2 2" xfId="10421" xr:uid="{79E454E9-7A95-4619-A8AB-9803DC2AEE66}"/>
    <cellStyle name="Comma 17 3 2 2 2 2 2 2 3 2 2 2" xfId="10423" xr:uid="{378DF580-6472-4A62-8394-355B1610AA65}"/>
    <cellStyle name="Comma 17 3 2 2 2 2 2 2 3 2 3" xfId="10424" xr:uid="{78329E41-AC56-4822-A78B-FB4235F34156}"/>
    <cellStyle name="Comma 17 3 2 2 2 2 2 2 3 3" xfId="10427" xr:uid="{44544086-ABA0-4B05-8F82-2FF1424590C5}"/>
    <cellStyle name="Comma 17 3 2 2 2 2 2 2 3 3 2" xfId="10429" xr:uid="{FD5BC390-7734-448F-9F32-9CF86085CD2F}"/>
    <cellStyle name="Comma 17 3 2 2 2 2 2 2 3 4" xfId="10430" xr:uid="{E401D9EF-20C6-4459-91F1-F355FBFD812E}"/>
    <cellStyle name="Comma 17 3 2 2 2 2 2 2 4" xfId="5064" xr:uid="{0F3801F5-2585-49B4-A24D-0F094D07A3AF}"/>
    <cellStyle name="Comma 17 3 2 2 2 2 2 2 4 2" xfId="5070" xr:uid="{6CE72FA4-A7B4-4E75-BC9A-19B51E0C9F58}"/>
    <cellStyle name="Comma 17 3 2 2 2 2 2 2 4 2 2" xfId="10432" xr:uid="{3F417B27-1030-4AE6-A5EF-DD6A596701F7}"/>
    <cellStyle name="Comma 17 3 2 2 2 2 2 2 4 3" xfId="10435" xr:uid="{D05DC7A7-7DF7-43D0-AEF4-851D5742AF38}"/>
    <cellStyle name="Comma 17 3 2 2 2 2 2 2 5" xfId="5144" xr:uid="{EEC13F9F-0809-4685-8890-4900BC8E0867}"/>
    <cellStyle name="Comma 17 3 2 2 2 2 2 2 5 2" xfId="10437" xr:uid="{FC882838-6B12-4B8F-87BF-4CAC4AB2ADA0}"/>
    <cellStyle name="Comma 17 3 2 2 2 2 2 2 6" xfId="10439" xr:uid="{57C692C0-FB59-43F9-9942-44D0A1335939}"/>
    <cellStyle name="Comma 17 3 2 2 2 2 2 2 7" xfId="10440" xr:uid="{927A4E04-A196-40B5-891B-688062F92C13}"/>
    <cellStyle name="Comma 17 3 2 2 2 2 2 3" xfId="10441" xr:uid="{1F691250-0712-4D81-9E25-530B788F5E75}"/>
    <cellStyle name="Comma 17 3 2 2 2 2 2 3 2" xfId="10443" xr:uid="{7809A1C5-658F-4F54-B67C-30C296FC79A3}"/>
    <cellStyle name="Comma 17 3 2 2 2 2 2 3 2 2" xfId="10447" xr:uid="{2E7576AE-6303-4851-A3B8-5978A19A0398}"/>
    <cellStyle name="Comma 17 3 2 2 2 2 2 3 2 2 2" xfId="10449" xr:uid="{30BAB6A4-6D77-4D1B-8734-66BA6A995A7A}"/>
    <cellStyle name="Comma 17 3 2 2 2 2 2 3 2 2 2 2" xfId="10453" xr:uid="{22190AC3-910B-40D5-925F-3AC3509BAFCD}"/>
    <cellStyle name="Comma 17 3 2 2 2 2 2 3 2 2 3" xfId="10455" xr:uid="{8F8AD062-2EF8-4412-83BA-2814A53A6834}"/>
    <cellStyle name="Comma 17 3 2 2 2 2 2 3 2 3" xfId="10456" xr:uid="{8EAECE46-BAD4-4E99-AB15-F510D16E2929}"/>
    <cellStyle name="Comma 17 3 2 2 2 2 2 3 2 3 2" xfId="10458" xr:uid="{B33CCC5E-F1CB-4D3B-9E32-9DCDAF1496AA}"/>
    <cellStyle name="Comma 17 3 2 2 2 2 2 3 2 4" xfId="10459" xr:uid="{E4DF60B0-3463-4935-BE94-4393215FEC65}"/>
    <cellStyle name="Comma 17 3 2 2 2 2 2 3 3" xfId="10461" xr:uid="{2E8B2A67-20CD-4AF7-87CD-CBCFD6D13D2F}"/>
    <cellStyle name="Comma 17 3 2 2 2 2 2 3 3 2" xfId="10464" xr:uid="{8070A8BE-6461-40D0-9E8D-84BB7BC4D82F}"/>
    <cellStyle name="Comma 17 3 2 2 2 2 2 3 3 2 2" xfId="10470" xr:uid="{F88FCBFD-4F05-404D-9C1B-642DD025BC40}"/>
    <cellStyle name="Comma 17 3 2 2 2 2 2 3 3 3" xfId="10471" xr:uid="{0C266682-AF7E-4E72-9967-4305CEEACD44}"/>
    <cellStyle name="Comma 17 3 2 2 2 2 2 3 4" xfId="516" xr:uid="{B953B4E4-13EE-429F-93EC-CE541E3EA649}"/>
    <cellStyle name="Comma 17 3 2 2 2 2 2 3 4 2" xfId="10472" xr:uid="{74520BF8-35E5-41F0-8CD4-DD46CD68FA65}"/>
    <cellStyle name="Comma 17 3 2 2 2 2 2 3 5" xfId="10473" xr:uid="{7A1097E0-9BF0-4499-8833-74AE3AEFA96A}"/>
    <cellStyle name="Comma 17 3 2 2 2 2 2 4" xfId="3429" xr:uid="{F60CC6F6-66BE-41FB-BF86-2A696DB2BB2C}"/>
    <cellStyle name="Comma 17 3 2 2 2 2 2 4 2" xfId="3432" xr:uid="{B9FFAD91-3CC7-466E-8B0E-D76711AD74CF}"/>
    <cellStyle name="Comma 17 3 2 2 2 2 2 4 2 2" xfId="10474" xr:uid="{20EE8A2A-BA42-49FA-BC71-CD357FC3E846}"/>
    <cellStyle name="Comma 17 3 2 2 2 2 2 4 2 2 2" xfId="10478" xr:uid="{B5F3DAA6-52FF-4AEC-AF62-E9E8C7CF1720}"/>
    <cellStyle name="Comma 17 3 2 2 2 2 2 4 2 3" xfId="10479" xr:uid="{18532E25-B758-4524-8842-7C6FC127FCDA}"/>
    <cellStyle name="Comma 17 3 2 2 2 2 2 4 3" xfId="10480" xr:uid="{6505A1D6-A927-4B5C-AD9E-9784C43DDA97}"/>
    <cellStyle name="Comma 17 3 2 2 2 2 2 4 3 2" xfId="10482" xr:uid="{794921DF-38DF-4924-A3B0-692DCAFFA222}"/>
    <cellStyle name="Comma 17 3 2 2 2 2 2 4 4" xfId="10483" xr:uid="{274A276E-4F9F-4FC9-953E-543CA07F3DFA}"/>
    <cellStyle name="Comma 17 3 2 2 2 2 2 5" xfId="3434" xr:uid="{87BDDC34-9A08-4187-BA65-BE8497B07B29}"/>
    <cellStyle name="Comma 17 3 2 2 2 2 2 5 2" xfId="10486" xr:uid="{B012111D-9281-4283-9273-7BC972E1EDC8}"/>
    <cellStyle name="Comma 17 3 2 2 2 2 2 5 2 2" xfId="10487" xr:uid="{75E9EC10-2D53-43F0-AC5C-337F6A777B45}"/>
    <cellStyle name="Comma 17 3 2 2 2 2 2 5 3" xfId="10488" xr:uid="{EDA82351-7A07-4920-A8CF-7D931BD40D8A}"/>
    <cellStyle name="Comma 17 3 2 2 2 2 2 6" xfId="10492" xr:uid="{8D73FB44-A05B-4897-BE73-C83FFD79F803}"/>
    <cellStyle name="Comma 17 3 2 2 2 2 2 6 2" xfId="10495" xr:uid="{478A0819-43F4-4C32-847A-35A20596044B}"/>
    <cellStyle name="Comma 17 3 2 2 2 2 2 7" xfId="10499" xr:uid="{7EB496C7-B529-4419-A493-034315256764}"/>
    <cellStyle name="Comma 17 3 2 2 2 2 2 8" xfId="10501" xr:uid="{CC8224F0-2A1E-43C9-A134-013CB797C68D}"/>
    <cellStyle name="Comma 17 3 2 2 2 2 3" xfId="10502" xr:uid="{556680EB-C62A-4794-8B54-084936969D25}"/>
    <cellStyle name="Comma 17 3 2 2 2 2 3 2" xfId="10503" xr:uid="{73B49EC7-A40C-4E09-B2F5-F0D99EDCDF0F}"/>
    <cellStyle name="Comma 17 3 2 2 2 2 3 2 2" xfId="10504" xr:uid="{177776B2-93C3-4A56-8FA2-6CEEEC162D8C}"/>
    <cellStyle name="Comma 17 3 2 2 2 2 3 2 2 2" xfId="10505" xr:uid="{E449E1F2-BB8E-43C6-9E23-EEF22F3E577E}"/>
    <cellStyle name="Comma 17 3 2 2 2 2 3 2 2 2 2" xfId="10507" xr:uid="{6DDB3EF7-E356-43C7-BADE-74ADE75BC93B}"/>
    <cellStyle name="Comma 17 3 2 2 2 2 3 2 2 2 2 2" xfId="10509" xr:uid="{2F8DEA88-C1AE-4C3E-9DEE-49160799065C}"/>
    <cellStyle name="Comma 17 3 2 2 2 2 3 2 2 2 3" xfId="10511" xr:uid="{F30DF8C7-6613-43D8-8873-06E22390CB15}"/>
    <cellStyle name="Comma 17 3 2 2 2 2 3 2 2 3" xfId="10513" xr:uid="{E1F11F37-1579-4D04-9A30-B7657AC828B0}"/>
    <cellStyle name="Comma 17 3 2 2 2 2 3 2 2 3 2" xfId="10515" xr:uid="{5FCAE730-678A-4B94-8D93-9583AB637CE3}"/>
    <cellStyle name="Comma 17 3 2 2 2 2 3 2 2 4" xfId="10517" xr:uid="{5AD233D4-E447-422D-82BE-89CC5E9380A0}"/>
    <cellStyle name="Comma 17 3 2 2 2 2 3 2 3" xfId="10518" xr:uid="{D7C0DF16-355E-4F8D-86B9-D50ED22A1F85}"/>
    <cellStyle name="Comma 17 3 2 2 2 2 3 2 3 2" xfId="10519" xr:uid="{EEF2091E-21C9-4F25-B381-D6D78309E6F6}"/>
    <cellStyle name="Comma 17 3 2 2 2 2 3 2 3 2 2" xfId="10521" xr:uid="{099514D1-56C6-4FCF-B51C-BF69EE96AB55}"/>
    <cellStyle name="Comma 17 3 2 2 2 2 3 2 3 3" xfId="10522" xr:uid="{5962FBF8-B822-47A9-B69F-0DC86B3F6E5C}"/>
    <cellStyle name="Comma 17 3 2 2 2 2 3 2 4" xfId="5837" xr:uid="{63280FAD-3F4E-4BC1-8B0A-78E9E6A35A9C}"/>
    <cellStyle name="Comma 17 3 2 2 2 2 3 2 4 2" xfId="10524" xr:uid="{23E15EA6-AFFF-40BD-ACB4-179F46C4A341}"/>
    <cellStyle name="Comma 17 3 2 2 2 2 3 2 5" xfId="10526" xr:uid="{A4F5F427-80E1-42D8-86C4-201682FEEFC1}"/>
    <cellStyle name="Comma 17 3 2 2 2 2 3 3" xfId="10527" xr:uid="{A5DE9BC4-DEA2-4A08-B400-01A043E57BE8}"/>
    <cellStyle name="Comma 17 3 2 2 2 2 3 3 2" xfId="10529" xr:uid="{FBD6128D-151B-439C-BEF4-1783B3C5C329}"/>
    <cellStyle name="Comma 17 3 2 2 2 2 3 3 2 2" xfId="10530" xr:uid="{EF6493DA-DD27-4CE5-B0C1-52402CE16D6D}"/>
    <cellStyle name="Comma 17 3 2 2 2 2 3 3 2 2 2" xfId="10532" xr:uid="{1558C6A5-B58F-405C-97F8-21DF8914CDDB}"/>
    <cellStyle name="Comma 17 3 2 2 2 2 3 3 2 3" xfId="10533" xr:uid="{38DBF0BB-3454-416C-B140-7BCC87B0C8D7}"/>
    <cellStyle name="Comma 17 3 2 2 2 2 3 3 3" xfId="10534" xr:uid="{3D6A275B-37BE-4915-A065-9CDAD2FA2A1C}"/>
    <cellStyle name="Comma 17 3 2 2 2 2 3 3 3 2" xfId="10539" xr:uid="{E2219827-D165-4EC8-B952-2BBC596A0FFC}"/>
    <cellStyle name="Comma 17 3 2 2 2 2 3 3 4" xfId="1108" xr:uid="{AA61023E-04D9-4A13-8811-173BC8799DEA}"/>
    <cellStyle name="Comma 17 3 2 2 2 2 3 4" xfId="3364" xr:uid="{A5EB9A3C-3A60-4358-9183-0DC1057B08A7}"/>
    <cellStyle name="Comma 17 3 2 2 2 2 3 4 2" xfId="10540" xr:uid="{CC978A2F-C4C7-4985-A866-012A3685585F}"/>
    <cellStyle name="Comma 17 3 2 2 2 2 3 4 2 2" xfId="10541" xr:uid="{C07C9594-52D6-4A8A-AFA4-C295BCE07E59}"/>
    <cellStyle name="Comma 17 3 2 2 2 2 3 4 3" xfId="10544" xr:uid="{A1AB186B-1FA1-4286-BB34-2B1167EB1659}"/>
    <cellStyle name="Comma 17 3 2 2 2 2 3 5" xfId="10545" xr:uid="{5F0EDC6B-5E20-43F2-9FFA-C345380D9844}"/>
    <cellStyle name="Comma 17 3 2 2 2 2 3 5 2" xfId="10546" xr:uid="{B15B4BEF-0E3D-4A23-B931-BCDC326EF201}"/>
    <cellStyle name="Comma 17 3 2 2 2 2 3 6" xfId="10550" xr:uid="{37DF8ECB-DB73-4D5A-9A0F-3403E8C7D93E}"/>
    <cellStyle name="Comma 17 3 2 2 2 2 3 7" xfId="10553" xr:uid="{29B65AF2-3106-463F-BCF5-DA2E71FA91D0}"/>
    <cellStyle name="Comma 17 3 2 2 2 2 4" xfId="10554" xr:uid="{979BBF48-6F7C-4A4F-AC7F-4202C3017339}"/>
    <cellStyle name="Comma 17 3 2 2 2 2 4 2" xfId="10555" xr:uid="{BC6E6068-B033-4915-AF9D-6B0991CC762C}"/>
    <cellStyle name="Comma 17 3 2 2 2 2 4 2 2" xfId="10556" xr:uid="{446CB391-D083-4C90-B751-07FFE58EA6CA}"/>
    <cellStyle name="Comma 17 3 2 2 2 2 4 2 2 2" xfId="10557" xr:uid="{C55E6A44-AC70-40C3-99D1-B8830BD7C1A9}"/>
    <cellStyle name="Comma 17 3 2 2 2 2 4 2 2 2 2" xfId="10306" xr:uid="{0488AEB1-393D-4507-A378-0E8296F77ED6}"/>
    <cellStyle name="Comma 17 3 2 2 2 2 4 2 2 3" xfId="10558" xr:uid="{94748D5D-6034-4363-808E-415A88597633}"/>
    <cellStyle name="Comma 17 3 2 2 2 2 4 2 3" xfId="10559" xr:uid="{D89CCA25-72D9-427A-ADAB-06B68CAD274A}"/>
    <cellStyle name="Comma 17 3 2 2 2 2 4 2 3 2" xfId="10561" xr:uid="{98B79DF0-5B2C-4C6E-A61D-AE18883C112D}"/>
    <cellStyle name="Comma 17 3 2 2 2 2 4 2 4" xfId="10564" xr:uid="{0B77854A-9770-41E4-B262-10DE679C7673}"/>
    <cellStyle name="Comma 17 3 2 2 2 2 4 3" xfId="10565" xr:uid="{FE0CAC72-DCD7-4ABD-BCA9-8276DF6EDE8E}"/>
    <cellStyle name="Comma 17 3 2 2 2 2 4 3 2" xfId="10567" xr:uid="{7AD6CFED-B402-435D-AA61-53EFF1426174}"/>
    <cellStyle name="Comma 17 3 2 2 2 2 4 3 2 2" xfId="10569" xr:uid="{8C3CCBB4-9493-4964-813A-615A1FBC9B27}"/>
    <cellStyle name="Comma 17 3 2 2 2 2 4 3 3" xfId="10572" xr:uid="{6F4079C5-2D71-441F-9154-8557AC8F3662}"/>
    <cellStyle name="Comma 17 3 2 2 2 2 4 4" xfId="10576" xr:uid="{D42C3F29-11B3-4696-AFD7-94F4F5FBBE93}"/>
    <cellStyle name="Comma 17 3 2 2 2 2 4 4 2" xfId="10579" xr:uid="{22B2CE4D-E15D-4B67-879C-C17B788FFF00}"/>
    <cellStyle name="Comma 17 3 2 2 2 2 4 5" xfId="10581" xr:uid="{AE0E6663-108D-463F-ABBB-B7E09F1F3B98}"/>
    <cellStyle name="Comma 17 3 2 2 2 2 5" xfId="10582" xr:uid="{E74EF412-5150-42B0-B055-AE58B7BDE8C9}"/>
    <cellStyle name="Comma 17 3 2 2 2 2 5 2" xfId="10584" xr:uid="{1B3C1749-ADF3-43A2-A64A-24612524DCE3}"/>
    <cellStyle name="Comma 17 3 2 2 2 2 5 2 2" xfId="10586" xr:uid="{1204DC03-6C8A-484F-88A6-D1D38262C992}"/>
    <cellStyle name="Comma 17 3 2 2 2 2 5 2 2 2" xfId="10588" xr:uid="{0A436FBB-C422-44EB-A81E-8A196C8E132A}"/>
    <cellStyle name="Comma 17 3 2 2 2 2 5 2 3" xfId="10590" xr:uid="{BDC2B413-0638-4E7B-9ADB-473A6FE35C4F}"/>
    <cellStyle name="Comma 17 3 2 2 2 2 5 3" xfId="10592" xr:uid="{03693FDD-51C1-4F98-8636-F4182882CA2F}"/>
    <cellStyle name="Comma 17 3 2 2 2 2 5 3 2" xfId="10595" xr:uid="{9804036F-15AF-4C07-AEF8-A4BB15BC5491}"/>
    <cellStyle name="Comma 17 3 2 2 2 2 5 4" xfId="10598" xr:uid="{0BA2622B-DA68-478F-AD86-693FCACCC418}"/>
    <cellStyle name="Comma 17 3 2 2 2 2 6" xfId="10600" xr:uid="{12F569BB-A57D-4771-B8E2-C9C2C712A081}"/>
    <cellStyle name="Comma 17 3 2 2 2 2 6 2" xfId="10603" xr:uid="{2D313CB6-65D9-42CC-A596-0E2A969F61BA}"/>
    <cellStyle name="Comma 17 3 2 2 2 2 6 2 2" xfId="10605" xr:uid="{0B9CC1B5-314E-41FE-B452-7460F1D4D8E3}"/>
    <cellStyle name="Comma 17 3 2 2 2 2 6 3" xfId="10607" xr:uid="{8D8E3C8B-2AFE-4D0A-A392-AC48064FEDCD}"/>
    <cellStyle name="Comma 17 3 2 2 2 2 7" xfId="10609" xr:uid="{2073F889-EC47-461B-834A-706AE0C7F1B4}"/>
    <cellStyle name="Comma 17 3 2 2 2 2 7 2" xfId="10611" xr:uid="{1A817656-8883-4399-9F02-7C1F5C34EB66}"/>
    <cellStyle name="Comma 17 3 2 2 2 2 8" xfId="10614" xr:uid="{903FAA94-FA52-456F-836E-ADEDDF19B169}"/>
    <cellStyle name="Comma 17 3 2 2 2 2 9" xfId="10617" xr:uid="{BA0709AD-7F42-40EA-9139-81A0A83FB812}"/>
    <cellStyle name="Comma 17 3 2 2 2 3" xfId="10619" xr:uid="{2FB02C6E-895E-48BD-81EB-64DA2A8F7AA7}"/>
    <cellStyle name="Comma 17 3 2 2 2 3 2" xfId="10620" xr:uid="{73494ACE-0AE9-4422-88BC-45DD7E5C5686}"/>
    <cellStyle name="Comma 17 3 2 2 2 3 2 2" xfId="10621" xr:uid="{FC39922B-B325-4026-B670-4585EAD8865A}"/>
    <cellStyle name="Comma 17 3 2 2 2 3 2 2 2" xfId="10624" xr:uid="{F71A5EE2-4521-4651-A042-B3F38C8B4F89}"/>
    <cellStyle name="Comma 17 3 2 2 2 3 2 2 2 2" xfId="10627" xr:uid="{5B06B225-EBE2-4B42-846F-151C1C4D5275}"/>
    <cellStyle name="Comma 17 3 2 2 2 3 2 2 2 2 2" xfId="10630" xr:uid="{32B68680-88CC-49E8-BDDD-D9FE4E459E55}"/>
    <cellStyle name="Comma 17 3 2 2 2 3 2 2 2 2 2 2" xfId="6987" xr:uid="{142CCC20-527D-4D3A-9004-36C751DBFCEE}"/>
    <cellStyle name="Comma 17 3 2 2 2 3 2 2 2 2 3" xfId="10634" xr:uid="{ACABD000-A4C7-4ADB-8FB3-A71848DCB13B}"/>
    <cellStyle name="Comma 17 3 2 2 2 3 2 2 2 3" xfId="10637" xr:uid="{2A559DDE-ADF3-40F1-889E-6B6FF5A69A7D}"/>
    <cellStyle name="Comma 17 3 2 2 2 3 2 2 2 3 2" xfId="10639" xr:uid="{57D8807A-DF80-4A92-AC95-3F3BB72837B5}"/>
    <cellStyle name="Comma 17 3 2 2 2 3 2 2 2 4" xfId="10640" xr:uid="{6CEAEA6E-CF63-4BAC-853E-044A6C553D72}"/>
    <cellStyle name="Comma 17 3 2 2 2 3 2 2 3" xfId="10643" xr:uid="{443355EC-B410-4D29-83E8-2D7640A21CD6}"/>
    <cellStyle name="Comma 17 3 2 2 2 3 2 2 3 2" xfId="10646" xr:uid="{CE84B852-1509-4833-B80F-C6F6B72C7074}"/>
    <cellStyle name="Comma 17 3 2 2 2 3 2 2 3 2 2" xfId="10648" xr:uid="{53045BCA-70FD-4B4A-BA3A-E0F5798733C7}"/>
    <cellStyle name="Comma 17 3 2 2 2 3 2 2 3 3" xfId="10651" xr:uid="{453AF8F4-818D-4007-B9E8-D7C3FCE7312C}"/>
    <cellStyle name="Comma 17 3 2 2 2 3 2 2 4" xfId="7023" xr:uid="{24F2CB66-853A-4351-9BC7-550F8A2D4595}"/>
    <cellStyle name="Comma 17 3 2 2 2 3 2 2 4 2" xfId="10654" xr:uid="{7C7BD5AA-4238-4335-BE8D-E49789F9AAB0}"/>
    <cellStyle name="Comma 17 3 2 2 2 3 2 2 5" xfId="10656" xr:uid="{2BBFAAD0-A5EE-4E17-BD65-FCBAD7BF2744}"/>
    <cellStyle name="Comma 17 3 2 2 2 3 2 3" xfId="1941" xr:uid="{A23EABC0-D81A-46DC-B816-9278F55534E0}"/>
    <cellStyle name="Comma 17 3 2 2 2 3 2 3 2" xfId="1945" xr:uid="{55CCBCDB-66D3-447A-B584-B6FD11A7F851}"/>
    <cellStyle name="Comma 17 3 2 2 2 3 2 3 2 2" xfId="1947" xr:uid="{8BB53FB1-3628-4F09-9029-AF28F6E85699}"/>
    <cellStyle name="Comma 17 3 2 2 2 3 2 3 2 2 2" xfId="10659" xr:uid="{4D208BBE-A290-4726-A13A-7DA38A9DE5E7}"/>
    <cellStyle name="Comma 17 3 2 2 2 3 2 3 2 3" xfId="10660" xr:uid="{A64A77AB-E1CB-4E9F-AF21-C42E44D97C23}"/>
    <cellStyle name="Comma 17 3 2 2 2 3 2 3 3" xfId="1950" xr:uid="{A6BC37EE-9DF0-47BF-BBBE-D50AD2F6C7A0}"/>
    <cellStyle name="Comma 17 3 2 2 2 3 2 3 3 2" xfId="10661" xr:uid="{68B18137-D7F2-4183-8136-543F4D092D87}"/>
    <cellStyle name="Comma 17 3 2 2 2 3 2 3 4" xfId="1955" xr:uid="{4C936558-5D2D-4CFF-A31B-74E23C30C56F}"/>
    <cellStyle name="Comma 17 3 2 2 2 3 2 4" xfId="2064" xr:uid="{521138A9-4FD1-490A-A72A-8FEFFF940443}"/>
    <cellStyle name="Comma 17 3 2 2 2 3 2 4 2" xfId="2066" xr:uid="{3ACC23B4-55C4-4A0C-9409-4BC9EB4A1049}"/>
    <cellStyle name="Comma 17 3 2 2 2 3 2 4 2 2" xfId="2069" xr:uid="{60CFA854-123F-4AEE-89A4-979C15AB3A1B}"/>
    <cellStyle name="Comma 17 3 2 2 2 3 2 4 3" xfId="2230" xr:uid="{F90F0840-A8FB-4A66-BC7B-5EE3478A5101}"/>
    <cellStyle name="Comma 17 3 2 2 2 3 2 5" xfId="2328" xr:uid="{E78834BA-7489-4AF5-B89E-C419D43C95DE}"/>
    <cellStyle name="Comma 17 3 2 2 2 3 2 5 2" xfId="2330" xr:uid="{9D5F42A7-76A4-4361-A5D2-FF109968AE69}"/>
    <cellStyle name="Comma 17 3 2 2 2 3 2 6" xfId="2415" xr:uid="{DF481091-3D5F-4EC2-899C-82447FFEF9BB}"/>
    <cellStyle name="Comma 17 3 2 2 2 3 2 7" xfId="2457" xr:uid="{BB4FC571-1B6C-418A-A149-B2CE59876428}"/>
    <cellStyle name="Comma 17 3 2 2 2 3 3" xfId="10662" xr:uid="{4156DC0D-5030-4463-98DE-C11E0EEEA6FC}"/>
    <cellStyle name="Comma 17 3 2 2 2 3 3 2" xfId="10665" xr:uid="{B2369627-D0D7-46BB-B220-FEE14A30EE6D}"/>
    <cellStyle name="Comma 17 3 2 2 2 3 3 2 2" xfId="10668" xr:uid="{D8689F96-2F01-4ADC-9796-702B4AA557C2}"/>
    <cellStyle name="Comma 17 3 2 2 2 3 3 2 2 2" xfId="10671" xr:uid="{1F590869-82E5-4635-9E90-4BED16AFC5BA}"/>
    <cellStyle name="Comma 17 3 2 2 2 3 3 2 2 2 2" xfId="10675" xr:uid="{E0EEEA25-F088-49B9-A4E3-E639DFF35E05}"/>
    <cellStyle name="Comma 17 3 2 2 2 3 3 2 2 3" xfId="10677" xr:uid="{4392CEFB-950B-431B-89B5-D2BF1C30CDD7}"/>
    <cellStyle name="Comma 17 3 2 2 2 3 3 2 3" xfId="10680" xr:uid="{FF81EB8E-2217-41D6-A4E1-8B71F2135423}"/>
    <cellStyle name="Comma 17 3 2 2 2 3 3 2 3 2" xfId="10684" xr:uid="{2775A0A4-F933-4F5B-A6BA-E32724013D47}"/>
    <cellStyle name="Comma 17 3 2 2 2 3 3 2 4" xfId="10688" xr:uid="{D06B3591-6079-4E3B-9C35-0C9BC5630438}"/>
    <cellStyle name="Comma 17 3 2 2 2 3 3 3" xfId="10691" xr:uid="{65A5CCDF-B685-4629-8096-E7B5F3295292}"/>
    <cellStyle name="Comma 17 3 2 2 2 3 3 3 2" xfId="10694" xr:uid="{29499602-E2F3-4D63-9F68-EEFBD7315125}"/>
    <cellStyle name="Comma 17 3 2 2 2 3 3 3 2 2" xfId="10697" xr:uid="{3D14C376-7A8C-4490-ACCA-A4B1526E5CAF}"/>
    <cellStyle name="Comma 17 3 2 2 2 3 3 3 3" xfId="10701" xr:uid="{BA59ED44-6B98-457D-A43C-3370F66782E3}"/>
    <cellStyle name="Comma 17 3 2 2 2 3 3 4" xfId="10704" xr:uid="{22272FB1-0F95-48E4-83A3-C32338F80B0B}"/>
    <cellStyle name="Comma 17 3 2 2 2 3 3 4 2" xfId="10707" xr:uid="{93CB6BAF-638A-4850-B4E2-CFA857CCE752}"/>
    <cellStyle name="Comma 17 3 2 2 2 3 3 5" xfId="10710" xr:uid="{68865C06-54E1-4AEF-8D78-9F143CB84F74}"/>
    <cellStyle name="Comma 17 3 2 2 2 3 4" xfId="10711" xr:uid="{F140CA0F-4FC8-4D0A-B056-40F17ED606C2}"/>
    <cellStyle name="Comma 17 3 2 2 2 3 4 2" xfId="10713" xr:uid="{8DA9D042-EF4E-4C19-BAD3-3DA146873069}"/>
    <cellStyle name="Comma 17 3 2 2 2 3 4 2 2" xfId="10715" xr:uid="{9F02FCEA-F982-4D28-80E3-6A762B595131}"/>
    <cellStyle name="Comma 17 3 2 2 2 3 4 2 2 2" xfId="10717" xr:uid="{D7638893-C078-40E0-A6D3-44A74767991D}"/>
    <cellStyle name="Comma 17 3 2 2 2 3 4 2 3" xfId="10720" xr:uid="{5B540D17-BE48-416D-8973-739BF5CC03B5}"/>
    <cellStyle name="Comma 17 3 2 2 2 3 4 3" xfId="10722" xr:uid="{B7347AEC-60C4-4467-A3E1-947014E51CD8}"/>
    <cellStyle name="Comma 17 3 2 2 2 3 4 3 2" xfId="10724" xr:uid="{0E33AE2A-6D9E-401E-A759-116100679A24}"/>
    <cellStyle name="Comma 17 3 2 2 2 3 4 4" xfId="10728" xr:uid="{1F392D4F-F88A-4DC5-B9C9-13E6E1311C3C}"/>
    <cellStyle name="Comma 17 3 2 2 2 3 5" xfId="10729" xr:uid="{3535DD6B-CF4C-4BDD-8746-BC162968CDFA}"/>
    <cellStyle name="Comma 17 3 2 2 2 3 5 2" xfId="10731" xr:uid="{CEBB5278-2338-41E2-88C7-421E926C2624}"/>
    <cellStyle name="Comma 17 3 2 2 2 3 5 2 2" xfId="10732" xr:uid="{CF58B734-7827-42DE-9A76-DA5E9E051763}"/>
    <cellStyle name="Comma 17 3 2 2 2 3 5 3" xfId="10736" xr:uid="{A0AD8ADB-D21D-472A-9C37-85196DF2F2DD}"/>
    <cellStyle name="Comma 17 3 2 2 2 3 6" xfId="10738" xr:uid="{A195F9D8-9798-4A65-9266-CC99290E1A2F}"/>
    <cellStyle name="Comma 17 3 2 2 2 3 6 2" xfId="10740" xr:uid="{F09BED5D-F8FA-4E24-9A41-2E72FF09C421}"/>
    <cellStyle name="Comma 17 3 2 2 2 3 7" xfId="8997" xr:uid="{28A047F5-9644-42CB-98DA-D9807AB29832}"/>
    <cellStyle name="Comma 17 3 2 2 2 3 8" xfId="9004" xr:uid="{AA7BA47A-D6D7-48BB-ACAA-834DDE161F52}"/>
    <cellStyle name="Comma 17 3 2 2 2 4" xfId="10741" xr:uid="{420A6C3B-A8D0-437C-B88F-CDCCA39F45D1}"/>
    <cellStyle name="Comma 17 3 2 2 2 4 2" xfId="10743" xr:uid="{A600A676-C43F-4E31-B022-69EAC0DC9209}"/>
    <cellStyle name="Comma 17 3 2 2 2 4 2 2" xfId="10746" xr:uid="{CA6DBDFE-196B-4581-93B1-CFC2777C58E0}"/>
    <cellStyle name="Comma 17 3 2 2 2 4 2 2 2" xfId="10749" xr:uid="{AD036795-CF98-4ABD-805E-6CA4A9C4C2CB}"/>
    <cellStyle name="Comma 17 3 2 2 2 4 2 2 2 2" xfId="10750" xr:uid="{0143AE02-19F9-495A-A521-0CDEEACF6226}"/>
    <cellStyle name="Comma 17 3 2 2 2 4 2 2 2 2 2" xfId="10752" xr:uid="{1BA270CF-44A1-4E2C-9AA9-8B6701687BE6}"/>
    <cellStyle name="Comma 17 3 2 2 2 4 2 2 2 3" xfId="10753" xr:uid="{5C09899E-40DA-4A0E-ABD0-B422F7824379}"/>
    <cellStyle name="Comma 17 3 2 2 2 4 2 2 3" xfId="10756" xr:uid="{FB6846C2-92E5-4C64-B828-9FE4D587A64C}"/>
    <cellStyle name="Comma 17 3 2 2 2 4 2 2 3 2" xfId="10757" xr:uid="{E917D1EA-1B79-4180-9579-A1C3EC3B4C66}"/>
    <cellStyle name="Comma 17 3 2 2 2 4 2 2 4" xfId="10760" xr:uid="{28B8D927-3E76-4D9E-8068-D4D7E878A5CA}"/>
    <cellStyle name="Comma 17 3 2 2 2 4 2 3" xfId="10763" xr:uid="{F9A066F9-079E-4167-9FCD-97BB007249C3}"/>
    <cellStyle name="Comma 17 3 2 2 2 4 2 3 2" xfId="10766" xr:uid="{AE806D4B-1FAD-4667-AEDF-9CEF8819CCB8}"/>
    <cellStyle name="Comma 17 3 2 2 2 4 2 3 2 2" xfId="10767" xr:uid="{A9B52DC6-6F45-4B06-B376-B3A407F675DC}"/>
    <cellStyle name="Comma 17 3 2 2 2 4 2 3 3" xfId="10768" xr:uid="{D7914EC0-AE51-4183-B710-13203F004A3C}"/>
    <cellStyle name="Comma 17 3 2 2 2 4 2 4" xfId="10770" xr:uid="{7278737F-058B-4CE1-9D1B-B40FEE0C6FAD}"/>
    <cellStyle name="Comma 17 3 2 2 2 4 2 4 2" xfId="10773" xr:uid="{6648E125-E01E-47ED-A759-A4FB3491DCCC}"/>
    <cellStyle name="Comma 17 3 2 2 2 4 2 5" xfId="5772" xr:uid="{89D0FE58-B5A4-4B9B-882A-CCCF17BA3F4E}"/>
    <cellStyle name="Comma 17 3 2 2 2 4 3" xfId="10774" xr:uid="{B8309CF3-1D52-4C9F-BE0D-D45B8AAD23DE}"/>
    <cellStyle name="Comma 17 3 2 2 2 4 3 2" xfId="10775" xr:uid="{53C35F4F-84AA-4A0B-9CDF-5D60A6EF2C13}"/>
    <cellStyle name="Comma 17 3 2 2 2 4 3 2 2" xfId="10776" xr:uid="{BBBA2F89-05F2-46CF-BB4C-E0DD8D1552AB}"/>
    <cellStyle name="Comma 17 3 2 2 2 4 3 2 2 2" xfId="10777" xr:uid="{188BEB5E-DBC2-410D-A487-0155C47CF7AE}"/>
    <cellStyle name="Comma 17 3 2 2 2 4 3 2 3" xfId="10782" xr:uid="{CD8F2867-4128-4BAD-8C9C-73057B43A4EE}"/>
    <cellStyle name="Comma 17 3 2 2 2 4 3 3" xfId="10784" xr:uid="{3FC5690A-0CF0-442E-8410-070CD0302F0F}"/>
    <cellStyle name="Comma 17 3 2 2 2 4 3 3 2" xfId="10785" xr:uid="{B657DCE2-8365-422A-B37B-6327EEBD2195}"/>
    <cellStyle name="Comma 17 3 2 2 2 4 3 4" xfId="10786" xr:uid="{700B5658-4144-410F-BA58-8E616F2CA891}"/>
    <cellStyle name="Comma 17 3 2 2 2 4 4" xfId="10788" xr:uid="{56FBB61E-A28C-428B-9957-379B4C037E19}"/>
    <cellStyle name="Comma 17 3 2 2 2 4 4 2" xfId="10789" xr:uid="{CC7D4AD3-0C42-4B2B-BBD3-48D513E8D2DB}"/>
    <cellStyle name="Comma 17 3 2 2 2 4 4 2 2" xfId="10790" xr:uid="{676740E5-B1C7-4F28-B9B7-F8FC6BFCBC0A}"/>
    <cellStyle name="Comma 17 3 2 2 2 4 4 3" xfId="10792" xr:uid="{43A38674-8C2F-45DB-B190-9DA2B3C0C6C3}"/>
    <cellStyle name="Comma 17 3 2 2 2 4 5" xfId="10793" xr:uid="{EFB2B947-34C6-490C-8AD6-0AED89FB8A5C}"/>
    <cellStyle name="Comma 17 3 2 2 2 4 5 2" xfId="10795" xr:uid="{DF6BC10A-67B9-4200-A7BB-41ECA937BC89}"/>
    <cellStyle name="Comma 17 3 2 2 2 4 6" xfId="10796" xr:uid="{076E7B64-B54F-47FF-9A69-22C5A866994C}"/>
    <cellStyle name="Comma 17 3 2 2 2 4 7" xfId="9011" xr:uid="{F52C13A3-F48D-498F-852D-B888A5747E73}"/>
    <cellStyle name="Comma 17 3 2 2 2 5" xfId="10797" xr:uid="{0CE60E42-4C51-4CCD-8403-D832D61A9906}"/>
    <cellStyle name="Comma 17 3 2 2 2 5 2" xfId="10798" xr:uid="{49DCF9F8-3283-40C8-88F6-30B11AC7ED5D}"/>
    <cellStyle name="Comma 17 3 2 2 2 5 2 2" xfId="10799" xr:uid="{08333835-7DC0-4FFD-81D1-216AF09C3ECB}"/>
    <cellStyle name="Comma 17 3 2 2 2 5 2 2 2" xfId="10800" xr:uid="{FC794E68-A45D-46E3-8D1D-F315B4EFB199}"/>
    <cellStyle name="Comma 17 3 2 2 2 5 2 2 2 2" xfId="10801" xr:uid="{C14A41F3-858B-4E43-9308-6E42084714B6}"/>
    <cellStyle name="Comma 17 3 2 2 2 5 2 2 3" xfId="10802" xr:uid="{96612D77-6EB1-47F8-B509-901979D84D6D}"/>
    <cellStyle name="Comma 17 3 2 2 2 5 2 3" xfId="10804" xr:uid="{ECC2DC65-8FAD-4EF6-BD25-CC7CCDB632BA}"/>
    <cellStyle name="Comma 17 3 2 2 2 5 2 3 2" xfId="10805" xr:uid="{79B247E0-E8D8-46DB-ABB2-D418CD43DB00}"/>
    <cellStyle name="Comma 17 3 2 2 2 5 2 4" xfId="10806" xr:uid="{6C96C21D-9559-4523-B169-DB2721EAA898}"/>
    <cellStyle name="Comma 17 3 2 2 2 5 3" xfId="10807" xr:uid="{A3C40972-024A-4CFC-8853-4F94DB1E7887}"/>
    <cellStyle name="Comma 17 3 2 2 2 5 3 2" xfId="10808" xr:uid="{F53A906B-DD9B-426D-A691-2DBB09312090}"/>
    <cellStyle name="Comma 17 3 2 2 2 5 3 2 2" xfId="10809" xr:uid="{595C28FD-5751-4C4A-9C4A-1AF6AEA92F49}"/>
    <cellStyle name="Comma 17 3 2 2 2 5 3 3" xfId="10813" xr:uid="{1D90916F-C6DE-4DCF-B499-4C76CB047286}"/>
    <cellStyle name="Comma 17 3 2 2 2 5 4" xfId="10814" xr:uid="{031FA71A-D445-4A8A-9BDD-BC7925DE86FB}"/>
    <cellStyle name="Comma 17 3 2 2 2 5 4 2" xfId="10815" xr:uid="{4D1DE951-C219-4E7D-A7A2-E963AC858889}"/>
    <cellStyle name="Comma 17 3 2 2 2 5 5" xfId="9547" xr:uid="{28BC9328-44E3-4897-80BF-09DB411F8008}"/>
    <cellStyle name="Comma 17 3 2 2 2 6" xfId="6394" xr:uid="{48FE170C-ED6B-403B-80A3-D2BE2A6A5BB7}"/>
    <cellStyle name="Comma 17 3 2 2 2 6 2" xfId="6399" xr:uid="{25451ADB-787A-41D1-8C24-3DAFCDFAAE9B}"/>
    <cellStyle name="Comma 17 3 2 2 2 6 2 2" xfId="8118" xr:uid="{1577EF1F-C97A-48FC-A6D0-D0CE995DF36C}"/>
    <cellStyle name="Comma 17 3 2 2 2 6 2 2 2" xfId="8120" xr:uid="{33890102-2F71-4F7E-9717-B8307C158BEA}"/>
    <cellStyle name="Comma 17 3 2 2 2 6 2 3" xfId="8122" xr:uid="{E5B09B2A-0C4B-45C7-B135-952C523098B6}"/>
    <cellStyle name="Comma 17 3 2 2 2 6 3" xfId="5943" xr:uid="{9A801FD5-71D6-464C-A849-964CBDCDE878}"/>
    <cellStyle name="Comma 17 3 2 2 2 6 3 2" xfId="8124" xr:uid="{CACC77DD-31D9-4352-871C-8EB06C9CD461}"/>
    <cellStyle name="Comma 17 3 2 2 2 6 4" xfId="8126" xr:uid="{56C4C18C-07E6-4EA4-9E23-5DD4E9DD479B}"/>
    <cellStyle name="Comma 17 3 2 2 2 7" xfId="6402" xr:uid="{739C6181-AC34-4F5E-99E9-4B2EF2F3C664}"/>
    <cellStyle name="Comma 17 3 2 2 2 7 2" xfId="1244" xr:uid="{C3C8DEDD-0620-453A-AB62-3FD33B42A270}"/>
    <cellStyle name="Comma 17 3 2 2 2 7 2 2" xfId="8128" xr:uid="{EC0707FC-0616-4CEB-8356-00ED82D2CB83}"/>
    <cellStyle name="Comma 17 3 2 2 2 7 3" xfId="1250" xr:uid="{984ABC4B-7496-4F96-92E5-A1AE76302199}"/>
    <cellStyle name="Comma 17 3 2 2 2 8" xfId="6409" xr:uid="{AA58B8F7-BB00-4084-8D2F-B8B008D9543D}"/>
    <cellStyle name="Comma 17 3 2 2 2 8 2" xfId="8133" xr:uid="{068CA443-991C-44E7-808C-898B1C2539DA}"/>
    <cellStyle name="Comma 17 3 2 2 2 9" xfId="8138" xr:uid="{763DC1DD-6B33-4C7E-920E-806D293EE4AA}"/>
    <cellStyle name="Comma 17 3 2 2 3" xfId="10583" xr:uid="{C0EEA0F4-1434-4C29-951C-C89ADB74CA3C}"/>
    <cellStyle name="Comma 17 3 2 2 3 2" xfId="10585" xr:uid="{D48792A6-30CC-4868-AE50-1AE9186DD936}"/>
    <cellStyle name="Comma 17 3 2 2 3 2 2" xfId="10587" xr:uid="{00B9F40E-4AE8-44B6-985B-DD1DC158F452}"/>
    <cellStyle name="Comma 17 3 2 2 3 2 2 2" xfId="10816" xr:uid="{5D4E6E34-4277-4CB3-8784-F227F27ACEAC}"/>
    <cellStyle name="Comma 17 3 2 2 3 2 2 2 2" xfId="10817" xr:uid="{EE1E632F-93DB-41A4-9930-6C3B8714A9BC}"/>
    <cellStyle name="Comma 17 3 2 2 3 2 2 2 2 2" xfId="10819" xr:uid="{77EB8E25-5F4B-4ABC-AD3E-11DCE8BC72A0}"/>
    <cellStyle name="Comma 17 3 2 2 3 2 2 2 2 2 2" xfId="10820" xr:uid="{4BD4F561-AD6C-4A42-BC09-6DF9919841E0}"/>
    <cellStyle name="Comma 17 3 2 2 3 2 2 2 2 2 2 2" xfId="10821" xr:uid="{0B8CCA60-0BFC-4511-94F5-2F24664AACEF}"/>
    <cellStyle name="Comma 17 3 2 2 3 2 2 2 2 2 3" xfId="10823" xr:uid="{43E8E9F9-664D-4C96-8521-007783BFBD07}"/>
    <cellStyle name="Comma 17 3 2 2 3 2 2 2 2 3" xfId="10825" xr:uid="{AE672C3C-B835-45B7-9C9E-C6CCE8124E08}"/>
    <cellStyle name="Comma 17 3 2 2 3 2 2 2 2 3 2" xfId="10827" xr:uid="{BDF57AE7-B044-46F8-AA1D-7EDCA0DC0106}"/>
    <cellStyle name="Comma 17 3 2 2 3 2 2 2 2 4" xfId="10829" xr:uid="{FDB9C112-4022-4B9E-AEED-11D16B57BDCA}"/>
    <cellStyle name="Comma 17 3 2 2 3 2 2 2 3" xfId="10830" xr:uid="{DCBBEF5B-F161-4FAA-A69C-D48E0EEF7F0E}"/>
    <cellStyle name="Comma 17 3 2 2 3 2 2 2 3 2" xfId="10831" xr:uid="{40094647-5099-443D-8C4D-FBBB64C44D53}"/>
    <cellStyle name="Comma 17 3 2 2 3 2 2 2 3 2 2" xfId="10832" xr:uid="{78B4988E-8B6D-4B3D-9DF5-ECFB303B2968}"/>
    <cellStyle name="Comma 17 3 2 2 3 2 2 2 3 3" xfId="10834" xr:uid="{06E00C6E-5141-4BD3-8F36-6E535261C746}"/>
    <cellStyle name="Comma 17 3 2 2 3 2 2 2 4" xfId="7779" xr:uid="{2E3FF9C0-3492-45CB-95D6-2CEE05104FAE}"/>
    <cellStyle name="Comma 17 3 2 2 3 2 2 2 4 2" xfId="10837" xr:uid="{7FA5A1A9-2031-4F88-A5B9-05A9C96F708C}"/>
    <cellStyle name="Comma 17 3 2 2 3 2 2 2 5" xfId="10840" xr:uid="{1425061C-06B3-42A0-8BAD-91C806D5874F}"/>
    <cellStyle name="Comma 17 3 2 2 3 2 2 3" xfId="10841" xr:uid="{888D92D4-FF45-4E16-AB88-3A438780A7AB}"/>
    <cellStyle name="Comma 17 3 2 2 3 2 2 3 2" xfId="10843" xr:uid="{01EA34AA-6874-4102-975F-A31F3385224E}"/>
    <cellStyle name="Comma 17 3 2 2 3 2 2 3 2 2" xfId="10844" xr:uid="{38D99797-AFF4-4D85-9744-0836A5D4E18E}"/>
    <cellStyle name="Comma 17 3 2 2 3 2 2 3 2 2 2" xfId="10847" xr:uid="{3A220846-0B98-4D6F-9639-9FF0EFA2B4A2}"/>
    <cellStyle name="Comma 17 3 2 2 3 2 2 3 2 3" xfId="10848" xr:uid="{87936619-4CB4-402C-81FF-02662A2F506A}"/>
    <cellStyle name="Comma 17 3 2 2 3 2 2 3 3" xfId="10849" xr:uid="{0F027657-5096-4978-AADA-F362C3A93F23}"/>
    <cellStyle name="Comma 17 3 2 2 3 2 2 3 3 2" xfId="10851" xr:uid="{0E4EE426-1D92-435A-B195-8D8AF8A411B3}"/>
    <cellStyle name="Comma 17 3 2 2 3 2 2 3 4" xfId="10854" xr:uid="{2F917C31-DEBB-449B-AD68-223611143A2B}"/>
    <cellStyle name="Comma 17 3 2 2 3 2 2 4" xfId="3516" xr:uid="{2CD860FF-017F-4A1E-9CCC-BB36AFADC969}"/>
    <cellStyle name="Comma 17 3 2 2 3 2 2 4 2" xfId="10855" xr:uid="{1B330971-24F1-49F1-BE8E-C14F14AC7A09}"/>
    <cellStyle name="Comma 17 3 2 2 3 2 2 4 2 2" xfId="10856" xr:uid="{20B86302-2E13-46BE-AAD7-5C20322936B6}"/>
    <cellStyle name="Comma 17 3 2 2 3 2 2 4 3" xfId="10857" xr:uid="{1DCA3A74-28B4-49F3-AECA-03CB352BE763}"/>
    <cellStyle name="Comma 17 3 2 2 3 2 2 5" xfId="10860" xr:uid="{1EBF4124-100E-4034-9D06-7A7D0D3858B0}"/>
    <cellStyle name="Comma 17 3 2 2 3 2 2 5 2" xfId="10861" xr:uid="{6EB6D758-A5C2-4E3A-B9A2-92020FCC00B1}"/>
    <cellStyle name="Comma 17 3 2 2 3 2 2 6" xfId="10863" xr:uid="{ECF6AEBA-817D-4668-B25A-34DA060C3E41}"/>
    <cellStyle name="Comma 17 3 2 2 3 2 2 7" xfId="10864" xr:uid="{92FE4042-CA31-4A77-8250-858FE4C969F6}"/>
    <cellStyle name="Comma 17 3 2 2 3 2 3" xfId="10865" xr:uid="{81DB2C1E-F010-4F78-8DC7-14C66D35496A}"/>
    <cellStyle name="Comma 17 3 2 2 3 2 3 2" xfId="10866" xr:uid="{48DF4D5F-F876-4422-8EA8-15DABFDA103E}"/>
    <cellStyle name="Comma 17 3 2 2 3 2 3 2 2" xfId="10867" xr:uid="{79081280-D8CF-4BB5-BA4F-9490CA4B1126}"/>
    <cellStyle name="Comma 17 3 2 2 3 2 3 2 2 2" xfId="10868" xr:uid="{141BEFD6-9BEE-4371-A62A-20C55B50880D}"/>
    <cellStyle name="Comma 17 3 2 2 3 2 3 2 2 2 2" xfId="10869" xr:uid="{58C149B8-F5A9-43FB-A917-9837624D6FFA}"/>
    <cellStyle name="Comma 17 3 2 2 3 2 3 2 2 3" xfId="10874" xr:uid="{1CF720EB-4D8F-49BA-BCB1-B0E169BC5757}"/>
    <cellStyle name="Comma 17 3 2 2 3 2 3 2 3" xfId="10875" xr:uid="{DDEA1129-0DEE-43EA-B7F0-288D51207E2C}"/>
    <cellStyle name="Comma 17 3 2 2 3 2 3 2 3 2" xfId="10876" xr:uid="{126B224C-CF6B-4E6A-8EFD-2DE35BD249AC}"/>
    <cellStyle name="Comma 17 3 2 2 3 2 3 2 4" xfId="10879" xr:uid="{BC306926-F923-43DD-90F6-E4EDE9E470AC}"/>
    <cellStyle name="Comma 17 3 2 2 3 2 3 3" xfId="10880" xr:uid="{D3FC1CBC-986E-42C0-AAC4-7B163A3D3780}"/>
    <cellStyle name="Comma 17 3 2 2 3 2 3 3 2" xfId="10881" xr:uid="{B64C5983-A44B-4CEA-B802-C809CC1CDDF1}"/>
    <cellStyle name="Comma 17 3 2 2 3 2 3 3 2 2" xfId="10882" xr:uid="{E241291B-CF99-456C-B7AA-E67236872B1B}"/>
    <cellStyle name="Comma 17 3 2 2 3 2 3 3 3" xfId="10884" xr:uid="{88B3FC1F-F0D2-4D57-8ABC-EB62D9A0C8FD}"/>
    <cellStyle name="Comma 17 3 2 2 3 2 3 4" xfId="10885" xr:uid="{82D29E65-4AFE-4265-BC28-3C533296E2BC}"/>
    <cellStyle name="Comma 17 3 2 2 3 2 3 4 2" xfId="10888" xr:uid="{6C5259D9-D532-4E32-913B-91925094BB3D}"/>
    <cellStyle name="Comma 17 3 2 2 3 2 3 5" xfId="10889" xr:uid="{AE0893E9-8967-4BF7-9EBA-2E566940CC82}"/>
    <cellStyle name="Comma 17 3 2 2 3 2 4" xfId="10892" xr:uid="{86D4FDF6-BD1A-4642-8B20-CD898740304A}"/>
    <cellStyle name="Comma 17 3 2 2 3 2 4 2" xfId="10895" xr:uid="{D927F3AE-6975-4ECF-ABC4-C258F24CA851}"/>
    <cellStyle name="Comma 17 3 2 2 3 2 4 2 2" xfId="10898" xr:uid="{E375FDE9-4353-4EBD-B2CB-D39584E9BEBF}"/>
    <cellStyle name="Comma 17 3 2 2 3 2 4 2 2 2" xfId="10902" xr:uid="{03676966-233A-4284-9537-E36FC7E1B919}"/>
    <cellStyle name="Comma 17 3 2 2 3 2 4 2 3" xfId="10907" xr:uid="{2DD9F430-A51F-463A-A9F2-88DF1ACE00D5}"/>
    <cellStyle name="Comma 17 3 2 2 3 2 4 3" xfId="10910" xr:uid="{102777F4-6DDE-470F-98C5-CECBCC35B98B}"/>
    <cellStyle name="Comma 17 3 2 2 3 2 4 3 2" xfId="10915" xr:uid="{4F1BCC6B-409D-4F8B-8E6F-CA54673D6D61}"/>
    <cellStyle name="Comma 17 3 2 2 3 2 4 4" xfId="10919" xr:uid="{316B4EB5-03E3-4785-A7E8-2ECB9FAB9506}"/>
    <cellStyle name="Comma 17 3 2 2 3 2 5" xfId="10922" xr:uid="{C07AC43A-C6C0-40F6-AB0B-CC6AD541220D}"/>
    <cellStyle name="Comma 17 3 2 2 3 2 5 2" xfId="10926" xr:uid="{610B45B7-9179-4443-A66F-429A046A45CF}"/>
    <cellStyle name="Comma 17 3 2 2 3 2 5 2 2" xfId="10930" xr:uid="{D50A87E2-9B64-422F-9DF8-558BDDC1EB67}"/>
    <cellStyle name="Comma 17 3 2 2 3 2 5 3" xfId="10934" xr:uid="{6E7E8B17-7EEC-44D4-B244-C4D6D94942EF}"/>
    <cellStyle name="Comma 17 3 2 2 3 2 6" xfId="10938" xr:uid="{2D4C6231-5B37-41A4-9389-FE9328C31FA0}"/>
    <cellStyle name="Comma 17 3 2 2 3 2 6 2" xfId="10939" xr:uid="{1BDAAF50-BC02-4907-91A9-AAC218961BF8}"/>
    <cellStyle name="Comma 17 3 2 2 3 2 7" xfId="10947" xr:uid="{E1A6400A-1F56-4392-A032-0CAFDA277003}"/>
    <cellStyle name="Comma 17 3 2 2 3 2 8" xfId="10950" xr:uid="{7FE3890D-8975-4B34-B38C-3C4590E8AD4D}"/>
    <cellStyle name="Comma 17 3 2 2 3 3" xfId="10589" xr:uid="{1CA803C5-AD0C-4968-8CF9-E4FD9A8947C4}"/>
    <cellStyle name="Comma 17 3 2 2 3 3 2" xfId="10951" xr:uid="{12910225-F0B0-4C28-85EA-FBF4EB867DA4}"/>
    <cellStyle name="Comma 17 3 2 2 3 3 2 2" xfId="10952" xr:uid="{08B6A69F-1A86-4EEC-890A-36730521E69B}"/>
    <cellStyle name="Comma 17 3 2 2 3 3 2 2 2" xfId="10953" xr:uid="{09E1278B-99CB-4ED8-9052-BCDAECCEE768}"/>
    <cellStyle name="Comma 17 3 2 2 3 3 2 2 2 2" xfId="10954" xr:uid="{37598F04-ACD9-4217-90FF-FF31AE9CE6BC}"/>
    <cellStyle name="Comma 17 3 2 2 3 3 2 2 2 2 2" xfId="10956" xr:uid="{F7CB4274-90F3-4737-B5EF-63A54AA26628}"/>
    <cellStyle name="Comma 17 3 2 2 3 3 2 2 2 3" xfId="10957" xr:uid="{F63D7B44-B4F8-4A74-82A5-C73CAD48FDF0}"/>
    <cellStyle name="Comma 17 3 2 2 3 3 2 2 3" xfId="10958" xr:uid="{7D2AAF48-DEFE-4B73-A8A0-79E0B97008B8}"/>
    <cellStyle name="Comma 17 3 2 2 3 3 2 2 3 2" xfId="10959" xr:uid="{D42DC5C5-305E-4F32-A5E7-E4F5969921B3}"/>
    <cellStyle name="Comma 17 3 2 2 3 3 2 2 4" xfId="10962" xr:uid="{088BCE11-F7FB-40F7-A9B9-8953C051768C}"/>
    <cellStyle name="Comma 17 3 2 2 3 3 2 3" xfId="10963" xr:uid="{49861271-F245-4539-8F27-04AED7E72078}"/>
    <cellStyle name="Comma 17 3 2 2 3 3 2 3 2" xfId="10964" xr:uid="{C22EB7C3-46D1-4681-85CB-8D38600A2D52}"/>
    <cellStyle name="Comma 17 3 2 2 3 3 2 3 2 2" xfId="10965" xr:uid="{AFAF9CE6-F555-4FB4-8B3D-1BAEBCCB7C3F}"/>
    <cellStyle name="Comma 17 3 2 2 3 3 2 3 3" xfId="10968" xr:uid="{4CD6B920-88A4-4938-AC78-62723FEC390A}"/>
    <cellStyle name="Comma 17 3 2 2 3 3 2 4" xfId="10969" xr:uid="{A81C73EA-84A1-4C6A-BF60-45BB69B12606}"/>
    <cellStyle name="Comma 17 3 2 2 3 3 2 4 2" xfId="10970" xr:uid="{DE4A589F-D0C0-4873-B6B8-C989D75368AD}"/>
    <cellStyle name="Comma 17 3 2 2 3 3 2 5" xfId="10971" xr:uid="{1324D606-3A51-452E-ABB3-910A71D34476}"/>
    <cellStyle name="Comma 17 3 2 2 3 3 3" xfId="10972" xr:uid="{E6548B95-C22B-4A8A-9795-52836305D95E}"/>
    <cellStyle name="Comma 17 3 2 2 3 3 3 2" xfId="10973" xr:uid="{D1A16318-FC70-468E-A0B7-1D44E664F424}"/>
    <cellStyle name="Comma 17 3 2 2 3 3 3 2 2" xfId="10975" xr:uid="{A0627641-C4CA-4DEE-8961-A7D2DB18A241}"/>
    <cellStyle name="Comma 17 3 2 2 3 3 3 2 2 2" xfId="10976" xr:uid="{C363A492-8194-4888-9490-5C4480A04FA5}"/>
    <cellStyle name="Comma 17 3 2 2 3 3 3 2 3" xfId="10977" xr:uid="{3458118C-032F-4910-BE63-C463F135D055}"/>
    <cellStyle name="Comma 17 3 2 2 3 3 3 3" xfId="10978" xr:uid="{7BAF7EA3-ADB3-4277-B3B4-54A53D5D73AD}"/>
    <cellStyle name="Comma 17 3 2 2 3 3 3 3 2" xfId="10980" xr:uid="{F1C21862-2A8A-4BEB-AB6E-1466DCE1F884}"/>
    <cellStyle name="Comma 17 3 2 2 3 3 3 4" xfId="10981" xr:uid="{D3ED3D8A-A564-47AE-AF61-CC0863EF39A4}"/>
    <cellStyle name="Comma 17 3 2 2 3 3 4" xfId="10984" xr:uid="{E67B94B1-9A64-49E5-94B2-403E4C637152}"/>
    <cellStyle name="Comma 17 3 2 2 3 3 4 2" xfId="10987" xr:uid="{2E632704-D30D-4413-89BB-C15DEC077B32}"/>
    <cellStyle name="Comma 17 3 2 2 3 3 4 2 2" xfId="10991" xr:uid="{562F95F8-A6F1-4621-ACDA-F3585F6EA22D}"/>
    <cellStyle name="Comma 17 3 2 2 3 3 4 3" xfId="10995" xr:uid="{F1F5D7EE-B80F-422D-9C2C-8F38ED3E0F66}"/>
    <cellStyle name="Comma 17 3 2 2 3 3 5" xfId="10998" xr:uid="{DC0E6DC9-D609-4EBB-87D6-6586CDED5098}"/>
    <cellStyle name="Comma 17 3 2 2 3 3 5 2" xfId="11002" xr:uid="{EEC8E53D-0D5D-4408-8CD3-93117119B8A9}"/>
    <cellStyle name="Comma 17 3 2 2 3 3 6" xfId="11005" xr:uid="{7C6AAD86-AEED-442A-ABAE-7BB1BB9D906F}"/>
    <cellStyle name="Comma 17 3 2 2 3 3 7" xfId="9017" xr:uid="{B18F3ACC-3995-4D29-B227-EEEE3BFC87B5}"/>
    <cellStyle name="Comma 17 3 2 2 3 4" xfId="8558" xr:uid="{F1F68C86-0F63-4BAE-8FBD-1684FA8A46FB}"/>
    <cellStyle name="Comma 17 3 2 2 3 4 2" xfId="11006" xr:uid="{8BF04316-AE22-457B-A271-FB1C3F821DB6}"/>
    <cellStyle name="Comma 17 3 2 2 3 4 2 2" xfId="11007" xr:uid="{A2F1D30C-F669-4C83-B144-C935ECC6C452}"/>
    <cellStyle name="Comma 17 3 2 2 3 4 2 2 2" xfId="11008" xr:uid="{4E570035-9355-4535-BC90-6D5FC193F4DD}"/>
    <cellStyle name="Comma 17 3 2 2 3 4 2 2 2 2" xfId="5711" xr:uid="{B9C7F76E-AD92-4850-A8EB-528DFBF6D92C}"/>
    <cellStyle name="Comma 17 3 2 2 3 4 2 2 3" xfId="11009" xr:uid="{869B2BF5-B4FD-46DA-AE6A-4C904C20A698}"/>
    <cellStyle name="Comma 17 3 2 2 3 4 2 3" xfId="11011" xr:uid="{9C738705-D9BB-4250-B693-E59E866ABB32}"/>
    <cellStyle name="Comma 17 3 2 2 3 4 2 3 2" xfId="11012" xr:uid="{3AB01B72-2DF7-41FC-9701-8D4ACA19A284}"/>
    <cellStyle name="Comma 17 3 2 2 3 4 2 4" xfId="11013" xr:uid="{A60E8875-14E9-4A24-A332-E33FC22631B4}"/>
    <cellStyle name="Comma 17 3 2 2 3 4 3" xfId="11014" xr:uid="{F3191071-60BC-490B-9CC6-D7A03EB764A1}"/>
    <cellStyle name="Comma 17 3 2 2 3 4 3 2" xfId="11015" xr:uid="{5A4FAF7E-6061-49D8-943E-B8FD65ACC575}"/>
    <cellStyle name="Comma 17 3 2 2 3 4 3 2 2" xfId="11016" xr:uid="{23527DFC-06EB-4B3B-8765-B3595CD50A89}"/>
    <cellStyle name="Comma 17 3 2 2 3 4 3 3" xfId="5527" xr:uid="{1551C30E-AD25-4FCD-BC20-41C75D6CED81}"/>
    <cellStyle name="Comma 17 3 2 2 3 4 4" xfId="11019" xr:uid="{96552F6C-A1D0-437D-879D-285229E02426}"/>
    <cellStyle name="Comma 17 3 2 2 3 4 4 2" xfId="11022" xr:uid="{A1F4ABB5-7083-4DAE-98E0-EA9E91D0594E}"/>
    <cellStyle name="Comma 17 3 2 2 3 4 5" xfId="11025" xr:uid="{FE85D1ED-6704-4E5E-B89D-6336F76DBA49}"/>
    <cellStyle name="Comma 17 3 2 2 3 5" xfId="11026" xr:uid="{E5C085EF-91CA-4C2B-91E8-C29BCC00D68F}"/>
    <cellStyle name="Comma 17 3 2 2 3 5 2" xfId="11027" xr:uid="{299A3FE8-C004-49FF-9466-1D1D395BD1A7}"/>
    <cellStyle name="Comma 17 3 2 2 3 5 2 2" xfId="11028" xr:uid="{80B9549A-7C96-402F-B12F-B69D3CFB4DB6}"/>
    <cellStyle name="Comma 17 3 2 2 3 5 2 2 2" xfId="11029" xr:uid="{797764A6-2D91-484A-8D4F-58DFC96EB4CB}"/>
    <cellStyle name="Comma 17 3 2 2 3 5 2 3" xfId="11030" xr:uid="{39C3C432-2A3C-439C-85EC-75D85FB2EFC7}"/>
    <cellStyle name="Comma 17 3 2 2 3 5 3" xfId="11031" xr:uid="{4704380B-882C-40CF-8DEE-4FAF3C7E01FC}"/>
    <cellStyle name="Comma 17 3 2 2 3 5 3 2" xfId="11032" xr:uid="{57C551A9-A70E-4B1E-BACA-7D9CBE533E90}"/>
    <cellStyle name="Comma 17 3 2 2 3 5 4" xfId="11035" xr:uid="{3F701457-F103-4E33-8E25-1A11FF846224}"/>
    <cellStyle name="Comma 17 3 2 2 3 6" xfId="6440" xr:uid="{18ED0452-F069-457E-A8D6-3C0F37D66641}"/>
    <cellStyle name="Comma 17 3 2 2 3 6 2" xfId="1828" xr:uid="{EB76DCFC-06F1-42A2-B549-3B61BAAEB1EE}"/>
    <cellStyle name="Comma 17 3 2 2 3 6 2 2" xfId="7281" xr:uid="{86C531B1-D8D3-41B7-8500-5C93C97E72FB}"/>
    <cellStyle name="Comma 17 3 2 2 3 6 3" xfId="1833" xr:uid="{AB89F61A-2E65-4A60-9FB5-C7896FA52DC1}"/>
    <cellStyle name="Comma 17 3 2 2 3 7" xfId="8141" xr:uid="{2ABB9FB6-4A86-4B49-B0B5-86874A2861FF}"/>
    <cellStyle name="Comma 17 3 2 2 3 7 2" xfId="579" xr:uid="{2D52CD18-2C14-4689-8A30-7CAB97819B3D}"/>
    <cellStyle name="Comma 17 3 2 2 3 8" xfId="8147" xr:uid="{E1B50AF4-7CD6-427C-B646-6E37A917829E}"/>
    <cellStyle name="Comma 17 3 2 2 3 9" xfId="11040" xr:uid="{103E9974-EC4E-4317-B921-630442737507}"/>
    <cellStyle name="Comma 17 3 2 2 4" xfId="10591" xr:uid="{AA0F7059-E259-41B1-A426-FBE6237B6CE3}"/>
    <cellStyle name="Comma 17 3 2 2 4 2" xfId="10594" xr:uid="{48F979F6-A986-4EAD-868D-409B376A6270}"/>
    <cellStyle name="Comma 17 3 2 2 4 2 2" xfId="11042" xr:uid="{45442397-4C65-424D-900D-F85A003B8930}"/>
    <cellStyle name="Comma 17 3 2 2 4 2 2 2" xfId="11043" xr:uid="{4B7A74F0-4039-4F98-8668-0278D9DAF5E3}"/>
    <cellStyle name="Comma 17 3 2 2 4 2 2 2 2" xfId="11044" xr:uid="{257CC717-FB92-4060-B132-6AC136AEC6C0}"/>
    <cellStyle name="Comma 17 3 2 2 4 2 2 2 2 2" xfId="11045" xr:uid="{B3BCD492-71FD-4AD1-BB9A-43A1D32E31D2}"/>
    <cellStyle name="Comma 17 3 2 2 4 2 2 2 2 2 2" xfId="11046" xr:uid="{3C442758-B90E-4967-9709-246E511E5C1C}"/>
    <cellStyle name="Comma 17 3 2 2 4 2 2 2 2 3" xfId="11047" xr:uid="{1F88B995-28BF-420D-9F6E-4DBD05C103C2}"/>
    <cellStyle name="Comma 17 3 2 2 4 2 2 2 3" xfId="11048" xr:uid="{37185F19-4F0E-463A-B67C-5B1762517B82}"/>
    <cellStyle name="Comma 17 3 2 2 4 2 2 2 3 2" xfId="11049" xr:uid="{E4B2E01D-38C5-4D3E-92EE-58575F0B1EB6}"/>
    <cellStyle name="Comma 17 3 2 2 4 2 2 2 4" xfId="11052" xr:uid="{F7ADBC46-445D-4185-B1CB-1B4CD381C769}"/>
    <cellStyle name="Comma 17 3 2 2 4 2 2 3" xfId="11055" xr:uid="{B84F1E38-9F13-49DF-8D89-97806F1CE035}"/>
    <cellStyle name="Comma 17 3 2 2 4 2 2 3 2" xfId="11058" xr:uid="{C20A7D86-EF42-4059-8617-753E7C06A210}"/>
    <cellStyle name="Comma 17 3 2 2 4 2 2 3 2 2" xfId="11059" xr:uid="{C182DA08-C3B6-4825-96A5-3956993F6BE3}"/>
    <cellStyle name="Comma 17 3 2 2 4 2 2 3 3" xfId="11061" xr:uid="{22D85CED-4C8C-4016-8319-D65B183E045D}"/>
    <cellStyle name="Comma 17 3 2 2 4 2 2 4" xfId="11063" xr:uid="{21C82DC5-F7D4-4B3E-B990-138709471A14}"/>
    <cellStyle name="Comma 17 3 2 2 4 2 2 4 2" xfId="11064" xr:uid="{509EA932-8FC3-4BA3-82CE-40828E5E9789}"/>
    <cellStyle name="Comma 17 3 2 2 4 2 2 5" xfId="9949" xr:uid="{84769F6B-10F8-4A05-90B1-8CC8C0C7C151}"/>
    <cellStyle name="Comma 17 3 2 2 4 2 3" xfId="11065" xr:uid="{236F5CA9-0C17-48C5-996E-692D3B36801C}"/>
    <cellStyle name="Comma 17 3 2 2 4 2 3 2" xfId="11066" xr:uid="{C0AAC75D-F292-4785-9465-4093D43250AC}"/>
    <cellStyle name="Comma 17 3 2 2 4 2 3 2 2" xfId="7387" xr:uid="{F2D73D17-B8A1-4463-80AB-0745338025B8}"/>
    <cellStyle name="Comma 17 3 2 2 4 2 3 2 2 2" xfId="7973" xr:uid="{5F9D8162-4132-478D-9246-3E68C7B8D773}"/>
    <cellStyle name="Comma 17 3 2 2 4 2 3 2 3" xfId="7977" xr:uid="{482D7C2E-41E2-43F5-91D3-A0245F7862A1}"/>
    <cellStyle name="Comma 17 3 2 2 4 2 3 3" xfId="11068" xr:uid="{64C8D885-4387-4F93-ADA3-F82E8B237304}"/>
    <cellStyle name="Comma 17 3 2 2 4 2 3 3 2" xfId="7983" xr:uid="{EDDA5B7B-0E5E-4834-9353-EC046FFBD246}"/>
    <cellStyle name="Comma 17 3 2 2 4 2 3 4" xfId="11069" xr:uid="{FD77A8D2-74DD-4685-8D7B-063E0EFF7B08}"/>
    <cellStyle name="Comma 17 3 2 2 4 2 4" xfId="11072" xr:uid="{B210510F-15B9-4922-BFAE-39425A044E5D}"/>
    <cellStyle name="Comma 17 3 2 2 4 2 4 2" xfId="11075" xr:uid="{E987C450-1DD8-48DB-B731-7A6E48A5CFC8}"/>
    <cellStyle name="Comma 17 3 2 2 4 2 4 2 2" xfId="7995" xr:uid="{B71AEFDA-C617-4EA4-A007-8C2C6DB2DD32}"/>
    <cellStyle name="Comma 17 3 2 2 4 2 4 3" xfId="11078" xr:uid="{FFF94D6D-1404-4B04-9803-10D70F53BE6A}"/>
    <cellStyle name="Comma 17 3 2 2 4 2 5" xfId="11081" xr:uid="{3AF873D7-A7A9-4C28-8485-CA3B5995A453}"/>
    <cellStyle name="Comma 17 3 2 2 4 2 5 2" xfId="11084" xr:uid="{64C5C012-72DC-42D1-BF23-550F3789101B}"/>
    <cellStyle name="Comma 17 3 2 2 4 2 6" xfId="11087" xr:uid="{A20672DC-F4AB-4632-BF73-D1A491DA02B4}"/>
    <cellStyle name="Comma 17 3 2 2 4 2 7" xfId="2381" xr:uid="{910DDDD2-F5FA-4A2B-BFC1-E0FCDA321A55}"/>
    <cellStyle name="Comma 17 3 2 2 4 3" xfId="2081" xr:uid="{E95DB6DC-2FC5-45F0-AF8D-0DB45123DDFC}"/>
    <cellStyle name="Comma 17 3 2 2 4 3 2" xfId="11092" xr:uid="{BF69FEEE-C815-424B-907F-2D99C7264BE2}"/>
    <cellStyle name="Comma 17 3 2 2 4 3 2 2" xfId="11093" xr:uid="{7A05959F-39C9-4D78-8961-88597D826206}"/>
    <cellStyle name="Comma 17 3 2 2 4 3 2 2 2" xfId="11094" xr:uid="{11FE1CB0-BA1F-4B68-8C98-BD5353A38603}"/>
    <cellStyle name="Comma 17 3 2 2 4 3 2 2 2 2" xfId="11096" xr:uid="{1674449A-76D5-4E9B-94A6-BCBE660B0789}"/>
    <cellStyle name="Comma 17 3 2 2 4 3 2 2 3" xfId="11097" xr:uid="{6CCB1182-90F4-47DE-9277-CC85E130A2A6}"/>
    <cellStyle name="Comma 17 3 2 2 4 3 2 3" xfId="11099" xr:uid="{1F49E052-C80D-41AC-8D05-75E6D4706BD4}"/>
    <cellStyle name="Comma 17 3 2 2 4 3 2 3 2" xfId="11100" xr:uid="{5C917F99-454A-4A06-ADE2-124354E29064}"/>
    <cellStyle name="Comma 17 3 2 2 4 3 2 4" xfId="11102" xr:uid="{63D7F137-8E8C-4AE5-9DD4-FA530F60A45F}"/>
    <cellStyle name="Comma 17 3 2 2 4 3 3" xfId="3091" xr:uid="{1D630246-D50F-4005-8740-7F40FF38F86D}"/>
    <cellStyle name="Comma 17 3 2 2 4 3 3 2" xfId="3093" xr:uid="{5C5706AE-3AD5-40DB-B754-3CC0006DD910}"/>
    <cellStyle name="Comma 17 3 2 2 4 3 3 2 2" xfId="606" xr:uid="{80D38A23-8D2E-4132-996D-E4A7D2E0EB99}"/>
    <cellStyle name="Comma 17 3 2 2 4 3 3 3" xfId="3095" xr:uid="{5392BC33-2018-44DB-9015-57826D3F87EC}"/>
    <cellStyle name="Comma 17 3 2 2 4 3 4" xfId="3102" xr:uid="{D09F1298-7FB4-48F4-B95F-F96E17376943}"/>
    <cellStyle name="Comma 17 3 2 2 4 3 4 2" xfId="3106" xr:uid="{F3574294-E831-4E29-99A5-B37B8FBAB06A}"/>
    <cellStyle name="Comma 17 3 2 2 4 3 5" xfId="3119" xr:uid="{B3016F84-1B39-438A-8AA1-96FB1342E33F}"/>
    <cellStyle name="Comma 17 3 2 2 4 4" xfId="11105" xr:uid="{81093208-AC2A-4786-A82B-2B2BA7FE32C6}"/>
    <cellStyle name="Comma 17 3 2 2 4 4 2" xfId="11106" xr:uid="{30C647AD-B7ED-4B8D-8A1F-A9B58B0CFC2E}"/>
    <cellStyle name="Comma 17 3 2 2 4 4 2 2" xfId="11107" xr:uid="{EC15E01D-13A3-4958-A4D8-6184A7665710}"/>
    <cellStyle name="Comma 17 3 2 2 4 4 2 2 2" xfId="11108" xr:uid="{4A2C4ED0-F412-4250-8C9F-000A3D68C2AC}"/>
    <cellStyle name="Comma 17 3 2 2 4 4 2 3" xfId="11110" xr:uid="{71350294-2CD8-4609-BDFA-AF769AFF45D5}"/>
    <cellStyle name="Comma 17 3 2 2 4 4 3" xfId="3124" xr:uid="{41711F04-0C42-44E3-B9DB-BB0965525EEB}"/>
    <cellStyle name="Comma 17 3 2 2 4 4 3 2" xfId="3126" xr:uid="{10C449CE-6506-4364-974A-CF2F8905BD0B}"/>
    <cellStyle name="Comma 17 3 2 2 4 4 4" xfId="3131" xr:uid="{4AC57EC9-BC8A-4179-BDE2-44F6DA74AC12}"/>
    <cellStyle name="Comma 17 3 2 2 4 5" xfId="11112" xr:uid="{3B2424AE-9D3A-4D63-B23F-9321E140AE15}"/>
    <cellStyle name="Comma 17 3 2 2 4 5 2" xfId="11113" xr:uid="{55B00A41-C94F-4DFB-9F18-68C7DF1BE562}"/>
    <cellStyle name="Comma 17 3 2 2 4 5 2 2" xfId="11114" xr:uid="{46DE235F-5C39-4721-8A5D-5B84771A9292}"/>
    <cellStyle name="Comma 17 3 2 2 4 5 3" xfId="3138" xr:uid="{411E8C78-0FBF-4732-934F-B299B5049A29}"/>
    <cellStyle name="Comma 17 3 2 2 4 6" xfId="8150" xr:uid="{BCDE35BF-CC76-42DF-9CF2-0AA0ED04584C}"/>
    <cellStyle name="Comma 17 3 2 2 4 6 2" xfId="3921" xr:uid="{50E3516B-6E95-4DC9-9EB7-9D8CC9B0C9C3}"/>
    <cellStyle name="Comma 17 3 2 2 4 7" xfId="8152" xr:uid="{907A56E6-454A-4169-AC60-A8532004EE5F}"/>
    <cellStyle name="Comma 17 3 2 2 4 8" xfId="11117" xr:uid="{1613695F-B573-4CA9-8856-D7DE74C72139}"/>
    <cellStyle name="Comma 17 3 2 2 5" xfId="10597" xr:uid="{E48AEC86-298B-4FBE-A22B-11CE938D5F45}"/>
    <cellStyle name="Comma 17 3 2 2 5 2" xfId="11118" xr:uid="{A059A50F-CFD6-4CCF-B79E-CC36A283E29A}"/>
    <cellStyle name="Comma 17 3 2 2 5 2 2" xfId="11119" xr:uid="{80E66B58-6448-4529-AC6D-9F847F4CA26E}"/>
    <cellStyle name="Comma 17 3 2 2 5 2 2 2" xfId="11120" xr:uid="{321EA123-1FA0-41F8-974F-AB03B47436ED}"/>
    <cellStyle name="Comma 17 3 2 2 5 2 2 2 2" xfId="11121" xr:uid="{98A2E92B-AACC-4358-B28F-7561FD9DA1F0}"/>
    <cellStyle name="Comma 17 3 2 2 5 2 2 2 2 2" xfId="11122" xr:uid="{5BE899AC-C0E2-4013-A299-F99D3CAFC87E}"/>
    <cellStyle name="Comma 17 3 2 2 5 2 2 2 3" xfId="11123" xr:uid="{5D432195-C90C-4AB5-9E2A-82E9B36968D6}"/>
    <cellStyle name="Comma 17 3 2 2 5 2 2 3" xfId="11125" xr:uid="{790ED26A-E4F0-4E80-9C6A-EE9B4B8164B0}"/>
    <cellStyle name="Comma 17 3 2 2 5 2 2 3 2" xfId="11126" xr:uid="{2342D868-7AAA-4E7F-B673-C13FA4BF2EF2}"/>
    <cellStyle name="Comma 17 3 2 2 5 2 2 4" xfId="11127" xr:uid="{3822E4CE-EB7C-4B4F-B326-6C0BF36BA9A7}"/>
    <cellStyle name="Comma 17 3 2 2 5 2 3" xfId="11128" xr:uid="{977A5A20-13AF-4A81-81CD-A0C950DDA099}"/>
    <cellStyle name="Comma 17 3 2 2 5 2 3 2" xfId="11129" xr:uid="{528F16B7-49C5-46EE-B81B-FED2A6C73405}"/>
    <cellStyle name="Comma 17 3 2 2 5 2 3 2 2" xfId="7344" xr:uid="{14CF7658-6159-4083-B62E-653C6397A4C8}"/>
    <cellStyle name="Comma 17 3 2 2 5 2 3 3" xfId="11130" xr:uid="{60BD4F77-4ECA-4534-ADE2-8EA49408CE5D}"/>
    <cellStyle name="Comma 17 3 2 2 5 2 4" xfId="11133" xr:uid="{FB847032-0B42-4821-8A8A-8E47ED40A779}"/>
    <cellStyle name="Comma 17 3 2 2 5 2 4 2" xfId="11136" xr:uid="{BB0E1517-EB30-4D27-9AB8-694A96F9756D}"/>
    <cellStyle name="Comma 17 3 2 2 5 2 5" xfId="11139" xr:uid="{76D502F2-F5C2-4F30-A461-D5E4C38964C6}"/>
    <cellStyle name="Comma 17 3 2 2 5 3" xfId="11141" xr:uid="{84524A16-32B4-4962-888C-8D14DAF5AE9C}"/>
    <cellStyle name="Comma 17 3 2 2 5 3 2" xfId="11142" xr:uid="{36021FB0-4166-4906-BCF3-9B8A63A6F872}"/>
    <cellStyle name="Comma 17 3 2 2 5 3 2 2" xfId="11143" xr:uid="{13714E9D-F99E-4FE0-B5DE-3FF6DBBBC2C8}"/>
    <cellStyle name="Comma 17 3 2 2 5 3 2 2 2" xfId="11144" xr:uid="{08F48F40-D420-4D01-864D-CFFC988F7C19}"/>
    <cellStyle name="Comma 17 3 2 2 5 3 2 3" xfId="11147" xr:uid="{EE43F1C8-B64C-4056-B0CA-C51F819AA356}"/>
    <cellStyle name="Comma 17 3 2 2 5 3 3" xfId="3155" xr:uid="{BD42A897-1A58-4808-B886-770275997B87}"/>
    <cellStyle name="Comma 17 3 2 2 5 3 3 2" xfId="3157" xr:uid="{289326F5-174D-4BA3-A842-46306CC6314A}"/>
    <cellStyle name="Comma 17 3 2 2 5 3 4" xfId="3163" xr:uid="{78DEFE88-100E-4BDD-9C1E-F7F9E0F08C72}"/>
    <cellStyle name="Comma 17 3 2 2 5 4" xfId="11149" xr:uid="{525E8C78-A0D3-4157-9D15-5AF5E6B8732E}"/>
    <cellStyle name="Comma 17 3 2 2 5 4 2" xfId="11150" xr:uid="{A315371A-8BE0-4AC2-8DD4-9408CC769725}"/>
    <cellStyle name="Comma 17 3 2 2 5 4 2 2" xfId="11151" xr:uid="{A6AE9BF3-795B-4697-95FD-C3D45866457B}"/>
    <cellStyle name="Comma 17 3 2 2 5 4 3" xfId="3166" xr:uid="{58B71331-1A25-4E53-8C02-26DE53E2DA7C}"/>
    <cellStyle name="Comma 17 3 2 2 5 5" xfId="11152" xr:uid="{5A74AC62-0F16-491D-A467-396BE77D0390}"/>
    <cellStyle name="Comma 17 3 2 2 5 5 2" xfId="11153" xr:uid="{78D01F6C-EBBA-4418-A258-88A87A1B4939}"/>
    <cellStyle name="Comma 17 3 2 2 5 6" xfId="8154" xr:uid="{0F4246B8-E8FB-40B8-8CB6-E66664AEFD81}"/>
    <cellStyle name="Comma 17 3 2 2 5 7" xfId="11154" xr:uid="{8362CB39-DF3D-4CE6-9E9F-8906B43A7676}"/>
    <cellStyle name="Comma 17 3 2 2 6" xfId="11156" xr:uid="{2FB9E330-55B3-43EA-A122-9E4687C8B0BD}"/>
    <cellStyle name="Comma 17 3 2 2 6 2" xfId="11157" xr:uid="{22215A17-A4B2-454F-B77A-2F6B9F765C26}"/>
    <cellStyle name="Comma 17 3 2 2 6 2 2" xfId="11158" xr:uid="{8B8C18CA-7D49-47D5-BA3D-91BE34C7D8B6}"/>
    <cellStyle name="Comma 17 3 2 2 6 2 2 2" xfId="211" xr:uid="{69B8B0B6-AB88-4139-808A-5E588AF7E1F7}"/>
    <cellStyle name="Comma 17 3 2 2 6 2 2 2 2" xfId="11159" xr:uid="{66CFF41B-2FCB-42D6-A09C-4DAA56E64B67}"/>
    <cellStyle name="Comma 17 3 2 2 6 2 2 3" xfId="218" xr:uid="{30210979-F362-480F-A234-9D24510FEFFC}"/>
    <cellStyle name="Comma 17 3 2 2 6 2 3" xfId="11160" xr:uid="{0893534B-99D1-4F22-8091-AA280ACD75E1}"/>
    <cellStyle name="Comma 17 3 2 2 6 2 3 2" xfId="11161" xr:uid="{63E3A7E7-E8BA-4BEA-8D35-643932DADB1F}"/>
    <cellStyle name="Comma 17 3 2 2 6 2 4" xfId="11164" xr:uid="{A5343FF7-B522-45E0-849C-57FE778CDC88}"/>
    <cellStyle name="Comma 17 3 2 2 6 3" xfId="11165" xr:uid="{FC848BC3-7BF1-4B66-B186-36D9441306DC}"/>
    <cellStyle name="Comma 17 3 2 2 6 3 2" xfId="6093" xr:uid="{B12152D4-3963-4BB9-9FE5-F7674D85B2BF}"/>
    <cellStyle name="Comma 17 3 2 2 6 3 2 2" xfId="392" xr:uid="{D57E3BD0-937D-4AA5-B4ED-9ABA0CF7E9A3}"/>
    <cellStyle name="Comma 17 3 2 2 6 3 3" xfId="3177" xr:uid="{83B984C8-325B-47CB-A58B-B5DF56FD6BFE}"/>
    <cellStyle name="Comma 17 3 2 2 6 4" xfId="11166" xr:uid="{2D3C1EA1-8E47-4C14-A0C0-5B40FC719DA8}"/>
    <cellStyle name="Comma 17 3 2 2 6 4 2" xfId="6643" xr:uid="{638AAD1D-EC89-48AC-85C4-914EA7BA5A5C}"/>
    <cellStyle name="Comma 17 3 2 2 6 5" xfId="11167" xr:uid="{71A9D7A1-8767-4452-B938-EA04EA9B9099}"/>
    <cellStyle name="Comma 17 3 2 2 7" xfId="11172" xr:uid="{0F6328E3-88C6-4630-AFD0-AA3B36175184}"/>
    <cellStyle name="Comma 17 3 2 2 7 2" xfId="11175" xr:uid="{AADD2CE3-1584-4E2C-AECF-E09859333C28}"/>
    <cellStyle name="Comma 17 3 2 2 7 2 2" xfId="11180" xr:uid="{C03429A5-E2BC-40F2-82FE-8C6ED804170D}"/>
    <cellStyle name="Comma 17 3 2 2 7 2 2 2" xfId="2404" xr:uid="{D47DB41F-6F66-4C48-8AAF-5EF0AA7E98E5}"/>
    <cellStyle name="Comma 17 3 2 2 7 2 3" xfId="11185" xr:uid="{3ECB4626-956E-4A0A-860A-4A03AD03A1AC}"/>
    <cellStyle name="Comma 17 3 2 2 7 3" xfId="11186" xr:uid="{91388575-C022-468C-BAA2-F91FC10F6926}"/>
    <cellStyle name="Comma 17 3 2 2 7 3 2" xfId="6661" xr:uid="{C14AC190-9500-4D95-816F-7201B9ACEFA7}"/>
    <cellStyle name="Comma 17 3 2 2 7 4" xfId="11187" xr:uid="{2B12CA23-284F-4147-ABE2-3222F29AFDD4}"/>
    <cellStyle name="Comma 17 3 2 2 8" xfId="11190" xr:uid="{B53651F8-4375-4D98-AA09-A80D6BA381A9}"/>
    <cellStyle name="Comma 17 3 2 2 8 2" xfId="11192" xr:uid="{31B5952B-4B76-4346-9EAA-58D655CE5DD9}"/>
    <cellStyle name="Comma 17 3 2 2 8 2 2" xfId="11193" xr:uid="{C47B70DB-16A0-4735-97A3-0570AE7EC574}"/>
    <cellStyle name="Comma 17 3 2 2 8 3" xfId="11194" xr:uid="{EEA18A38-6AE0-4209-975E-850E5B95266B}"/>
    <cellStyle name="Comma 17 3 2 2 9" xfId="11195" xr:uid="{33C592D5-6368-43AD-8EED-54D3329C7CA7}"/>
    <cellStyle name="Comma 17 3 2 2 9 2" xfId="11196" xr:uid="{844584EA-5FE4-4A5E-A06D-908FE42FD28C}"/>
    <cellStyle name="Comma 17 3 2 3" xfId="11198" xr:uid="{7C6FE3BC-BE1C-4663-9CDA-2ACD88155DC0}"/>
    <cellStyle name="Comma 17 3 2 3 10" xfId="11199" xr:uid="{47B7C5C0-FC28-4AB0-8EB7-2287DF3C70A9}"/>
    <cellStyle name="Comma 17 3 2 3 2" xfId="11201" xr:uid="{8FAE6BAA-B02F-4C45-B209-2749BACCF1ED}"/>
    <cellStyle name="Comma 17 3 2 3 2 2" xfId="11202" xr:uid="{C5F0BFA1-5D39-4CD6-90F6-E1A623021229}"/>
    <cellStyle name="Comma 17 3 2 3 2 2 2" xfId="11203" xr:uid="{39BB5143-F473-4422-9BD3-20C772F44109}"/>
    <cellStyle name="Comma 17 3 2 3 2 2 2 2" xfId="11204" xr:uid="{11757D47-F27C-449D-B689-FF8F2FAB7225}"/>
    <cellStyle name="Comma 17 3 2 3 2 2 2 2 2" xfId="11207" xr:uid="{5828AAC6-DA25-45B4-AED9-AA1B6E17819F}"/>
    <cellStyle name="Comma 17 3 2 3 2 2 2 2 2 2" xfId="11208" xr:uid="{DB87D316-BDD7-48DD-86AA-DFEEE4A6373D}"/>
    <cellStyle name="Comma 17 3 2 3 2 2 2 2 2 2 2" xfId="11209" xr:uid="{99392FFC-DD88-4B28-8799-900B50F4B09F}"/>
    <cellStyle name="Comma 17 3 2 3 2 2 2 2 2 2 2 2" xfId="11210" xr:uid="{B28BA5F6-02DB-4FCD-AE57-E8D24B23A74D}"/>
    <cellStyle name="Comma 17 3 2 3 2 2 2 2 2 2 3" xfId="11212" xr:uid="{558883FE-0C70-4CB3-A986-79712DC86808}"/>
    <cellStyle name="Comma 17 3 2 3 2 2 2 2 2 3" xfId="11213" xr:uid="{714C2C16-D14A-4975-BC62-7846C56C2B96}"/>
    <cellStyle name="Comma 17 3 2 3 2 2 2 2 2 3 2" xfId="11214" xr:uid="{F27A5DEE-C123-40ED-A1C2-1D3B8ACA5A3D}"/>
    <cellStyle name="Comma 17 3 2 3 2 2 2 2 2 4" xfId="11217" xr:uid="{97C2A4A7-EF11-4B75-83C0-60A308733106}"/>
    <cellStyle name="Comma 17 3 2 3 2 2 2 2 3" xfId="11218" xr:uid="{744133A6-058A-46A6-AA51-0ACA4A291746}"/>
    <cellStyle name="Comma 17 3 2 3 2 2 2 2 3 2" xfId="11219" xr:uid="{AAEC1DF8-A770-4DCE-8D29-83B1C6815D2D}"/>
    <cellStyle name="Comma 17 3 2 3 2 2 2 2 3 2 2" xfId="11220" xr:uid="{6B71A15A-09C4-4F9E-9C81-6F3C54C283BA}"/>
    <cellStyle name="Comma 17 3 2 3 2 2 2 2 3 3" xfId="11221" xr:uid="{BB27E82B-B246-48D0-AB1E-B79F38B7F1EB}"/>
    <cellStyle name="Comma 17 3 2 3 2 2 2 2 4" xfId="4667" xr:uid="{EBCDE29F-D735-453D-938B-DA7C4750ACFC}"/>
    <cellStyle name="Comma 17 3 2 3 2 2 2 2 4 2" xfId="11222" xr:uid="{2B5E18BD-9E7F-4977-8E10-4E3F336BE91F}"/>
    <cellStyle name="Comma 17 3 2 3 2 2 2 2 5" xfId="11223" xr:uid="{6540F2E2-A752-4992-AC9B-082D7DE50D42}"/>
    <cellStyle name="Comma 17 3 2 3 2 2 2 3" xfId="11224" xr:uid="{6082BC13-7A40-4CFA-A65B-4F9F331B390E}"/>
    <cellStyle name="Comma 17 3 2 3 2 2 2 3 2" xfId="11226" xr:uid="{B69B4E68-3175-42FC-887A-9F619AB7B1FC}"/>
    <cellStyle name="Comma 17 3 2 3 2 2 2 3 2 2" xfId="11228" xr:uid="{02C93B0D-1455-4FF1-9003-9C6E00F3B613}"/>
    <cellStyle name="Comma 17 3 2 3 2 2 2 3 2 2 2" xfId="11230" xr:uid="{66D1F5EF-94AD-4967-AA5A-11B00B669DC5}"/>
    <cellStyle name="Comma 17 3 2 3 2 2 2 3 2 3" xfId="11232" xr:uid="{7079BD58-622C-4BF7-9D13-8EBE7262B2DB}"/>
    <cellStyle name="Comma 17 3 2 3 2 2 2 3 3" xfId="11234" xr:uid="{B5606925-0E5E-4706-8B21-F4B74C1804E0}"/>
    <cellStyle name="Comma 17 3 2 3 2 2 2 3 3 2" xfId="11238" xr:uid="{B6EB482D-5B6E-4ECC-9828-DC0154330524}"/>
    <cellStyle name="Comma 17 3 2 3 2 2 2 3 4" xfId="11240" xr:uid="{4A850F38-C1C7-4C73-8C4A-BC70BBCDEC29}"/>
    <cellStyle name="Comma 17 3 2 3 2 2 2 4" xfId="3895" xr:uid="{D70541BA-4016-4944-A1A4-8E9A5A5E49F0}"/>
    <cellStyle name="Comma 17 3 2 3 2 2 2 4 2" xfId="8713" xr:uid="{A3EF8EAA-7842-4057-AAEF-1DBA9D15F649}"/>
    <cellStyle name="Comma 17 3 2 3 2 2 2 4 2 2" xfId="11244" xr:uid="{09BE5634-C9A4-4610-866E-9E99D3DA95E3}"/>
    <cellStyle name="Comma 17 3 2 3 2 2 2 4 3" xfId="11249" xr:uid="{467B68B5-C730-435E-8057-18D5F4E6B16F}"/>
    <cellStyle name="Comma 17 3 2 3 2 2 2 5" xfId="8718" xr:uid="{274725DC-A7CE-4AA8-9D05-9FB4A21E73B7}"/>
    <cellStyle name="Comma 17 3 2 3 2 2 2 5 2" xfId="11253" xr:uid="{8F257A82-94BA-461D-8152-E7A61C5F48C2}"/>
    <cellStyle name="Comma 17 3 2 3 2 2 2 6" xfId="11257" xr:uid="{55F40FC4-3701-4D1A-A3CD-7FA793052FFD}"/>
    <cellStyle name="Comma 17 3 2 3 2 2 2 7" xfId="11258" xr:uid="{E6113628-C96F-47D0-AE92-63C98767099D}"/>
    <cellStyle name="Comma 17 3 2 3 2 2 3" xfId="11259" xr:uid="{7C9EEA52-B439-4B90-9FB1-6A17073C3ECA}"/>
    <cellStyle name="Comma 17 3 2 3 2 2 3 2" xfId="11260" xr:uid="{3364CEBF-82CE-4F4A-8E55-5E2A68950330}"/>
    <cellStyle name="Comma 17 3 2 3 2 2 3 2 2" xfId="11264" xr:uid="{8A65A43B-6FD2-4B10-9238-3E98D263F7C1}"/>
    <cellStyle name="Comma 17 3 2 3 2 2 3 2 2 2" xfId="803" xr:uid="{8114DEA0-0BCC-44EC-BC53-71AC43415CE2}"/>
    <cellStyle name="Comma 17 3 2 3 2 2 3 2 2 2 2" xfId="11266" xr:uid="{E2B4D82F-CFBA-478A-BF64-D9109BF72B8B}"/>
    <cellStyle name="Comma 17 3 2 3 2 2 3 2 2 3" xfId="1338" xr:uid="{C74FE032-6232-486B-93C3-39D97E124C80}"/>
    <cellStyle name="Comma 17 3 2 3 2 2 3 2 3" xfId="11267" xr:uid="{83261DE2-290C-4066-BD4A-3D85298544B4}"/>
    <cellStyle name="Comma 17 3 2 3 2 2 3 2 3 2" xfId="11268" xr:uid="{84EFAA37-B333-4A7E-B8DF-9E0F0EA0FBBD}"/>
    <cellStyle name="Comma 17 3 2 3 2 2 3 2 4" xfId="11269" xr:uid="{E88AA419-6575-4B6F-840F-63AACEE3559A}"/>
    <cellStyle name="Comma 17 3 2 3 2 2 3 3" xfId="11270" xr:uid="{530CA8C5-0544-40D9-9A91-12604ABF4B52}"/>
    <cellStyle name="Comma 17 3 2 3 2 2 3 3 2" xfId="11272" xr:uid="{0C25CC5F-234C-4DF8-8D93-168BE289821E}"/>
    <cellStyle name="Comma 17 3 2 3 2 2 3 3 2 2" xfId="11275" xr:uid="{A04ECCFA-BD72-44D8-BE35-C564A67876C2}"/>
    <cellStyle name="Comma 17 3 2 3 2 2 3 3 3" xfId="2454" xr:uid="{700F7344-1B03-479A-9B1B-D5389A630A0A}"/>
    <cellStyle name="Comma 17 3 2 3 2 2 3 4" xfId="8722" xr:uid="{CA057528-4D1B-4EE6-8C80-B7E8D00226D3}"/>
    <cellStyle name="Comma 17 3 2 3 2 2 3 4 2" xfId="11280" xr:uid="{431DD362-AFCD-4A4B-85D6-788C8356A4DA}"/>
    <cellStyle name="Comma 17 3 2 3 2 2 3 5" xfId="11283" xr:uid="{133702AB-18CD-48AB-977C-B05C2CB36677}"/>
    <cellStyle name="Comma 17 3 2 3 2 2 4" xfId="11284" xr:uid="{E56D0704-08B2-4326-B7C5-F7BAE5AB4CCF}"/>
    <cellStyle name="Comma 17 3 2 3 2 2 4 2" xfId="11285" xr:uid="{D7E99FEC-3794-474A-BBA8-C0DFA0998298}"/>
    <cellStyle name="Comma 17 3 2 3 2 2 4 2 2" xfId="11290" xr:uid="{143114D5-D5D0-49A1-95D0-BDD4AA5ED00D}"/>
    <cellStyle name="Comma 17 3 2 3 2 2 4 2 2 2" xfId="11291" xr:uid="{C39BB250-1E09-4090-98C4-B7980B890957}"/>
    <cellStyle name="Comma 17 3 2 3 2 2 4 2 3" xfId="11292" xr:uid="{455CCA96-2F38-4D09-AD5F-81DAEFBC2BC4}"/>
    <cellStyle name="Comma 17 3 2 3 2 2 4 3" xfId="11293" xr:uid="{503FCBAE-040D-4D33-AD19-0DE743E4F12F}"/>
    <cellStyle name="Comma 17 3 2 3 2 2 4 3 2" xfId="11297" xr:uid="{69C514AE-1C3D-4287-BBD4-234404D070E7}"/>
    <cellStyle name="Comma 17 3 2 3 2 2 4 4" xfId="11301" xr:uid="{23E41252-C6C6-455E-9BF7-DD6BADA58545}"/>
    <cellStyle name="Comma 17 3 2 3 2 2 5" xfId="11302" xr:uid="{52AD2BAD-E8DD-4EF2-8CAB-FFF319104BDC}"/>
    <cellStyle name="Comma 17 3 2 3 2 2 5 2" xfId="11303" xr:uid="{9BD6FB2C-E147-4014-9D34-5CAD919E1320}"/>
    <cellStyle name="Comma 17 3 2 3 2 2 5 2 2" xfId="11306" xr:uid="{749F528E-CBBE-4872-A0BE-12E2223D4C8A}"/>
    <cellStyle name="Comma 17 3 2 3 2 2 5 3" xfId="11307" xr:uid="{B401308D-B648-43F0-9D86-5EF66EED4E0C}"/>
    <cellStyle name="Comma 17 3 2 3 2 2 6" xfId="11309" xr:uid="{0F4BA415-4F2C-4FF5-BC8A-FB86D022C708}"/>
    <cellStyle name="Comma 17 3 2 3 2 2 6 2" xfId="11311" xr:uid="{CE58B299-097F-484F-B922-6E15856CA4EB}"/>
    <cellStyle name="Comma 17 3 2 3 2 2 7" xfId="11312" xr:uid="{EB6B5E07-EA2D-4D6A-B7EC-0381D7280F50}"/>
    <cellStyle name="Comma 17 3 2 3 2 2 8" xfId="11314" xr:uid="{FD082121-7CF9-4C15-9220-5B233434E0F6}"/>
    <cellStyle name="Comma 17 3 2 3 2 3" xfId="11315" xr:uid="{B7A673E8-864B-4967-8D82-0B8252C9F571}"/>
    <cellStyle name="Comma 17 3 2 3 2 3 2" xfId="11316" xr:uid="{A6F307CD-6148-4477-8603-7CEDD1AB03C9}"/>
    <cellStyle name="Comma 17 3 2 3 2 3 2 2" xfId="11317" xr:uid="{107F2238-917A-4F6D-8A6D-FAC7779ECC4A}"/>
    <cellStyle name="Comma 17 3 2 3 2 3 2 2 2" xfId="11318" xr:uid="{16CD435F-9D79-4722-859B-C84A340F2533}"/>
    <cellStyle name="Comma 17 3 2 3 2 3 2 2 2 2" xfId="11319" xr:uid="{070DC185-2D1C-4411-BDB2-F527866834F9}"/>
    <cellStyle name="Comma 17 3 2 3 2 3 2 2 2 2 2" xfId="11320" xr:uid="{329FB3EC-13DF-4C70-97C5-4813F34E6486}"/>
    <cellStyle name="Comma 17 3 2 3 2 3 2 2 2 3" xfId="11321" xr:uid="{510D378C-B467-4247-870A-4FAF9BED6A9B}"/>
    <cellStyle name="Comma 17 3 2 3 2 3 2 2 3" xfId="11322" xr:uid="{B10C45CE-9366-4BC2-8B36-2B7C36CDC3D2}"/>
    <cellStyle name="Comma 17 3 2 3 2 3 2 2 3 2" xfId="11325" xr:uid="{9C08EAB4-5946-464E-BA04-3593D645DDE4}"/>
    <cellStyle name="Comma 17 3 2 3 2 3 2 2 4" xfId="11326" xr:uid="{9B910AAD-FB3D-4856-8161-6D43B4427134}"/>
    <cellStyle name="Comma 17 3 2 3 2 3 2 3" xfId="11327" xr:uid="{FEC776FE-39F7-479F-8E84-34E8940FCA65}"/>
    <cellStyle name="Comma 17 3 2 3 2 3 2 3 2" xfId="11328" xr:uid="{D3852F78-4870-41C7-8045-ED5A88DEC12C}"/>
    <cellStyle name="Comma 17 3 2 3 2 3 2 3 2 2" xfId="11331" xr:uid="{3340B033-C146-4C8C-B05D-F94C550B4AA8}"/>
    <cellStyle name="Comma 17 3 2 3 2 3 2 3 3" xfId="11332" xr:uid="{6912645A-2CC9-400C-B7FE-93DCF93E1E37}"/>
    <cellStyle name="Comma 17 3 2 3 2 3 2 4" xfId="8752" xr:uid="{4A4F0758-9442-494A-A2D5-28FED46C91E6}"/>
    <cellStyle name="Comma 17 3 2 3 2 3 2 4 2" xfId="11336" xr:uid="{DF8684BB-9D34-44CD-AD20-6D2F9965E5DC}"/>
    <cellStyle name="Comma 17 3 2 3 2 3 2 5" xfId="11339" xr:uid="{0BDB5545-7604-4B5F-8877-8BC8EB0B3ECE}"/>
    <cellStyle name="Comma 17 3 2 3 2 3 3" xfId="11340" xr:uid="{0885BE5B-7A05-4BEE-B0AA-5784C9F9B51C}"/>
    <cellStyle name="Comma 17 3 2 3 2 3 3 2" xfId="11341" xr:uid="{D1A56E5B-5233-4068-9BE3-585DC8EC7B6A}"/>
    <cellStyle name="Comma 17 3 2 3 2 3 3 2 2" xfId="11342" xr:uid="{5A3BB4CA-8665-42A8-9465-29C6764BC3A8}"/>
    <cellStyle name="Comma 17 3 2 3 2 3 3 2 2 2" xfId="11344" xr:uid="{90D0B3E9-973F-4654-945A-5E377609528F}"/>
    <cellStyle name="Comma 17 3 2 3 2 3 3 2 3" xfId="11345" xr:uid="{DE5A55B7-80A9-4E38-844F-95D743A635D5}"/>
    <cellStyle name="Comma 17 3 2 3 2 3 3 3" xfId="11346" xr:uid="{AA0EE12A-FCBB-4A93-9A81-BF16A4A5C393}"/>
    <cellStyle name="Comma 17 3 2 3 2 3 3 3 2" xfId="11347" xr:uid="{561B3433-14E0-4593-A918-3898C0AE88F6}"/>
    <cellStyle name="Comma 17 3 2 3 2 3 3 4" xfId="11350" xr:uid="{7D7E27CE-675A-40CE-A6D8-550B2516A343}"/>
    <cellStyle name="Comma 17 3 2 3 2 3 4" xfId="11351" xr:uid="{31664C5F-5A78-4076-8B6B-7F6571C27A60}"/>
    <cellStyle name="Comma 17 3 2 3 2 3 4 2" xfId="11352" xr:uid="{E16ABC6B-9EF7-4242-8E87-6B95608A8F46}"/>
    <cellStyle name="Comma 17 3 2 3 2 3 4 2 2" xfId="11353" xr:uid="{60A2C90E-8DC7-4FAF-99F8-F559269217CA}"/>
    <cellStyle name="Comma 17 3 2 3 2 3 4 3" xfId="11355" xr:uid="{3B47B4F0-66D6-42C8-B186-2B6EFD175DF6}"/>
    <cellStyle name="Comma 17 3 2 3 2 3 5" xfId="11356" xr:uid="{1848F594-22D6-492D-8A1D-B638ECF54E5C}"/>
    <cellStyle name="Comma 17 3 2 3 2 3 5 2" xfId="11357" xr:uid="{D81CAAC1-1516-4BD1-A6FD-1363DBC347BD}"/>
    <cellStyle name="Comma 17 3 2 3 2 3 6" xfId="11358" xr:uid="{B77E4ABB-4498-40F4-9730-F851C74F94BC}"/>
    <cellStyle name="Comma 17 3 2 3 2 3 7" xfId="9028" xr:uid="{A6133097-6C65-4EC3-84D5-16D2C4F0525A}"/>
    <cellStyle name="Comma 17 3 2 3 2 4" xfId="11359" xr:uid="{45F0D4D9-8F68-48A0-A0FE-7190755A81AA}"/>
    <cellStyle name="Comma 17 3 2 3 2 4 2" xfId="11360" xr:uid="{7E273A35-A91D-4BAA-9595-C73D29F719CD}"/>
    <cellStyle name="Comma 17 3 2 3 2 4 2 2" xfId="11361" xr:uid="{F5030883-B618-418D-899F-11296F3C751D}"/>
    <cellStyle name="Comma 17 3 2 3 2 4 2 2 2" xfId="11362" xr:uid="{24D27975-5AE2-414C-8F33-A39714F5526F}"/>
    <cellStyle name="Comma 17 3 2 3 2 4 2 2 2 2" xfId="11363" xr:uid="{310AA6CF-0F79-40DF-9D48-A6C0224F5A32}"/>
    <cellStyle name="Comma 17 3 2 3 2 4 2 2 3" xfId="11364" xr:uid="{23423C55-51F5-47C3-989D-33CB89F3AAA3}"/>
    <cellStyle name="Comma 17 3 2 3 2 4 2 3" xfId="11366" xr:uid="{3B3C61D3-F441-4E2C-92C5-EC10D14A2B19}"/>
    <cellStyle name="Comma 17 3 2 3 2 4 2 3 2" xfId="11367" xr:uid="{6B230D58-C136-4061-965D-0F72A5BBE8DA}"/>
    <cellStyle name="Comma 17 3 2 3 2 4 2 4" xfId="11371" xr:uid="{F9176576-4173-4643-8BE3-CC897F540C23}"/>
    <cellStyle name="Comma 17 3 2 3 2 4 3" xfId="11372" xr:uid="{B1BA2C86-02C8-424E-84E3-4E41BEE6254A}"/>
    <cellStyle name="Comma 17 3 2 3 2 4 3 2" xfId="11373" xr:uid="{FFFFD313-DB45-4120-B965-5A0D7A2350EA}"/>
    <cellStyle name="Comma 17 3 2 3 2 4 3 2 2" xfId="11374" xr:uid="{32EFC1E5-A339-4E08-A867-FA6A4FD46D82}"/>
    <cellStyle name="Comma 17 3 2 3 2 4 3 3" xfId="11375" xr:uid="{1C1C1B38-5D68-44B5-894A-00374B85B1FE}"/>
    <cellStyle name="Comma 17 3 2 3 2 4 4" xfId="11376" xr:uid="{F2E8E524-B5A5-41E3-B6CA-177A61D49F16}"/>
    <cellStyle name="Comma 17 3 2 3 2 4 4 2" xfId="11377" xr:uid="{F87A2EB8-89D6-4FB1-B13D-A4E470FA9EE8}"/>
    <cellStyle name="Comma 17 3 2 3 2 4 5" xfId="11378" xr:uid="{EF6C8253-5024-40F0-88A3-093C97689463}"/>
    <cellStyle name="Comma 17 3 2 3 2 5" xfId="11379" xr:uid="{129F2B0E-9DF6-4468-B9C4-04064391E97B}"/>
    <cellStyle name="Comma 17 3 2 3 2 5 2" xfId="11381" xr:uid="{29A34C23-C658-4373-A870-002F05F452A3}"/>
    <cellStyle name="Comma 17 3 2 3 2 5 2 2" xfId="11382" xr:uid="{54DECE1A-8D84-40E8-953A-873FDA21FA10}"/>
    <cellStyle name="Comma 17 3 2 3 2 5 2 2 2" xfId="11384" xr:uid="{212FC5D7-AF92-4ABB-9891-5CB05F7830C8}"/>
    <cellStyle name="Comma 17 3 2 3 2 5 2 3" xfId="11385" xr:uid="{01C21E28-B369-4010-9A82-2F40A0DA0819}"/>
    <cellStyle name="Comma 17 3 2 3 2 5 3" xfId="11387" xr:uid="{831B3709-48BA-4FDC-A78A-BAAA4F3E1B47}"/>
    <cellStyle name="Comma 17 3 2 3 2 5 3 2" xfId="11388" xr:uid="{7213D8E0-F660-496C-9062-F443FBBEC0EC}"/>
    <cellStyle name="Comma 17 3 2 3 2 5 4" xfId="11390" xr:uid="{895D5758-2623-4A1D-9452-B9E19AE0EC93}"/>
    <cellStyle name="Comma 17 3 2 3 2 6" xfId="6510" xr:uid="{6078F084-BFBA-44FD-8435-9F416A2952BA}"/>
    <cellStyle name="Comma 17 3 2 3 2 6 2" xfId="2465" xr:uid="{51252585-16BB-4574-87CD-0CCE01092F25}"/>
    <cellStyle name="Comma 17 3 2 3 2 6 2 2" xfId="8159" xr:uid="{47926075-C492-4DD7-9174-E41D13C46F08}"/>
    <cellStyle name="Comma 17 3 2 3 2 6 3" xfId="8161" xr:uid="{A4BFE73F-9FE3-4F60-B69E-DA849E25E25E}"/>
    <cellStyle name="Comma 17 3 2 3 2 7" xfId="6288" xr:uid="{EDD7BCAB-EB3A-4686-8539-3E96086CE643}"/>
    <cellStyle name="Comma 17 3 2 3 2 7 2" xfId="6291" xr:uid="{830C21F3-3AE5-4013-85D3-89E2F77787B4}"/>
    <cellStyle name="Comma 17 3 2 3 2 8" xfId="6297" xr:uid="{5A9314FE-9AB8-4650-B03A-BC92E509B9FC}"/>
    <cellStyle name="Comma 17 3 2 3 2 9" xfId="11393" xr:uid="{09B04EE8-9DED-4797-AC94-EE7D4CE5A808}"/>
    <cellStyle name="Comma 17 3 2 3 3" xfId="10602" xr:uid="{9E92A00C-6A0B-4B9A-8669-A0A5B3F23F2F}"/>
    <cellStyle name="Comma 17 3 2 3 3 2" xfId="10604" xr:uid="{76B4FE24-9B4B-4624-8F02-97297FA8FF45}"/>
    <cellStyle name="Comma 17 3 2 3 3 2 2" xfId="11396" xr:uid="{033D8041-66FE-462A-BC6E-AD01E8523672}"/>
    <cellStyle name="Comma 17 3 2 3 3 2 2 2" xfId="11397" xr:uid="{16900007-EDE5-483C-B6E1-F26F3EFDAA84}"/>
    <cellStyle name="Comma 17 3 2 3 3 2 2 2 2" xfId="11398" xr:uid="{591243DB-21DC-4D41-85C9-A6DEC04F3713}"/>
    <cellStyle name="Comma 17 3 2 3 3 2 2 2 2 2" xfId="7422" xr:uid="{4C19FCEC-9FCA-4D0F-AB35-8A3B6207FF6C}"/>
    <cellStyle name="Comma 17 3 2 3 3 2 2 2 2 2 2" xfId="11399" xr:uid="{258013E2-3BE9-4C5F-9CF9-AFF1BBF5352F}"/>
    <cellStyle name="Comma 17 3 2 3 3 2 2 2 2 3" xfId="11400" xr:uid="{0A49D1C5-D08E-4D26-957F-7671001E815F}"/>
    <cellStyle name="Comma 17 3 2 3 3 2 2 2 3" xfId="11401" xr:uid="{D11FF12C-D1DE-4757-ADD5-BA882578CFDD}"/>
    <cellStyle name="Comma 17 3 2 3 3 2 2 2 3 2" xfId="11402" xr:uid="{B03C6ADB-9945-42DC-AD94-C8AED5F0AD5F}"/>
    <cellStyle name="Comma 17 3 2 3 3 2 2 2 4" xfId="11405" xr:uid="{8CEF4414-1D30-4967-BE2F-7B123B1F8B26}"/>
    <cellStyle name="Comma 17 3 2 3 3 2 2 3" xfId="11408" xr:uid="{257C4F2C-FC46-4637-ACD1-962B1E8F5E75}"/>
    <cellStyle name="Comma 17 3 2 3 3 2 2 3 2" xfId="11411" xr:uid="{FB8C24B9-361A-403F-970D-82B7BBDAE3E9}"/>
    <cellStyle name="Comma 17 3 2 3 3 2 2 3 2 2" xfId="11413" xr:uid="{276F5CC1-EBBE-4459-B250-07892742CC70}"/>
    <cellStyle name="Comma 17 3 2 3 3 2 2 3 3" xfId="11416" xr:uid="{64412CA3-1B7D-4DEC-8F53-1112A71821E0}"/>
    <cellStyle name="Comma 17 3 2 3 3 2 2 4" xfId="8836" xr:uid="{DF909462-10CB-4FB3-B87C-03186BAE8346}"/>
    <cellStyle name="Comma 17 3 2 3 3 2 2 4 2" xfId="11422" xr:uid="{43B3428A-8947-4AC3-93E7-6CE59158ACE1}"/>
    <cellStyle name="Comma 17 3 2 3 3 2 2 5" xfId="11425" xr:uid="{FC83FEA9-5B03-4EE1-A679-02BDD338B93D}"/>
    <cellStyle name="Comma 17 3 2 3 3 2 3" xfId="11428" xr:uid="{8CF487EF-3F70-41E7-8A8A-C32625370F91}"/>
    <cellStyle name="Comma 17 3 2 3 3 2 3 2" xfId="11429" xr:uid="{46212C11-4AC5-4F60-8EF7-91A9EF7F0071}"/>
    <cellStyle name="Comma 17 3 2 3 3 2 3 2 2" xfId="11430" xr:uid="{A26D1172-59B7-4AC2-B666-6EB894CACC13}"/>
    <cellStyle name="Comma 17 3 2 3 3 2 3 2 2 2" xfId="11431" xr:uid="{6722B130-68D7-4AFD-86D0-C0CD7B155FCB}"/>
    <cellStyle name="Comma 17 3 2 3 3 2 3 2 3" xfId="11432" xr:uid="{3EED76E2-846A-4DC0-9787-C3B30FAF7EBA}"/>
    <cellStyle name="Comma 17 3 2 3 3 2 3 3" xfId="11433" xr:uid="{5478A556-B3E6-4583-951B-0ED2C24A3380}"/>
    <cellStyle name="Comma 17 3 2 3 3 2 3 3 2" xfId="11435" xr:uid="{4F5470E6-F36F-46E5-91CF-D3EF7371D5EB}"/>
    <cellStyle name="Comma 17 3 2 3 3 2 3 4" xfId="11438" xr:uid="{467B6EDD-0D70-4729-B267-B0619B2C9C87}"/>
    <cellStyle name="Comma 17 3 2 3 3 2 4" xfId="11443" xr:uid="{7A282795-2410-4CEE-9381-91CFA41B301A}"/>
    <cellStyle name="Comma 17 3 2 3 3 2 4 2" xfId="11446" xr:uid="{A195CF4C-31E1-482B-B599-F9A53DB0AAB7}"/>
    <cellStyle name="Comma 17 3 2 3 3 2 4 2 2" xfId="11449" xr:uid="{CB84BCD5-6AC7-464D-B151-4F9D7BF80455}"/>
    <cellStyle name="Comma 17 3 2 3 3 2 4 3" xfId="11452" xr:uid="{8791AD32-6AED-47D3-A537-7E986F60559F}"/>
    <cellStyle name="Comma 17 3 2 3 3 2 5" xfId="11457" xr:uid="{5FDB7920-B942-4DE3-B884-8E9813AE8F78}"/>
    <cellStyle name="Comma 17 3 2 3 3 2 5 2" xfId="11462" xr:uid="{B467839E-9B6A-4246-BA0F-831D948BE887}"/>
    <cellStyle name="Comma 17 3 2 3 3 2 6" xfId="11467" xr:uid="{53C819DD-2A08-4CDE-BE77-B3721445B482}"/>
    <cellStyle name="Comma 17 3 2 3 3 2 7" xfId="11471" xr:uid="{5D7F602B-9D2C-4C3F-9301-7DF5EE351973}"/>
    <cellStyle name="Comma 17 3 2 3 3 3" xfId="11472" xr:uid="{FAA53D25-E562-4C00-B4D7-BDF7540CEA80}"/>
    <cellStyle name="Comma 17 3 2 3 3 3 2" xfId="11473" xr:uid="{DFA18231-4509-491B-B9DE-B94CD63D7060}"/>
    <cellStyle name="Comma 17 3 2 3 3 3 2 2" xfId="11474" xr:uid="{26F21276-E390-4C9E-860A-9FF6207D6615}"/>
    <cellStyle name="Comma 17 3 2 3 3 3 2 2 2" xfId="11475" xr:uid="{B51BC4C0-3259-4B12-A0DB-7D456DE771A1}"/>
    <cellStyle name="Comma 17 3 2 3 3 3 2 2 2 2" xfId="11479" xr:uid="{E7ADD45B-C316-4A85-B25A-B134415C6BDA}"/>
    <cellStyle name="Comma 17 3 2 3 3 3 2 2 3" xfId="11480" xr:uid="{F10EEB78-B145-40CB-9B84-3304B57A7FE9}"/>
    <cellStyle name="Comma 17 3 2 3 3 3 2 3" xfId="11481" xr:uid="{1F1D9709-7775-4E15-AF02-E44598AAF857}"/>
    <cellStyle name="Comma 17 3 2 3 3 3 2 3 2" xfId="11483" xr:uid="{0F274815-A460-43DC-A751-D3AD69BEA531}"/>
    <cellStyle name="Comma 17 3 2 3 3 3 2 4" xfId="11486" xr:uid="{4A25EA53-98A5-49CA-86E6-640133ECA852}"/>
    <cellStyle name="Comma 17 3 2 3 3 3 3" xfId="11487" xr:uid="{D79621A7-B204-4DE1-A44E-8395F533C8A7}"/>
    <cellStyle name="Comma 17 3 2 3 3 3 3 2" xfId="11488" xr:uid="{6CA93AB6-F9DF-4B03-9134-146FE33807D5}"/>
    <cellStyle name="Comma 17 3 2 3 3 3 3 2 2" xfId="11489" xr:uid="{01C58E76-C87F-4D18-8FE0-33E5BD06443B}"/>
    <cellStyle name="Comma 17 3 2 3 3 3 3 3" xfId="11490" xr:uid="{B8DA9A76-332F-47A3-BD5F-543D847806B6}"/>
    <cellStyle name="Comma 17 3 2 3 3 3 4" xfId="11493" xr:uid="{FD7314E1-8B19-4829-9CDA-868814D0C1DD}"/>
    <cellStyle name="Comma 17 3 2 3 3 3 4 2" xfId="11496" xr:uid="{3AD2F6E2-46FA-4EBD-B613-A54740EE630E}"/>
    <cellStyle name="Comma 17 3 2 3 3 3 5" xfId="11499" xr:uid="{EF0A1DD7-7474-4C8F-B771-E525A22730ED}"/>
    <cellStyle name="Comma 17 3 2 3 3 4" xfId="11502" xr:uid="{1ED4D389-2F9B-4FA1-B831-D3ABDDEE2BC1}"/>
    <cellStyle name="Comma 17 3 2 3 3 4 2" xfId="11505" xr:uid="{B08F411A-B6C9-4794-8CB2-4A3F27C217FB}"/>
    <cellStyle name="Comma 17 3 2 3 3 4 2 2" xfId="11508" xr:uid="{B1EA8014-4309-4D6F-8815-12B4EF2A7A16}"/>
    <cellStyle name="Comma 17 3 2 3 3 4 2 2 2" xfId="11513" xr:uid="{90238DB7-41C4-4EF2-A71D-063BA08CFCED}"/>
    <cellStyle name="Comma 17 3 2 3 3 4 2 3" xfId="4391" xr:uid="{A72D543D-E577-4B0C-82E0-41384C69E17D}"/>
    <cellStyle name="Comma 17 3 2 3 3 4 3" xfId="11516" xr:uid="{23B27BF9-B4BD-4BD7-8D72-0F45E3AA7C16}"/>
    <cellStyle name="Comma 17 3 2 3 3 4 3 2" xfId="11519" xr:uid="{689E7FD3-995B-4B59-B879-D35E9D4ACA7D}"/>
    <cellStyle name="Comma 17 3 2 3 3 4 4" xfId="11524" xr:uid="{694DF002-27A6-453C-804D-0F6557BAC001}"/>
    <cellStyle name="Comma 17 3 2 3 3 5" xfId="11527" xr:uid="{DE1AE52A-03DD-451B-87A1-72A7B0F235C6}"/>
    <cellStyle name="Comma 17 3 2 3 3 5 2" xfId="11531" xr:uid="{6A203DCC-005A-49FA-B5A1-3364946EB856}"/>
    <cellStyle name="Comma 17 3 2 3 3 5 2 2" xfId="11534" xr:uid="{0C50749B-6F25-424C-95E7-D247291A2128}"/>
    <cellStyle name="Comma 17 3 2 3 3 5 3" xfId="11537" xr:uid="{5B0D2079-DD04-488E-8ACA-F01A88D02DCC}"/>
    <cellStyle name="Comma 17 3 2 3 3 6" xfId="8166" xr:uid="{32F6F6EC-85EC-48E1-8AEC-02632B37C1F5}"/>
    <cellStyle name="Comma 17 3 2 3 3 6 2" xfId="2605" xr:uid="{FD196DB5-0003-4C3D-A33E-7627CA8A4588}"/>
    <cellStyle name="Comma 17 3 2 3 3 7" xfId="2881" xr:uid="{F040AE28-87A6-4FDA-8B36-999B78B08A25}"/>
    <cellStyle name="Comma 17 3 2 3 3 8" xfId="11540" xr:uid="{78C9E9BB-9528-4364-AF9E-034DBFD2CB25}"/>
    <cellStyle name="Comma 17 3 2 3 4" xfId="10606" xr:uid="{72869C9D-09D3-4EA3-B256-548A7EA4C746}"/>
    <cellStyle name="Comma 17 3 2 3 4 2" xfId="11541" xr:uid="{71282704-CE40-4EE1-BF21-095809A8011F}"/>
    <cellStyle name="Comma 17 3 2 3 4 2 2" xfId="11542" xr:uid="{06EA2633-FBF5-423C-A832-78C34B69827A}"/>
    <cellStyle name="Comma 17 3 2 3 4 2 2 2" xfId="11543" xr:uid="{D20C434A-5C2D-4CF8-842D-7DF71F4A3401}"/>
    <cellStyle name="Comma 17 3 2 3 4 2 2 2 2" xfId="11544" xr:uid="{78BAD0D8-BAA2-4CEE-A218-F8ED05E15018}"/>
    <cellStyle name="Comma 17 3 2 3 4 2 2 2 2 2" xfId="11545" xr:uid="{81A3C5DC-2EA8-4224-877A-DF7588C566BC}"/>
    <cellStyle name="Comma 17 3 2 3 4 2 2 2 3" xfId="11546" xr:uid="{3F0E3EF5-C92B-4F50-BF6B-36BD7259F601}"/>
    <cellStyle name="Comma 17 3 2 3 4 2 2 3" xfId="11548" xr:uid="{223781BF-BCED-44EF-AAFC-1AC005F9385C}"/>
    <cellStyle name="Comma 17 3 2 3 4 2 2 3 2" xfId="11549" xr:uid="{4727EBE3-C60A-46DB-85B3-EE59C4ACF52D}"/>
    <cellStyle name="Comma 17 3 2 3 4 2 2 4" xfId="11552" xr:uid="{873F996D-6EDE-480D-A94F-301269191EDA}"/>
    <cellStyle name="Comma 17 3 2 3 4 2 3" xfId="11553" xr:uid="{A3EC9E8D-01DC-4F3B-BC15-3FDF1BACE06B}"/>
    <cellStyle name="Comma 17 3 2 3 4 2 3 2" xfId="11554" xr:uid="{68208AE7-24AD-45D6-8421-1002BDBD4A42}"/>
    <cellStyle name="Comma 17 3 2 3 4 2 3 2 2" xfId="8063" xr:uid="{774D398A-DAF9-4F9A-B903-C4A6012342B9}"/>
    <cellStyle name="Comma 17 3 2 3 4 2 3 3" xfId="11555" xr:uid="{40A15F00-CF69-43E2-A12C-602925AA29C2}"/>
    <cellStyle name="Comma 17 3 2 3 4 2 4" xfId="11558" xr:uid="{CAB068E9-AE99-45FC-9DD2-FC191E0A61D4}"/>
    <cellStyle name="Comma 17 3 2 3 4 2 4 2" xfId="11561" xr:uid="{2711F41E-D841-4FE8-8A9E-12CF4EBE4AA8}"/>
    <cellStyle name="Comma 17 3 2 3 4 2 5" xfId="11564" xr:uid="{96F973C3-4FE2-4F8F-8EF3-D2E49FB0B9E4}"/>
    <cellStyle name="Comma 17 3 2 3 4 3" xfId="2100" xr:uid="{7C0FDF2D-FDD6-4D7D-A0A7-0759B54F955F}"/>
    <cellStyle name="Comma 17 3 2 3 4 3 2" xfId="11565" xr:uid="{71A2D987-5A76-4CDE-A7C7-E11B591F4AA8}"/>
    <cellStyle name="Comma 17 3 2 3 4 3 2 2" xfId="11566" xr:uid="{1CA81DCD-AB15-44D7-A413-48C4BD606A11}"/>
    <cellStyle name="Comma 17 3 2 3 4 3 2 2 2" xfId="11567" xr:uid="{827F481A-B679-493D-A5FF-E2D111756488}"/>
    <cellStyle name="Comma 17 3 2 3 4 3 2 3" xfId="11568" xr:uid="{EBD8A7CA-5032-439E-BE6A-7C8277B3B4F1}"/>
    <cellStyle name="Comma 17 3 2 3 4 3 3" xfId="3209" xr:uid="{0C6BD008-FFFD-4A5D-8F27-B0CC87FF672F}"/>
    <cellStyle name="Comma 17 3 2 3 4 3 3 2" xfId="3211" xr:uid="{D324C905-18AC-4749-9C39-0317C15D77DA}"/>
    <cellStyle name="Comma 17 3 2 3 4 3 4" xfId="3216" xr:uid="{9BCC05E6-9AE8-44A1-92A8-ED9E28F72B33}"/>
    <cellStyle name="Comma 17 3 2 3 4 4" xfId="11571" xr:uid="{AFB857F6-32FA-4AF3-9CCD-6B47902C1A92}"/>
    <cellStyle name="Comma 17 3 2 3 4 4 2" xfId="11575" xr:uid="{3CEFCBDA-ADC6-491D-9154-BF811FFE6D80}"/>
    <cellStyle name="Comma 17 3 2 3 4 4 2 2" xfId="11578" xr:uid="{F13C1C63-BA8D-4747-BAED-170A98671D92}"/>
    <cellStyle name="Comma 17 3 2 3 4 4 3" xfId="3224" xr:uid="{286ACB4C-6A2E-4B3A-ACA3-E72345597E94}"/>
    <cellStyle name="Comma 17 3 2 3 4 5" xfId="11581" xr:uid="{7601D696-0F5A-4111-A255-1948C1B2248D}"/>
    <cellStyle name="Comma 17 3 2 3 4 5 2" xfId="11584" xr:uid="{F22FA06C-1623-4094-911E-5FBB1C9BD0EE}"/>
    <cellStyle name="Comma 17 3 2 3 4 6" xfId="8172" xr:uid="{4AF8EFB2-E8C2-49DD-9A05-B2F97460BA0F}"/>
    <cellStyle name="Comma 17 3 2 3 4 7" xfId="11585" xr:uid="{3AA28DF5-E7C7-4F28-9C41-67B150E0651F}"/>
    <cellStyle name="Comma 17 3 2 3 5" xfId="11586" xr:uid="{B0C19242-339E-4268-9F65-903D1FCC1882}"/>
    <cellStyle name="Comma 17 3 2 3 5 2" xfId="11588" xr:uid="{DC241F84-A309-4649-947B-96561DA7EA17}"/>
    <cellStyle name="Comma 17 3 2 3 5 2 2" xfId="11589" xr:uid="{C7CCDE0F-4323-410C-BFB4-49695C1EFEE8}"/>
    <cellStyle name="Comma 17 3 2 3 5 2 2 2" xfId="11590" xr:uid="{D514885E-67A7-4AD8-9B43-02A95F90DDB9}"/>
    <cellStyle name="Comma 17 3 2 3 5 2 2 2 2" xfId="11591" xr:uid="{4DD74633-7E3E-48EC-A720-F08B522ABD96}"/>
    <cellStyle name="Comma 17 3 2 3 5 2 2 3" xfId="11592" xr:uid="{E9F4E75E-ED93-4ED0-8FB8-4AC152476E1C}"/>
    <cellStyle name="Comma 17 3 2 3 5 2 3" xfId="11593" xr:uid="{343928BC-34EC-421D-990D-C0EFFD349004}"/>
    <cellStyle name="Comma 17 3 2 3 5 2 3 2" xfId="11594" xr:uid="{C8504EB8-B7C7-4E16-A4FA-ECD53825C157}"/>
    <cellStyle name="Comma 17 3 2 3 5 2 4" xfId="11597" xr:uid="{E0949606-E4A1-41D4-8720-8644E7AD8C08}"/>
    <cellStyle name="Comma 17 3 2 3 5 3" xfId="11598" xr:uid="{BAAA5F9F-1E6C-46B5-8683-EAE7613C567C}"/>
    <cellStyle name="Comma 17 3 2 3 5 3 2" xfId="11599" xr:uid="{E6D8C5B6-2EF7-4D24-B30D-1119C5727401}"/>
    <cellStyle name="Comma 17 3 2 3 5 3 2 2" xfId="11601" xr:uid="{3DF78440-35FF-479B-9324-F86923CBF5E1}"/>
    <cellStyle name="Comma 17 3 2 3 5 3 3" xfId="3238" xr:uid="{61048106-9277-4EF8-8F80-3D6BCFE94439}"/>
    <cellStyle name="Comma 17 3 2 3 5 4" xfId="11604" xr:uid="{91EC940F-4767-4227-8069-0E1798AF2E04}"/>
    <cellStyle name="Comma 17 3 2 3 5 4 2" xfId="11608" xr:uid="{F1B9944B-7D68-4467-9197-42943F347E5E}"/>
    <cellStyle name="Comma 17 3 2 3 5 5" xfId="11611" xr:uid="{3525FC5E-303D-4195-8296-1705FA36F910}"/>
    <cellStyle name="Comma 17 3 2 3 6" xfId="11612" xr:uid="{B064BFB2-F65C-453E-9FDD-43F378704AB5}"/>
    <cellStyle name="Comma 17 3 2 3 6 2" xfId="11613" xr:uid="{DA57B65D-40D5-4A51-BB1C-EF16ECC1C562}"/>
    <cellStyle name="Comma 17 3 2 3 6 2 2" xfId="11614" xr:uid="{2FC3F14C-5FD7-449C-A2F6-BE56A9422FB7}"/>
    <cellStyle name="Comma 17 3 2 3 6 2 2 2" xfId="11615" xr:uid="{D45F730D-5EDA-4E94-836C-887C9BD712EF}"/>
    <cellStyle name="Comma 17 3 2 3 6 2 3" xfId="11616" xr:uid="{73FC1F6F-2563-4E9A-9028-097395E09985}"/>
    <cellStyle name="Comma 17 3 2 3 6 3" xfId="11617" xr:uid="{4A5ABFEF-95ED-476F-AEBB-2D17F14DC8E5}"/>
    <cellStyle name="Comma 17 3 2 3 6 3 2" xfId="6014" xr:uid="{EFC8A37E-CAD0-42C2-B31E-DF5993F8CAE5}"/>
    <cellStyle name="Comma 17 3 2 3 6 4" xfId="11620" xr:uid="{10FF03C3-D13D-49B7-BF44-6F1A90AC1C43}"/>
    <cellStyle name="Comma 17 3 2 3 7" xfId="11623" xr:uid="{E3FF5E49-C94E-433F-A943-3C065C602DED}"/>
    <cellStyle name="Comma 17 3 2 3 7 2" xfId="11626" xr:uid="{B24F3C8A-7F17-4A77-93A5-A3334A5620C0}"/>
    <cellStyle name="Comma 17 3 2 3 7 2 2" xfId="11627" xr:uid="{35CAB5CA-BD6B-4DCB-AA36-1A4C20CBCDD1}"/>
    <cellStyle name="Comma 17 3 2 3 7 3" xfId="11628" xr:uid="{270718A0-7908-48FC-9985-B875D8BF0C91}"/>
    <cellStyle name="Comma 17 3 2 3 8" xfId="11631" xr:uid="{F014BB35-722F-46AE-A7CA-F5D0CE418E92}"/>
    <cellStyle name="Comma 17 3 2 3 8 2" xfId="11632" xr:uid="{02A2291A-E577-4AA4-BDA1-67ED6C23215E}"/>
    <cellStyle name="Comma 17 3 2 3 9" xfId="11633" xr:uid="{44F19D78-95C4-4BF4-8C82-4241A0AFCCA2}"/>
    <cellStyle name="Comma 17 3 2 4" xfId="11635" xr:uid="{50FA545A-8CB8-4020-8F3C-EE3BF46B5D3B}"/>
    <cellStyle name="Comma 17 3 2 4 2" xfId="11636" xr:uid="{4E08E187-8BF6-412C-8555-EA004B427118}"/>
    <cellStyle name="Comma 17 3 2 4 2 2" xfId="11637" xr:uid="{E899EFE3-3D69-476D-8F9D-957C528C30B2}"/>
    <cellStyle name="Comma 17 3 2 4 2 2 2" xfId="11638" xr:uid="{C67D6289-E9D8-4C02-BD40-652933E66E3F}"/>
    <cellStyle name="Comma 17 3 2 4 2 2 2 2" xfId="11641" xr:uid="{C5790222-96B9-4349-971F-BD74AFEDDF2B}"/>
    <cellStyle name="Comma 17 3 2 4 2 2 2 2 2" xfId="11642" xr:uid="{F3871E6A-9B22-48BC-AA3A-53768089807D}"/>
    <cellStyle name="Comma 17 3 2 4 2 2 2 2 2 2" xfId="2887" xr:uid="{8DA1CACE-7071-4762-AA5D-466C0B589022}"/>
    <cellStyle name="Comma 17 3 2 4 2 2 2 2 2 2 2" xfId="11643" xr:uid="{463A26EE-596D-44C7-8B2A-26A2A66ED546}"/>
    <cellStyle name="Comma 17 3 2 4 2 2 2 2 2 3" xfId="11644" xr:uid="{B65CC76D-4A8C-4F45-B25D-47C097BA774B}"/>
    <cellStyle name="Comma 17 3 2 4 2 2 2 2 3" xfId="11645" xr:uid="{2E39BD61-1E05-4A1A-9289-BE5FC6D582CF}"/>
    <cellStyle name="Comma 17 3 2 4 2 2 2 2 3 2" xfId="11646" xr:uid="{65DD0486-2947-418A-B69D-AFEA78322100}"/>
    <cellStyle name="Comma 17 3 2 4 2 2 2 2 4" xfId="11648" xr:uid="{9AD041CC-2D12-4B2D-A04D-529141BB64EA}"/>
    <cellStyle name="Comma 17 3 2 4 2 2 2 3" xfId="11651" xr:uid="{73CDB560-6359-4822-9437-663CC1B61355}"/>
    <cellStyle name="Comma 17 3 2 4 2 2 2 3 2" xfId="11652" xr:uid="{E966C58C-F695-4F38-970D-8A18533962F9}"/>
    <cellStyle name="Comma 17 3 2 4 2 2 2 3 2 2" xfId="5488" xr:uid="{95EEB331-F979-4A9A-9EE2-C94D8BEFEBD6}"/>
    <cellStyle name="Comma 17 3 2 4 2 2 2 3 3" xfId="11653" xr:uid="{7524F6E4-28D5-44DB-8959-30380330E45A}"/>
    <cellStyle name="Comma 17 3 2 4 2 2 2 4" xfId="9070" xr:uid="{637CDD44-F824-4780-8C35-171FED10ED56}"/>
    <cellStyle name="Comma 17 3 2 4 2 2 2 4 2" xfId="11657" xr:uid="{964CF23A-3318-4281-89EC-794860EC06AC}"/>
    <cellStyle name="Comma 17 3 2 4 2 2 2 5" xfId="11661" xr:uid="{3A6BC938-DF25-482E-81B9-03AFAA4E1410}"/>
    <cellStyle name="Comma 17 3 2 4 2 2 3" xfId="11662" xr:uid="{7ED03485-E135-4554-965D-094DDF801162}"/>
    <cellStyle name="Comma 17 3 2 4 2 2 3 2" xfId="11663" xr:uid="{91E37DE8-390E-4DE0-A7C3-82F3D3221AA3}"/>
    <cellStyle name="Comma 17 3 2 4 2 2 3 2 2" xfId="11664" xr:uid="{0A67825E-B6DC-40B2-A75A-663F25ABFCFB}"/>
    <cellStyle name="Comma 17 3 2 4 2 2 3 2 2 2" xfId="11665" xr:uid="{E0D3E10F-BE2C-44AE-8875-8303A95BB2BF}"/>
    <cellStyle name="Comma 17 3 2 4 2 2 3 2 3" xfId="11666" xr:uid="{D30F849C-ACBB-4E13-8BDF-C4FB24B45D69}"/>
    <cellStyle name="Comma 17 3 2 4 2 2 3 3" xfId="11667" xr:uid="{AE89F725-A781-4C57-AB4A-A80F7ECA23E2}"/>
    <cellStyle name="Comma 17 3 2 4 2 2 3 3 2" xfId="11669" xr:uid="{C6F73E26-B308-44A3-AFD7-C637619649E4}"/>
    <cellStyle name="Comma 17 3 2 4 2 2 3 4" xfId="11672" xr:uid="{9A5CE9D8-8443-4022-8667-B807DD38EBAE}"/>
    <cellStyle name="Comma 17 3 2 4 2 2 4" xfId="11673" xr:uid="{30D4F356-B564-4508-B5B1-2619FF9F6377}"/>
    <cellStyle name="Comma 17 3 2 4 2 2 4 2" xfId="11674" xr:uid="{6FA2EA33-A0E7-471F-A120-EAB45BFC3996}"/>
    <cellStyle name="Comma 17 3 2 4 2 2 4 2 2" xfId="11675" xr:uid="{19E1D7A2-49A1-423C-8935-26491EDAD994}"/>
    <cellStyle name="Comma 17 3 2 4 2 2 4 3" xfId="11677" xr:uid="{DAB7C7DA-54DA-4D31-B8F5-976DF45A17DA}"/>
    <cellStyle name="Comma 17 3 2 4 2 2 5" xfId="11679" xr:uid="{ACA5C0B5-7DAB-43E5-BD3B-3BD5F2A9E18A}"/>
    <cellStyle name="Comma 17 3 2 4 2 2 5 2" xfId="11681" xr:uid="{50831D6B-E6AF-4242-8CA5-EFB201095994}"/>
    <cellStyle name="Comma 17 3 2 4 2 2 6" xfId="11683" xr:uid="{07DE7213-4A4D-4E1B-8F12-E4E8326C65C9}"/>
    <cellStyle name="Comma 17 3 2 4 2 2 7" xfId="11686" xr:uid="{CE1D7660-3A8D-40B7-B586-09C58448F3DA}"/>
    <cellStyle name="Comma 17 3 2 4 2 3" xfId="11687" xr:uid="{34114F3D-D429-41EE-AA3B-96290C77C416}"/>
    <cellStyle name="Comma 17 3 2 4 2 3 2" xfId="11688" xr:uid="{954559EA-8D7A-45CB-8624-A54EEF654093}"/>
    <cellStyle name="Comma 17 3 2 4 2 3 2 2" xfId="11689" xr:uid="{DC6BE800-2911-4C68-88EF-5B02DD75E032}"/>
    <cellStyle name="Comma 17 3 2 4 2 3 2 2 2" xfId="4668" xr:uid="{FF98D84B-6A3E-49B2-9F9F-194A514C9270}"/>
    <cellStyle name="Comma 17 3 2 4 2 3 2 2 2 2" xfId="2843" xr:uid="{E3A1FACA-C02A-4F1A-B3F6-A108BB981DA8}"/>
    <cellStyle name="Comma 17 3 2 4 2 3 2 2 3" xfId="11690" xr:uid="{5A9873D1-F997-434A-AF88-E1C23394D6E2}"/>
    <cellStyle name="Comma 17 3 2 4 2 3 2 3" xfId="11691" xr:uid="{EDC43098-CF06-4806-99A3-6E5D1B022BF8}"/>
    <cellStyle name="Comma 17 3 2 4 2 3 2 3 2" xfId="11692" xr:uid="{8895913C-8E86-4380-A6B5-C18B28561C1B}"/>
    <cellStyle name="Comma 17 3 2 4 2 3 2 4" xfId="11695" xr:uid="{71EE891B-2916-4725-80DC-7F9FF42325A6}"/>
    <cellStyle name="Comma 17 3 2 4 2 3 3" xfId="11696" xr:uid="{724841E0-CED2-4B7C-AD4D-48BE3063617F}"/>
    <cellStyle name="Comma 17 3 2 4 2 3 3 2" xfId="4681" xr:uid="{F0E00141-0BEE-47A5-AB80-7BD919E0C389}"/>
    <cellStyle name="Comma 17 3 2 4 2 3 3 2 2" xfId="7509" xr:uid="{B23E7FBC-D276-47C6-A4A0-F816F41F1884}"/>
    <cellStyle name="Comma 17 3 2 4 2 3 3 3" xfId="7569" xr:uid="{809307AF-FC6E-4896-8B2B-D194A352FC89}"/>
    <cellStyle name="Comma 17 3 2 4 2 3 4" xfId="11697" xr:uid="{5262770C-81C6-44B4-9183-78D5F9A74A42}"/>
    <cellStyle name="Comma 17 3 2 4 2 3 4 2" xfId="7743" xr:uid="{C11A7781-42B0-4A7E-92B9-65FD6F905A84}"/>
    <cellStyle name="Comma 17 3 2 4 2 3 5" xfId="11698" xr:uid="{ED2B559D-9035-4A5D-8F28-D63A06422D6E}"/>
    <cellStyle name="Comma 17 3 2 4 2 4" xfId="11700" xr:uid="{23CD1AA4-847B-4DBB-8BD1-4092B1698597}"/>
    <cellStyle name="Comma 17 3 2 4 2 4 2" xfId="11701" xr:uid="{CC8FEC96-A67E-4B08-8F73-E698B36E3A0F}"/>
    <cellStyle name="Comma 17 3 2 4 2 4 2 2" xfId="11702" xr:uid="{7C1FC758-D3B1-4D58-AAE2-1A0460FACCEE}"/>
    <cellStyle name="Comma 17 3 2 4 2 4 2 2 2" xfId="10438" xr:uid="{FC28B3E5-30D5-4B84-9716-87D7E443C106}"/>
    <cellStyle name="Comma 17 3 2 4 2 4 2 3" xfId="11703" xr:uid="{FCA22C57-BCAF-4372-9665-A23395B11F0C}"/>
    <cellStyle name="Comma 17 3 2 4 2 4 3" xfId="11704" xr:uid="{00DF609F-F33C-453F-AFA9-E3BA2384ECD7}"/>
    <cellStyle name="Comma 17 3 2 4 2 4 3 2" xfId="8046" xr:uid="{9876F177-6591-409A-B538-0DB4EE61FC22}"/>
    <cellStyle name="Comma 17 3 2 4 2 4 4" xfId="11705" xr:uid="{1D5B1CBB-65E4-46DD-AD8D-57FC17189158}"/>
    <cellStyle name="Comma 17 3 2 4 2 5" xfId="11709" xr:uid="{00BF4428-BDEE-4EFF-AE5A-B93A6CA13A61}"/>
    <cellStyle name="Comma 17 3 2 4 2 5 2" xfId="11713" xr:uid="{3CF66137-5500-44EC-9B9B-4A077982AED9}"/>
    <cellStyle name="Comma 17 3 2 4 2 5 2 2" xfId="11714" xr:uid="{970BD637-A07E-4916-B9B9-2DDA8658E8F4}"/>
    <cellStyle name="Comma 17 3 2 4 2 5 3" xfId="11717" xr:uid="{D8882BFE-07BD-45DB-9765-69977226C76E}"/>
    <cellStyle name="Comma 17 3 2 4 2 6" xfId="2031" xr:uid="{A676C728-13D0-4413-8C68-320AE23AB0D6}"/>
    <cellStyle name="Comma 17 3 2 4 2 6 2" xfId="8176" xr:uid="{DD797FFE-0860-4D34-A689-024F94263273}"/>
    <cellStyle name="Comma 17 3 2 4 2 7" xfId="6303" xr:uid="{ABF51A03-4B25-48D9-AAB8-39B60D0D82EB}"/>
    <cellStyle name="Comma 17 3 2 4 2 8" xfId="11720" xr:uid="{93927C9C-0AAE-4ED3-8065-A646BC876B5F}"/>
    <cellStyle name="Comma 17 3 2 4 3" xfId="10610" xr:uid="{D303ED8A-B4D8-43C5-9863-183B1F3D9807}"/>
    <cellStyle name="Comma 17 3 2 4 3 2" xfId="11721" xr:uid="{253FFE92-EEC9-464E-8816-DD3559DE2553}"/>
    <cellStyle name="Comma 17 3 2 4 3 2 2" xfId="11722" xr:uid="{4C91AEAE-94D4-4B20-8111-E9C06805367A}"/>
    <cellStyle name="Comma 17 3 2 4 3 2 2 2" xfId="11723" xr:uid="{33316A9D-271A-4E80-813A-C5DB006DB2E3}"/>
    <cellStyle name="Comma 17 3 2 4 3 2 2 2 2" xfId="11724" xr:uid="{28897BED-256F-4197-B332-095855888F30}"/>
    <cellStyle name="Comma 17 3 2 4 3 2 2 2 2 2" xfId="11725" xr:uid="{867E1892-FEEA-47D5-9EB8-832BDA1EE17F}"/>
    <cellStyle name="Comma 17 3 2 4 3 2 2 2 3" xfId="11727" xr:uid="{5ECAF708-CEC9-4AE5-9DC0-5B1B498574D9}"/>
    <cellStyle name="Comma 17 3 2 4 3 2 2 3" xfId="11729" xr:uid="{3D831F22-F648-4B75-87D2-56F55CF84693}"/>
    <cellStyle name="Comma 17 3 2 4 3 2 2 3 2" xfId="11731" xr:uid="{A3AEF4FF-AD3A-4E70-BA81-7286FFE6F007}"/>
    <cellStyle name="Comma 17 3 2 4 3 2 2 4" xfId="11734" xr:uid="{FFA3AF46-C9D4-4CE4-936C-B3693600C25E}"/>
    <cellStyle name="Comma 17 3 2 4 3 2 3" xfId="11735" xr:uid="{5906507C-C44E-4CB0-86EF-CF7534295AFE}"/>
    <cellStyle name="Comma 17 3 2 4 3 2 3 2" xfId="11736" xr:uid="{A623C774-0060-4BF5-AF50-C053FDF2B411}"/>
    <cellStyle name="Comma 17 3 2 4 3 2 3 2 2" xfId="11737" xr:uid="{4088C8A5-A416-45D5-A6DE-7ACD48D83E52}"/>
    <cellStyle name="Comma 17 3 2 4 3 2 3 3" xfId="11738" xr:uid="{42E81DD7-3786-42E4-B0D6-6B12DAF64CE4}"/>
    <cellStyle name="Comma 17 3 2 4 3 2 4" xfId="11741" xr:uid="{5AAEB053-024F-4205-8454-0419535694AA}"/>
    <cellStyle name="Comma 17 3 2 4 3 2 4 2" xfId="11744" xr:uid="{3E3AE8BC-94B0-4EA6-BF7E-1395AC24FD28}"/>
    <cellStyle name="Comma 17 3 2 4 3 2 5" xfId="11745" xr:uid="{B825C781-098A-45DB-BEED-9B2928E3F32A}"/>
    <cellStyle name="Comma 17 3 2 4 3 3" xfId="11749" xr:uid="{0CB25472-AAB7-46C4-A40C-BED678F0D86A}"/>
    <cellStyle name="Comma 17 3 2 4 3 3 2" xfId="11750" xr:uid="{F9A33BE8-6349-422F-AE68-AF5FF5E156C6}"/>
    <cellStyle name="Comma 17 3 2 4 3 3 2 2" xfId="11753" xr:uid="{F3A851BE-2C61-45AD-9423-7378A68A7D76}"/>
    <cellStyle name="Comma 17 3 2 4 3 3 2 2 2" xfId="11756" xr:uid="{580335C9-254D-4C5A-BEA4-1C7EB9F9FBDA}"/>
    <cellStyle name="Comma 17 3 2 4 3 3 2 3" xfId="11758" xr:uid="{7BEE8D5A-479B-4ED9-9816-FE6722E2C83D}"/>
    <cellStyle name="Comma 17 3 2 4 3 3 3" xfId="11759" xr:uid="{66D83D3C-84BB-49A2-8125-656D1E291C05}"/>
    <cellStyle name="Comma 17 3 2 4 3 3 3 2" xfId="8551" xr:uid="{644A4EDC-F2CB-4D08-AB7D-8B63E3C4A71F}"/>
    <cellStyle name="Comma 17 3 2 4 3 3 4" xfId="11762" xr:uid="{3F1C24F0-F8F3-4501-8C75-0FBA67F3DB1F}"/>
    <cellStyle name="Comma 17 3 2 4 3 4" xfId="11765" xr:uid="{DB32A957-CA4F-4BC2-9C01-F7B4603AC911}"/>
    <cellStyle name="Comma 17 3 2 4 3 4 2" xfId="11768" xr:uid="{8B131596-2257-4439-AD45-3FFFE9814783}"/>
    <cellStyle name="Comma 17 3 2 4 3 4 2 2" xfId="11773" xr:uid="{4F6FD49D-30DC-412F-8E37-9A1F586F0918}"/>
    <cellStyle name="Comma 17 3 2 4 3 4 3" xfId="11776" xr:uid="{0900E825-9EE6-4286-AF6B-B797333FFC98}"/>
    <cellStyle name="Comma 17 3 2 4 3 5" xfId="11782" xr:uid="{304D1E92-62DE-48D2-AE13-95E23E6177C3}"/>
    <cellStyle name="Comma 17 3 2 4 3 5 2" xfId="11789" xr:uid="{63E64DDC-B980-48FF-8254-76110EE664C0}"/>
    <cellStyle name="Comma 17 3 2 4 3 6" xfId="2043" xr:uid="{CCA24EDE-43B5-4999-ABB6-D1A2013B2CEB}"/>
    <cellStyle name="Comma 17 3 2 4 3 7" xfId="11790" xr:uid="{23C3758C-D8A4-4474-A556-BCFFADFAF47B}"/>
    <cellStyle name="Comma 17 3 2 4 4" xfId="11793" xr:uid="{4FF00080-B3DB-40EE-9CA4-8B58FB672BA8}"/>
    <cellStyle name="Comma 17 3 2 4 4 2" xfId="11794" xr:uid="{E1487D8A-F15D-44BA-96C5-87FD7D351388}"/>
    <cellStyle name="Comma 17 3 2 4 4 2 2" xfId="11795" xr:uid="{356F7C35-0778-4241-8A1D-74A7E6AFE80C}"/>
    <cellStyle name="Comma 17 3 2 4 4 2 2 2" xfId="11797" xr:uid="{990315BE-F44C-439F-AA89-C493D2B884C5}"/>
    <cellStyle name="Comma 17 3 2 4 4 2 2 2 2" xfId="11798" xr:uid="{4390331D-5952-4195-860E-BF9448BC8083}"/>
    <cellStyle name="Comma 17 3 2 4 4 2 2 3" xfId="11799" xr:uid="{97157C55-5494-4F46-A61F-1696FDDE6257}"/>
    <cellStyle name="Comma 17 3 2 4 4 2 3" xfId="11800" xr:uid="{2BFB25A5-6FC5-46BD-A73E-B16E575B8C05}"/>
    <cellStyle name="Comma 17 3 2 4 4 2 3 2" xfId="11801" xr:uid="{0D8DAB26-42FB-4D49-A7C5-0DDA281FDA37}"/>
    <cellStyle name="Comma 17 3 2 4 4 2 4" xfId="11804" xr:uid="{C420A111-A7CA-463F-9528-23AE7C509B95}"/>
    <cellStyle name="Comma 17 3 2 4 4 3" xfId="11806" xr:uid="{F435DC88-C1ED-4CE1-92F3-A922B744C15B}"/>
    <cellStyle name="Comma 17 3 2 4 4 3 2" xfId="11807" xr:uid="{240DB555-AC8B-4B2B-9956-282CACE7B466}"/>
    <cellStyle name="Comma 17 3 2 4 4 3 2 2" xfId="11809" xr:uid="{E37EB9B0-BAB6-469E-9D66-5208E218C1EE}"/>
    <cellStyle name="Comma 17 3 2 4 4 3 3" xfId="3258" xr:uid="{77421AD5-C943-4F1C-AF25-945EF40BB863}"/>
    <cellStyle name="Comma 17 3 2 4 4 4" xfId="11812" xr:uid="{F6FA33F2-4F63-4804-B09E-E8ED3752047D}"/>
    <cellStyle name="Comma 17 3 2 4 4 4 2" xfId="11815" xr:uid="{D92C8C99-9F6F-430F-B37D-DF3F1D9C8AA7}"/>
    <cellStyle name="Comma 17 3 2 4 4 5" xfId="11821" xr:uid="{D86A7670-E10D-4FC8-B2C8-304FABB41080}"/>
    <cellStyle name="Comma 17 3 2 4 5" xfId="11822" xr:uid="{2141B7EC-2EB8-40AC-A7B2-252E68C9862E}"/>
    <cellStyle name="Comma 17 3 2 4 5 2" xfId="11824" xr:uid="{5F64D48F-9083-4D23-B3B6-4391A4F12D45}"/>
    <cellStyle name="Comma 17 3 2 4 5 2 2" xfId="11825" xr:uid="{6322F2EC-B56A-46C1-BCDC-79D0816C5D1F}"/>
    <cellStyle name="Comma 17 3 2 4 5 2 2 2" xfId="11827" xr:uid="{699E5F47-CBC2-4E94-9481-67D5AF69FED7}"/>
    <cellStyle name="Comma 17 3 2 4 5 2 3" xfId="11828" xr:uid="{8142669A-CE4F-40C0-AB61-3538C5FFD0F2}"/>
    <cellStyle name="Comma 17 3 2 4 5 3" xfId="11829" xr:uid="{38089AA1-75CA-43FA-A9DD-D4D2B65DF59F}"/>
    <cellStyle name="Comma 17 3 2 4 5 3 2" xfId="11833" xr:uid="{846B6ED5-E7B3-42B6-9634-07755F37B8DB}"/>
    <cellStyle name="Comma 17 3 2 4 5 4" xfId="11836" xr:uid="{2177AEC1-286E-4759-9950-78047ABCCDE9}"/>
    <cellStyle name="Comma 17 3 2 4 6" xfId="11837" xr:uid="{29B02027-B63C-40C6-A7CF-D5AEF58AEF11}"/>
    <cellStyle name="Comma 17 3 2 4 6 2" xfId="11838" xr:uid="{EB034B53-ABDD-40F5-98EA-E226B9D8DC48}"/>
    <cellStyle name="Comma 17 3 2 4 6 2 2" xfId="11839" xr:uid="{BD90A8B1-334D-4204-8AFD-D4AACDFD2899}"/>
    <cellStyle name="Comma 17 3 2 4 6 3" xfId="11840" xr:uid="{E221752A-F48D-4B3D-8040-98CCE281E078}"/>
    <cellStyle name="Comma 17 3 2 4 7" xfId="11843" xr:uid="{38C50026-5493-4C11-BA55-64966808FE52}"/>
    <cellStyle name="Comma 17 3 2 4 7 2" xfId="110" xr:uid="{34679420-DE2A-4909-B010-26576EAECD80}"/>
    <cellStyle name="Comma 17 3 2 4 8" xfId="11846" xr:uid="{0C0D055D-521E-4974-9E42-ADC38459C720}"/>
    <cellStyle name="Comma 17 3 2 4 9" xfId="11847" xr:uid="{B0976536-2205-45CD-9D89-143823CB3520}"/>
    <cellStyle name="Comma 17 3 2 5" xfId="11856" xr:uid="{6AC10FDD-935C-4D4D-8A3A-09FAD09E200F}"/>
    <cellStyle name="Comma 17 3 2 5 2" xfId="11860" xr:uid="{CA427B29-224F-4690-BBAF-415D14B02CF6}"/>
    <cellStyle name="Comma 17 3 2 5 2 2" xfId="11862" xr:uid="{8520634F-4574-4355-AE39-1CB3D4AE28BC}"/>
    <cellStyle name="Comma 17 3 2 5 2 2 2" xfId="11863" xr:uid="{E25C7BC9-012F-4437-B4F9-397225BB1B7A}"/>
    <cellStyle name="Comma 17 3 2 5 2 2 2 2" xfId="4295" xr:uid="{AF37CF9F-28C1-4AAB-B34E-C822A56FDD4F}"/>
    <cellStyle name="Comma 17 3 2 5 2 2 2 2 2" xfId="11864" xr:uid="{FFFFEBB1-2235-4877-A8B9-94D40CB85186}"/>
    <cellStyle name="Comma 17 3 2 5 2 2 2 2 2 2" xfId="11865" xr:uid="{E6B84B9B-1BEC-4B07-8499-133F86C6F2DB}"/>
    <cellStyle name="Comma 17 3 2 5 2 2 2 2 3" xfId="11866" xr:uid="{555CC20A-11E2-4A19-B875-99C661F0EB25}"/>
    <cellStyle name="Comma 17 3 2 5 2 2 2 3" xfId="4306" xr:uid="{2303C263-966F-474E-AC6A-27389212FF72}"/>
    <cellStyle name="Comma 17 3 2 5 2 2 2 3 2" xfId="11868" xr:uid="{BF6A3253-B4F1-426D-9D77-ECEBABB14653}"/>
    <cellStyle name="Comma 17 3 2 5 2 2 2 4" xfId="11872" xr:uid="{C4894FF2-4016-4818-A90A-BC48E7C1BE54}"/>
    <cellStyle name="Comma 17 3 2 5 2 2 3" xfId="11873" xr:uid="{E4631BB8-FA75-43B0-BDA1-B54EE0187AB1}"/>
    <cellStyle name="Comma 17 3 2 5 2 2 3 2" xfId="11874" xr:uid="{0182E4C9-9255-4345-A701-2992C7F0FD00}"/>
    <cellStyle name="Comma 17 3 2 5 2 2 3 2 2" xfId="11875" xr:uid="{768DF82E-6AB5-4CC1-BCA4-BAE9C33EDBC2}"/>
    <cellStyle name="Comma 17 3 2 5 2 2 3 3" xfId="11877" xr:uid="{F6CE48F0-6F54-4036-A4CA-C206D1C56DED}"/>
    <cellStyle name="Comma 17 3 2 5 2 2 4" xfId="11878" xr:uid="{44E5D90D-F8B8-4BEE-85D3-1341EBD94F68}"/>
    <cellStyle name="Comma 17 3 2 5 2 2 4 2" xfId="10560" xr:uid="{EE4312ED-7BFD-4F5D-AE69-3A5EC3BAFB17}"/>
    <cellStyle name="Comma 17 3 2 5 2 2 5" xfId="11879" xr:uid="{FDF2D907-E507-4370-8F36-6E7771742100}"/>
    <cellStyle name="Comma 17 3 2 5 2 3" xfId="11883" xr:uid="{7AD711E3-1173-45EB-9898-9272D72B5BA6}"/>
    <cellStyle name="Comma 17 3 2 5 2 3 2" xfId="11885" xr:uid="{C8253CEE-1BDA-4C21-9810-A57508FADACA}"/>
    <cellStyle name="Comma 17 3 2 5 2 3 2 2" xfId="11886" xr:uid="{2F764FE4-531D-44C2-BBAC-C31FDED0279D}"/>
    <cellStyle name="Comma 17 3 2 5 2 3 2 2 2" xfId="11887" xr:uid="{EA76210E-1FE7-4B1F-83FA-3D3FC142A707}"/>
    <cellStyle name="Comma 17 3 2 5 2 3 2 3" xfId="11889" xr:uid="{29095CB7-54DA-419A-A5BD-5E420DBF7026}"/>
    <cellStyle name="Comma 17 3 2 5 2 3 3" xfId="11890" xr:uid="{907C7D4C-211D-4108-8FB3-CDDAAC1FDA9F}"/>
    <cellStyle name="Comma 17 3 2 5 2 3 3 2" xfId="10618" xr:uid="{2D31DFC0-B6F6-4AA6-AB1C-59A957A1EA24}"/>
    <cellStyle name="Comma 17 3 2 5 2 3 4" xfId="11891" xr:uid="{5AC08641-E4AB-4D31-9967-78E26AE31823}"/>
    <cellStyle name="Comma 17 3 2 5 2 4" xfId="11893" xr:uid="{A4152BC3-3D0C-4E84-B0D4-DDA97A99D387}"/>
    <cellStyle name="Comma 17 3 2 5 2 4 2" xfId="11894" xr:uid="{81F43091-0595-47D6-AE35-F1755D04D673}"/>
    <cellStyle name="Comma 17 3 2 5 2 4 2 2" xfId="11895" xr:uid="{15C1B52F-7789-40B1-A457-12ED6BBE349B}"/>
    <cellStyle name="Comma 17 3 2 5 2 4 3" xfId="11896" xr:uid="{E0B2CAEC-91ED-49CD-BFCB-262A3E3301BD}"/>
    <cellStyle name="Comma 17 3 2 5 2 5" xfId="11903" xr:uid="{F987D6A4-B7C9-4CAF-A1FF-C016E118C3BC}"/>
    <cellStyle name="Comma 17 3 2 5 2 5 2" xfId="11911" xr:uid="{70FA164A-5A39-476E-8F35-B54051726ED6}"/>
    <cellStyle name="Comma 17 3 2 5 2 6" xfId="2707" xr:uid="{8DED35F6-F3EE-48FC-BC9B-C1024122DC47}"/>
    <cellStyle name="Comma 17 3 2 5 2 7" xfId="11912" xr:uid="{A682E1C4-59A9-4842-9EB9-A1CF3AC13312}"/>
    <cellStyle name="Comma 17 3 2 5 3" xfId="11914" xr:uid="{46F73F24-85E9-4F13-B145-A447534AE721}"/>
    <cellStyle name="Comma 17 3 2 5 3 2" xfId="11915" xr:uid="{C23D3FC4-FA47-45CB-B0FC-0BE85A84F386}"/>
    <cellStyle name="Comma 17 3 2 5 3 2 2" xfId="11916" xr:uid="{1A08EC0C-D17B-4596-843F-D3DAB35DFD5D}"/>
    <cellStyle name="Comma 17 3 2 5 3 2 2 2" xfId="11917" xr:uid="{5D90242E-B3E5-4411-AB71-A766C2662E9B}"/>
    <cellStyle name="Comma 17 3 2 5 3 2 2 2 2" xfId="11920" xr:uid="{8EAAE202-F44D-4C4E-8BB7-CB9C2388CEEE}"/>
    <cellStyle name="Comma 17 3 2 5 3 2 2 3" xfId="11922" xr:uid="{B3BA4347-74AB-4B40-8991-3E0F039043E4}"/>
    <cellStyle name="Comma 17 3 2 5 3 2 3" xfId="11923" xr:uid="{4D2C56A6-84FE-4F44-94EA-56D36FA1851D}"/>
    <cellStyle name="Comma 17 3 2 5 3 2 3 2" xfId="11924" xr:uid="{EA70605F-7F81-4381-A5D6-B45FBB763D50}"/>
    <cellStyle name="Comma 17 3 2 5 3 2 4" xfId="11927" xr:uid="{5026FCD4-50AD-4338-BD97-890B5C3B9517}"/>
    <cellStyle name="Comma 17 3 2 5 3 3" xfId="11929" xr:uid="{8FA0CD7A-D565-4368-A3FE-23637151197D}"/>
    <cellStyle name="Comma 17 3 2 5 3 3 2" xfId="11930" xr:uid="{1AC609F7-D9F4-4843-88DE-0D1F2D1290C5}"/>
    <cellStyle name="Comma 17 3 2 5 3 3 2 2" xfId="11931" xr:uid="{2431BA4A-8245-48EC-BF4C-46F7988DFE08}"/>
    <cellStyle name="Comma 17 3 2 5 3 3 3" xfId="11932" xr:uid="{8302CA27-055A-4E25-AA38-8C7584AC9FF4}"/>
    <cellStyle name="Comma 17 3 2 5 3 4" xfId="11935" xr:uid="{BB07D715-CAEF-43F4-96C3-BBE5F4D9E33F}"/>
    <cellStyle name="Comma 17 3 2 5 3 4 2" xfId="11938" xr:uid="{38EA25B2-F886-4739-B1E0-E3201AE3589F}"/>
    <cellStyle name="Comma 17 3 2 5 3 5" xfId="11947" xr:uid="{A34EAEA1-4991-4918-A5E3-506D8889277A}"/>
    <cellStyle name="Comma 17 3 2 5 4" xfId="11948" xr:uid="{56E6088F-F966-4729-89A7-C0CE28942C03}"/>
    <cellStyle name="Comma 17 3 2 5 4 2" xfId="11949" xr:uid="{3E47D639-D3AD-418A-A347-CD919FB31EBE}"/>
    <cellStyle name="Comma 17 3 2 5 4 2 2" xfId="11950" xr:uid="{893434E1-E150-4243-BE86-2E18C4455DA0}"/>
    <cellStyle name="Comma 17 3 2 5 4 2 2 2" xfId="11951" xr:uid="{FD740792-EEAB-4E2F-94BE-D3839E7D587F}"/>
    <cellStyle name="Comma 17 3 2 5 4 2 3" xfId="11954" xr:uid="{921580A6-367B-4821-9F1F-12B4DF869854}"/>
    <cellStyle name="Comma 17 3 2 5 4 3" xfId="11955" xr:uid="{6644E511-9C85-4CAF-815F-A33893D9C4AC}"/>
    <cellStyle name="Comma 17 3 2 5 4 3 2" xfId="11956" xr:uid="{E0C2B972-5CB3-4431-896B-C7BAEC233785}"/>
    <cellStyle name="Comma 17 3 2 5 4 4" xfId="1205" xr:uid="{DD18D8B8-B8E7-44D7-B17F-E1541B2AC0F7}"/>
    <cellStyle name="Comma 17 3 2 5 5" xfId="11957" xr:uid="{33512359-FE83-47A0-B8FF-0982CC0545CF}"/>
    <cellStyle name="Comma 17 3 2 5 5 2" xfId="11958" xr:uid="{C6FB685F-A41C-4D87-8D80-0AAC56AA898F}"/>
    <cellStyle name="Comma 17 3 2 5 5 2 2" xfId="11962" xr:uid="{70857B52-7504-4B09-89E4-3252CCB9FD46}"/>
    <cellStyle name="Comma 17 3 2 5 5 3" xfId="11963" xr:uid="{8192781B-295E-45E1-A04F-AA61292C63C5}"/>
    <cellStyle name="Comma 17 3 2 5 6" xfId="11964" xr:uid="{96340540-82CD-4F3C-9CA4-4B19F078CB00}"/>
    <cellStyle name="Comma 17 3 2 5 6 2" xfId="11965" xr:uid="{C0A04563-D2E6-4D45-BA3B-6497913199E9}"/>
    <cellStyle name="Comma 17 3 2 5 7" xfId="11968" xr:uid="{42CD9921-B0CD-4B68-B0E0-98E91B541BD2}"/>
    <cellStyle name="Comma 17 3 2 5 8" xfId="11971" xr:uid="{EB8643CF-5203-4BFE-A541-2A11A870C61A}"/>
    <cellStyle name="Comma 17 3 2 6" xfId="11977" xr:uid="{91974A42-B66C-4314-8A79-8EB0D223DFC6}"/>
    <cellStyle name="Comma 17 3 2 6 2" xfId="11978" xr:uid="{E901AB9D-7373-4823-ABB8-C3E7D7AE7921}"/>
    <cellStyle name="Comma 17 3 2 6 2 2" xfId="11979" xr:uid="{C45AB00C-BDBD-4A8C-9C86-A32A15D856BB}"/>
    <cellStyle name="Comma 17 3 2 6 2 2 2" xfId="11986" xr:uid="{B2B5549A-4F77-462D-A18F-5A27CB33E89A}"/>
    <cellStyle name="Comma 17 3 2 6 2 2 2 2" xfId="11991" xr:uid="{9DE983CB-7D33-47AB-9439-EA8285D6B711}"/>
    <cellStyle name="Comma 17 3 2 6 2 2 2 2 2" xfId="11994" xr:uid="{CD8BE8CA-6654-4367-BE3F-FA0D003650EE}"/>
    <cellStyle name="Comma 17 3 2 6 2 2 2 3" xfId="11999" xr:uid="{B35744B6-B2C0-4670-B24C-E0032003575B}"/>
    <cellStyle name="Comma 17 3 2 6 2 2 3" xfId="12005" xr:uid="{5A5BAD62-1CE0-4A86-B03D-5AC93882B027}"/>
    <cellStyle name="Comma 17 3 2 6 2 2 3 2" xfId="12008" xr:uid="{3E986AD5-4B91-47C1-968D-4ABF1E4DDA02}"/>
    <cellStyle name="Comma 17 3 2 6 2 2 4" xfId="12014" xr:uid="{5BC9980C-4C33-43E0-BDC6-68EE2D400ED4}"/>
    <cellStyle name="Comma 17 3 2 6 2 3" xfId="12016" xr:uid="{BD7A8602-DCAE-4F1C-8A65-3FA4D993D8F0}"/>
    <cellStyle name="Comma 17 3 2 6 2 3 2" xfId="12019" xr:uid="{BAF32B7A-74B0-4236-8AE2-514CA37CE4A1}"/>
    <cellStyle name="Comma 17 3 2 6 2 3 2 2" xfId="12022" xr:uid="{B8A3FC99-7671-4C21-96D2-051680F0E5B6}"/>
    <cellStyle name="Comma 17 3 2 6 2 3 3" xfId="12025" xr:uid="{BC52355C-DEBF-46B5-B304-089B5CEC5454}"/>
    <cellStyle name="Comma 17 3 2 6 2 4" xfId="12026" xr:uid="{B763F25B-3DC6-4CD9-91C5-E3BB044835A1}"/>
    <cellStyle name="Comma 17 3 2 6 2 4 2" xfId="12027" xr:uid="{A6161606-2F0C-45F6-B76A-0FBE87EB4791}"/>
    <cellStyle name="Comma 17 3 2 6 2 5" xfId="12035" xr:uid="{01AF80ED-8EEB-4EF6-993E-565996AD542C}"/>
    <cellStyle name="Comma 17 3 2 6 3" xfId="12036" xr:uid="{B41B0DA1-FF8C-46B7-AAE3-EAE7D910A3C5}"/>
    <cellStyle name="Comma 17 3 2 6 3 2" xfId="12037" xr:uid="{FC3ADD06-35B5-4C51-8C1A-B0861F8B8F4C}"/>
    <cellStyle name="Comma 17 3 2 6 3 2 2" xfId="12038" xr:uid="{D43072AC-F7F1-4C22-B610-EDE580D30810}"/>
    <cellStyle name="Comma 17 3 2 6 3 2 2 2" xfId="12039" xr:uid="{1461AC5C-EC27-4149-AAE8-32F4769F4D93}"/>
    <cellStyle name="Comma 17 3 2 6 3 2 3" xfId="12040" xr:uid="{14502128-E008-483A-8CD4-FD34424C556E}"/>
    <cellStyle name="Comma 17 3 2 6 3 3" xfId="12041" xr:uid="{7CCEAF06-9F32-4967-9C00-DE7E17D89FD8}"/>
    <cellStyle name="Comma 17 3 2 6 3 3 2" xfId="12042" xr:uid="{F2C7A197-73FF-4FB9-9995-F3E1F03A0778}"/>
    <cellStyle name="Comma 17 3 2 6 3 4" xfId="12049" xr:uid="{BB84DA39-623B-444D-841D-6766EA39C71E}"/>
    <cellStyle name="Comma 17 3 2 6 4" xfId="12051" xr:uid="{F5D0D0C5-1960-4784-A78D-C5A51BF74D05}"/>
    <cellStyle name="Comma 17 3 2 6 4 2" xfId="12053" xr:uid="{232FD2C0-E58D-411C-8F5F-32EA80F27CD8}"/>
    <cellStyle name="Comma 17 3 2 6 4 2 2" xfId="12055" xr:uid="{AFC67C18-34EA-400D-BB92-3595DEB9A11C}"/>
    <cellStyle name="Comma 17 3 2 6 4 3" xfId="12057" xr:uid="{4D8AD06F-B030-4843-BC31-F9B4FF119E3B}"/>
    <cellStyle name="Comma 17 3 2 6 5" xfId="12060" xr:uid="{A318C602-EDCD-46C9-9E8B-9C414E04C8E6}"/>
    <cellStyle name="Comma 17 3 2 6 5 2" xfId="12063" xr:uid="{BCD657B6-960C-4636-80D7-E43D12DF309A}"/>
    <cellStyle name="Comma 17 3 2 6 6" xfId="12067" xr:uid="{AC22E8BD-3108-41C1-9AA8-E70E8B195222}"/>
    <cellStyle name="Comma 17 3 2 6 7" xfId="12071" xr:uid="{C345F826-31B2-4B06-B1D4-422C8499BC0F}"/>
    <cellStyle name="Comma 17 3 2 7" xfId="12075" xr:uid="{BA54284F-F0AC-4C6D-87ED-514C086C3FF5}"/>
    <cellStyle name="Comma 17 3 2 7 2" xfId="12076" xr:uid="{DCA70329-ED11-42E9-B06D-C0744875C34E}"/>
    <cellStyle name="Comma 17 3 2 7 2 2" xfId="12078" xr:uid="{75D9CE3F-9303-4179-8B0D-72D00D431C2E}"/>
    <cellStyle name="Comma 17 3 2 7 2 2 2" xfId="12082" xr:uid="{6ECECF65-A518-4179-8B93-F73F6B65F1D3}"/>
    <cellStyle name="Comma 17 3 2 7 2 2 2 2" xfId="12084" xr:uid="{2171BB32-EC57-4990-B2A0-CEA272DC1E03}"/>
    <cellStyle name="Comma 17 3 2 7 2 2 3" xfId="12087" xr:uid="{97E29D93-0A77-4AFB-A2B6-007307245613}"/>
    <cellStyle name="Comma 17 3 2 7 2 3" xfId="12089" xr:uid="{6A768F55-3156-46DB-B0D5-0695E599BEA4}"/>
    <cellStyle name="Comma 17 3 2 7 2 3 2" xfId="12092" xr:uid="{84CCBCAE-CFC3-4942-8292-682893317D36}"/>
    <cellStyle name="Comma 17 3 2 7 2 4" xfId="12093" xr:uid="{5D7ACA33-70D6-4252-9198-27140F271734}"/>
    <cellStyle name="Comma 17 3 2 7 3" xfId="12094" xr:uid="{B9C4B86A-3AAB-42E4-8D0D-6D71B48759EE}"/>
    <cellStyle name="Comma 17 3 2 7 3 2" xfId="12096" xr:uid="{FD5AAB43-DE9E-4106-8539-4F185B0B007B}"/>
    <cellStyle name="Comma 17 3 2 7 3 2 2" xfId="12097" xr:uid="{F42DB6AD-E703-4F64-A403-7156CCAF6314}"/>
    <cellStyle name="Comma 17 3 2 7 3 3" xfId="12098" xr:uid="{0DD1B606-9194-4727-A215-E4E09D13E8F4}"/>
    <cellStyle name="Comma 17 3 2 7 4" xfId="12100" xr:uid="{D72EA530-21DC-4DBD-A4C5-FA16D0AAD135}"/>
    <cellStyle name="Comma 17 3 2 7 4 2" xfId="12102" xr:uid="{9A28AA68-7555-4C91-B5DB-E61A30FEEA8D}"/>
    <cellStyle name="Comma 17 3 2 7 5" xfId="12105" xr:uid="{F3B002F8-E2DB-466E-9F32-F76FEB003107}"/>
    <cellStyle name="Comma 17 3 2 8" xfId="12108" xr:uid="{B6FAF2BD-A8BB-4E00-AD5F-32740799E212}"/>
    <cellStyle name="Comma 17 3 2 8 2" xfId="12109" xr:uid="{97329C22-6A7B-424A-987E-67E00940B926}"/>
    <cellStyle name="Comma 17 3 2 8 2 2" xfId="5171" xr:uid="{8D5A7789-E2C8-4667-8140-AC0B882D034A}"/>
    <cellStyle name="Comma 17 3 2 8 2 2 2" xfId="5183" xr:uid="{C60C25E9-11B9-4F4D-9BF0-197E518329B3}"/>
    <cellStyle name="Comma 17 3 2 8 2 3" xfId="5186" xr:uid="{E4F9FBCA-D534-4B90-9634-E18E4F62D245}"/>
    <cellStyle name="Comma 17 3 2 8 3" xfId="12112" xr:uid="{81DB07AE-B453-4654-BC8B-4E07FF808AF1}"/>
    <cellStyle name="Comma 17 3 2 8 3 2" xfId="5195" xr:uid="{1A5093C8-9C85-42B0-8E90-713DAB7768BB}"/>
    <cellStyle name="Comma 17 3 2 8 4" xfId="12115" xr:uid="{737F27B5-EA76-4D70-B6C9-18C6DE625018}"/>
    <cellStyle name="Comma 17 3 2 9" xfId="12116" xr:uid="{D91D76A4-F801-4718-AC1C-6528A4940668}"/>
    <cellStyle name="Comma 17 3 2 9 2" xfId="12117" xr:uid="{21B0DCA4-688F-4A7F-A770-DFE236CAA6F1}"/>
    <cellStyle name="Comma 17 3 2 9 2 2" xfId="5232" xr:uid="{846F73BA-C320-41BB-A883-C8EF22BA63D4}"/>
    <cellStyle name="Comma 17 3 2 9 3" xfId="12118" xr:uid="{78B98939-5C92-43BC-885E-B8EB97AD4242}"/>
    <cellStyle name="Comma 17 3 3" xfId="12120" xr:uid="{3D9622C9-0B10-44F0-9B47-4B50B3041116}"/>
    <cellStyle name="Comma 17 3 3 10" xfId="12121" xr:uid="{36C8DDD8-B121-44C2-A2D0-AA5A72A9CEBE}"/>
    <cellStyle name="Comma 17 3 3 11" xfId="12126" xr:uid="{16DDD124-8D33-41B4-AFAC-BE695CE42B88}"/>
    <cellStyle name="Comma 17 3 3 2" xfId="12129" xr:uid="{8037717B-BC9E-4251-BE29-8B80329BAE98}"/>
    <cellStyle name="Comma 17 3 3 2 10" xfId="12130" xr:uid="{D218F4D8-A799-48E2-B15A-9509C777F01C}"/>
    <cellStyle name="Comma 17 3 3 2 2" xfId="12131" xr:uid="{7E5C7ED8-0720-482B-9B51-9B36FA604EF3}"/>
    <cellStyle name="Comma 17 3 3 2 2 2" xfId="12132" xr:uid="{0640DB85-36E7-4941-881D-20A415491D1F}"/>
    <cellStyle name="Comma 17 3 3 2 2 2 2" xfId="12133" xr:uid="{64D72970-B6B9-4330-924D-219A637CDEB6}"/>
    <cellStyle name="Comma 17 3 3 2 2 2 2 2" xfId="12134" xr:uid="{F4E04308-34DD-4735-8587-DC1E5C0CDFE1}"/>
    <cellStyle name="Comma 17 3 3 2 2 2 2 2 2" xfId="3208" xr:uid="{DC441849-3C94-405C-8D1A-AD2879B54B0C}"/>
    <cellStyle name="Comma 17 3 3 2 2 2 2 2 2 2" xfId="12137" xr:uid="{DB2594CB-58A0-4763-9859-841526CC7E60}"/>
    <cellStyle name="Comma 17 3 3 2 2 2 2 2 2 2 2" xfId="12138" xr:uid="{94FCE1BE-F4DF-4F87-80BF-782F3AC3242D}"/>
    <cellStyle name="Comma 17 3 3 2 2 2 2 2 2 2 2 2" xfId="12142" xr:uid="{4CE280CB-A6AC-4EE5-9492-762F5A917C5C}"/>
    <cellStyle name="Comma 17 3 3 2 2 2 2 2 2 2 3" xfId="12143" xr:uid="{903A60C2-ACC5-4EA8-BC38-4366F9D0233C}"/>
    <cellStyle name="Comma 17 3 3 2 2 2 2 2 2 3" xfId="12144" xr:uid="{40DA6629-EB31-41AD-8673-262E7408CE13}"/>
    <cellStyle name="Comma 17 3 3 2 2 2 2 2 2 3 2" xfId="12146" xr:uid="{AA3FAADC-596A-4047-8D5E-F3A671D989E9}"/>
    <cellStyle name="Comma 17 3 3 2 2 2 2 2 2 4" xfId="10542" xr:uid="{62AA89F1-840B-46B1-8304-D36DD93E7373}"/>
    <cellStyle name="Comma 17 3 3 2 2 2 2 2 3" xfId="12152" xr:uid="{5B5F3E87-F37E-4CBC-853C-C6C086D329F7}"/>
    <cellStyle name="Comma 17 3 3 2 2 2 2 2 3 2" xfId="12153" xr:uid="{DAA00F55-BA58-4AAA-AEB3-96DD3F8C5607}"/>
    <cellStyle name="Comma 17 3 3 2 2 2 2 2 3 2 2" xfId="12154" xr:uid="{074298A8-DC9C-4286-8C8B-538E6D45A1AC}"/>
    <cellStyle name="Comma 17 3 3 2 2 2 2 2 3 3" xfId="12155" xr:uid="{5EB6E777-E912-4A6D-8D83-0BDB999F2D95}"/>
    <cellStyle name="Comma 17 3 3 2 2 2 2 2 4" xfId="8595" xr:uid="{0FD3229D-B655-4C48-8816-65297F744029}"/>
    <cellStyle name="Comma 17 3 3 2 2 2 2 2 4 2" xfId="12156" xr:uid="{5E01C741-89FD-481A-8DEA-A8C263DB3A1D}"/>
    <cellStyle name="Comma 17 3 3 2 2 2 2 2 5" xfId="12161" xr:uid="{E8C75C1B-05F9-4A1E-A498-EEB126D3143A}"/>
    <cellStyle name="Comma 17 3 3 2 2 2 2 3" xfId="12162" xr:uid="{6FC0D348-1B53-45E8-87C0-9CD803BF27C7}"/>
    <cellStyle name="Comma 17 3 3 2 2 2 2 3 2" xfId="12165" xr:uid="{447D110D-F07B-487B-B905-188C0E45D84E}"/>
    <cellStyle name="Comma 17 3 3 2 2 2 2 3 2 2" xfId="12166" xr:uid="{3CE07572-218F-4654-9E28-AEEC0E00FCD9}"/>
    <cellStyle name="Comma 17 3 3 2 2 2 2 3 2 2 2" xfId="12167" xr:uid="{39C8B09E-0A07-47A9-A30F-D1AD7A0BB00E}"/>
    <cellStyle name="Comma 17 3 3 2 2 2 2 3 2 3" xfId="12168" xr:uid="{3177C0C1-16C4-46E3-B97D-8338497EB818}"/>
    <cellStyle name="Comma 17 3 3 2 2 2 2 3 3" xfId="12169" xr:uid="{5008B177-5371-4D1E-889B-FF533A9B7B44}"/>
    <cellStyle name="Comma 17 3 3 2 2 2 2 3 3 2" xfId="12170" xr:uid="{00431037-2AC4-46DE-800C-862A5D6FE446}"/>
    <cellStyle name="Comma 17 3 3 2 2 2 2 3 4" xfId="12171" xr:uid="{82FCB246-B432-411B-AA55-6C37520A6D54}"/>
    <cellStyle name="Comma 17 3 3 2 2 2 2 4" xfId="3228" xr:uid="{83325691-A431-46CE-8EB9-CFDB7AFF42E5}"/>
    <cellStyle name="Comma 17 3 3 2 2 2 2 4 2" xfId="4726" xr:uid="{6EC459F3-B690-4AB6-A9D0-6936F6E910A5}"/>
    <cellStyle name="Comma 17 3 3 2 2 2 2 4 2 2" xfId="12172" xr:uid="{14875514-2334-4371-B257-083945BBC5E8}"/>
    <cellStyle name="Comma 17 3 3 2 2 2 2 4 3" xfId="12174" xr:uid="{AA3FA5FF-B283-46A1-9782-B7408FE271CB}"/>
    <cellStyle name="Comma 17 3 3 2 2 2 2 5" xfId="4729" xr:uid="{3A473185-DC7E-4D27-8E5D-39A3B239841C}"/>
    <cellStyle name="Comma 17 3 3 2 2 2 2 5 2" xfId="12176" xr:uid="{E3A8639C-4ACE-4679-A070-AD07ABCCE3AE}"/>
    <cellStyle name="Comma 17 3 3 2 2 2 2 6" xfId="12179" xr:uid="{4D794CF2-D846-49C8-9A6B-C6C81919E7A2}"/>
    <cellStyle name="Comma 17 3 3 2 2 2 2 7" xfId="12180" xr:uid="{91A51FE3-1556-4640-8424-A100AFF9F672}"/>
    <cellStyle name="Comma 17 3 3 2 2 2 3" xfId="12181" xr:uid="{00BCEB79-FAD2-46B0-80A8-36EB50343CA2}"/>
    <cellStyle name="Comma 17 3 3 2 2 2 3 2" xfId="12182" xr:uid="{D1C9BA53-BB83-40A8-8520-A6E9C47C80BE}"/>
    <cellStyle name="Comma 17 3 3 2 2 2 3 2 2" xfId="12187" xr:uid="{BF129AA2-1DD0-44D6-84B8-7B4D356F8A60}"/>
    <cellStyle name="Comma 17 3 3 2 2 2 3 2 2 2" xfId="12191" xr:uid="{EBC19D5B-C5AF-41C5-9EC8-59CF8C5A76F2}"/>
    <cellStyle name="Comma 17 3 3 2 2 2 3 2 2 2 2" xfId="12192" xr:uid="{D2940EA0-6140-4BF9-B2B9-389F193FE3A5}"/>
    <cellStyle name="Comma 17 3 3 2 2 2 3 2 2 3" xfId="12193" xr:uid="{E6ABB128-C00A-4E8E-9E96-C48367ABA4C7}"/>
    <cellStyle name="Comma 17 3 3 2 2 2 3 2 3" xfId="12194" xr:uid="{CBC0DFEC-157D-4A55-8ADE-F60A2C37B1B4}"/>
    <cellStyle name="Comma 17 3 3 2 2 2 3 2 3 2" xfId="12200" xr:uid="{6B16F1E1-28D7-4F84-82BA-F7097A32F5D3}"/>
    <cellStyle name="Comma 17 3 3 2 2 2 3 2 4" xfId="12201" xr:uid="{CD062AD5-28A0-4B0B-9C05-2895415D1567}"/>
    <cellStyle name="Comma 17 3 3 2 2 2 3 3" xfId="12206" xr:uid="{88063A07-75CC-4A8D-B405-1EFAA3A8C292}"/>
    <cellStyle name="Comma 17 3 3 2 2 2 3 3 2" xfId="12207" xr:uid="{F39A40B0-F86F-4C2A-9D07-335B309888E6}"/>
    <cellStyle name="Comma 17 3 3 2 2 2 3 3 2 2" xfId="12208" xr:uid="{811C3632-470F-4EA1-A5B6-7A460F3DE309}"/>
    <cellStyle name="Comma 17 3 3 2 2 2 3 3 3" xfId="12209" xr:uid="{97AB2C19-A23F-4D87-8B0B-2A7364F3CD03}"/>
    <cellStyle name="Comma 17 3 3 2 2 2 3 4" xfId="3297" xr:uid="{4D14F057-2A33-4688-A727-5CF403F87FF2}"/>
    <cellStyle name="Comma 17 3 3 2 2 2 3 4 2" xfId="12211" xr:uid="{D7BD4332-A065-4E4F-A973-162C7056B55C}"/>
    <cellStyle name="Comma 17 3 3 2 2 2 3 5" xfId="12212" xr:uid="{3D283D7E-516C-4645-87A5-AF4DABAA8E52}"/>
    <cellStyle name="Comma 17 3 3 2 2 2 4" xfId="3242" xr:uid="{6113581B-AF05-4A3D-989B-7232D15660C8}"/>
    <cellStyle name="Comma 17 3 3 2 2 2 4 2" xfId="1443" xr:uid="{B7AC52A2-9AA1-49F0-9F1F-3DACDD3CD940}"/>
    <cellStyle name="Comma 17 3 3 2 2 2 4 2 2" xfId="12214" xr:uid="{32C13DC2-E292-4FC1-8164-46F961807CFA}"/>
    <cellStyle name="Comma 17 3 3 2 2 2 4 2 2 2" xfId="12220" xr:uid="{D613A672-90B9-4C24-9A81-97049BDDE9A8}"/>
    <cellStyle name="Comma 17 3 3 2 2 2 4 2 3" xfId="12221" xr:uid="{07CD0EA7-45BD-4054-87B9-1A55069841E1}"/>
    <cellStyle name="Comma 17 3 3 2 2 2 4 3" xfId="12228" xr:uid="{3FB78385-E1E1-48C5-B000-F40F1AD44E88}"/>
    <cellStyle name="Comma 17 3 3 2 2 2 4 3 2" xfId="12231" xr:uid="{00894C02-E2E0-4230-BF81-6BD9B41A023A}"/>
    <cellStyle name="Comma 17 3 3 2 2 2 4 4" xfId="12233" xr:uid="{0D8B387F-6543-4ECA-AB54-71DD47F21992}"/>
    <cellStyle name="Comma 17 3 3 2 2 2 5" xfId="3248" xr:uid="{DA39DF40-C19E-4EEF-B91A-91A58DC3FB8E}"/>
    <cellStyle name="Comma 17 3 3 2 2 2 5 2" xfId="3312" xr:uid="{69141F53-EFA4-4ED6-9C10-47FCB52D7F47}"/>
    <cellStyle name="Comma 17 3 3 2 2 2 5 2 2" xfId="4746" xr:uid="{BC80717D-E997-4FE9-B28F-1BBFBD5C9970}"/>
    <cellStyle name="Comma 17 3 3 2 2 2 5 3" xfId="4751" xr:uid="{93DAC49D-1602-4477-A0D3-3F1D2129A546}"/>
    <cellStyle name="Comma 17 3 3 2 2 2 6" xfId="3320" xr:uid="{E9E4F978-331D-4CD3-B59A-6722AC44A3B1}"/>
    <cellStyle name="Comma 17 3 3 2 2 2 6 2" xfId="4758" xr:uid="{C6CE8D62-4B8A-4C24-8BBA-158C2DE4631B}"/>
    <cellStyle name="Comma 17 3 3 2 2 2 7" xfId="4765" xr:uid="{F35E106F-B1F7-4325-B5A7-FD211E3D1774}"/>
    <cellStyle name="Comma 17 3 3 2 2 2 8" xfId="7389" xr:uid="{346602AE-7900-45F2-81D6-9F6D44B0817A}"/>
    <cellStyle name="Comma 17 3 3 2 2 3" xfId="12234" xr:uid="{8AD40360-2FE3-4237-91F2-8D9A9AC7F2F5}"/>
    <cellStyle name="Comma 17 3 3 2 2 3 2" xfId="12235" xr:uid="{F01B9D74-E8E0-4361-947E-076C1F8EA25B}"/>
    <cellStyle name="Comma 17 3 3 2 2 3 2 2" xfId="12236" xr:uid="{883896CE-1FDE-4342-985F-98EAF68C76CA}"/>
    <cellStyle name="Comma 17 3 3 2 2 3 2 2 2" xfId="11041" xr:uid="{362BB0E7-97B7-4DC4-98B8-366CF5EEC8BF}"/>
    <cellStyle name="Comma 17 3 3 2 2 3 2 2 2 2" xfId="12237" xr:uid="{85E0355A-39C3-4EB3-9B89-F2E7EBC40860}"/>
    <cellStyle name="Comma 17 3 3 2 2 3 2 2 2 2 2" xfId="12239" xr:uid="{A29FE33F-9F55-4426-B8C6-00C90DC77236}"/>
    <cellStyle name="Comma 17 3 3 2 2 3 2 2 2 3" xfId="12241" xr:uid="{6ECA6596-B66A-4B54-8D47-5C8DA5A5465C}"/>
    <cellStyle name="Comma 17 3 3 2 2 3 2 2 3" xfId="12243" xr:uid="{D11D57BB-ADB6-4E32-A0E1-F881297B68F3}"/>
    <cellStyle name="Comma 17 3 3 2 2 3 2 2 3 2" xfId="12244" xr:uid="{9196BF4D-E105-4DA1-8014-342456EE2030}"/>
    <cellStyle name="Comma 17 3 3 2 2 3 2 2 4" xfId="12248" xr:uid="{DD073321-8FCD-45B0-A725-968C1E0513C2}"/>
    <cellStyle name="Comma 17 3 3 2 2 3 2 3" xfId="12249" xr:uid="{F86E2A92-1F71-46DF-B614-6F958416F29B}"/>
    <cellStyle name="Comma 17 3 3 2 2 3 2 3 2" xfId="12250" xr:uid="{3A6F14B1-F58E-4D43-8769-5799BC8AA091}"/>
    <cellStyle name="Comma 17 3 3 2 2 3 2 3 2 2" xfId="12251" xr:uid="{11F3BCE9-90CB-4012-8037-7CDE39E1D7C3}"/>
    <cellStyle name="Comma 17 3 3 2 2 3 2 3 3" xfId="12253" xr:uid="{8A0577C6-2643-4BD4-A9ED-08AF36B9C607}"/>
    <cellStyle name="Comma 17 3 3 2 2 3 2 4" xfId="4735" xr:uid="{036D07C5-D8EC-40E3-90A2-6B3AC085DC4E}"/>
    <cellStyle name="Comma 17 3 3 2 2 3 2 4 2" xfId="12254" xr:uid="{B86CCA1C-710C-48A7-BE0E-A8BE7D90898D}"/>
    <cellStyle name="Comma 17 3 3 2 2 3 2 5" xfId="12255" xr:uid="{65F88FB4-D4F5-47C4-8C1D-7935E401F47F}"/>
    <cellStyle name="Comma 17 3 3 2 2 3 3" xfId="12256" xr:uid="{3CEB85CA-1F42-4061-87E6-995119D5C796}"/>
    <cellStyle name="Comma 17 3 3 2 2 3 3 2" xfId="12257" xr:uid="{E71BE49E-2BAF-420F-B889-E15ECFB0348E}"/>
    <cellStyle name="Comma 17 3 3 2 2 3 3 2 2" xfId="12258" xr:uid="{0DF6D992-70CD-4201-B813-294719AC541D}"/>
    <cellStyle name="Comma 17 3 3 2 2 3 3 2 2 2" xfId="12259" xr:uid="{318B4465-E1DA-454F-9DAF-E40F773A2B3E}"/>
    <cellStyle name="Comma 17 3 3 2 2 3 3 2 3" xfId="12261" xr:uid="{BD322352-FCB4-413F-93EA-6F4552BBC7B6}"/>
    <cellStyle name="Comma 17 3 3 2 2 3 3 3" xfId="12262" xr:uid="{2C86A6EE-E5EE-4D3F-A675-A27557A2F4CA}"/>
    <cellStyle name="Comma 17 3 3 2 2 3 3 3 2" xfId="12263" xr:uid="{631B96C8-5EF6-4F42-8CC7-A9BB4F49ACB2}"/>
    <cellStyle name="Comma 17 3 3 2 2 3 3 4" xfId="12264" xr:uid="{585FEA1A-1FB7-43F8-B6C1-C8066C366F64}"/>
    <cellStyle name="Comma 17 3 3 2 2 3 4" xfId="3267" xr:uid="{6F62CBE1-1563-4C42-9BD3-91766BF6939E}"/>
    <cellStyle name="Comma 17 3 3 2 2 3 4 2" xfId="12266" xr:uid="{4030BDBA-2242-49EC-B5DC-75811F8438EE}"/>
    <cellStyle name="Comma 17 3 3 2 2 3 4 2 2" xfId="12267" xr:uid="{EA270252-A00A-420F-96FA-4B7D0E4AE780}"/>
    <cellStyle name="Comma 17 3 3 2 2 3 4 3" xfId="12269" xr:uid="{066F5274-513C-4A65-A06F-B88A3D47F7DC}"/>
    <cellStyle name="Comma 17 3 3 2 2 3 5" xfId="3331" xr:uid="{944ECD4D-42E0-4994-B23E-228FBCBBE52C}"/>
    <cellStyle name="Comma 17 3 3 2 2 3 5 2" xfId="4783" xr:uid="{70C623C3-AF03-4D7D-99D1-1A7BCFEDAED4}"/>
    <cellStyle name="Comma 17 3 3 2 2 3 6" xfId="4791" xr:uid="{62955239-9CAF-4F46-A3EF-BC9CB4DF33A1}"/>
    <cellStyle name="Comma 17 3 3 2 2 3 7" xfId="7398" xr:uid="{689204E2-BE51-4CED-AE8E-11C86EA013D0}"/>
    <cellStyle name="Comma 17 3 3 2 2 4" xfId="12270" xr:uid="{DA0EBD56-AC82-42FE-9210-B511A0E8F23B}"/>
    <cellStyle name="Comma 17 3 3 2 2 4 2" xfId="12271" xr:uid="{3B0BAA04-D0FD-4670-9E76-4D58D866F81E}"/>
    <cellStyle name="Comma 17 3 3 2 2 4 2 2" xfId="12272" xr:uid="{F9836E5C-FB2D-4DC3-86EB-29B1AD760503}"/>
    <cellStyle name="Comma 17 3 3 2 2 4 2 2 2" xfId="12274" xr:uid="{402677C9-94C9-40A9-BD05-FB55575BDD5C}"/>
    <cellStyle name="Comma 17 3 3 2 2 4 2 2 2 2" xfId="4608" xr:uid="{C10FD2E2-2F89-4525-8F17-014604B1A5AD}"/>
    <cellStyle name="Comma 17 3 3 2 2 4 2 2 3" xfId="12276" xr:uid="{C306A2E7-704F-4C78-9CF9-2DF4B8B2CA4D}"/>
    <cellStyle name="Comma 17 3 3 2 2 4 2 3" xfId="12277" xr:uid="{EA852C95-2695-4254-90D4-FC83E8960F02}"/>
    <cellStyle name="Comma 17 3 3 2 2 4 2 3 2" xfId="12279" xr:uid="{381D21B2-DD31-4588-A5E2-C7ADEEBB922D}"/>
    <cellStyle name="Comma 17 3 3 2 2 4 2 4" xfId="12281" xr:uid="{76D44250-D4DB-4E12-99C2-9D99CEB426D6}"/>
    <cellStyle name="Comma 17 3 3 2 2 4 3" xfId="12282" xr:uid="{D6DACA52-90D6-4FF8-B8C9-45728D65EDA3}"/>
    <cellStyle name="Comma 17 3 3 2 2 4 3 2" xfId="12283" xr:uid="{26C2E609-53E1-4A4B-B734-427B926E2CFC}"/>
    <cellStyle name="Comma 17 3 3 2 2 4 3 2 2" xfId="12285" xr:uid="{22BDDD17-94CD-41F7-92B3-FDE4BD717396}"/>
    <cellStyle name="Comma 17 3 3 2 2 4 3 3" xfId="12286" xr:uid="{0361A2B3-E2C6-45B2-938A-C9B752CD0586}"/>
    <cellStyle name="Comma 17 3 3 2 2 4 4" xfId="12287" xr:uid="{FF21F0ED-9E58-4890-9AAB-E3785DBDB795}"/>
    <cellStyle name="Comma 17 3 3 2 2 4 4 2" xfId="12288" xr:uid="{32A9FD53-AA0C-4B13-B1FE-2E69794A3D63}"/>
    <cellStyle name="Comma 17 3 3 2 2 4 5" xfId="4802" xr:uid="{D88F3454-3B87-47BD-AC4B-0F4C6369835C}"/>
    <cellStyle name="Comma 17 3 3 2 2 5" xfId="12289" xr:uid="{742743E3-01CB-4124-A0EB-960161DD985C}"/>
    <cellStyle name="Comma 17 3 3 2 2 5 2" xfId="12290" xr:uid="{0E21EF40-E97E-4EAE-B54E-E4443E72E78A}"/>
    <cellStyle name="Comma 17 3 3 2 2 5 2 2" xfId="12292" xr:uid="{FD9129E7-183A-40DD-AC56-16C75AB9F78F}"/>
    <cellStyle name="Comma 17 3 3 2 2 5 2 2 2" xfId="12295" xr:uid="{7F1C4BA3-1E84-4819-9F42-7883748463F1}"/>
    <cellStyle name="Comma 17 3 3 2 2 5 2 3" xfId="12297" xr:uid="{32705AA1-7D41-45E7-BEEF-FFF4AED08B09}"/>
    <cellStyle name="Comma 17 3 3 2 2 5 3" xfId="12298" xr:uid="{8C7218A8-85FF-4325-AE44-B599CAA8696A}"/>
    <cellStyle name="Comma 17 3 3 2 2 5 3 2" xfId="12300" xr:uid="{835EABFD-B9E9-4993-AAC8-E8BD92469119}"/>
    <cellStyle name="Comma 17 3 3 2 2 5 4" xfId="12301" xr:uid="{FEB0F5C6-43D6-4351-A4D0-DDC4A3B7957D}"/>
    <cellStyle name="Comma 17 3 3 2 2 6" xfId="2689" xr:uid="{09B02072-C419-470E-8A34-F7632E58E51F}"/>
    <cellStyle name="Comma 17 3 3 2 2 6 2" xfId="2699" xr:uid="{1CEB5912-74F4-4EE9-B34F-D1D7313FC7DF}"/>
    <cellStyle name="Comma 17 3 3 2 2 6 2 2" xfId="8292" xr:uid="{7EDC2104-EC71-4706-B37C-9AB8F73A9520}"/>
    <cellStyle name="Comma 17 3 3 2 2 6 3" xfId="8294" xr:uid="{ECA47564-B6D6-48DF-8663-D885308DE726}"/>
    <cellStyle name="Comma 17 3 3 2 2 7" xfId="2714" xr:uid="{5983C7D3-917F-4EB6-BF72-840EBA3923CA}"/>
    <cellStyle name="Comma 17 3 3 2 2 7 2" xfId="2725" xr:uid="{C426923B-858D-422E-9519-1FE3A0ACE64C}"/>
    <cellStyle name="Comma 17 3 3 2 2 8" xfId="2735" xr:uid="{0CA0B3C9-E26F-45CA-915C-FD97283AD5C6}"/>
    <cellStyle name="Comma 17 3 3 2 2 9" xfId="12305" xr:uid="{45E000C6-D4B0-4F1F-91AC-BE533F6F0184}"/>
    <cellStyle name="Comma 17 3 3 2 3" xfId="10730" xr:uid="{B2CEEEFF-ABD3-4831-892D-93B23C76D0DD}"/>
    <cellStyle name="Comma 17 3 3 2 3 2" xfId="10734" xr:uid="{78E52F60-2D03-4E43-95B8-36682CA89054}"/>
    <cellStyle name="Comma 17 3 3 2 3 2 2" xfId="12308" xr:uid="{36F8D28D-D977-46D3-B7AC-D2BDBB7CF2F0}"/>
    <cellStyle name="Comma 17 3 3 2 3 2 2 2" xfId="12309" xr:uid="{ADA4A0D6-D019-4B89-94E6-A4EE28B4A5C1}"/>
    <cellStyle name="Comma 17 3 3 2 3 2 2 2 2" xfId="12312" xr:uid="{14203402-8DF4-4BDF-B66C-0924DC2E29AC}"/>
    <cellStyle name="Comma 17 3 3 2 3 2 2 2 2 2" xfId="12313" xr:uid="{E361C9BB-329F-4028-B394-6D47495A17AC}"/>
    <cellStyle name="Comma 17 3 3 2 3 2 2 2 2 2 2" xfId="12314" xr:uid="{DA14405B-69D5-4F0B-B5B3-2F752289BCD4}"/>
    <cellStyle name="Comma 17 3 3 2 3 2 2 2 2 3" xfId="12315" xr:uid="{BD22563A-1FFF-472F-854A-DAE3DB6B41CF}"/>
    <cellStyle name="Comma 17 3 3 2 3 2 2 2 3" xfId="12316" xr:uid="{7F56755B-4C32-4448-A9B4-7B17E49A6B25}"/>
    <cellStyle name="Comma 17 3 3 2 3 2 2 2 3 2" xfId="12317" xr:uid="{26850903-46B8-43E6-ABA8-1C217F17E247}"/>
    <cellStyle name="Comma 17 3 3 2 3 2 2 2 4" xfId="11335" xr:uid="{06915865-BDD1-466D-9BBD-496157A82B30}"/>
    <cellStyle name="Comma 17 3 3 2 3 2 2 3" xfId="12318" xr:uid="{AF0D2D51-A54A-4DDE-A651-F48C08100641}"/>
    <cellStyle name="Comma 17 3 3 2 3 2 2 3 2" xfId="12319" xr:uid="{0F04F827-8122-4F4D-89CB-327669C711D9}"/>
    <cellStyle name="Comma 17 3 3 2 3 2 2 3 2 2" xfId="12320" xr:uid="{274DF44F-7D70-4E14-8FC1-845E0161D4F7}"/>
    <cellStyle name="Comma 17 3 3 2 3 2 2 3 3" xfId="12321" xr:uid="{DCDBBD73-E361-43D4-AF3F-F96735D4D353}"/>
    <cellStyle name="Comma 17 3 3 2 3 2 2 4" xfId="4853" xr:uid="{18F33029-F0B3-4CFB-A1E6-1B681F2A98BD}"/>
    <cellStyle name="Comma 17 3 3 2 3 2 2 4 2" xfId="12323" xr:uid="{86957449-7E89-4461-AB56-663F1112A2FA}"/>
    <cellStyle name="Comma 17 3 3 2 3 2 2 5" xfId="12324" xr:uid="{D92371DB-9BCB-4426-AEC0-EBD0A2B3A2A7}"/>
    <cellStyle name="Comma 17 3 3 2 3 2 3" xfId="12327" xr:uid="{2C499086-A102-401F-8E75-D34656B3803D}"/>
    <cellStyle name="Comma 17 3 3 2 3 2 3 2" xfId="12328" xr:uid="{A4CA6CDC-81E9-4AF2-9534-4595B9838ECC}"/>
    <cellStyle name="Comma 17 3 3 2 3 2 3 2 2" xfId="12330" xr:uid="{FF9A58E1-CDBF-4F19-BB9F-1FA6E2263BB0}"/>
    <cellStyle name="Comma 17 3 3 2 3 2 3 2 2 2" xfId="12331" xr:uid="{53D5E1E9-BC97-49B6-970A-B00D85137667}"/>
    <cellStyle name="Comma 17 3 3 2 3 2 3 2 3" xfId="12332" xr:uid="{B1E5AED2-708E-4A76-91C3-FF2712136FFF}"/>
    <cellStyle name="Comma 17 3 3 2 3 2 3 3" xfId="12333" xr:uid="{93F32AF0-8008-4A6A-AC00-328CCD2D4D35}"/>
    <cellStyle name="Comma 17 3 3 2 3 2 3 3 2" xfId="12334" xr:uid="{62DC3F4E-B24C-4580-AC8B-CB6FA1F0E615}"/>
    <cellStyle name="Comma 17 3 3 2 3 2 3 4" xfId="12335" xr:uid="{F1DFEAA0-2EE3-4DDD-BD28-791A49510B88}"/>
    <cellStyle name="Comma 17 3 3 2 3 2 4" xfId="3382" xr:uid="{D0C28676-CB0D-4FD2-A31B-C650707E0E31}"/>
    <cellStyle name="Comma 17 3 3 2 3 2 4 2" xfId="12340" xr:uid="{2E18063D-C66E-4E6D-AB31-04D9407F9826}"/>
    <cellStyle name="Comma 17 3 3 2 3 2 4 2 2" xfId="12344" xr:uid="{24B678E5-34F7-47AC-AD8D-88886401194A}"/>
    <cellStyle name="Comma 17 3 3 2 3 2 4 3" xfId="12348" xr:uid="{46D46D25-12B5-49C2-98F9-05E10D5C74F5}"/>
    <cellStyle name="Comma 17 3 3 2 3 2 5" xfId="3390" xr:uid="{1AE4F93B-6C43-4842-9438-20F9FDCFC539}"/>
    <cellStyle name="Comma 17 3 3 2 3 2 5 2" xfId="4821" xr:uid="{059B0332-383C-493B-AFEB-5D4275EE2F41}"/>
    <cellStyle name="Comma 17 3 3 2 3 2 6" xfId="4827" xr:uid="{C35566E0-A0EC-4A5A-AC4F-8C93200CFB8D}"/>
    <cellStyle name="Comma 17 3 3 2 3 2 7" xfId="4661" xr:uid="{48B6569C-C5E2-495F-B693-41F6F4C171A5}"/>
    <cellStyle name="Comma 17 3 3 2 3 3" xfId="12349" xr:uid="{F82CD3DD-10E7-4DE6-9A59-BEB266C461A6}"/>
    <cellStyle name="Comma 17 3 3 2 3 3 2" xfId="12350" xr:uid="{D6F2D45A-2338-486E-88B1-8C3BD5397F69}"/>
    <cellStyle name="Comma 17 3 3 2 3 3 2 2" xfId="12351" xr:uid="{B0AE9BAF-75F5-49B3-9B79-BCCB8A680AD1}"/>
    <cellStyle name="Comma 17 3 3 2 3 3 2 2 2" xfId="12352" xr:uid="{52CA7846-C219-4BA7-A192-AFA12319FCE1}"/>
    <cellStyle name="Comma 17 3 3 2 3 3 2 2 2 2" xfId="8637" xr:uid="{B9FF78C0-9956-4B73-80D4-6764E69AB3AF}"/>
    <cellStyle name="Comma 17 3 3 2 3 3 2 2 3" xfId="12354" xr:uid="{E02340CA-49EC-47EC-BF9D-94FE8E3C9827}"/>
    <cellStyle name="Comma 17 3 3 2 3 3 2 3" xfId="12355" xr:uid="{D9BD1C60-6C1B-4288-8CD7-DE03AFB26374}"/>
    <cellStyle name="Comma 17 3 3 2 3 3 2 3 2" xfId="12356" xr:uid="{7A941FAC-F6D4-49C8-AA2B-94C4113A7163}"/>
    <cellStyle name="Comma 17 3 3 2 3 3 2 4" xfId="12357" xr:uid="{40E9417B-1161-4730-995E-E7796528779E}"/>
    <cellStyle name="Comma 17 3 3 2 3 3 3" xfId="12358" xr:uid="{B05B2647-6F40-400B-97AC-B3A802E673EA}"/>
    <cellStyle name="Comma 17 3 3 2 3 3 3 2" xfId="12359" xr:uid="{D110271F-8CC1-40CC-8B38-B7A9D0DF75F1}"/>
    <cellStyle name="Comma 17 3 3 2 3 3 3 2 2" xfId="12360" xr:uid="{32B081AA-127C-4887-BDCF-623501D42D59}"/>
    <cellStyle name="Comma 17 3 3 2 3 3 3 3" xfId="12361" xr:uid="{F16C3E41-50CC-48F8-A7AB-EACFB94A5E72}"/>
    <cellStyle name="Comma 17 3 3 2 3 3 4" xfId="12364" xr:uid="{7DCCFA95-538D-448D-8047-EABCDCD09107}"/>
    <cellStyle name="Comma 17 3 3 2 3 3 4 2" xfId="12368" xr:uid="{95FFB57F-0F2D-4068-8402-B6E503B3B9AF}"/>
    <cellStyle name="Comma 17 3 3 2 3 3 5" xfId="4839" xr:uid="{C3D1B13D-558B-4BA0-85AC-4B07394639E5}"/>
    <cellStyle name="Comma 17 3 3 2 3 4" xfId="12369" xr:uid="{19647FF1-9863-4513-9C43-AFEA6C7D8A32}"/>
    <cellStyle name="Comma 17 3 3 2 3 4 2" xfId="12370" xr:uid="{70E95560-4940-4BBC-ACE3-3937D5618439}"/>
    <cellStyle name="Comma 17 3 3 2 3 4 2 2" xfId="12371" xr:uid="{E5765A95-C658-47BF-9F2D-E16CF3485280}"/>
    <cellStyle name="Comma 17 3 3 2 3 4 2 2 2" xfId="12374" xr:uid="{FC446519-C7EE-41B8-AD88-A69DBC2AC693}"/>
    <cellStyle name="Comma 17 3 3 2 3 4 2 3" xfId="12375" xr:uid="{D63DCF33-3899-4DB5-B027-DE2CF336A042}"/>
    <cellStyle name="Comma 17 3 3 2 3 4 3" xfId="12376" xr:uid="{728FCE91-535F-47E3-88D9-56D962126E58}"/>
    <cellStyle name="Comma 17 3 3 2 3 4 3 2" xfId="12377" xr:uid="{8563D012-7689-4365-9557-BAE66E4FDB8D}"/>
    <cellStyle name="Comma 17 3 3 2 3 4 4" xfId="12380" xr:uid="{D13C9128-5B3E-48DB-8818-E091E163A9B8}"/>
    <cellStyle name="Comma 17 3 3 2 3 5" xfId="12383" xr:uid="{51D606F7-D7EA-492B-B239-503FFCA54BED}"/>
    <cellStyle name="Comma 17 3 3 2 3 5 2" xfId="12386" xr:uid="{6CEC4908-A333-4A6E-85E2-42A7AA4F17B6}"/>
    <cellStyle name="Comma 17 3 3 2 3 5 2 2" xfId="12390" xr:uid="{9DE48B54-5A1B-493D-9875-B4D3D6F3E7BB}"/>
    <cellStyle name="Comma 17 3 3 2 3 5 3" xfId="12392" xr:uid="{5955F147-4E3C-4312-8B07-D68549739121}"/>
    <cellStyle name="Comma 17 3 3 2 3 6" xfId="3446" xr:uid="{FB3D1428-0E93-4AC3-89B3-181AE352C0C5}"/>
    <cellStyle name="Comma 17 3 3 2 3 6 2" xfId="7756" xr:uid="{90C82632-CE60-4A19-B561-2264B5B368A4}"/>
    <cellStyle name="Comma 17 3 3 2 3 7" xfId="7213" xr:uid="{86FFB16B-47EB-42B2-8F74-EAF3EDAA03CB}"/>
    <cellStyle name="Comma 17 3 3 2 3 8" xfId="12397" xr:uid="{82CDD83C-0F06-4101-983A-F3AF93FE1CE7}"/>
    <cellStyle name="Comma 17 3 3 2 4" xfId="10735" xr:uid="{6A5C9F9A-CA8F-4D27-83C8-4ED436B8A921}"/>
    <cellStyle name="Comma 17 3 3 2 4 2" xfId="12398" xr:uid="{DBE021FA-9860-4554-82A6-E7A3491E9D39}"/>
    <cellStyle name="Comma 17 3 3 2 4 2 2" xfId="12400" xr:uid="{015999B8-CAEF-49A0-B3CF-5BEBA357DB4D}"/>
    <cellStyle name="Comma 17 3 3 2 4 2 2 2" xfId="12401" xr:uid="{7D8C23E0-EDE8-46DF-BEC6-2EA164F5C42E}"/>
    <cellStyle name="Comma 17 3 3 2 4 2 2 2 2" xfId="12402" xr:uid="{79589B1D-40B0-4FF8-ACE0-13B9E640805B}"/>
    <cellStyle name="Comma 17 3 3 2 4 2 2 2 2 2" xfId="12404" xr:uid="{EE9CE0CA-C8F9-46B3-B915-5F86EAC51A19}"/>
    <cellStyle name="Comma 17 3 3 2 4 2 2 2 3" xfId="12406" xr:uid="{576A98C0-74CF-4DAE-8D8B-477260F26997}"/>
    <cellStyle name="Comma 17 3 3 2 4 2 2 3" xfId="125" xr:uid="{F3EFFC57-0352-404E-8739-F45C65779F6C}"/>
    <cellStyle name="Comma 17 3 3 2 4 2 2 3 2" xfId="12407" xr:uid="{E49C488A-428E-434F-B665-41DD814444F4}"/>
    <cellStyle name="Comma 17 3 3 2 4 2 2 4" xfId="522" xr:uid="{8D3BF311-AAB8-44F8-90CC-93DCF1B3D056}"/>
    <cellStyle name="Comma 17 3 3 2 4 2 3" xfId="12410" xr:uid="{C55D11EC-7F7D-4A95-B1FD-102061E56B7F}"/>
    <cellStyle name="Comma 17 3 3 2 4 2 3 2" xfId="12411" xr:uid="{3C461C19-DF2F-4148-8F4D-6846EC962CC4}"/>
    <cellStyle name="Comma 17 3 3 2 4 2 3 2 2" xfId="8208" xr:uid="{C3602AA2-9362-481B-8F81-CBF12ECE51AE}"/>
    <cellStyle name="Comma 17 3 3 2 4 2 3 3" xfId="12412" xr:uid="{F6DA9B34-6407-48C9-BBC9-0B1DAE6708E0}"/>
    <cellStyle name="Comma 17 3 3 2 4 2 4" xfId="12416" xr:uid="{A6AF2EB6-11E6-4AA9-92F0-F8483750A9A8}"/>
    <cellStyle name="Comma 17 3 3 2 4 2 4 2" xfId="12421" xr:uid="{60B332FB-B934-4146-BB84-AB11F321B1F4}"/>
    <cellStyle name="Comma 17 3 3 2 4 2 5" xfId="4851" xr:uid="{8F4A8E5F-5DCB-4433-9117-CB785DE48916}"/>
    <cellStyle name="Comma 17 3 3 2 4 3" xfId="12423" xr:uid="{793A7AA1-7971-48CB-91AD-8F57E64DEB1A}"/>
    <cellStyle name="Comma 17 3 3 2 4 3 2" xfId="12424" xr:uid="{8F43B714-1343-4DBF-9EC6-98C9E30FEE90}"/>
    <cellStyle name="Comma 17 3 3 2 4 3 2 2" xfId="12425" xr:uid="{B34CE03A-FC46-4132-B655-417926C7811E}"/>
    <cellStyle name="Comma 17 3 3 2 4 3 2 2 2" xfId="12432" xr:uid="{BEED33FB-F715-45FA-8B1C-C37E4D576CEC}"/>
    <cellStyle name="Comma 17 3 3 2 4 3 2 3" xfId="12433" xr:uid="{ECF5058F-A4BB-44A3-A479-9A374EC9DC5F}"/>
    <cellStyle name="Comma 17 3 3 2 4 3 3" xfId="3365" xr:uid="{9F0CFB5C-0553-4A1E-B5BD-FF0DD3E70F10}"/>
    <cellStyle name="Comma 17 3 3 2 4 3 3 2" xfId="3367" xr:uid="{5C7E4559-9FA4-4253-BDDE-69EDEAAEDAB1}"/>
    <cellStyle name="Comma 17 3 3 2 4 3 4" xfId="3372" xr:uid="{F5603FDA-5F39-4868-B5C9-0011D06A8B6B}"/>
    <cellStyle name="Comma 17 3 3 2 4 4" xfId="12434" xr:uid="{EADE27AB-4AC8-42F3-A8D5-86EECF4C032D}"/>
    <cellStyle name="Comma 17 3 3 2 4 4 2" xfId="12435" xr:uid="{55E2BE25-82DE-43E9-B340-07934DCC0172}"/>
    <cellStyle name="Comma 17 3 3 2 4 4 2 2" xfId="5522" xr:uid="{A2F1E20C-1F54-48AC-A981-8E560420B592}"/>
    <cellStyle name="Comma 17 3 3 2 4 4 3" xfId="3385" xr:uid="{B3F9331E-A450-45E1-8FAD-DC02383FD39C}"/>
    <cellStyle name="Comma 17 3 3 2 4 5" xfId="12438" xr:uid="{41FC22AF-8365-4269-AEE7-B657ED708DDB}"/>
    <cellStyle name="Comma 17 3 3 2 4 5 2" xfId="12440" xr:uid="{F0D3767B-BCA6-4824-982A-10A0BD05ECBC}"/>
    <cellStyle name="Comma 17 3 3 2 4 6" xfId="8297" xr:uid="{F0F3A7E2-D4E5-4B25-ADA9-34B00044B851}"/>
    <cellStyle name="Comma 17 3 3 2 4 7" xfId="12443" xr:uid="{835D6BF0-CE88-4E8B-859A-41144E54C654}"/>
    <cellStyle name="Comma 17 3 3 2 5" xfId="8702" xr:uid="{C4BF3ED9-65E6-4FB4-BA8E-211402A08BE9}"/>
    <cellStyle name="Comma 17 3 3 2 5 2" xfId="12444" xr:uid="{0894E6F2-4B77-497E-B957-233CDBC56A85}"/>
    <cellStyle name="Comma 17 3 3 2 5 2 2" xfId="12446" xr:uid="{F0CA04A3-DC5A-4F61-AD10-D00E66F9C5C3}"/>
    <cellStyle name="Comma 17 3 3 2 5 2 2 2" xfId="12448" xr:uid="{780D4859-509C-40BD-82AB-09CD4029E20A}"/>
    <cellStyle name="Comma 17 3 3 2 5 2 2 2 2" xfId="12449" xr:uid="{422A00BA-2D4A-4A4A-B848-C99CEF91D569}"/>
    <cellStyle name="Comma 17 3 3 2 5 2 2 3" xfId="12450" xr:uid="{611C90D4-1551-45C5-9C40-C429BCA9899B}"/>
    <cellStyle name="Comma 17 3 3 2 5 2 3" xfId="12452" xr:uid="{5D88D6CC-85AF-44C5-A6A5-655DFB72F147}"/>
    <cellStyle name="Comma 17 3 3 2 5 2 3 2" xfId="12454" xr:uid="{A9AD30F5-8A30-44A7-96F6-CD46DFAB8E21}"/>
    <cellStyle name="Comma 17 3 3 2 5 2 4" xfId="12459" xr:uid="{E405BC52-5878-4531-B719-B3B2ED27EFE6}"/>
    <cellStyle name="Comma 17 3 3 2 5 3" xfId="12460" xr:uid="{F6599AB9-24FF-4743-90E9-413B0AD50C5C}"/>
    <cellStyle name="Comma 17 3 3 2 5 3 2" xfId="12461" xr:uid="{1D40BC3E-9942-4B12-926C-C95D3CE81E89}"/>
    <cellStyle name="Comma 17 3 3 2 5 3 2 2" xfId="12462" xr:uid="{1E289B5C-155D-40C1-9C5F-5A1076E5DDF7}"/>
    <cellStyle name="Comma 17 3 3 2 5 3 3" xfId="3399" xr:uid="{27D76128-119A-4AE3-A0BD-AA3B437F1FE1}"/>
    <cellStyle name="Comma 17 3 3 2 5 4" xfId="12463" xr:uid="{1D24D00C-FBD8-4641-B259-48B5BAFFA366}"/>
    <cellStyle name="Comma 17 3 3 2 5 4 2" xfId="12464" xr:uid="{0B4587AB-CC17-4A25-BF03-B13CD4B4F615}"/>
    <cellStyle name="Comma 17 3 3 2 5 5" xfId="12466" xr:uid="{83C63454-B0FA-4AA2-8DEC-DB170FBAFF81}"/>
    <cellStyle name="Comma 17 3 3 2 6" xfId="12467" xr:uid="{4CD90F15-9407-4388-8864-4F1BF91D4F83}"/>
    <cellStyle name="Comma 17 3 3 2 6 2" xfId="12468" xr:uid="{6BBC6ECF-DCDD-4AB6-AFF5-8A382DC025E0}"/>
    <cellStyle name="Comma 17 3 3 2 6 2 2" xfId="12472" xr:uid="{3C958597-CA45-4C79-A079-991FD0E1F189}"/>
    <cellStyle name="Comma 17 3 3 2 6 2 2 2" xfId="12474" xr:uid="{B5A71FB6-DD9E-4364-B4AD-BD56C93EB4FC}"/>
    <cellStyle name="Comma 17 3 3 2 6 2 3" xfId="12476" xr:uid="{C15F7A2C-3985-4B9B-8405-9BAA3280703B}"/>
    <cellStyle name="Comma 17 3 3 2 6 3" xfId="12477" xr:uid="{A3509733-C5A7-4E4F-8209-35AEF30E6B5B}"/>
    <cellStyle name="Comma 17 3 3 2 6 3 2" xfId="6682" xr:uid="{84BDEECE-3470-4EC4-B2F0-080C6F95F25A}"/>
    <cellStyle name="Comma 17 3 3 2 6 4" xfId="12478" xr:uid="{55C1464B-FBC6-4E91-91B7-92D0949CE277}"/>
    <cellStyle name="Comma 17 3 3 2 7" xfId="12481" xr:uid="{43AACA59-9455-4E25-AEF3-28D38BE6DE5F}"/>
    <cellStyle name="Comma 17 3 3 2 7 2" xfId="12484" xr:uid="{703FFED5-42CB-4EAB-8ABE-36AA5A248C6A}"/>
    <cellStyle name="Comma 17 3 3 2 7 2 2" xfId="12485" xr:uid="{728B8EB3-5C95-4993-B71A-AF34AA00FDEE}"/>
    <cellStyle name="Comma 17 3 3 2 7 3" xfId="12486" xr:uid="{4B9E4473-0BA7-407F-BBE6-BF51097A464D}"/>
    <cellStyle name="Comma 17 3 3 2 8" xfId="12489" xr:uid="{27985838-0210-4B39-B6D0-27EFD9C729BE}"/>
    <cellStyle name="Comma 17 3 3 2 8 2" xfId="12490" xr:uid="{174A947D-F133-4C16-A671-8D8860F0A1C5}"/>
    <cellStyle name="Comma 17 3 3 2 9" xfId="12491" xr:uid="{AA64D341-7A51-4841-8B97-7784BC35287E}"/>
    <cellStyle name="Comma 17 3 3 3" xfId="12493" xr:uid="{46B5AD31-2CE1-4560-8194-750B72F95B68}"/>
    <cellStyle name="Comma 17 3 3 3 2" xfId="12495" xr:uid="{EE6B6A51-71C5-4E8E-93FC-4F2047F0B34B}"/>
    <cellStyle name="Comma 17 3 3 3 2 2" xfId="12500" xr:uid="{DB12062A-E429-4915-A68F-615D7DDFDD51}"/>
    <cellStyle name="Comma 17 3 3 3 2 2 2" xfId="12505" xr:uid="{83EB60F8-7BAB-422F-AA60-8019472B04A2}"/>
    <cellStyle name="Comma 17 3 3 3 2 2 2 2" xfId="12506" xr:uid="{F65A7098-9CB4-4E6D-8D07-E12777CC90A6}"/>
    <cellStyle name="Comma 17 3 3 3 2 2 2 2 2" xfId="3118" xr:uid="{A93D23D0-D8B0-4D04-B6BF-9A8A1C576D2D}"/>
    <cellStyle name="Comma 17 3 3 3 2 2 2 2 2 2" xfId="12508" xr:uid="{D3D77705-A208-4400-B229-0974A662DAE8}"/>
    <cellStyle name="Comma 17 3 3 3 2 2 2 2 2 2 2" xfId="1369" xr:uid="{7B50AF72-E756-4E54-9B76-C255F0AF6219}"/>
    <cellStyle name="Comma 17 3 3 3 2 2 2 2 2 3" xfId="12509" xr:uid="{FA451F2F-966D-431A-9555-4C54A9CF83EE}"/>
    <cellStyle name="Comma 17 3 3 3 2 2 2 2 3" xfId="12513" xr:uid="{3F914CEF-4639-4383-B660-0E2E922A4F34}"/>
    <cellStyle name="Comma 17 3 3 3 2 2 2 2 3 2" xfId="12515" xr:uid="{B411FA81-C361-49E5-A930-71204C34085E}"/>
    <cellStyle name="Comma 17 3 3 3 2 2 2 2 4" xfId="2396" xr:uid="{79FC6512-60A9-447B-9267-B960EA0FECA9}"/>
    <cellStyle name="Comma 17 3 3 3 2 2 2 3" xfId="12516" xr:uid="{2728B3BC-F23A-495A-ADC2-A1C3AFDB5BE6}"/>
    <cellStyle name="Comma 17 3 3 3 2 2 2 3 2" xfId="12518" xr:uid="{F33325D6-D749-4F1D-98C5-715BAC83472E}"/>
    <cellStyle name="Comma 17 3 3 3 2 2 2 3 2 2" xfId="12519" xr:uid="{43AE7D16-A2F5-487B-BBAF-884CBDE5E8CC}"/>
    <cellStyle name="Comma 17 3 3 3 2 2 2 3 3" xfId="12520" xr:uid="{3E33EE17-2F12-4CFC-8196-91D5182527FA}"/>
    <cellStyle name="Comma 17 3 3 3 2 2 2 4" xfId="5125" xr:uid="{06C45768-4F2C-4D90-8704-48F169426516}"/>
    <cellStyle name="Comma 17 3 3 3 2 2 2 4 2" xfId="12523" xr:uid="{6B2630AF-2910-4D91-8277-9824195F6BC5}"/>
    <cellStyle name="Comma 17 3 3 3 2 2 2 5" xfId="12526" xr:uid="{5EA89842-2F8E-46D9-A398-E04835AE76CB}"/>
    <cellStyle name="Comma 17 3 3 3 2 2 3" xfId="12528" xr:uid="{AE908655-CCCD-46DE-B49C-AA9415EF731E}"/>
    <cellStyle name="Comma 17 3 3 3 2 2 3 2" xfId="12529" xr:uid="{0C404F56-D252-428C-9F59-2DA315D3D21C}"/>
    <cellStyle name="Comma 17 3 3 3 2 2 3 2 2" xfId="12531" xr:uid="{7B1D7451-0929-4DE5-A93A-A86925F16DCF}"/>
    <cellStyle name="Comma 17 3 3 3 2 2 3 2 2 2" xfId="12532" xr:uid="{3CE2CAE1-9E7F-4AE9-BCFA-7EF5FBC00BC4}"/>
    <cellStyle name="Comma 17 3 3 3 2 2 3 2 3" xfId="12534" xr:uid="{001942BB-4607-46BC-A9CF-6F68EB17FDB7}"/>
    <cellStyle name="Comma 17 3 3 3 2 2 3 3" xfId="12535" xr:uid="{5A4560F4-16CC-41AC-82B2-0C0E39C84F51}"/>
    <cellStyle name="Comma 17 3 3 3 2 2 3 3 2" xfId="12536" xr:uid="{14CAE127-3EDC-48D9-9647-E3A53685FCFE}"/>
    <cellStyle name="Comma 17 3 3 3 2 2 3 4" xfId="12539" xr:uid="{8E7FD7ED-377F-4F66-9D53-65EACBC7E829}"/>
    <cellStyle name="Comma 17 3 3 3 2 2 4" xfId="286" xr:uid="{FA0F59AE-D89E-45E3-8FC9-15EB57AEE95B}"/>
    <cellStyle name="Comma 17 3 3 3 2 2 4 2" xfId="130" xr:uid="{A1F6E99E-30A5-4390-9B50-86C6D5305E28}"/>
    <cellStyle name="Comma 17 3 3 3 2 2 4 2 2" xfId="12540" xr:uid="{77989007-D124-4EC2-8674-F1DFA244551E}"/>
    <cellStyle name="Comma 17 3 3 3 2 2 4 3" xfId="12541" xr:uid="{D7A9FBC9-5898-40E8-94F3-8874AD11A6CC}"/>
    <cellStyle name="Comma 17 3 3 3 2 2 5" xfId="563" xr:uid="{65450ED6-2563-4F22-8C66-AFD333463C35}"/>
    <cellStyle name="Comma 17 3 3 3 2 2 5 2" xfId="4870" xr:uid="{388E1DEA-5136-4A54-B9B2-BE2A2829D4AF}"/>
    <cellStyle name="Comma 17 3 3 3 2 2 6" xfId="581" xr:uid="{D5C8F0D3-7C25-4742-AE35-C9D2A7FAFBBB}"/>
    <cellStyle name="Comma 17 3 3 3 2 2 7" xfId="593" xr:uid="{6B5FFC87-4875-46A1-AF99-FA619A93C11F}"/>
    <cellStyle name="Comma 17 3 3 3 2 3" xfId="12546" xr:uid="{017738E7-69CC-42F1-85F6-6BCA9D8182FE}"/>
    <cellStyle name="Comma 17 3 3 3 2 3 2" xfId="12551" xr:uid="{D911E39F-9BC2-467A-9C14-567C951D10E6}"/>
    <cellStyle name="Comma 17 3 3 3 2 3 2 2" xfId="12552" xr:uid="{75742CE9-4F81-4CD8-8C04-6E16E59514AA}"/>
    <cellStyle name="Comma 17 3 3 3 2 3 2 2 2" xfId="12554" xr:uid="{B63EEBD1-AA91-46FD-8D52-3EF595D04B8A}"/>
    <cellStyle name="Comma 17 3 3 3 2 3 2 2 2 2" xfId="12555" xr:uid="{F6C66B91-A863-479E-B862-DC944CCA3AC9}"/>
    <cellStyle name="Comma 17 3 3 3 2 3 2 2 3" xfId="12556" xr:uid="{3990C06D-5525-448E-B72D-E9C65794B1A1}"/>
    <cellStyle name="Comma 17 3 3 3 2 3 2 3" xfId="12557" xr:uid="{C9C338FF-79FA-451A-BB75-37A576062A5E}"/>
    <cellStyle name="Comma 17 3 3 3 2 3 2 3 2" xfId="12560" xr:uid="{BC82FC2E-48D8-406A-BA60-D695B7800D35}"/>
    <cellStyle name="Comma 17 3 3 3 2 3 2 4" xfId="12563" xr:uid="{3C6F40E2-A573-48D4-92C4-C33FFD478B6D}"/>
    <cellStyle name="Comma 17 3 3 3 2 3 3" xfId="12564" xr:uid="{75DD180D-1226-41A2-967D-0F76AE25FAE2}"/>
    <cellStyle name="Comma 17 3 3 3 2 3 3 2" xfId="12565" xr:uid="{D7A878E2-43E0-4A04-AB33-7EB98B3CE0B5}"/>
    <cellStyle name="Comma 17 3 3 3 2 3 3 2 2" xfId="12566" xr:uid="{9E25676E-27C7-474E-AA06-C6BC89F473E2}"/>
    <cellStyle name="Comma 17 3 3 3 2 3 3 3" xfId="12567" xr:uid="{E12E0555-0DF0-4434-9012-E91A59B17E51}"/>
    <cellStyle name="Comma 17 3 3 3 2 3 4" xfId="12568" xr:uid="{54639EDB-8AD0-4903-A00A-FA374A87CAD1}"/>
    <cellStyle name="Comma 17 3 3 3 2 3 4 2" xfId="670" xr:uid="{51773358-154A-4870-A378-3F74812D6E3C}"/>
    <cellStyle name="Comma 17 3 3 3 2 3 5" xfId="4882" xr:uid="{7BA9EC83-2692-41BF-8AF3-AA75D80677B6}"/>
    <cellStyle name="Comma 17 3 3 3 2 4" xfId="12573" xr:uid="{3E9D8A11-0BF2-490D-8AFB-55B05CE9466B}"/>
    <cellStyle name="Comma 17 3 3 3 2 4 2" xfId="12578" xr:uid="{57FFC542-15B3-48B2-A6ED-CEBC8C804A6D}"/>
    <cellStyle name="Comma 17 3 3 3 2 4 2 2" xfId="12579" xr:uid="{A11D365E-FD11-41F2-8FCA-0C6217FE6D1C}"/>
    <cellStyle name="Comma 17 3 3 3 2 4 2 2 2" xfId="12580" xr:uid="{E77308CB-DDF8-4AD2-9860-AA9FD2DF2A6B}"/>
    <cellStyle name="Comma 17 3 3 3 2 4 2 3" xfId="12582" xr:uid="{7F6DB94F-B224-4AB0-87F7-1EA43C7DD3AD}"/>
    <cellStyle name="Comma 17 3 3 3 2 4 3" xfId="12583" xr:uid="{0330F833-47CE-4EC4-9D2F-196F916BD5F8}"/>
    <cellStyle name="Comma 17 3 3 3 2 4 3 2" xfId="12584" xr:uid="{AD9D5B47-5E06-4D35-84EF-B1A2BAF43414}"/>
    <cellStyle name="Comma 17 3 3 3 2 4 4" xfId="12585" xr:uid="{32C80F3D-F9C5-4F8F-BB6B-F9B1236E4BF0}"/>
    <cellStyle name="Comma 17 3 3 3 2 5" xfId="12590" xr:uid="{4ABBB4EC-F321-440B-966E-6F1D8B7F6BF8}"/>
    <cellStyle name="Comma 17 3 3 3 2 5 2" xfId="2145" xr:uid="{84817F40-0C06-45A4-95F6-A007AFFF5C17}"/>
    <cellStyle name="Comma 17 3 3 3 2 5 2 2" xfId="2149" xr:uid="{AFC7705D-C0A8-4A29-954C-5E96931190EF}"/>
    <cellStyle name="Comma 17 3 3 3 2 5 3" xfId="2158" xr:uid="{998EF0C7-34CC-46E8-84FF-493BBB9B7DE5}"/>
    <cellStyle name="Comma 17 3 3 3 2 6" xfId="967" xr:uid="{E937E4F1-02DB-4395-8DAE-960897FA6CFC}"/>
    <cellStyle name="Comma 17 3 3 3 2 6 2" xfId="1169" xr:uid="{F9990EFE-F126-450B-8B7E-49C2A96A1D74}"/>
    <cellStyle name="Comma 17 3 3 3 2 7" xfId="978" xr:uid="{2D796E8A-22F7-4565-BCE4-EADE98A12D59}"/>
    <cellStyle name="Comma 17 3 3 3 2 8" xfId="12598" xr:uid="{CE497B4C-752F-46D9-ABC1-3417CCE823E9}"/>
    <cellStyle name="Comma 17 3 3 3 3" xfId="10739" xr:uid="{3B6286E8-4D1A-41ED-ABBA-B91160C86985}"/>
    <cellStyle name="Comma 17 3 3 3 3 2" xfId="12601" xr:uid="{AA5132FA-E66B-4BF0-990D-8F8141695C80}"/>
    <cellStyle name="Comma 17 3 3 3 3 2 2" xfId="427" xr:uid="{5BA254FA-9E47-4578-9582-2A608823F1DF}"/>
    <cellStyle name="Comma 17 3 3 3 3 2 2 2" xfId="3890" xr:uid="{13C33043-E68D-4929-896A-D58971F32D62}"/>
    <cellStyle name="Comma 17 3 3 3 3 2 2 2 2" xfId="7472" xr:uid="{3FDB88E6-528B-48B3-AF98-FE36E619DC42}"/>
    <cellStyle name="Comma 17 3 3 3 3 2 2 2 2 2" xfId="12604" xr:uid="{DCCFB599-1EAF-4877-9661-D599453B6FD4}"/>
    <cellStyle name="Comma 17 3 3 3 3 2 2 2 3" xfId="12608" xr:uid="{DA635E90-2979-4208-AA7E-20BFE7DEFFB6}"/>
    <cellStyle name="Comma 17 3 3 3 3 2 2 3" xfId="7476" xr:uid="{FFFBDD71-A69F-4B3B-BD26-4CA3FF016D70}"/>
    <cellStyle name="Comma 17 3 3 3 3 2 2 3 2" xfId="12611" xr:uid="{EF7682AC-3EDF-48EE-9E66-892A2840CACA}"/>
    <cellStyle name="Comma 17 3 3 3 3 2 2 4" xfId="12616" xr:uid="{D28D83F0-33E4-4BAE-9F81-12B7D1CE492C}"/>
    <cellStyle name="Comma 17 3 3 3 3 2 3" xfId="445" xr:uid="{78B5635E-B7B6-4B97-8B03-6B3E643DDFBD}"/>
    <cellStyle name="Comma 17 3 3 3 3 2 3 2" xfId="3499" xr:uid="{100812F1-1604-4A09-8D19-B5A9AF22DA65}"/>
    <cellStyle name="Comma 17 3 3 3 3 2 3 2 2" xfId="12620" xr:uid="{94D54932-CD17-47CA-B522-57ED650A94E2}"/>
    <cellStyle name="Comma 17 3 3 3 3 2 3 3" xfId="12623" xr:uid="{B5385DE1-7631-4620-AAF2-66562A65D8FE}"/>
    <cellStyle name="Comma 17 3 3 3 3 2 4" xfId="12628" xr:uid="{5373ED04-3319-4641-B6A5-2E2ADBB5908F}"/>
    <cellStyle name="Comma 17 3 3 3 3 2 4 2" xfId="12634" xr:uid="{83355D49-1794-47EF-A126-24456DC2F40E}"/>
    <cellStyle name="Comma 17 3 3 3 3 2 5" xfId="836" xr:uid="{7A7FC830-E19E-4CAC-91CF-E4124753F158}"/>
    <cellStyle name="Comma 17 3 3 3 3 3" xfId="12637" xr:uid="{06317E78-D1BA-4E5C-9912-72C9BCF675E3}"/>
    <cellStyle name="Comma 17 3 3 3 3 3 2" xfId="1568" xr:uid="{F02D13C9-9ADE-4FDA-AB0B-7B7BAA304A6B}"/>
    <cellStyle name="Comma 17 3 3 3 3 3 2 2" xfId="7551" xr:uid="{B3342FDC-73AE-43AA-AD42-34943DC12F00}"/>
    <cellStyle name="Comma 17 3 3 3 3 3 2 2 2" xfId="10485" xr:uid="{B65BCC5B-DEE4-44BC-A769-846774AF2399}"/>
    <cellStyle name="Comma 17 3 3 3 3 3 2 3" xfId="12639" xr:uid="{8229CE9E-1CD0-4A7B-B7E6-CB7216E060FE}"/>
    <cellStyle name="Comma 17 3 3 3 3 3 3" xfId="1573" xr:uid="{0524F0EC-881D-498D-B915-C3609FE04B48}"/>
    <cellStyle name="Comma 17 3 3 3 3 3 3 2" xfId="12642" xr:uid="{A3387314-D14F-44F0-A563-A8CDED8D0324}"/>
    <cellStyle name="Comma 17 3 3 3 3 3 4" xfId="12646" xr:uid="{3F1B1ACF-8188-4D14-8E4F-1C758FFC5F05}"/>
    <cellStyle name="Comma 17 3 3 3 3 4" xfId="12651" xr:uid="{AB423360-BE61-4CB2-93A1-B32AE44578B2}"/>
    <cellStyle name="Comma 17 3 3 3 3 4 2" xfId="1597" xr:uid="{B4FF4E42-483E-4D4C-AAB4-DF4DDB861ADA}"/>
    <cellStyle name="Comma 17 3 3 3 3 4 2 2" xfId="12655" xr:uid="{E6A66DC4-5486-45E8-9B71-30C20E46DD75}"/>
    <cellStyle name="Comma 17 3 3 3 3 4 3" xfId="1602" xr:uid="{62EAC1B8-8CFC-430A-91C2-E84EE9D2C51D}"/>
    <cellStyle name="Comma 17 3 3 3 3 5" xfId="12662" xr:uid="{404A00ED-3E58-4076-9FA3-EAF9349838BC}"/>
    <cellStyle name="Comma 17 3 3 3 3 5 2" xfId="1639" xr:uid="{9D845B12-002B-4D23-92CF-08D31DDCF148}"/>
    <cellStyle name="Comma 17 3 3 3 3 6" xfId="8309" xr:uid="{A76E425E-B5CE-45D6-A031-9F0A1BE37DB6}"/>
    <cellStyle name="Comma 17 3 3 3 3 7" xfId="12667" xr:uid="{B83DD932-FEC3-45C9-A0CC-03C7CC6BF2A2}"/>
    <cellStyle name="Comma 17 3 3 3 4" xfId="12668" xr:uid="{168B2F64-FF83-420C-B70A-75B26D2DB8CA}"/>
    <cellStyle name="Comma 17 3 3 3 4 2" xfId="12669" xr:uid="{80B362E4-A731-4C9D-8CA9-26E2E41A2AD8}"/>
    <cellStyle name="Comma 17 3 3 3 4 2 2" xfId="12670" xr:uid="{714E3DCE-8549-4242-A4A5-79EBB6200E29}"/>
    <cellStyle name="Comma 17 3 3 3 4 2 2 2" xfId="7701" xr:uid="{95118AF6-DE1D-4243-A994-BE52D9C40E23}"/>
    <cellStyle name="Comma 17 3 3 3 4 2 2 2 2" xfId="12677" xr:uid="{043CA73E-B057-441B-9123-42A915DB391D}"/>
    <cellStyle name="Comma 17 3 3 3 4 2 2 3" xfId="12680" xr:uid="{8BCE9649-2A17-4AAD-BB48-1A7CCBC19485}"/>
    <cellStyle name="Comma 17 3 3 3 4 2 3" xfId="10442" xr:uid="{25B61F5E-9B0A-49D4-A38F-D721793AA075}"/>
    <cellStyle name="Comma 17 3 3 3 4 2 3 2" xfId="10446" xr:uid="{97BF551D-5DED-47B6-BAE5-0042C8C1CAD1}"/>
    <cellStyle name="Comma 17 3 3 3 4 2 4" xfId="10463" xr:uid="{717F6E4C-DFF6-409A-9343-792FDA495B78}"/>
    <cellStyle name="Comma 17 3 3 3 4 3" xfId="12681" xr:uid="{4EF3DB46-EB8E-43C2-A747-82BAB7D48C24}"/>
    <cellStyle name="Comma 17 3 3 3 4 3 2" xfId="12682" xr:uid="{F13B47E6-528F-46E3-A8D8-88549A0FCE27}"/>
    <cellStyle name="Comma 17 3 3 3 4 3 2 2" xfId="12685" xr:uid="{79B24F41-50CA-43A5-B651-70327F584AFB}"/>
    <cellStyle name="Comma 17 3 3 3 4 3 3" xfId="3430" xr:uid="{963F8790-90FD-405C-AA7D-37D2A7B9223D}"/>
    <cellStyle name="Comma 17 3 3 3 4 4" xfId="12688" xr:uid="{1E79FF81-3E33-4140-8A91-286FBF29F68C}"/>
    <cellStyle name="Comma 17 3 3 3 4 4 2" xfId="12691" xr:uid="{45AE6AE7-3784-4FD5-A642-CC6742A6482A}"/>
    <cellStyle name="Comma 17 3 3 3 4 5" xfId="12695" xr:uid="{A8DA7231-9C31-40A7-A35C-F717640ED01D}"/>
    <cellStyle name="Comma 17 3 3 3 5" xfId="12696" xr:uid="{95F29773-3139-4E1B-B7E8-98BFA68FE964}"/>
    <cellStyle name="Comma 17 3 3 3 5 2" xfId="12697" xr:uid="{5A8E1AC0-E975-4DEE-9364-36930CE17B4C}"/>
    <cellStyle name="Comma 17 3 3 3 5 2 2" xfId="12698" xr:uid="{DAF3FAE3-D70B-4AE4-96E3-3C2EDF49BA68}"/>
    <cellStyle name="Comma 17 3 3 3 5 2 2 2" xfId="12701" xr:uid="{2CD57EFC-43B7-4267-A715-0899A35FD19D}"/>
    <cellStyle name="Comma 17 3 3 3 5 2 3" xfId="10528" xr:uid="{CD9DEC1C-F363-4C39-880B-9A2FD0E7952B}"/>
    <cellStyle name="Comma 17 3 3 3 5 3" xfId="12702" xr:uid="{CC317B57-E5B5-467E-BF7A-CBF100ABFD07}"/>
    <cellStyle name="Comma 17 3 3 3 5 3 2" xfId="12703" xr:uid="{9118D880-4335-4A32-B63F-E0C004F1F268}"/>
    <cellStyle name="Comma 17 3 3 3 5 4" xfId="12706" xr:uid="{407DDC63-0865-4231-A2A2-80AAB5E67938}"/>
    <cellStyle name="Comma 17 3 3 3 6" xfId="12707" xr:uid="{064B4446-AE57-40CE-9038-A853EAB268C0}"/>
    <cellStyle name="Comma 17 3 3 3 6 2" xfId="12709" xr:uid="{5616EF6B-DFDE-46B7-A795-2C33DA5510DD}"/>
    <cellStyle name="Comma 17 3 3 3 6 2 2" xfId="12711" xr:uid="{56AFCBE4-8410-446C-802E-2F74F0B8A269}"/>
    <cellStyle name="Comma 17 3 3 3 6 3" xfId="12713" xr:uid="{27A68080-3A13-4664-BA46-856972DAB31A}"/>
    <cellStyle name="Comma 17 3 3 3 7" xfId="12717" xr:uid="{C97B7BAD-F8C2-4E50-A25B-CCB8F5EEE1DE}"/>
    <cellStyle name="Comma 17 3 3 3 7 2" xfId="12721" xr:uid="{4A8D124C-5133-411A-898E-669C3F1A7D44}"/>
    <cellStyle name="Comma 17 3 3 3 8" xfId="12725" xr:uid="{20BC103B-4603-404C-AF50-7C419FB429FB}"/>
    <cellStyle name="Comma 17 3 3 3 9" xfId="12727" xr:uid="{453160CF-17AA-4A51-8635-17D01D3D2625}"/>
    <cellStyle name="Comma 17 3 3 4" xfId="12730" xr:uid="{41DA1AC5-4718-41A0-AD15-D45A6538258B}"/>
    <cellStyle name="Comma 17 3 3 4 2" xfId="12731" xr:uid="{3F8F05BB-45C6-41F2-864C-620026C5F10B}"/>
    <cellStyle name="Comma 17 3 3 4 2 2" xfId="12734" xr:uid="{8CC2871D-14F6-4ED1-A39F-16419FF95E95}"/>
    <cellStyle name="Comma 17 3 3 4 2 2 2" xfId="12735" xr:uid="{2BD622E0-82EC-4F3E-AE9A-F2F84EC834C6}"/>
    <cellStyle name="Comma 17 3 3 4 2 2 2 2" xfId="12736" xr:uid="{265A182B-7BF3-4E3D-9B0A-ABEB4917B4FD}"/>
    <cellStyle name="Comma 17 3 3 4 2 2 2 2 2" xfId="12738" xr:uid="{7895D2CD-7463-491C-ABB4-9A367D086024}"/>
    <cellStyle name="Comma 17 3 3 4 2 2 2 2 2 2" xfId="12739" xr:uid="{4C0DBA4A-6BE9-47CF-BD32-8F925C8DE9B1}"/>
    <cellStyle name="Comma 17 3 3 4 2 2 2 2 3" xfId="12740" xr:uid="{9E086121-7088-4351-8CE6-B0A24314D1B0}"/>
    <cellStyle name="Comma 17 3 3 4 2 2 2 3" xfId="12742" xr:uid="{2F8282B2-42A4-45FC-BF91-D50A90019600}"/>
    <cellStyle name="Comma 17 3 3 4 2 2 2 3 2" xfId="12744" xr:uid="{4983B15E-4DCB-4CE4-B3ED-033328E1B9C0}"/>
    <cellStyle name="Comma 17 3 3 4 2 2 2 4" xfId="12748" xr:uid="{245A069D-E3E6-4B5D-954D-759DF899AC43}"/>
    <cellStyle name="Comma 17 3 3 4 2 2 3" xfId="12749" xr:uid="{A1D5BEC8-827E-4EA6-8E69-A04740DF939B}"/>
    <cellStyle name="Comma 17 3 3 4 2 2 3 2" xfId="12750" xr:uid="{C9884C39-B896-4ED1-8223-8872756A5993}"/>
    <cellStyle name="Comma 17 3 3 4 2 2 3 2 2" xfId="12751" xr:uid="{3D9C3FFD-98AA-43E2-B620-9B7DB387A047}"/>
    <cellStyle name="Comma 17 3 3 4 2 2 3 3" xfId="12753" xr:uid="{F431692D-2E4C-48A5-968F-BB5CA3C9DACC}"/>
    <cellStyle name="Comma 17 3 3 4 2 2 4" xfId="12754" xr:uid="{3B9FF580-B365-467B-92FF-8AA2670F0175}"/>
    <cellStyle name="Comma 17 3 3 4 2 2 4 2" xfId="12755" xr:uid="{84003443-C4F4-4313-A9CD-149CA5E2BA81}"/>
    <cellStyle name="Comma 17 3 3 4 2 2 5" xfId="2639" xr:uid="{FCE972D7-836D-4E94-B9F5-74D946F28340}"/>
    <cellStyle name="Comma 17 3 3 4 2 3" xfId="12758" xr:uid="{D1911E93-3F07-4AEE-9C5D-DE14C42531DE}"/>
    <cellStyle name="Comma 17 3 3 4 2 3 2" xfId="12759" xr:uid="{3C30C0DD-016C-4231-A57C-4FC62EE27775}"/>
    <cellStyle name="Comma 17 3 3 4 2 3 2 2" xfId="12760" xr:uid="{FB6F1F8D-2E98-4356-AD73-8E7767550B5C}"/>
    <cellStyle name="Comma 17 3 3 4 2 3 2 2 2" xfId="12763" xr:uid="{7A995697-5F20-4A79-9C4A-92D6BA956571}"/>
    <cellStyle name="Comma 17 3 3 4 2 3 2 3" xfId="12767" xr:uid="{841E5F7B-91A3-4A54-AE2B-54A2A7169B3E}"/>
    <cellStyle name="Comma 17 3 3 4 2 3 3" xfId="12768" xr:uid="{D94F4C3B-DB7F-46F7-9C03-F3B8A6FFD30B}"/>
    <cellStyle name="Comma 17 3 3 4 2 3 3 2" xfId="12769" xr:uid="{CAA444BB-285C-4A40-98FC-A8D5FD1831D1}"/>
    <cellStyle name="Comma 17 3 3 4 2 3 4" xfId="12770" xr:uid="{C8BD0DA1-E6BE-4446-9D4C-93B0247B3FC1}"/>
    <cellStyle name="Comma 17 3 3 4 2 4" xfId="12773" xr:uid="{32799D74-5BFD-4600-A588-37D41B30812A}"/>
    <cellStyle name="Comma 17 3 3 4 2 4 2" xfId="12774" xr:uid="{8538AED6-6287-4328-BB44-4E065574C19B}"/>
    <cellStyle name="Comma 17 3 3 4 2 4 2 2" xfId="12775" xr:uid="{EB33B76D-3136-4B59-8734-9673F6CFB072}"/>
    <cellStyle name="Comma 17 3 3 4 2 4 3" xfId="12776" xr:uid="{91A7EF06-AB01-4CD2-A18C-FE89E77AF076}"/>
    <cellStyle name="Comma 17 3 3 4 2 5" xfId="12779" xr:uid="{854B63EE-8A3F-47CA-9C0C-C5D56FC48A93}"/>
    <cellStyle name="Comma 17 3 3 4 2 5 2" xfId="12780" xr:uid="{3B2B4C41-5FA8-41C7-B6B1-976AC4AF53F3}"/>
    <cellStyle name="Comma 17 3 3 4 2 6" xfId="1074" xr:uid="{49C05CE1-1F50-47BF-9ADE-4AE129CABE97}"/>
    <cellStyle name="Comma 17 3 3 4 2 7" xfId="12784" xr:uid="{1E1E01BB-4106-4054-93B4-EBBC58CE9D9E}"/>
    <cellStyle name="Comma 17 3 3 4 3" xfId="9000" xr:uid="{9C321D32-216F-4BC0-8E7C-54D1E7C01B4C}"/>
    <cellStyle name="Comma 17 3 3 4 3 2" xfId="12786" xr:uid="{23A232EF-00E5-409E-8F90-07A0BA557405}"/>
    <cellStyle name="Comma 17 3 3 4 3 2 2" xfId="12788" xr:uid="{E04D6220-ABC9-4796-BC89-570E881B5644}"/>
    <cellStyle name="Comma 17 3 3 4 3 2 2 2" xfId="8034" xr:uid="{CC6D0C80-D5F2-4D45-A6A0-AE5AC30B3F2F}"/>
    <cellStyle name="Comma 17 3 3 4 3 2 2 2 2" xfId="12789" xr:uid="{62B62629-3B4F-450A-BD22-4A34C0ADEB28}"/>
    <cellStyle name="Comma 17 3 3 4 3 2 2 3" xfId="12791" xr:uid="{A8CB8793-9B87-40EB-B81C-291D4C84355B}"/>
    <cellStyle name="Comma 17 3 3 4 3 2 3" xfId="12792" xr:uid="{0F3B514A-C792-4ED1-B060-1D07F9F08C68}"/>
    <cellStyle name="Comma 17 3 3 4 3 2 3 2" xfId="12793" xr:uid="{3A29749D-F034-4BFE-B5C8-C866D6985458}"/>
    <cellStyle name="Comma 17 3 3 4 3 2 4" xfId="12796" xr:uid="{0214BF2E-7000-4DD8-A6EF-2C18C0A61FB4}"/>
    <cellStyle name="Comma 17 3 3 4 3 3" xfId="12798" xr:uid="{22A86686-6280-412C-81FD-E90DCA99F8E0}"/>
    <cellStyle name="Comma 17 3 3 4 3 3 2" xfId="12799" xr:uid="{EB719578-B8C7-428E-85A1-B21F3C47C47A}"/>
    <cellStyle name="Comma 17 3 3 4 3 3 2 2" xfId="12800" xr:uid="{9B626EF4-ADEC-4117-BD94-5C1E613E44C7}"/>
    <cellStyle name="Comma 17 3 3 4 3 3 3" xfId="12801" xr:uid="{4509C8EF-DABE-4212-8DDC-846BCF32536A}"/>
    <cellStyle name="Comma 17 3 3 4 3 4" xfId="12804" xr:uid="{9DF405BD-6E8A-492B-8FEC-15068B09B319}"/>
    <cellStyle name="Comma 17 3 3 4 3 4 2" xfId="12808" xr:uid="{7056518B-945F-476C-A4DC-A64DDF2A4E0A}"/>
    <cellStyle name="Comma 17 3 3 4 3 5" xfId="12812" xr:uid="{B3080FA4-CCCB-4279-9F83-B042A96569DD}"/>
    <cellStyle name="Comma 17 3 3 4 4" xfId="12813" xr:uid="{7E07645C-09C1-4EA8-8187-DB1DB9F45D73}"/>
    <cellStyle name="Comma 17 3 3 4 4 2" xfId="12815" xr:uid="{DA179B24-9CC8-4C87-B8A7-296816A5B766}"/>
    <cellStyle name="Comma 17 3 3 4 4 2 2" xfId="12816" xr:uid="{11FCDCFF-8174-45A2-8E46-B1A737B20784}"/>
    <cellStyle name="Comma 17 3 3 4 4 2 2 2" xfId="12819" xr:uid="{19577DAE-C7A4-4987-82E5-B4BE3716E7C2}"/>
    <cellStyle name="Comma 17 3 3 4 4 2 3" xfId="1944" xr:uid="{144F4A1B-6488-4013-9649-07621C0DCE36}"/>
    <cellStyle name="Comma 17 3 3 4 4 3" xfId="12820" xr:uid="{4C3A2570-9359-4DEB-8996-0599C6BF6216}"/>
    <cellStyle name="Comma 17 3 3 4 4 3 2" xfId="12821" xr:uid="{19F5FB64-67E3-4997-955D-66613C20352E}"/>
    <cellStyle name="Comma 17 3 3 4 4 4" xfId="12824" xr:uid="{309F1089-43D9-440F-A35B-936E1292B3BA}"/>
    <cellStyle name="Comma 17 3 3 4 5" xfId="12825" xr:uid="{8A6520BF-5E85-4219-AA15-A80C9855F613}"/>
    <cellStyle name="Comma 17 3 3 4 5 2" xfId="12826" xr:uid="{AB538B9F-F4B8-44FD-A4C6-886E246A338B}"/>
    <cellStyle name="Comma 17 3 3 4 5 2 2" xfId="12827" xr:uid="{716ED254-B62C-486B-BE18-9C8A51C4F42E}"/>
    <cellStyle name="Comma 17 3 3 4 5 3" xfId="12828" xr:uid="{D72C9346-186B-4678-91E1-C92D8DAAFED9}"/>
    <cellStyle name="Comma 17 3 3 4 6" xfId="12829" xr:uid="{0946DA23-D423-4597-BDF2-BB4C7744F7AE}"/>
    <cellStyle name="Comma 17 3 3 4 6 2" xfId="12831" xr:uid="{577077BD-7755-40D9-A215-BD17C6BD39AA}"/>
    <cellStyle name="Comma 17 3 3 4 7" xfId="12835" xr:uid="{978039B7-0EAE-4086-9EB5-4E7434BEC3C2}"/>
    <cellStyle name="Comma 17 3 3 4 8" xfId="12839" xr:uid="{B790BD24-3C08-4901-9F14-1F9735EF28A2}"/>
    <cellStyle name="Comma 17 3 3 5" xfId="12843" xr:uid="{C52702C8-AB0E-4D8D-BC36-8569DF01A6A2}"/>
    <cellStyle name="Comma 17 3 3 5 2" xfId="12844" xr:uid="{A904BE52-E7C3-4241-B6EB-D3B4CA110477}"/>
    <cellStyle name="Comma 17 3 3 5 2 2" xfId="12845" xr:uid="{2555C939-FFC3-44C9-9015-5F0125FABDE0}"/>
    <cellStyle name="Comma 17 3 3 5 2 2 2" xfId="12846" xr:uid="{80DB0F26-8930-41A8-B003-FDB9F5A807A3}"/>
    <cellStyle name="Comma 17 3 3 5 2 2 2 2" xfId="12847" xr:uid="{032AE605-7AF5-4AB2-9596-9C01081A1647}"/>
    <cellStyle name="Comma 17 3 3 5 2 2 2 2 2" xfId="12848" xr:uid="{CEB1269B-F722-4CF5-BD16-BC9EBFF47C68}"/>
    <cellStyle name="Comma 17 3 3 5 2 2 2 3" xfId="12850" xr:uid="{B81D089F-BE4D-4AF0-9A0E-AF3BF420BB7E}"/>
    <cellStyle name="Comma 17 3 3 5 2 2 3" xfId="12851" xr:uid="{D5826806-7922-46C0-9774-9877F416EB5D}"/>
    <cellStyle name="Comma 17 3 3 5 2 2 3 2" xfId="12854" xr:uid="{4537F03C-BDC8-4910-A3DA-390E79B2EC85}"/>
    <cellStyle name="Comma 17 3 3 5 2 2 4" xfId="12855" xr:uid="{CBE44DE6-C116-4D9D-8B9F-C61BF2EA3967}"/>
    <cellStyle name="Comma 17 3 3 5 2 3" xfId="12857" xr:uid="{86CD4145-0877-45BF-93EA-B0ED1C3B7396}"/>
    <cellStyle name="Comma 17 3 3 5 2 3 2" xfId="12859" xr:uid="{C82D38AA-29C5-4A6C-834F-AD4B198A84D6}"/>
    <cellStyle name="Comma 17 3 3 5 2 3 2 2" xfId="12860" xr:uid="{9B6F43CC-8FC8-464C-BEEB-094E866BE4C9}"/>
    <cellStyle name="Comma 17 3 3 5 2 3 3" xfId="12863" xr:uid="{56BC30D2-1F24-474D-956A-7EC505F0D3EA}"/>
    <cellStyle name="Comma 17 3 3 5 2 4" xfId="12864" xr:uid="{150957E4-D448-46A7-A546-527A514F5B3F}"/>
    <cellStyle name="Comma 17 3 3 5 2 4 2" xfId="12867" xr:uid="{13DE3B1D-779E-4CB7-BF58-2EC182EC6BD3}"/>
    <cellStyle name="Comma 17 3 3 5 2 5" xfId="12868" xr:uid="{1F11F01A-6BD4-4073-B2DD-FB8C39EBE694}"/>
    <cellStyle name="Comma 17 3 3 5 3" xfId="12869" xr:uid="{C148A93B-660A-42CA-AE02-A6DD77272527}"/>
    <cellStyle name="Comma 17 3 3 5 3 2" xfId="12871" xr:uid="{47BAB036-6165-4DDF-A337-E7CB52C06A96}"/>
    <cellStyle name="Comma 17 3 3 5 3 2 2" xfId="12872" xr:uid="{4F764BB0-E876-4C88-90E8-543F5A1541B3}"/>
    <cellStyle name="Comma 17 3 3 5 3 2 2 2" xfId="12873" xr:uid="{F116CCF6-65C5-46D3-BE19-159D65EFDD4E}"/>
    <cellStyle name="Comma 17 3 3 5 3 2 3" xfId="12874" xr:uid="{CE3151F0-74D4-42BE-AC36-3FA16818C310}"/>
    <cellStyle name="Comma 17 3 3 5 3 3" xfId="12875" xr:uid="{68349006-8A75-4DB0-90BF-20E15DD23ACE}"/>
    <cellStyle name="Comma 17 3 3 5 3 3 2" xfId="12877" xr:uid="{CFEDB3E9-3D2B-4B30-8562-C7DE936861D0}"/>
    <cellStyle name="Comma 17 3 3 5 3 4" xfId="12880" xr:uid="{20BE65A5-1DA7-4A29-8655-CAEE210EEED7}"/>
    <cellStyle name="Comma 17 3 3 5 4" xfId="12881" xr:uid="{96C012A9-F37F-4CBD-8E2B-638D2B696EF6}"/>
    <cellStyle name="Comma 17 3 3 5 4 2" xfId="12882" xr:uid="{36B76948-64F4-4C45-A638-BDF664ECC0D3}"/>
    <cellStyle name="Comma 17 3 3 5 4 2 2" xfId="12883" xr:uid="{2117E22E-509A-4E36-B12B-2A56C9E3C359}"/>
    <cellStyle name="Comma 17 3 3 5 4 3" xfId="12884" xr:uid="{835D5AD9-BD5A-418F-AEF4-252B4CF4014F}"/>
    <cellStyle name="Comma 17 3 3 5 5" xfId="12885" xr:uid="{C8E8B361-F470-419A-8ABB-D85DD1E073F1}"/>
    <cellStyle name="Comma 17 3 3 5 5 2" xfId="12887" xr:uid="{D2E102D1-811D-434E-B5CC-11872D569852}"/>
    <cellStyle name="Comma 17 3 3 5 6" xfId="12888" xr:uid="{06DF9696-57B6-40A5-A147-4930128286AB}"/>
    <cellStyle name="Comma 17 3 3 5 7" xfId="12892" xr:uid="{2B1D3C04-65AF-498A-BE27-EA2E744D8D74}"/>
    <cellStyle name="Comma 17 3 3 6" xfId="12894" xr:uid="{ACC92832-3185-4CB1-B89A-874F5346C61E}"/>
    <cellStyle name="Comma 17 3 3 6 2" xfId="12896" xr:uid="{BEA16591-A6D2-4E51-8887-C268BD6CFDDA}"/>
    <cellStyle name="Comma 17 3 3 6 2 2" xfId="12898" xr:uid="{AEEF0D46-6210-4D52-95EC-5335A4655BAF}"/>
    <cellStyle name="Comma 17 3 3 6 2 2 2" xfId="186" xr:uid="{DFE20C5E-16F4-48CF-8D9A-CB32CA732DEA}"/>
    <cellStyle name="Comma 17 3 3 6 2 2 2 2" xfId="1480" xr:uid="{94ACE802-D005-4EE9-BA2B-B865B287521D}"/>
    <cellStyle name="Comma 17 3 3 6 2 2 3" xfId="197" xr:uid="{B7CDBAAF-E0B6-4102-8681-9642C9551383}"/>
    <cellStyle name="Comma 17 3 3 6 2 3" xfId="12900" xr:uid="{4056BC6A-92A1-451E-9185-47890E341D59}"/>
    <cellStyle name="Comma 17 3 3 6 2 3 2" xfId="12902" xr:uid="{C23144FB-AD70-43E9-AECB-E8F64C51DB89}"/>
    <cellStyle name="Comma 17 3 3 6 2 4" xfId="12905" xr:uid="{BF605E15-604F-4845-BD1C-9A39DBBB1EEC}"/>
    <cellStyle name="Comma 17 3 3 6 3" xfId="12907" xr:uid="{980C65D5-5D67-4F02-AF11-7076C5B0D4FE}"/>
    <cellStyle name="Comma 17 3 3 6 3 2" xfId="12909" xr:uid="{9F17966A-A734-4264-B35B-E677AB788215}"/>
    <cellStyle name="Comma 17 3 3 6 3 2 2" xfId="12911" xr:uid="{49CF5659-E3AE-4A1A-9DFD-6827F1183623}"/>
    <cellStyle name="Comma 17 3 3 6 3 3" xfId="12913" xr:uid="{F030C5D2-ABC6-463A-9EDC-6E87D58FB9DF}"/>
    <cellStyle name="Comma 17 3 3 6 4" xfId="12917" xr:uid="{1F9F952F-9A80-4BE3-8DE1-93BA668A2286}"/>
    <cellStyle name="Comma 17 3 3 6 4 2" xfId="12921" xr:uid="{8B97606E-64FC-4C58-A079-0FD3D2A457BD}"/>
    <cellStyle name="Comma 17 3 3 6 5" xfId="12925" xr:uid="{3DA8076C-7AA7-4675-B562-7FC6DFB7CB2D}"/>
    <cellStyle name="Comma 17 3 3 7" xfId="12926" xr:uid="{995C0D4E-0289-4CFA-90F7-B1E8CB17C4C7}"/>
    <cellStyle name="Comma 17 3 3 7 2" xfId="12928" xr:uid="{EC55C59D-8B34-432F-A256-CC2CF85EA9C2}"/>
    <cellStyle name="Comma 17 3 3 7 2 2" xfId="12931" xr:uid="{B4235F61-294B-418F-ABF8-1390FFDC717A}"/>
    <cellStyle name="Comma 17 3 3 7 2 2 2" xfId="12933" xr:uid="{E5BA0CC3-77BE-45B6-8A07-53B189398F0F}"/>
    <cellStyle name="Comma 17 3 3 7 2 3" xfId="12936" xr:uid="{3ABFED61-556F-45A5-81CA-88B7D1787EA1}"/>
    <cellStyle name="Comma 17 3 3 7 3" xfId="12939" xr:uid="{2ED4AA49-5AC7-4CDD-9231-FFE5D50348FB}"/>
    <cellStyle name="Comma 17 3 3 7 3 2" xfId="12942" xr:uid="{F756AB4B-E20E-43D6-9E6C-ABD7F6596D13}"/>
    <cellStyle name="Comma 17 3 3 7 4" xfId="12947" xr:uid="{7B2374C6-2358-4978-ACCE-972D9D368E23}"/>
    <cellStyle name="Comma 17 3 3 8" xfId="12948" xr:uid="{E5392B0F-0638-45E6-A08F-4CCF85E6BE95}"/>
    <cellStyle name="Comma 17 3 3 8 2" xfId="12950" xr:uid="{7AEC5515-7CDF-4B1F-9B2D-1431FA4A9DB8}"/>
    <cellStyle name="Comma 17 3 3 8 2 2" xfId="1403" xr:uid="{1D332E00-5105-4426-AE04-A5BD6CC743BA}"/>
    <cellStyle name="Comma 17 3 3 8 3" xfId="12953" xr:uid="{ED3431C3-39BA-460E-AB72-B6B15CFD1266}"/>
    <cellStyle name="Comma 17 3 3 9" xfId="12954" xr:uid="{6F4148DD-52FB-417E-8D33-50B82A121C1E}"/>
    <cellStyle name="Comma 17 3 3 9 2" xfId="12956" xr:uid="{F31EA806-E3B8-48D3-A22A-F334E6C4BD1A}"/>
    <cellStyle name="Comma 17 3 4" xfId="12958" xr:uid="{9EDFCD4F-5B23-49CE-8D9C-0C7A519FA8CB}"/>
    <cellStyle name="Comma 17 3 4 10" xfId="12961" xr:uid="{BC760700-2C81-401C-B7A3-5300070EE6DD}"/>
    <cellStyle name="Comma 17 3 4 2" xfId="12962" xr:uid="{60AB2420-4D5E-48EB-A518-96D5BA86D257}"/>
    <cellStyle name="Comma 17 3 4 2 2" xfId="12963" xr:uid="{C3FC384B-778A-4A76-8410-34EF4E02068F}"/>
    <cellStyle name="Comma 17 3 4 2 2 2" xfId="12966" xr:uid="{3B3B998C-2FD6-4E0C-B1A0-C93D7EC17B60}"/>
    <cellStyle name="Comma 17 3 4 2 2 2 2" xfId="12969" xr:uid="{8F6A6A97-3C72-47FC-845A-2B66D233C50F}"/>
    <cellStyle name="Comma 17 3 4 2 2 2 2 2" xfId="1853" xr:uid="{777D46BA-2826-428B-A8F3-92274203BDE1}"/>
    <cellStyle name="Comma 17 3 4 2 2 2 2 2 2" xfId="1868" xr:uid="{FA739BA9-F248-4DA1-9DE0-915E074DF978}"/>
    <cellStyle name="Comma 17 3 4 2 2 2 2 2 2 2" xfId="12971" xr:uid="{37C364A9-FA61-47F5-B8B5-CE6A54F89BDB}"/>
    <cellStyle name="Comma 17 3 4 2 2 2 2 2 2 2 2" xfId="12972" xr:uid="{97AE0802-C3B5-4949-B32B-206FE03DFF94}"/>
    <cellStyle name="Comma 17 3 4 2 2 2 2 2 2 3" xfId="12973" xr:uid="{0759D6C6-1D64-4273-B7A9-ED894E7A4BDA}"/>
    <cellStyle name="Comma 17 3 4 2 2 2 2 2 3" xfId="12975" xr:uid="{6B4924F4-DF58-46DD-9D71-DAC44DC67C4D}"/>
    <cellStyle name="Comma 17 3 4 2 2 2 2 2 3 2" xfId="12976" xr:uid="{4661A19C-2584-4ADB-BFB9-C6052FCB8002}"/>
    <cellStyle name="Comma 17 3 4 2 2 2 2 2 4" xfId="12977" xr:uid="{249D16C5-B71C-408C-8FEA-9E0D571B104F}"/>
    <cellStyle name="Comma 17 3 4 2 2 2 2 3" xfId="1874" xr:uid="{3D9E50F7-835E-4BC9-8B94-D7AD02F271F8}"/>
    <cellStyle name="Comma 17 3 4 2 2 2 2 3 2" xfId="1882" xr:uid="{F5E5D184-A923-4F25-8F88-BBEB888CA45D}"/>
    <cellStyle name="Comma 17 3 4 2 2 2 2 3 2 2" xfId="12978" xr:uid="{E6E44AE4-A2E2-4118-9D6A-35CE4F94B352}"/>
    <cellStyle name="Comma 17 3 4 2 2 2 2 3 3" xfId="12979" xr:uid="{BE6E197D-22F8-4812-8A48-2D645E33B9DF}"/>
    <cellStyle name="Comma 17 3 4 2 2 2 2 4" xfId="1886" xr:uid="{D1B69D05-C2F3-406D-97E2-E25146EFA3CF}"/>
    <cellStyle name="Comma 17 3 4 2 2 2 2 4 2" xfId="12980" xr:uid="{F4ACBF4B-9F18-40F7-898E-BB02D0C92B9D}"/>
    <cellStyle name="Comma 17 3 4 2 2 2 2 5" xfId="12981" xr:uid="{05E80226-7E87-4ADD-9B8F-5935D86D6923}"/>
    <cellStyle name="Comma 17 3 4 2 2 2 3" xfId="12984" xr:uid="{BB186C20-D88D-40A0-8C93-265815C53444}"/>
    <cellStyle name="Comma 17 3 4 2 2 2 3 2" xfId="12987" xr:uid="{DCCB8474-AAB5-46D6-9293-3F074A6D6F6D}"/>
    <cellStyle name="Comma 17 3 4 2 2 2 3 2 2" xfId="12990" xr:uid="{09E6D670-CC1A-4179-8E85-81FCECBCA4D7}"/>
    <cellStyle name="Comma 17 3 4 2 2 2 3 2 2 2" xfId="12996" xr:uid="{EE9B3B20-577E-44D4-8E77-F5BDC733A3F5}"/>
    <cellStyle name="Comma 17 3 4 2 2 2 3 2 3" xfId="12998" xr:uid="{6238447D-7161-4391-B8AA-22692BD43C9D}"/>
    <cellStyle name="Comma 17 3 4 2 2 2 3 3" xfId="13000" xr:uid="{61BBD81A-79BB-425A-9B3F-D0FCB9ED5EA0}"/>
    <cellStyle name="Comma 17 3 4 2 2 2 3 3 2" xfId="13002" xr:uid="{2B5DE0BC-B7FF-4E96-808B-B52950239B9B}"/>
    <cellStyle name="Comma 17 3 4 2 2 2 3 4" xfId="13004" xr:uid="{6999F3A4-C3CC-46F7-AA3E-6D8C84E7D1ED}"/>
    <cellStyle name="Comma 17 3 4 2 2 2 4" xfId="3821" xr:uid="{A4E9CE2E-5663-4118-A392-F6AA0BF2157D}"/>
    <cellStyle name="Comma 17 3 4 2 2 2 4 2" xfId="13009" xr:uid="{55FF79F3-B26E-446C-A043-F49377FD688F}"/>
    <cellStyle name="Comma 17 3 4 2 2 2 4 2 2" xfId="13012" xr:uid="{C7D79554-AD03-489C-B2CD-62EBB1B78B98}"/>
    <cellStyle name="Comma 17 3 4 2 2 2 4 3" xfId="13018" xr:uid="{F1AE5104-1E8E-4512-AC19-9B5BADF9E218}"/>
    <cellStyle name="Comma 17 3 4 2 2 2 5" xfId="3842" xr:uid="{E2F711D1-19ED-4917-A59B-7A60EACA00FD}"/>
    <cellStyle name="Comma 17 3 4 2 2 2 5 2" xfId="5150" xr:uid="{DC8D3DD0-8094-4705-AE71-5058F9B279C9}"/>
    <cellStyle name="Comma 17 3 4 2 2 2 6" xfId="5157" xr:uid="{2DB2E53F-7F38-4EDF-AE88-4F2DE461CB51}"/>
    <cellStyle name="Comma 17 3 4 2 2 2 7" xfId="7339" xr:uid="{625AF4C4-B562-43AC-99AE-82C0CA0829C3}"/>
    <cellStyle name="Comma 17 3 4 2 2 3" xfId="13021" xr:uid="{08364DE5-512E-463A-99CC-C720E1C13407}"/>
    <cellStyle name="Comma 17 3 4 2 2 3 2" xfId="13024" xr:uid="{3A3988A9-2358-48A9-931E-A2E9C0B130DC}"/>
    <cellStyle name="Comma 17 3 4 2 2 3 2 2" xfId="13027" xr:uid="{A72280C7-09A0-45AC-BB5B-562DD45609B0}"/>
    <cellStyle name="Comma 17 3 4 2 2 3 2 2 2" xfId="13029" xr:uid="{2AE9D6E1-EF44-4F93-B4A6-046399A5BD74}"/>
    <cellStyle name="Comma 17 3 4 2 2 3 2 2 2 2" xfId="13033" xr:uid="{1ADB1CCA-D5B1-49DB-96D8-B231169B96CC}"/>
    <cellStyle name="Comma 17 3 4 2 2 3 2 2 3" xfId="13035" xr:uid="{9D18A22B-10BC-444B-A893-0598A87E3D25}"/>
    <cellStyle name="Comma 17 3 4 2 2 3 2 3" xfId="13038" xr:uid="{2CA240EA-A7F3-4710-B415-BE423DBB21E4}"/>
    <cellStyle name="Comma 17 3 4 2 2 3 2 3 2" xfId="13039" xr:uid="{088EEC96-7192-4408-BD9E-B3E6326FEBE6}"/>
    <cellStyle name="Comma 17 3 4 2 2 3 2 4" xfId="13041" xr:uid="{6B1EDEA7-8A21-40C9-B868-929B072D079D}"/>
    <cellStyle name="Comma 17 3 4 2 2 3 3" xfId="13044" xr:uid="{B697E217-9058-4E6B-A580-AFA59D791D74}"/>
    <cellStyle name="Comma 17 3 4 2 2 3 3 2" xfId="13046" xr:uid="{CA01AB49-60FF-4FB7-BFC7-6BA5DBCE0EEE}"/>
    <cellStyle name="Comma 17 3 4 2 2 3 3 2 2" xfId="13047" xr:uid="{1E572AA3-C325-44D5-BD1A-744A338B58D5}"/>
    <cellStyle name="Comma 17 3 4 2 2 3 3 3" xfId="13050" xr:uid="{9E133AFD-4F1C-4AFD-A396-E37D56707399}"/>
    <cellStyle name="Comma 17 3 4 2 2 3 4" xfId="13054" xr:uid="{0A2E2772-BC45-4942-BBCD-AD3E059BF2D2}"/>
    <cellStyle name="Comma 17 3 4 2 2 3 4 2" xfId="13055" xr:uid="{08C2763E-DD08-44FE-9670-64981508384B}"/>
    <cellStyle name="Comma 17 3 4 2 2 3 5" xfId="1995" xr:uid="{552F5784-CA35-4C28-A841-AA15F450DCBC}"/>
    <cellStyle name="Comma 17 3 4 2 2 4" xfId="13058" xr:uid="{6DFD2F3E-C3F8-46D8-BFD4-D56035E414F0}"/>
    <cellStyle name="Comma 17 3 4 2 2 4 2" xfId="13061" xr:uid="{85CFE3CA-8BC6-4143-9198-C2A8212609E8}"/>
    <cellStyle name="Comma 17 3 4 2 2 4 2 2" xfId="13064" xr:uid="{52E04E9B-7951-4087-8277-054DE6333B9C}"/>
    <cellStyle name="Comma 17 3 4 2 2 4 2 2 2" xfId="13065" xr:uid="{342C035D-0600-4124-8C0F-F76B50EF800A}"/>
    <cellStyle name="Comma 17 3 4 2 2 4 2 3" xfId="13068" xr:uid="{85E300AA-744F-4758-B15E-9C4E7D50B016}"/>
    <cellStyle name="Comma 17 3 4 2 2 4 3" xfId="13071" xr:uid="{1BFEA732-D124-4240-8197-737F08E7BD31}"/>
    <cellStyle name="Comma 17 3 4 2 2 4 3 2" xfId="13073" xr:uid="{17E89568-D017-4A21-8523-548B1BEEC9B6}"/>
    <cellStyle name="Comma 17 3 4 2 2 4 4" xfId="13077" xr:uid="{1520B3FB-AF30-4C04-8CC5-69F80C7C3A32}"/>
    <cellStyle name="Comma 17 3 4 2 2 5" xfId="13080" xr:uid="{49DBC8E8-FB01-4EF1-87F3-5E7F138CB742}"/>
    <cellStyle name="Comma 17 3 4 2 2 5 2" xfId="13085" xr:uid="{A52F02D1-C295-4E69-A0C4-7ECBBAA27C5C}"/>
    <cellStyle name="Comma 17 3 4 2 2 5 2 2" xfId="13088" xr:uid="{3DB9E3ED-F30B-4F34-B421-800B61AB8D19}"/>
    <cellStyle name="Comma 17 3 4 2 2 5 3" xfId="13091" xr:uid="{18E560FF-95DF-46EC-AE82-7FA43E67DC2F}"/>
    <cellStyle name="Comma 17 3 4 2 2 6" xfId="4628" xr:uid="{483DEF76-37FB-47EF-A6E2-3F6F0D46BCF0}"/>
    <cellStyle name="Comma 17 3 4 2 2 6 2" xfId="8410" xr:uid="{B09F26A3-5E69-4B7F-9D4A-325E407E2194}"/>
    <cellStyle name="Comma 17 3 4 2 2 7" xfId="4636" xr:uid="{4538A9F3-7D71-4ADA-84F6-B01CB7B17B05}"/>
    <cellStyle name="Comma 17 3 4 2 2 8" xfId="13097" xr:uid="{C3551558-80AA-46F2-BDB7-0A8CC7A318D0}"/>
    <cellStyle name="Comma 17 3 4 2 3" xfId="10794" xr:uid="{A4604540-3319-4A83-A1FE-75EBBE1E621D}"/>
    <cellStyle name="Comma 17 3 4 2 3 2" xfId="13100" xr:uid="{6243619E-73F7-471C-8E62-3E7AEDAC83A6}"/>
    <cellStyle name="Comma 17 3 4 2 3 2 2" xfId="1920" xr:uid="{44B3B1AA-014E-464E-ABD0-53B206616209}"/>
    <cellStyle name="Comma 17 3 4 2 3 2 2 2" xfId="3231" xr:uid="{38E8AD6E-D8ED-47E6-B736-43AD3D3FE323}"/>
    <cellStyle name="Comma 17 3 4 2 3 2 2 2 2" xfId="13102" xr:uid="{ACE132C9-E5E8-4EA7-B882-85C7CB773B0E}"/>
    <cellStyle name="Comma 17 3 4 2 3 2 2 2 2 2" xfId="13103" xr:uid="{87A3268C-B107-4454-9911-C90D43ADD8FA}"/>
    <cellStyle name="Comma 17 3 4 2 3 2 2 2 3" xfId="13105" xr:uid="{75FE24E9-F78F-444C-814F-C20E4B79F8BF}"/>
    <cellStyle name="Comma 17 3 4 2 3 2 2 3" xfId="13107" xr:uid="{287FA354-2006-4CBE-897D-897E3510A349}"/>
    <cellStyle name="Comma 17 3 4 2 3 2 2 3 2" xfId="13108" xr:uid="{509E6DDE-FFCE-4348-ABCB-8C7FDD12C099}"/>
    <cellStyle name="Comma 17 3 4 2 3 2 2 4" xfId="13111" xr:uid="{4C36C61B-CFDD-402C-BD04-E06137702057}"/>
    <cellStyle name="Comma 17 3 4 2 3 2 3" xfId="1933" xr:uid="{71F26F7B-CF80-4727-8996-6ECC10C47C0F}"/>
    <cellStyle name="Comma 17 3 4 2 3 2 3 2" xfId="13113" xr:uid="{CCB31356-DA48-4B7D-8B0D-A41A74366361}"/>
    <cellStyle name="Comma 17 3 4 2 3 2 3 2 2" xfId="13114" xr:uid="{67DCC739-E65E-4603-8457-7C2224E251A0}"/>
    <cellStyle name="Comma 17 3 4 2 3 2 3 3" xfId="13115" xr:uid="{33AA6877-1953-43E2-B2E4-BEB385608D95}"/>
    <cellStyle name="Comma 17 3 4 2 3 2 4" xfId="13119" xr:uid="{CC989A15-0395-437D-B947-C24DFC7A2B49}"/>
    <cellStyle name="Comma 17 3 4 2 3 2 4 2" xfId="13123" xr:uid="{FADB2DF4-C4ED-48AA-9CB0-5C742912C85F}"/>
    <cellStyle name="Comma 17 3 4 2 3 2 5" xfId="5182" xr:uid="{D104D18F-82D2-4634-8A03-FF010E2CCE5A}"/>
    <cellStyle name="Comma 17 3 4 2 3 3" xfId="13126" xr:uid="{93E7EFAB-0E54-4B05-8D7F-A1D05E824BFA}"/>
    <cellStyle name="Comma 17 3 4 2 3 3 2" xfId="13130" xr:uid="{4DCAD70C-E13D-414C-A888-1376055EAD22}"/>
    <cellStyle name="Comma 17 3 4 2 3 3 2 2" xfId="13133" xr:uid="{CBA5A284-53F1-43F7-A3ED-F96CD238622A}"/>
    <cellStyle name="Comma 17 3 4 2 3 3 2 2 2" xfId="13135" xr:uid="{14607591-DF10-4297-B681-BB0DCDCB1566}"/>
    <cellStyle name="Comma 17 3 4 2 3 3 2 3" xfId="13137" xr:uid="{6A481A50-2692-4408-AED7-2DF4C7F40241}"/>
    <cellStyle name="Comma 17 3 4 2 3 3 3" xfId="13139" xr:uid="{851AA539-049D-42B2-BE6B-4F21DD0B6018}"/>
    <cellStyle name="Comma 17 3 4 2 3 3 3 2" xfId="13140" xr:uid="{1A054B20-FE6E-4399-8AEB-FB78516F626C}"/>
    <cellStyle name="Comma 17 3 4 2 3 3 4" xfId="13143" xr:uid="{62F7BA32-CB9C-4286-B666-0755C18BFC53}"/>
    <cellStyle name="Comma 17 3 4 2 3 4" xfId="13146" xr:uid="{893C0F74-2DF5-4135-A709-6D0515D06B98}"/>
    <cellStyle name="Comma 17 3 4 2 3 4 2" xfId="13148" xr:uid="{47BF91CC-8FFB-4318-BA66-DDDAA18F828B}"/>
    <cellStyle name="Comma 17 3 4 2 3 4 2 2" xfId="13149" xr:uid="{0385C683-3549-457A-B1E4-DD4894C9F4BE}"/>
    <cellStyle name="Comma 17 3 4 2 3 4 3" xfId="13151" xr:uid="{55CF1CAC-E958-4050-9799-6A8C102939B5}"/>
    <cellStyle name="Comma 17 3 4 2 3 5" xfId="13155" xr:uid="{44C2246E-68F5-426F-930A-86865DBCD377}"/>
    <cellStyle name="Comma 17 3 4 2 3 5 2" xfId="13158" xr:uid="{CFAF800F-B53C-4DE8-94D4-3D4998049E97}"/>
    <cellStyle name="Comma 17 3 4 2 3 6" xfId="1782" xr:uid="{05521962-160F-423F-8FAD-98FF6C7E89FF}"/>
    <cellStyle name="Comma 17 3 4 2 3 7" xfId="13163" xr:uid="{B36FB7D4-42AA-475B-AB77-2A472A3B7F14}"/>
    <cellStyle name="Comma 17 3 4 2 4" xfId="13164" xr:uid="{1CE4BBFF-59B5-4A68-9C55-0F203492AC44}"/>
    <cellStyle name="Comma 17 3 4 2 4 2" xfId="13167" xr:uid="{59B3B90E-AA74-497D-B8CA-989AA262146D}"/>
    <cellStyle name="Comma 17 3 4 2 4 2 2" xfId="13168" xr:uid="{FA78895A-BFC6-49E3-89C9-0BBE8E4C16E9}"/>
    <cellStyle name="Comma 17 3 4 2 4 2 2 2" xfId="10489" xr:uid="{24E7B981-CB28-47D6-93CE-D504912F853C}"/>
    <cellStyle name="Comma 17 3 4 2 4 2 2 2 2" xfId="10493" xr:uid="{9D042DFC-03B8-4AAF-8F04-6E2622A651B7}"/>
    <cellStyle name="Comma 17 3 4 2 4 2 2 3" xfId="10497" xr:uid="{8435E86B-A48F-48BA-A3FB-A64736F635C1}"/>
    <cellStyle name="Comma 17 3 4 2 4 2 3" xfId="13172" xr:uid="{DF37DBD8-018B-4DA2-922B-D8BCF403BB8A}"/>
    <cellStyle name="Comma 17 3 4 2 4 2 3 2" xfId="10547" xr:uid="{DC216683-0265-47E6-A08E-C4199BD22C29}"/>
    <cellStyle name="Comma 17 3 4 2 4 2 4" xfId="13176" xr:uid="{119DDBB1-ED4E-4A77-8453-CE2C69FB6F61}"/>
    <cellStyle name="Comma 17 3 4 2 4 3" xfId="13184" xr:uid="{58C14E4A-9FD2-4E02-8817-AF72D3EE002C}"/>
    <cellStyle name="Comma 17 3 4 2 4 3 2" xfId="13185" xr:uid="{D968DBF1-FD8B-4C3B-88CF-0ECF6AA81F5E}"/>
    <cellStyle name="Comma 17 3 4 2 4 3 2 2" xfId="2412" xr:uid="{80754E65-392A-40B2-84D5-FEE322619481}"/>
    <cellStyle name="Comma 17 3 4 2 4 3 3" xfId="3500" xr:uid="{FC106CE8-D8AE-4F86-9F02-25E3A7F62771}"/>
    <cellStyle name="Comma 17 3 4 2 4 4" xfId="13192" xr:uid="{50F07F86-B44E-442A-9D1D-A21D378900D8}"/>
    <cellStyle name="Comma 17 3 4 2 4 4 2" xfId="13195" xr:uid="{36DE3F3F-D163-4571-8840-F4450C9CC769}"/>
    <cellStyle name="Comma 17 3 4 2 4 5" xfId="13197" xr:uid="{04AE917E-73C4-43C9-BD3B-E9ECB6B23778}"/>
    <cellStyle name="Comma 17 3 4 2 5" xfId="13198" xr:uid="{C98EFE7C-5307-4506-BB13-0F7603D9163D}"/>
    <cellStyle name="Comma 17 3 4 2 5 2" xfId="13201" xr:uid="{B15FA60A-AEE2-4D94-854B-FB0756FFE654}"/>
    <cellStyle name="Comma 17 3 4 2 5 2 2" xfId="4911" xr:uid="{6050C2FB-7C97-4FD9-88E5-E346F89BF25B}"/>
    <cellStyle name="Comma 17 3 4 2 5 2 2 2" xfId="10862" xr:uid="{5E63C29D-3E7B-4D2C-B08E-7A309892FBD5}"/>
    <cellStyle name="Comma 17 3 4 2 5 2 3" xfId="13202" xr:uid="{0EC7A2B0-4B37-4929-9934-E80542FB4E98}"/>
    <cellStyle name="Comma 17 3 4 2 5 3" xfId="13206" xr:uid="{03B22052-D350-46B8-BF9A-8139AA3A4874}"/>
    <cellStyle name="Comma 17 3 4 2 5 3 2" xfId="13208" xr:uid="{95CDC270-937F-4C7E-8F1B-E386FFD720DD}"/>
    <cellStyle name="Comma 17 3 4 2 5 4" xfId="13209" xr:uid="{150F9ABF-6D93-4EA3-9E5F-7523997C5322}"/>
    <cellStyle name="Comma 17 3 4 2 6" xfId="13211" xr:uid="{A3C2AF27-A2BC-4403-A255-B5142E125418}"/>
    <cellStyle name="Comma 17 3 4 2 6 2" xfId="13215" xr:uid="{6272A1A5-1603-4FAE-9A9A-CA7AB6BE18AD}"/>
    <cellStyle name="Comma 17 3 4 2 6 2 2" xfId="10362" xr:uid="{30227C32-56F7-4561-87A0-172E3F2F0C61}"/>
    <cellStyle name="Comma 17 3 4 2 6 3" xfId="13217" xr:uid="{272F10AB-E7F3-4B73-8261-725F5757ED15}"/>
    <cellStyle name="Comma 17 3 4 2 7" xfId="13219" xr:uid="{47DF4F24-D95C-483C-A32F-8B904E9CCC33}"/>
    <cellStyle name="Comma 17 3 4 2 7 2" xfId="13221" xr:uid="{139102EF-99A1-4078-97E8-E067469BA86C}"/>
    <cellStyle name="Comma 17 3 4 2 8" xfId="13223" xr:uid="{4A053201-C60D-4395-845D-5B86A83B2B72}"/>
    <cellStyle name="Comma 17 3 4 2 9" xfId="13224" xr:uid="{9DF54071-886B-45FE-91B2-7389C447E6E9}"/>
    <cellStyle name="Comma 17 3 4 3" xfId="13226" xr:uid="{E41C41BF-EBDD-4F79-B446-0B3FA6F16DA7}"/>
    <cellStyle name="Comma 17 3 4 3 2" xfId="13227" xr:uid="{344D7D23-40ED-4FA6-A3BA-036CDE0007DF}"/>
    <cellStyle name="Comma 17 3 4 3 2 2" xfId="13230" xr:uid="{0EDE5077-840C-49E9-801A-7448469EBFCC}"/>
    <cellStyle name="Comma 17 3 4 3 2 2 2" xfId="13234" xr:uid="{FDCA2397-D731-4B5B-A6F1-AA08C1C9C61F}"/>
    <cellStyle name="Comma 17 3 4 3 2 2 2 2" xfId="13238" xr:uid="{2C78133E-AB1D-4515-A32B-FB31C5E78299}"/>
    <cellStyle name="Comma 17 3 4 3 2 2 2 2 2" xfId="4490" xr:uid="{1A20C203-9FCC-4644-BC63-DD2B134886CA}"/>
    <cellStyle name="Comma 17 3 4 3 2 2 2 2 2 2" xfId="13239" xr:uid="{059FD9A0-A88F-42D7-8122-3DB73353BFEE}"/>
    <cellStyle name="Comma 17 3 4 3 2 2 2 2 3" xfId="13241" xr:uid="{F19101FA-B99B-4C8C-B964-F77AD365691E}"/>
    <cellStyle name="Comma 17 3 4 3 2 2 2 3" xfId="13243" xr:uid="{4A2DA7AD-C35F-404C-91AD-E78B675ADF86}"/>
    <cellStyle name="Comma 17 3 4 3 2 2 2 3 2" xfId="13244" xr:uid="{FC2D7243-A3BA-4547-BA84-2A953F970658}"/>
    <cellStyle name="Comma 17 3 4 3 2 2 2 4" xfId="13247" xr:uid="{F82D0F59-7F8D-48CB-9E17-945ECACBFB97}"/>
    <cellStyle name="Comma 17 3 4 3 2 2 3" xfId="13251" xr:uid="{1B730EED-8BC8-46BF-8D70-32C925C8C6E7}"/>
    <cellStyle name="Comma 17 3 4 3 2 2 3 2" xfId="13253" xr:uid="{C5751416-AA7E-464E-A124-8476CA4E1C9F}"/>
    <cellStyle name="Comma 17 3 4 3 2 2 3 2 2" xfId="13254" xr:uid="{C62FD25C-A580-4231-9D3D-FD33AEEC5940}"/>
    <cellStyle name="Comma 17 3 4 3 2 2 3 3" xfId="13255" xr:uid="{7BD8DB61-A403-446F-9706-A0B62118AEEE}"/>
    <cellStyle name="Comma 17 3 4 3 2 2 4" xfId="13257" xr:uid="{FC78667A-CA59-4242-8BB3-4EEB0ED0ADA1}"/>
    <cellStyle name="Comma 17 3 4 3 2 2 4 2" xfId="13258" xr:uid="{0F7FC9C0-9198-48B5-BEE4-A59EEEAE686E}"/>
    <cellStyle name="Comma 17 3 4 3 2 2 5" xfId="5214" xr:uid="{5EA761C9-56A3-4A80-B5C6-DADBF9C850E4}"/>
    <cellStyle name="Comma 17 3 4 3 2 3" xfId="13261" xr:uid="{EABB7863-6719-4D6B-B32C-3157E3F013D4}"/>
    <cellStyle name="Comma 17 3 4 3 2 3 2" xfId="13265" xr:uid="{CB8C29F0-B7AE-41E2-913D-5530D1A52C50}"/>
    <cellStyle name="Comma 17 3 4 3 2 3 2 2" xfId="13267" xr:uid="{0C4498CC-3CDF-4A3A-8CC7-AFFDDC5A35C7}"/>
    <cellStyle name="Comma 17 3 4 3 2 3 2 2 2" xfId="13273" xr:uid="{ABDED279-0666-4383-8F10-E392D6E41D5D}"/>
    <cellStyle name="Comma 17 3 4 3 2 3 2 3" xfId="13274" xr:uid="{9C807027-BFCE-44AF-A27C-C648E604466A}"/>
    <cellStyle name="Comma 17 3 4 3 2 3 3" xfId="13276" xr:uid="{9FA15C4A-D1B0-4AAE-9253-E9D4E5F89F13}"/>
    <cellStyle name="Comma 17 3 4 3 2 3 3 2" xfId="13277" xr:uid="{F9391AB3-78F3-4D05-8369-DEEA0A6F7650}"/>
    <cellStyle name="Comma 17 3 4 3 2 3 4" xfId="13278" xr:uid="{38EBE98F-946C-4D81-8283-7CEEC677356C}"/>
    <cellStyle name="Comma 17 3 4 3 2 4" xfId="13281" xr:uid="{6083B557-6D66-4B1F-88EA-3933600942F1}"/>
    <cellStyle name="Comma 17 3 4 3 2 4 2" xfId="13283" xr:uid="{61C4E8C7-6082-4F51-9AF1-086D8ECA0E40}"/>
    <cellStyle name="Comma 17 3 4 3 2 4 2 2" xfId="13284" xr:uid="{AC8D6CB1-FA22-4B3A-B1A3-A342C80F1E5A}"/>
    <cellStyle name="Comma 17 3 4 3 2 4 3" xfId="13287" xr:uid="{2E3E2AC6-B213-4712-94A7-C558881677D1}"/>
    <cellStyle name="Comma 17 3 4 3 2 5" xfId="13288" xr:uid="{294FFD0C-963F-4676-BE0F-AFCE0401A70E}"/>
    <cellStyle name="Comma 17 3 4 3 2 5 2" xfId="13292" xr:uid="{CBE1F7D3-B11C-4EB7-9C19-0800F313BEC5}"/>
    <cellStyle name="Comma 17 3 4 3 2 6" xfId="5059" xr:uid="{32858E3D-5B79-47F4-9952-B0E725C5AE27}"/>
    <cellStyle name="Comma 17 3 4 3 2 7" xfId="13296" xr:uid="{892CDEAE-5F76-46D5-A5B6-492E89D06127}"/>
    <cellStyle name="Comma 17 3 4 3 3" xfId="13297" xr:uid="{FA6B6159-03DB-49FF-B6F3-4DED568D0EAE}"/>
    <cellStyle name="Comma 17 3 4 3 3 2" xfId="13300" xr:uid="{B2940DBC-B9A3-4B97-8790-1612C7B8F40A}"/>
    <cellStyle name="Comma 17 3 4 3 3 2 2" xfId="13304" xr:uid="{37EC7D88-37D2-4DD9-91E2-1C6851FC89E4}"/>
    <cellStyle name="Comma 17 3 4 3 3 2 2 2" xfId="8539" xr:uid="{43774C9E-1632-4182-A634-3B4F23F1DC40}"/>
    <cellStyle name="Comma 17 3 4 3 3 2 2 2 2" xfId="13305" xr:uid="{B64BEFEA-140A-4DEE-8E73-EDDD679361A8}"/>
    <cellStyle name="Comma 17 3 4 3 3 2 2 3" xfId="13306" xr:uid="{37C8CB1D-79EA-409E-9DF7-AFBF49801DED}"/>
    <cellStyle name="Comma 17 3 4 3 3 2 3" xfId="13308" xr:uid="{467A4179-46FE-4DAC-B9A9-30E01AD87B91}"/>
    <cellStyle name="Comma 17 3 4 3 3 2 3 2" xfId="13309" xr:uid="{2B50B1F7-F3C1-452F-978F-2945B333ABDC}"/>
    <cellStyle name="Comma 17 3 4 3 3 2 4" xfId="13312" xr:uid="{C3E9256F-E9E8-4CCC-B27D-69B60796906D}"/>
    <cellStyle name="Comma 17 3 4 3 3 3" xfId="13315" xr:uid="{4342D438-B59C-4295-AC84-D4C7E7D3D47B}"/>
    <cellStyle name="Comma 17 3 4 3 3 3 2" xfId="13317" xr:uid="{AA4B9C7F-5FB1-4304-8E73-903756C9B4DD}"/>
    <cellStyle name="Comma 17 3 4 3 3 3 2 2" xfId="13318" xr:uid="{E7288DF4-B671-4093-9479-21A22F01F5E3}"/>
    <cellStyle name="Comma 17 3 4 3 3 3 3" xfId="13319" xr:uid="{B969AFCE-A61B-4780-AFD1-95A366C6F738}"/>
    <cellStyle name="Comma 17 3 4 3 3 4" xfId="13323" xr:uid="{0E2CF7FD-21E7-4A00-965F-2B494F524CF6}"/>
    <cellStyle name="Comma 17 3 4 3 3 4 2" xfId="13326" xr:uid="{CB684628-4850-49EA-9049-45530E066B51}"/>
    <cellStyle name="Comma 17 3 4 3 3 5" xfId="13330" xr:uid="{2FC960A5-83E6-47F4-94F2-4A294AF0EE77}"/>
    <cellStyle name="Comma 17 3 4 3 4" xfId="13331" xr:uid="{1149E49D-0D90-43C6-97AF-78A5E753F1BB}"/>
    <cellStyle name="Comma 17 3 4 3 4 2" xfId="13334" xr:uid="{F0DBDD6F-08F5-4FAA-9713-2039F477D30F}"/>
    <cellStyle name="Comma 17 3 4 3 4 2 2" xfId="13336" xr:uid="{6B0867A9-2439-41F7-A747-097407890292}"/>
    <cellStyle name="Comma 17 3 4 3 4 2 2 2" xfId="11256" xr:uid="{F0739BFB-9112-4CAF-A731-B0703FDA2AC1}"/>
    <cellStyle name="Comma 17 3 4 3 4 2 3" xfId="10842" xr:uid="{7C49F024-286D-4C20-A06E-EEFD5FA21C1B}"/>
    <cellStyle name="Comma 17 3 4 3 4 3" xfId="13338" xr:uid="{67A4601B-E0C4-470D-A4E9-0AF21FF2C520}"/>
    <cellStyle name="Comma 17 3 4 3 4 3 2" xfId="13339" xr:uid="{7992865F-64DC-4CB3-8C17-397E8322CE6D}"/>
    <cellStyle name="Comma 17 3 4 3 4 4" xfId="13342" xr:uid="{35DBF6F0-CCF3-4C86-A4A8-7C678F57E5C0}"/>
    <cellStyle name="Comma 17 3 4 3 5" xfId="13343" xr:uid="{E9AAA326-BDF2-4270-AB5C-2EC7CB02981A}"/>
    <cellStyle name="Comma 17 3 4 3 5 2" xfId="13345" xr:uid="{EBB6B09D-AEE4-4E99-8B90-E1C29A9413EA}"/>
    <cellStyle name="Comma 17 3 4 3 5 2 2" xfId="13346" xr:uid="{1E65D412-DCEF-4706-A87E-0B6804E9C432}"/>
    <cellStyle name="Comma 17 3 4 3 5 3" xfId="13347" xr:uid="{736CED31-FA78-443D-8995-6D93929DD2B1}"/>
    <cellStyle name="Comma 17 3 4 3 6" xfId="13349" xr:uid="{C060F947-2E10-4B9D-BDEE-1631797E21C1}"/>
    <cellStyle name="Comma 17 3 4 3 6 2" xfId="13352" xr:uid="{4106E22E-69B7-4AE9-A2BF-948CF42EC8A5}"/>
    <cellStyle name="Comma 17 3 4 3 7" xfId="13355" xr:uid="{094A7083-6E95-4180-8022-26D0117C5675}"/>
    <cellStyle name="Comma 17 3 4 3 8" xfId="13357" xr:uid="{B455B661-F65F-43EB-AD52-DD486C547AF0}"/>
    <cellStyle name="Comma 17 3 4 4" xfId="13360" xr:uid="{0BDACCD5-89FC-43A8-A887-F749B8DF15BD}"/>
    <cellStyle name="Comma 17 3 4 4 2" xfId="13362" xr:uid="{9D8B50E5-42F7-4310-AE4C-984CB7B31AC3}"/>
    <cellStyle name="Comma 17 3 4 4 2 2" xfId="13365" xr:uid="{89AEC220-3A4C-4B7E-8761-B729F7F095B1}"/>
    <cellStyle name="Comma 17 3 4 4 2 2 2" xfId="13369" xr:uid="{0B10EF41-D649-4C09-9E26-A57E4D8D7E8C}"/>
    <cellStyle name="Comma 17 3 4 4 2 2 2 2" xfId="13371" xr:uid="{7EB380E7-702E-481E-976D-842BEE2CF1FA}"/>
    <cellStyle name="Comma 17 3 4 4 2 2 2 2 2" xfId="13372" xr:uid="{223E417F-1D69-48E8-AAB4-139AE21AAA83}"/>
    <cellStyle name="Comma 17 3 4 4 2 2 2 3" xfId="13376" xr:uid="{A1C144C7-1FA3-43A8-9CE6-0A05B6651AA9}"/>
    <cellStyle name="Comma 17 3 4 4 2 2 3" xfId="13378" xr:uid="{859A13DB-ABF5-40E3-8E2E-5A127A5998EA}"/>
    <cellStyle name="Comma 17 3 4 4 2 2 3 2" xfId="13379" xr:uid="{19436058-5BC5-4C49-A7EB-918B939C1F83}"/>
    <cellStyle name="Comma 17 3 4 4 2 2 4" xfId="13380" xr:uid="{EA2D090B-5DD2-4350-9CFC-A2DC0BE6F7B2}"/>
    <cellStyle name="Comma 17 3 4 4 2 3" xfId="13383" xr:uid="{F435C12E-D158-4313-8370-3346EE55414D}"/>
    <cellStyle name="Comma 17 3 4 4 2 3 2" xfId="13385" xr:uid="{861A1F3D-51BF-4ABD-BC3C-561687E64ED4}"/>
    <cellStyle name="Comma 17 3 4 4 2 3 2 2" xfId="216" xr:uid="{0A3CD835-5B64-47B3-A4E4-F5BC3AF6F70A}"/>
    <cellStyle name="Comma 17 3 4 4 2 3 3" xfId="13386" xr:uid="{16081E36-D43E-4972-B3A8-045FA65CE7B6}"/>
    <cellStyle name="Comma 17 3 4 4 2 4" xfId="13389" xr:uid="{F0E0A296-3958-4324-9BFA-98CF6210602E}"/>
    <cellStyle name="Comma 17 3 4 4 2 4 2" xfId="13392" xr:uid="{EE945139-C134-44B5-860F-D1AAB02CAFC1}"/>
    <cellStyle name="Comma 17 3 4 4 2 5" xfId="13397" xr:uid="{8D8CDC63-A139-4C56-8B0A-7489BF29E05A}"/>
    <cellStyle name="Comma 17 3 4 4 3" xfId="13398" xr:uid="{AB6BA330-68B9-40E0-A167-91FB4994AA56}"/>
    <cellStyle name="Comma 17 3 4 4 3 2" xfId="13402" xr:uid="{97FF7074-0EBA-4F4C-BC1D-89DDF665CC10}"/>
    <cellStyle name="Comma 17 3 4 4 3 2 2" xfId="13405" xr:uid="{D6F124A5-C9D3-4133-88ED-0DCCA707893B}"/>
    <cellStyle name="Comma 17 3 4 4 3 2 2 2" xfId="13406" xr:uid="{3CE61D27-F564-4B68-B32B-E7868C339FC3}"/>
    <cellStyle name="Comma 17 3 4 4 3 2 3" xfId="13408" xr:uid="{A26D932E-237B-4338-A8CC-263AAB030A95}"/>
    <cellStyle name="Comma 17 3 4 4 3 3" xfId="13410" xr:uid="{AF2447EC-2339-4E2F-8D74-14BCD476A3C1}"/>
    <cellStyle name="Comma 17 3 4 4 3 3 2" xfId="13414" xr:uid="{29F6F403-3027-4B2F-881F-43442669F3F4}"/>
    <cellStyle name="Comma 17 3 4 4 3 4" xfId="13418" xr:uid="{A7DB551D-CAB2-4F06-88D6-667EAF3BCC9E}"/>
    <cellStyle name="Comma 17 3 4 4 4" xfId="13420" xr:uid="{51B645B5-6905-469B-AF80-C986C39BED9E}"/>
    <cellStyle name="Comma 17 3 4 4 4 2" xfId="13422" xr:uid="{93D90313-BC69-4541-97D8-6ADA68CF55C7}"/>
    <cellStyle name="Comma 17 3 4 4 4 2 2" xfId="13423" xr:uid="{6DB8A4F7-FA3F-47AE-BA2C-659B638B0E44}"/>
    <cellStyle name="Comma 17 3 4 4 4 3" xfId="13424" xr:uid="{916F7C52-D870-49A3-811A-E091B434901E}"/>
    <cellStyle name="Comma 17 3 4 4 5" xfId="13425" xr:uid="{D66C321F-8DDE-420F-8105-89AAA5BFCD1E}"/>
    <cellStyle name="Comma 17 3 4 4 5 2" xfId="13427" xr:uid="{7B9D6AA8-6604-40F3-8155-243F694E9917}"/>
    <cellStyle name="Comma 17 3 4 4 6" xfId="13429" xr:uid="{344593B3-FBFC-428A-804C-45824E6E1AD0}"/>
    <cellStyle name="Comma 17 3 4 4 7" xfId="13431" xr:uid="{78FFFF27-F1CF-44B0-88AF-55EBC3547DDC}"/>
    <cellStyle name="Comma 17 3 4 5" xfId="13434" xr:uid="{68662A93-634B-404E-94BD-9C439F4E01EB}"/>
    <cellStyle name="Comma 17 3 4 5 2" xfId="13435" xr:uid="{D3D508A4-213C-4246-AC21-4ACAA11AF190}"/>
    <cellStyle name="Comma 17 3 4 5 2 2" xfId="13441" xr:uid="{0796142A-7011-4BF4-838A-FD174FA97647}"/>
    <cellStyle name="Comma 17 3 4 5 2 2 2" xfId="13443" xr:uid="{7D3CE179-D726-42A8-8858-485A914CF205}"/>
    <cellStyle name="Comma 17 3 4 5 2 2 2 2" xfId="13444" xr:uid="{AFF8F4A3-7CA0-4DC0-92F7-C54A69E445C7}"/>
    <cellStyle name="Comma 17 3 4 5 2 2 3" xfId="13445" xr:uid="{111377A8-DBFD-4014-BF8B-8B520ECE45FE}"/>
    <cellStyle name="Comma 17 3 4 5 2 3" xfId="13450" xr:uid="{01FCECB3-B152-4107-A813-4412E5D0CB46}"/>
    <cellStyle name="Comma 17 3 4 5 2 3 2" xfId="13451" xr:uid="{984DB3DB-4D1F-4D67-A68F-6C34475D54AE}"/>
    <cellStyle name="Comma 17 3 4 5 2 4" xfId="13453" xr:uid="{7818E662-D31D-4B76-BF88-BFC6121DFFCA}"/>
    <cellStyle name="Comma 17 3 4 5 3" xfId="13454" xr:uid="{67E4B899-0513-4B4F-8742-7C5A9D3327B3}"/>
    <cellStyle name="Comma 17 3 4 5 3 2" xfId="13456" xr:uid="{EBF2DC40-82C5-4AEF-A6F8-4D831F69D4D4}"/>
    <cellStyle name="Comma 17 3 4 5 3 2 2" xfId="13457" xr:uid="{E0486732-7D7E-49A7-94F1-0259D9B6E935}"/>
    <cellStyle name="Comma 17 3 4 5 3 3" xfId="13458" xr:uid="{8C0A71EA-7EDD-4017-A791-DCAEBF50BCA5}"/>
    <cellStyle name="Comma 17 3 4 5 4" xfId="13459" xr:uid="{A8FB7430-C84A-49CB-9A9D-F8DBB56EB942}"/>
    <cellStyle name="Comma 17 3 4 5 4 2" xfId="13460" xr:uid="{4FA0A814-464E-4E5A-8280-11E544A40208}"/>
    <cellStyle name="Comma 17 3 4 5 5" xfId="13461" xr:uid="{F1E4FD6D-4D31-4E45-9B8D-6025EC818163}"/>
    <cellStyle name="Comma 17 3 4 6" xfId="13462" xr:uid="{93796A2D-DE8A-450A-8149-FE450694E657}"/>
    <cellStyle name="Comma 17 3 4 6 2" xfId="13466" xr:uid="{CFB54922-CEAD-4F6F-B5F2-63D993755F70}"/>
    <cellStyle name="Comma 17 3 4 6 2 2" xfId="13472" xr:uid="{5A493355-41E5-4F02-8925-50AB84297D7A}"/>
    <cellStyle name="Comma 17 3 4 6 2 2 2" xfId="13474" xr:uid="{A50DFC3D-6FAD-448F-A492-C7026D03F8D2}"/>
    <cellStyle name="Comma 17 3 4 6 2 3" xfId="13479" xr:uid="{5824F75F-A481-43B2-9FB8-F1B479F97E52}"/>
    <cellStyle name="Comma 17 3 4 6 3" xfId="13483" xr:uid="{129A98C6-3D19-4432-ADA5-665B56EB286D}"/>
    <cellStyle name="Comma 17 3 4 6 3 2" xfId="13486" xr:uid="{C224E8F9-34C8-47E7-9FF9-1D9267D843B5}"/>
    <cellStyle name="Comma 17 3 4 6 4" xfId="13491" xr:uid="{B130FFBC-8E39-4E31-8E7A-8D1036197794}"/>
    <cellStyle name="Comma 17 3 4 7" xfId="13492" xr:uid="{44A4CD5D-5FCD-4A79-8B35-9C250F2BE3FE}"/>
    <cellStyle name="Comma 17 3 4 7 2" xfId="13494" xr:uid="{EE5FF407-868C-4DE6-8622-083AA2BBE026}"/>
    <cellStyle name="Comma 17 3 4 7 2 2" xfId="13496" xr:uid="{EE2C6190-71D3-45A6-9758-0DE653747EB2}"/>
    <cellStyle name="Comma 17 3 4 7 3" xfId="13501" xr:uid="{D2FEC69C-CB33-48EB-8628-358EB33ADB17}"/>
    <cellStyle name="Comma 17 3 4 8" xfId="13502" xr:uid="{BF62BAB2-4218-4DF7-BE3C-2B9A7351D26C}"/>
    <cellStyle name="Comma 17 3 4 8 2" xfId="13504" xr:uid="{F11C4529-2CAA-4FE4-9019-8DCDDC8158AF}"/>
    <cellStyle name="Comma 17 3 4 9" xfId="13505" xr:uid="{4B075716-E7E5-4F83-9E62-5DAC1CA0362D}"/>
    <cellStyle name="Comma 17 3 5" xfId="13507" xr:uid="{7599CF8A-C749-46A5-B989-9EE9BF1126C8}"/>
    <cellStyle name="Comma 17 3 5 2" xfId="13508" xr:uid="{28B15CF1-26BD-473C-8487-E21E108429AC}"/>
    <cellStyle name="Comma 17 3 5 2 2" xfId="13509" xr:uid="{0DCDC345-7521-4F14-BF71-1DD03BA0D145}"/>
    <cellStyle name="Comma 17 3 5 2 2 2" xfId="13513" xr:uid="{75B1BE48-D3E4-4280-A4A8-2D8B06A2EEC6}"/>
    <cellStyle name="Comma 17 3 5 2 2 2 2" xfId="13517" xr:uid="{22BB7D89-60F6-48A1-835F-0D3255C674FF}"/>
    <cellStyle name="Comma 17 3 5 2 2 2 2 2" xfId="13522" xr:uid="{C4111ACD-36DD-4464-99FD-594EA56E1516}"/>
    <cellStyle name="Comma 17 3 5 2 2 2 2 2 2" xfId="13525" xr:uid="{A01D4DEE-AEB3-43C0-8318-47C51CF13474}"/>
    <cellStyle name="Comma 17 3 5 2 2 2 2 2 2 2" xfId="13528" xr:uid="{1F912C46-906E-4C87-89BB-FCA5463A3C16}"/>
    <cellStyle name="Comma 17 3 5 2 2 2 2 2 3" xfId="13530" xr:uid="{3E7D87E9-F316-495F-A75B-3C68099DCF4F}"/>
    <cellStyle name="Comma 17 3 5 2 2 2 2 3" xfId="13535" xr:uid="{6E070A3E-BFF4-4D66-97C0-74EC730B640C}"/>
    <cellStyle name="Comma 17 3 5 2 2 2 2 3 2" xfId="13538" xr:uid="{377D3816-6770-4A90-AD11-7AB9AC3A99F2}"/>
    <cellStyle name="Comma 17 3 5 2 2 2 2 4" xfId="13542" xr:uid="{D68C39E7-6B86-41F5-9AC2-DDD045A8FBB2}"/>
    <cellStyle name="Comma 17 3 5 2 2 2 3" xfId="13546" xr:uid="{102B7EAB-50D4-47EC-B97B-368875602406}"/>
    <cellStyle name="Comma 17 3 5 2 2 2 3 2" xfId="13549" xr:uid="{4AAFE4C7-07FB-4090-9080-99605ECB5F52}"/>
    <cellStyle name="Comma 17 3 5 2 2 2 3 2 2" xfId="13551" xr:uid="{0AF25B68-D590-47C1-AC49-D09DEAC1FE53}"/>
    <cellStyle name="Comma 17 3 5 2 2 2 3 3" xfId="13554" xr:uid="{ED3B3068-FC82-49CA-A1FD-C0FEBF165650}"/>
    <cellStyle name="Comma 17 3 5 2 2 2 4" xfId="13557" xr:uid="{BAAE1CAC-3B11-41F2-9A2D-557DBB1D0CA5}"/>
    <cellStyle name="Comma 17 3 5 2 2 2 4 2" xfId="13559" xr:uid="{ADF9E8B4-82F9-4C3D-BF37-1D5C8328FD19}"/>
    <cellStyle name="Comma 17 3 5 2 2 2 5" xfId="5334" xr:uid="{2F824066-C8C9-4E33-A570-9FEF5F790BCE}"/>
    <cellStyle name="Comma 17 3 5 2 2 3" xfId="13566" xr:uid="{D29AB2B4-5DE8-4D23-BF8B-F6A5EDC50737}"/>
    <cellStyle name="Comma 17 3 5 2 2 3 2" xfId="13571" xr:uid="{0C5E9877-B672-4E84-9493-74444155010C}"/>
    <cellStyle name="Comma 17 3 5 2 2 3 2 2" xfId="13574" xr:uid="{7E92B7B8-FFBF-430A-A102-5FBE9ABEB23A}"/>
    <cellStyle name="Comma 17 3 5 2 2 3 2 2 2" xfId="13576" xr:uid="{CE8BE3A2-16BC-40BB-85CD-E64C0B109C85}"/>
    <cellStyle name="Comma 17 3 5 2 2 3 2 3" xfId="13579" xr:uid="{07467768-66F1-4576-B0DE-8F26873242FA}"/>
    <cellStyle name="Comma 17 3 5 2 2 3 3" xfId="13583" xr:uid="{7362A535-4BFF-4298-B8F7-CD6BE1F39F28}"/>
    <cellStyle name="Comma 17 3 5 2 2 3 3 2" xfId="13585" xr:uid="{90396B49-B7EA-4DE0-A5E3-145DDC11658E}"/>
    <cellStyle name="Comma 17 3 5 2 2 3 4" xfId="13587" xr:uid="{36043207-03DF-4FD7-B374-FDDBB836020D}"/>
    <cellStyle name="Comma 17 3 5 2 2 4" xfId="13590" xr:uid="{7BC812C8-8945-423A-8491-454F75C63A0E}"/>
    <cellStyle name="Comma 17 3 5 2 2 4 2" xfId="13594" xr:uid="{9D02B314-255E-41DE-9CA4-93C6ACA26275}"/>
    <cellStyle name="Comma 17 3 5 2 2 4 2 2" xfId="13598" xr:uid="{7D40729F-B2A8-4969-9E44-19323B6EFA9C}"/>
    <cellStyle name="Comma 17 3 5 2 2 4 3" xfId="13602" xr:uid="{8D811C7B-3355-4B0B-81B5-4CB37421B89F}"/>
    <cellStyle name="Comma 17 3 5 2 2 5" xfId="13604" xr:uid="{49684EE3-0F55-486D-B0BA-22EB94BE70F5}"/>
    <cellStyle name="Comma 17 3 5 2 2 5 2" xfId="13608" xr:uid="{53660761-1C37-4388-8FBF-E0DD7930066A}"/>
    <cellStyle name="Comma 17 3 5 2 2 6" xfId="3767" xr:uid="{CBADCB9A-19CF-4B12-9825-65097CEFAA11}"/>
    <cellStyle name="Comma 17 3 5 2 2 7" xfId="13613" xr:uid="{3807CDA6-9A18-490C-98F4-1F09833ECC39}"/>
    <cellStyle name="Comma 17 3 5 2 3" xfId="9549" xr:uid="{4A9E29E2-7EB7-4D92-B4AF-34F4E70EB33F}"/>
    <cellStyle name="Comma 17 3 5 2 3 2" xfId="13616" xr:uid="{C426E3DE-BE1B-4320-A4BB-C639FE6EDFB0}"/>
    <cellStyle name="Comma 17 3 5 2 3 2 2" xfId="13620" xr:uid="{300FE687-A8EE-458A-B4C8-4C4CF8E689CF}"/>
    <cellStyle name="Comma 17 3 5 2 3 2 2 2" xfId="1890" xr:uid="{88BF5B81-FE4C-43DC-B505-45CA0FFE750B}"/>
    <cellStyle name="Comma 17 3 5 2 3 2 2 2 2" xfId="13626" xr:uid="{A22B9E6B-C18E-48E2-ABD1-459E4A5A7DB7}"/>
    <cellStyle name="Comma 17 3 5 2 3 2 2 3" xfId="13629" xr:uid="{B670C24D-1087-44FF-A9E5-B5F6C087BF5F}"/>
    <cellStyle name="Comma 17 3 5 2 3 2 3" xfId="13632" xr:uid="{0538E030-7FC8-4217-B3D7-0024C25581B7}"/>
    <cellStyle name="Comma 17 3 5 2 3 2 3 2" xfId="13634" xr:uid="{598C28BE-B36B-4F59-8738-58B905C10A81}"/>
    <cellStyle name="Comma 17 3 5 2 3 2 4" xfId="13639" xr:uid="{683847AF-9A41-4AC0-B699-8DB6A774246E}"/>
    <cellStyle name="Comma 17 3 5 2 3 3" xfId="13644" xr:uid="{8D9C1734-CA17-4D77-A79D-252A620316C2}"/>
    <cellStyle name="Comma 17 3 5 2 3 3 2" xfId="13647" xr:uid="{D8AE302F-3174-4F0B-9605-D6310D664314}"/>
    <cellStyle name="Comma 17 3 5 2 3 3 2 2" xfId="13649" xr:uid="{681C653C-308B-465E-A216-205A5C17A7CB}"/>
    <cellStyle name="Comma 17 3 5 2 3 3 3" xfId="13651" xr:uid="{CB3BFA61-0241-484F-B49A-DF05DFB7401E}"/>
    <cellStyle name="Comma 17 3 5 2 3 4" xfId="13653" xr:uid="{00FFEA90-519A-4D38-ABEF-2167D9D446C7}"/>
    <cellStyle name="Comma 17 3 5 2 3 4 2" xfId="13656" xr:uid="{B53C75F6-B11A-42FE-B289-2E1D3C97E4CC}"/>
    <cellStyle name="Comma 17 3 5 2 3 5" xfId="13659" xr:uid="{5DB10A5B-5483-43FC-A9E7-6EE3C2E0813C}"/>
    <cellStyle name="Comma 17 3 5 2 4" xfId="13660" xr:uid="{0AAB17E0-5138-4CB2-801A-1D7570B9A43F}"/>
    <cellStyle name="Comma 17 3 5 2 4 2" xfId="13663" xr:uid="{F9714B3B-2292-4138-ABE2-7DF6C216A00C}"/>
    <cellStyle name="Comma 17 3 5 2 4 2 2" xfId="13666" xr:uid="{7CF209A5-CDDF-432F-AEF8-0E1BC505D899}"/>
    <cellStyle name="Comma 17 3 5 2 4 2 2 2" xfId="12178" xr:uid="{3C95BACE-C8D9-43BC-9EF0-9F204C8F2902}"/>
    <cellStyle name="Comma 17 3 5 2 4 2 3" xfId="13670" xr:uid="{5AC653B6-73B4-4BEA-8DD0-BE44A81B1DF5}"/>
    <cellStyle name="Comma 17 3 5 2 4 3" xfId="13673" xr:uid="{EA876F1E-89A0-45CC-B2FB-2062D98BA744}"/>
    <cellStyle name="Comma 17 3 5 2 4 3 2" xfId="13675" xr:uid="{DEF3D359-79B8-4554-A4BE-1932948BC4E0}"/>
    <cellStyle name="Comma 17 3 5 2 4 4" xfId="13676" xr:uid="{DDD880D0-EF73-4EEA-9C35-1F02BD0B7477}"/>
    <cellStyle name="Comma 17 3 5 2 5" xfId="13677" xr:uid="{882511A5-B8D1-418E-ABBF-F689280DE8B0}"/>
    <cellStyle name="Comma 17 3 5 2 5 2" xfId="13679" xr:uid="{0C1A42F8-700A-41C3-85EB-D21948AF3419}"/>
    <cellStyle name="Comma 17 3 5 2 5 2 2" xfId="13683" xr:uid="{4C66EB5A-27A5-4595-8AC5-800BFBFDF81A}"/>
    <cellStyle name="Comma 17 3 5 2 5 3" xfId="13684" xr:uid="{8FE7EA29-7B5D-4E07-B165-2540B7F2DF26}"/>
    <cellStyle name="Comma 17 3 5 2 6" xfId="13687" xr:uid="{FC6AC174-58AD-4B0E-B4A4-91D7F642C76E}"/>
    <cellStyle name="Comma 17 3 5 2 6 2" xfId="13690" xr:uid="{81995E01-537E-402F-BA4A-000470A0694D}"/>
    <cellStyle name="Comma 17 3 5 2 7" xfId="13692" xr:uid="{9A54B69A-8B34-499B-BBE3-852354DD28BA}"/>
    <cellStyle name="Comma 17 3 5 2 8" xfId="13693" xr:uid="{3D56C8F6-4B5C-4E53-88BA-8E59681820E2}"/>
    <cellStyle name="Comma 17 3 5 3" xfId="13694" xr:uid="{D6CF4667-F4F3-4A54-B3BC-2CC3ED4B3622}"/>
    <cellStyle name="Comma 17 3 5 3 2" xfId="13695" xr:uid="{39589972-F185-424A-914F-842ECB92F44A}"/>
    <cellStyle name="Comma 17 3 5 3 2 2" xfId="13698" xr:uid="{A07EA753-D229-4A87-8441-E67939B2A443}"/>
    <cellStyle name="Comma 17 3 5 3 2 2 2" xfId="13703" xr:uid="{F7BFD8E9-48FF-4CD8-8D77-CA433EFB9099}"/>
    <cellStyle name="Comma 17 3 5 3 2 2 2 2" xfId="13706" xr:uid="{6D1013C7-74AD-4155-9E07-87FA05857544}"/>
    <cellStyle name="Comma 17 3 5 3 2 2 2 2 2" xfId="13708" xr:uid="{E475E983-95C0-4B7B-8A02-99CA1F68C054}"/>
    <cellStyle name="Comma 17 3 5 3 2 2 2 3" xfId="13711" xr:uid="{51180DB4-CBD4-4CEA-BD34-752F7CEA8FC4}"/>
    <cellStyle name="Comma 17 3 5 3 2 2 3" xfId="13714" xr:uid="{516293BE-EAEC-436B-A4DC-1F710675A24E}"/>
    <cellStyle name="Comma 17 3 5 3 2 2 3 2" xfId="13716" xr:uid="{3CFF2396-3307-41B5-86A6-1F813948AE54}"/>
    <cellStyle name="Comma 17 3 5 3 2 2 4" xfId="13718" xr:uid="{07772F4E-6C9B-4150-85C1-9894A088710C}"/>
    <cellStyle name="Comma 17 3 5 3 2 3" xfId="13721" xr:uid="{F3E263FF-31F7-4BE6-A975-51C8E830C7AD}"/>
    <cellStyle name="Comma 17 3 5 3 2 3 2" xfId="13726" xr:uid="{612A47D5-D460-4639-B74C-DD9E497E808D}"/>
    <cellStyle name="Comma 17 3 5 3 2 3 2 2" xfId="13728" xr:uid="{2B23B71C-081B-43D4-B65B-CC538A815973}"/>
    <cellStyle name="Comma 17 3 5 3 2 3 3" xfId="10167" xr:uid="{29EA1189-E08C-4CA6-86D2-9BE30097A37E}"/>
    <cellStyle name="Comma 17 3 5 3 2 4" xfId="13730" xr:uid="{1BC9C8C9-5198-4C24-B5F6-17A2BAF089AC}"/>
    <cellStyle name="Comma 17 3 5 3 2 4 2" xfId="13733" xr:uid="{4F8AFF78-6E3D-4C31-B2AB-056EBCB59F06}"/>
    <cellStyle name="Comma 17 3 5 3 2 5" xfId="13734" xr:uid="{F450FD0D-6436-489E-B73F-CBD28A2ED374}"/>
    <cellStyle name="Comma 17 3 5 3 3" xfId="13735" xr:uid="{66185B9B-EE1B-4A5A-B5D6-0BBE797D5335}"/>
    <cellStyle name="Comma 17 3 5 3 3 2" xfId="13738" xr:uid="{EC675A55-61CC-4AB5-9A5A-454B8B7A6518}"/>
    <cellStyle name="Comma 17 3 5 3 3 2 2" xfId="13741" xr:uid="{71A199FA-6E99-4EE9-8F3B-2F220878A842}"/>
    <cellStyle name="Comma 17 3 5 3 3 2 2 2" xfId="13743" xr:uid="{D24190CE-0BD1-4134-A65F-85EA908283A6}"/>
    <cellStyle name="Comma 17 3 5 3 3 2 3" xfId="13745" xr:uid="{50847EC8-F6BA-463F-8892-70C08A581166}"/>
    <cellStyle name="Comma 17 3 5 3 3 3" xfId="13747" xr:uid="{29AF047D-A901-4DAF-9876-55A93FB13A82}"/>
    <cellStyle name="Comma 17 3 5 3 3 3 2" xfId="13749" xr:uid="{CCC38BF3-7DF9-494C-B1BF-5910D760279A}"/>
    <cellStyle name="Comma 17 3 5 3 3 4" xfId="1731" xr:uid="{D794FD94-DDA9-4064-9B14-FEFAD732922C}"/>
    <cellStyle name="Comma 17 3 5 3 4" xfId="13750" xr:uid="{60524A75-5CE9-47D5-8FD3-CB55EB14A0C3}"/>
    <cellStyle name="Comma 17 3 5 3 4 2" xfId="13752" xr:uid="{E3EDE9D7-15EB-49A2-BEF6-FD79DE8E16FA}"/>
    <cellStyle name="Comma 17 3 5 3 4 2 2" xfId="13756" xr:uid="{E612830D-ECD7-43D4-AC02-DA75E7739090}"/>
    <cellStyle name="Comma 17 3 5 3 4 3" xfId="13757" xr:uid="{21A7CFBD-624D-43AC-9ABE-97C8BDDDE990}"/>
    <cellStyle name="Comma 17 3 5 3 5" xfId="13758" xr:uid="{C181A945-AE44-4700-81C7-7F7F27FD82E0}"/>
    <cellStyle name="Comma 17 3 5 3 5 2" xfId="5708" xr:uid="{F8979979-E60A-4C12-BBD1-64FEF0E805BD}"/>
    <cellStyle name="Comma 17 3 5 3 6" xfId="13760" xr:uid="{4490AB2C-8099-4E6B-AD8D-DAA1CF493612}"/>
    <cellStyle name="Comma 17 3 5 3 7" xfId="13762" xr:uid="{BFF24DAB-31EF-465A-A1D7-14631EABDB52}"/>
    <cellStyle name="Comma 17 3 5 4" xfId="13765" xr:uid="{7D6EE550-930F-4765-B174-8EEAB1FBB414}"/>
    <cellStyle name="Comma 17 3 5 4 2" xfId="13767" xr:uid="{C4C2D3F2-8713-45BB-A4AB-632C581DB9E4}"/>
    <cellStyle name="Comma 17 3 5 4 2 2" xfId="13770" xr:uid="{69B0A779-B300-427B-846E-ECB4A52A2552}"/>
    <cellStyle name="Comma 17 3 5 4 2 2 2" xfId="13773" xr:uid="{B3195D88-F651-4C75-A614-DA2BB9038DBB}"/>
    <cellStyle name="Comma 17 3 5 4 2 2 2 2" xfId="13775" xr:uid="{C15875F4-C3C7-4471-8373-EAA1BC6FBE08}"/>
    <cellStyle name="Comma 17 3 5 4 2 2 3" xfId="13777" xr:uid="{D6096051-D06E-4916-B5A2-1E9FB7F7DAC2}"/>
    <cellStyle name="Comma 17 3 5 4 2 3" xfId="13779" xr:uid="{C398CF55-7B55-46AE-9630-4D0C38F4E0C5}"/>
    <cellStyle name="Comma 17 3 5 4 2 3 2" xfId="13781" xr:uid="{EF264FDB-A72A-4ECE-8A12-0154CC2FEF07}"/>
    <cellStyle name="Comma 17 3 5 4 2 4" xfId="13782" xr:uid="{A9E15176-F87D-4AE6-B653-09CA37858E56}"/>
    <cellStyle name="Comma 17 3 5 4 3" xfId="13783" xr:uid="{6548806F-4619-4DE8-8A56-B08941CDEC17}"/>
    <cellStyle name="Comma 17 3 5 4 3 2" xfId="13785" xr:uid="{D66EFA83-7CA5-4873-9E4C-EC4A5AC02C5D}"/>
    <cellStyle name="Comma 17 3 5 4 3 2 2" xfId="13787" xr:uid="{B66184FE-852E-449B-B3D0-56911BC6BE05}"/>
    <cellStyle name="Comma 17 3 5 4 3 3" xfId="13788" xr:uid="{80188E68-A8E2-48FB-827C-6D2F273B8177}"/>
    <cellStyle name="Comma 17 3 5 4 4" xfId="13789" xr:uid="{D8C95522-A55B-41A2-BFDE-9E2211CDD14E}"/>
    <cellStyle name="Comma 17 3 5 4 4 2" xfId="13790" xr:uid="{57DF26FC-F00E-48E1-A626-F1C8C7178090}"/>
    <cellStyle name="Comma 17 3 5 4 5" xfId="13791" xr:uid="{9ED08EBF-6384-4E7E-A70B-C8C7A7606932}"/>
    <cellStyle name="Comma 17 3 5 5" xfId="13793" xr:uid="{A3BD62F2-875D-4D79-83F7-F4FE3D5F93F4}"/>
    <cellStyle name="Comma 17 3 5 5 2" xfId="13794" xr:uid="{2BCC6742-33E2-4650-BE4A-E40790E5A2E4}"/>
    <cellStyle name="Comma 17 3 5 5 2 2" xfId="13796" xr:uid="{6F566A94-DD46-434C-8907-F420D5F12004}"/>
    <cellStyle name="Comma 17 3 5 5 2 2 2" xfId="13798" xr:uid="{84EAF094-BF1A-4F28-A2EB-48D798F9F2A9}"/>
    <cellStyle name="Comma 17 3 5 5 2 3" xfId="13799" xr:uid="{182DAC36-6455-4390-BF01-EED0286D42A5}"/>
    <cellStyle name="Comma 17 3 5 5 3" xfId="766" xr:uid="{A5BC13DD-E725-4C11-93B9-8152BA7C6D50}"/>
    <cellStyle name="Comma 17 3 5 5 3 2" xfId="5369" xr:uid="{DD9DBE69-B536-432F-BBBB-AD3F5B6A6011}"/>
    <cellStyle name="Comma 17 3 5 5 4" xfId="777" xr:uid="{D37A55CE-8597-41FE-8CAE-293A7721CA98}"/>
    <cellStyle name="Comma 17 3 5 6" xfId="13800" xr:uid="{3DA796C1-A32F-4ECB-A11A-440428BA2913}"/>
    <cellStyle name="Comma 17 3 5 6 2" xfId="13802" xr:uid="{DD70404C-9522-4DA6-B2F0-E8E46E469959}"/>
    <cellStyle name="Comma 17 3 5 6 2 2" xfId="13804" xr:uid="{070F5980-7508-4C24-A6C3-79BAE91412A2}"/>
    <cellStyle name="Comma 17 3 5 6 3" xfId="5383" xr:uid="{99FEAF63-FD49-4CA6-AD12-FC9E56A3EE31}"/>
    <cellStyle name="Comma 17 3 5 7" xfId="13805" xr:uid="{98AA2689-91C8-4C24-A054-F3CE5FCB4230}"/>
    <cellStyle name="Comma 17 3 5 7 2" xfId="9830" xr:uid="{E8E4C346-4C2A-4D61-9A66-2100C46029E9}"/>
    <cellStyle name="Comma 17 3 5 8" xfId="13806" xr:uid="{43DE49AB-4F61-4881-9DF6-EEFA3416E17F}"/>
    <cellStyle name="Comma 17 3 5 9" xfId="13808" xr:uid="{4046B39B-BF40-48FD-B91D-51B919CE3772}"/>
    <cellStyle name="Comma 17 3 6" xfId="13809" xr:uid="{50B87CD9-1C25-4F0A-89A1-AAFD0139FCEF}"/>
    <cellStyle name="Comma 17 3 6 2" xfId="13810" xr:uid="{E2E67A67-B818-4D54-9AB2-2248A3461B8D}"/>
    <cellStyle name="Comma 17 3 6 2 2" xfId="13811" xr:uid="{2F3A0115-7715-4153-9122-B1D590A55CF4}"/>
    <cellStyle name="Comma 17 3 6 2 2 2" xfId="13814" xr:uid="{B1840BD5-258E-47C0-A1CF-ABF7DD1328AC}"/>
    <cellStyle name="Comma 17 3 6 2 2 2 2" xfId="13818" xr:uid="{4B1C7B8E-BC96-46AA-A76E-05DB4313B387}"/>
    <cellStyle name="Comma 17 3 6 2 2 2 2 2" xfId="13822" xr:uid="{981E3CB5-2A6C-424B-A282-996061C5BBA7}"/>
    <cellStyle name="Comma 17 3 6 2 2 2 2 2 2" xfId="13824" xr:uid="{E79DD740-7C18-4796-972F-98D59E5EB108}"/>
    <cellStyle name="Comma 17 3 6 2 2 2 2 3" xfId="13828" xr:uid="{F6B9DCC8-E8C3-4CED-B07D-D07288C01356}"/>
    <cellStyle name="Comma 17 3 6 2 2 2 3" xfId="13832" xr:uid="{D7BAB6E7-4E0A-4D64-88F7-C901E979BF33}"/>
    <cellStyle name="Comma 17 3 6 2 2 2 3 2" xfId="13836" xr:uid="{3C1E6BC3-F9C6-4C3C-8205-0698A0C03733}"/>
    <cellStyle name="Comma 17 3 6 2 2 2 4" xfId="13839" xr:uid="{4204931C-2E15-40F5-AB83-8D8D1D415F27}"/>
    <cellStyle name="Comma 17 3 6 2 2 3" xfId="13842" xr:uid="{6A21FDF2-494A-474F-9ED0-55FC3F3124E1}"/>
    <cellStyle name="Comma 17 3 6 2 2 3 2" xfId="13845" xr:uid="{3522DA8E-E42E-4001-89DB-B000B0412089}"/>
    <cellStyle name="Comma 17 3 6 2 2 3 2 2" xfId="13847" xr:uid="{A7A71F8A-8067-4006-B2ED-0F1602E3B0F8}"/>
    <cellStyle name="Comma 17 3 6 2 2 3 3" xfId="13850" xr:uid="{2E2A431A-66B2-4786-AFAB-3CC6FE3F1375}"/>
    <cellStyle name="Comma 17 3 6 2 2 4" xfId="13852" xr:uid="{5F4AC123-8AEC-4845-8023-24695900E50C}"/>
    <cellStyle name="Comma 17 3 6 2 2 4 2" xfId="13855" xr:uid="{E2B35F86-3DCB-4CF7-A765-70429A6C4B0E}"/>
    <cellStyle name="Comma 17 3 6 2 2 5" xfId="4915" xr:uid="{521C491E-FC7D-439F-9679-BBF2F8A50F4B}"/>
    <cellStyle name="Comma 17 3 6 2 3" xfId="13856" xr:uid="{78685A65-5046-4CF0-9BC9-4FB245E3A6E7}"/>
    <cellStyle name="Comma 17 3 6 2 3 2" xfId="13859" xr:uid="{18D2C166-6F59-4D24-803F-E129265F3673}"/>
    <cellStyle name="Comma 17 3 6 2 3 2 2" xfId="13862" xr:uid="{40D9F083-E1A7-4961-8758-C649721C1D94}"/>
    <cellStyle name="Comma 17 3 6 2 3 2 2 2" xfId="13864" xr:uid="{EB0154ED-5FB8-4A5B-8CDE-9EE53A9CE9BA}"/>
    <cellStyle name="Comma 17 3 6 2 3 2 3" xfId="13867" xr:uid="{E18D975F-0BA7-4FC5-9CBA-67F12A7299B7}"/>
    <cellStyle name="Comma 17 3 6 2 3 3" xfId="13869" xr:uid="{DA0A35E9-D5E7-4BEC-955E-161D31F9730F}"/>
    <cellStyle name="Comma 17 3 6 2 3 3 2" xfId="13871" xr:uid="{4DE72217-361A-4129-9F5B-20116490E756}"/>
    <cellStyle name="Comma 17 3 6 2 3 4" xfId="13872" xr:uid="{0AF69BB2-8D8D-4410-A5F0-9B9CFF315656}"/>
    <cellStyle name="Comma 17 3 6 2 4" xfId="13873" xr:uid="{5DBB2E96-E5AF-4F24-A049-799CC8DD37B6}"/>
    <cellStyle name="Comma 17 3 6 2 4 2" xfId="13875" xr:uid="{AE74F99D-6B8F-453D-BF8E-BF6FD82AB428}"/>
    <cellStyle name="Comma 17 3 6 2 4 2 2" xfId="13878" xr:uid="{26EB5E12-B354-4966-9CE6-ED0443977E9A}"/>
    <cellStyle name="Comma 17 3 6 2 4 3" xfId="13879" xr:uid="{4AB04E0B-9699-48EC-B14C-5635CA7A1A43}"/>
    <cellStyle name="Comma 17 3 6 2 5" xfId="13880" xr:uid="{57C97782-5A7C-4B63-BE41-5524A5F91518}"/>
    <cellStyle name="Comma 17 3 6 2 5 2" xfId="13881" xr:uid="{B9668282-07A1-4C65-98DE-E231251FBBAE}"/>
    <cellStyle name="Comma 17 3 6 2 6" xfId="13883" xr:uid="{B015D65E-4B3C-402D-9936-BED1BB709914}"/>
    <cellStyle name="Comma 17 3 6 2 7" xfId="13884" xr:uid="{C7E69460-A603-4891-901D-CB5EB38E3AD2}"/>
    <cellStyle name="Comma 17 3 6 3" xfId="13885" xr:uid="{44437681-C08A-40B8-A52A-E8866469034C}"/>
    <cellStyle name="Comma 17 3 6 3 2" xfId="13887" xr:uid="{60FCE196-D092-48E4-BCF7-AFC0D94A1F5F}"/>
    <cellStyle name="Comma 17 3 6 3 2 2" xfId="13890" xr:uid="{3E02196A-AD49-44FE-A63D-0C6F45E12CED}"/>
    <cellStyle name="Comma 17 3 6 3 2 2 2" xfId="13893" xr:uid="{261B268B-0567-4156-872C-59F9279A90C6}"/>
    <cellStyle name="Comma 17 3 6 3 2 2 2 2" xfId="13895" xr:uid="{1981521B-A5A8-4BD6-91ED-C1FD6D210D4B}"/>
    <cellStyle name="Comma 17 3 6 3 2 2 3" xfId="13898" xr:uid="{EFFFE4ED-4A88-48A0-B8EA-D18D3DC55D27}"/>
    <cellStyle name="Comma 17 3 6 3 2 3" xfId="13900" xr:uid="{3450D1B7-78B6-46D0-BAB6-3D203C78A38F}"/>
    <cellStyle name="Comma 17 3 6 3 2 3 2" xfId="13902" xr:uid="{03F32EC1-FEBF-48DB-9430-F2D3A40089A0}"/>
    <cellStyle name="Comma 17 3 6 3 2 4" xfId="13903" xr:uid="{91104B12-415A-4B62-85D0-1449F0B37FFB}"/>
    <cellStyle name="Comma 17 3 6 3 3" xfId="13906" xr:uid="{87588EB8-E028-4E50-8165-82D75FF463B1}"/>
    <cellStyle name="Comma 17 3 6 3 3 2" xfId="13908" xr:uid="{451949A2-07D8-4683-8042-C49505BADF4C}"/>
    <cellStyle name="Comma 17 3 6 3 3 2 2" xfId="13910" xr:uid="{F6E0C939-8088-4234-B841-F05DAF8C1CCC}"/>
    <cellStyle name="Comma 17 3 6 3 3 3" xfId="13911" xr:uid="{4B7A3DF8-EA92-4251-8F9F-264A743B379D}"/>
    <cellStyle name="Comma 17 3 6 3 4" xfId="13913" xr:uid="{08B31EB7-AA80-41F0-B013-3BF876CF2CFC}"/>
    <cellStyle name="Comma 17 3 6 3 4 2" xfId="3082" xr:uid="{5866B7F3-E6C0-4DCA-9137-9D91528BFB5D}"/>
    <cellStyle name="Comma 17 3 6 3 5" xfId="13914" xr:uid="{31BD35BE-45CE-4D94-AC24-7B9140F55CE0}"/>
    <cellStyle name="Comma 17 3 6 4" xfId="13916" xr:uid="{28048CFA-7026-4EB0-9366-A86BA6976327}"/>
    <cellStyle name="Comma 17 3 6 4 2" xfId="13917" xr:uid="{006CD92B-5D46-491A-B29F-A2ECBA549366}"/>
    <cellStyle name="Comma 17 3 6 4 2 2" xfId="13919" xr:uid="{6D7F5388-235F-4637-84A2-10BB4EE89FC6}"/>
    <cellStyle name="Comma 17 3 6 4 2 2 2" xfId="13921" xr:uid="{7B92859C-34C1-44BA-BF35-1447BBE9E885}"/>
    <cellStyle name="Comma 17 3 6 4 2 3" xfId="13922" xr:uid="{D636EC07-2C96-4C38-A141-47F12E704C4C}"/>
    <cellStyle name="Comma 17 3 6 4 3" xfId="13923" xr:uid="{75216CCB-5755-4987-934D-230CE63C8502}"/>
    <cellStyle name="Comma 17 3 6 4 3 2" xfId="13924" xr:uid="{AFBBE6AD-CAA8-4F6D-BEC5-D7843AF49E61}"/>
    <cellStyle name="Comma 17 3 6 4 4" xfId="13925" xr:uid="{05EBBF79-44E5-4932-A9ED-E44E3CD9EEE2}"/>
    <cellStyle name="Comma 17 3 6 5" xfId="13927" xr:uid="{E10BD71F-42AC-4878-A6DE-4E601C54E0E8}"/>
    <cellStyle name="Comma 17 3 6 5 2" xfId="13929" xr:uid="{2BD40865-30E5-453B-8DD2-302EEC96CAD5}"/>
    <cellStyle name="Comma 17 3 6 5 2 2" xfId="13930" xr:uid="{88BF62AD-ED48-4D33-B4FF-4E2302FB7B38}"/>
    <cellStyle name="Comma 17 3 6 5 3" xfId="5402" xr:uid="{79D3651E-9907-4226-A0F3-C3AE2B4532E5}"/>
    <cellStyle name="Comma 17 3 6 6" xfId="13932" xr:uid="{80F40B51-EAB9-4E6B-A199-F21E057235F7}"/>
    <cellStyle name="Comma 17 3 6 6 2" xfId="13934" xr:uid="{9140297F-7D8D-4610-9707-64E44BBD803A}"/>
    <cellStyle name="Comma 17 3 6 7" xfId="13935" xr:uid="{53570182-DE1A-4C8A-A13F-EEF421DC55A8}"/>
    <cellStyle name="Comma 17 3 6 8" xfId="13936" xr:uid="{99B81110-B66A-47A9-9822-7FE8E66762A0}"/>
    <cellStyle name="Comma 17 3 7" xfId="13937" xr:uid="{95BC6C83-FFC4-4B8D-A8B3-BC1A68A0A8D9}"/>
    <cellStyle name="Comma 17 3 7 2" xfId="13938" xr:uid="{35797C42-749A-45F2-938F-8440D89B18D0}"/>
    <cellStyle name="Comma 17 3 7 2 2" xfId="13939" xr:uid="{44FB01A3-A141-4E11-A31B-428CD5C88A7C}"/>
    <cellStyle name="Comma 17 3 7 2 2 2" xfId="13948" xr:uid="{59FF22F9-556F-4767-9AD9-4AC42F7CB509}"/>
    <cellStyle name="Comma 17 3 7 2 2 2 2" xfId="13956" xr:uid="{9A4BE4D1-3594-4F62-8692-0DA7E19A2EDC}"/>
    <cellStyle name="Comma 17 3 7 2 2 2 2 2" xfId="13960" xr:uid="{80D99046-01CB-475A-B005-0A8840712162}"/>
    <cellStyle name="Comma 17 3 7 2 2 2 3" xfId="13963" xr:uid="{03F27F77-1EBD-4BCD-8153-6261BCE936C3}"/>
    <cellStyle name="Comma 17 3 7 2 2 3" xfId="9628" xr:uid="{7AFE0E42-A06B-4450-B4A0-DA0FBE8A3944}"/>
    <cellStyle name="Comma 17 3 7 2 2 3 2" xfId="7660" xr:uid="{F557A7B2-8DBC-4BDC-B9AF-71B613347C75}"/>
    <cellStyle name="Comma 17 3 7 2 2 4" xfId="9629" xr:uid="{74308BE0-CC97-4D14-A5AC-0989780FF774}"/>
    <cellStyle name="Comma 17 3 7 2 3" xfId="13965" xr:uid="{C3FCF767-2B2D-49E6-9452-768D5A09E25D}"/>
    <cellStyle name="Comma 17 3 7 2 3 2" xfId="13974" xr:uid="{5D42249A-77CF-4411-AC8F-E38F3FC1A59B}"/>
    <cellStyle name="Comma 17 3 7 2 3 2 2" xfId="13978" xr:uid="{DEDC6DE9-D4F7-4510-8E90-5BEAC5855846}"/>
    <cellStyle name="Comma 17 3 7 2 3 3" xfId="9639" xr:uid="{6A6D9652-9D17-4230-9E5C-30812B48493A}"/>
    <cellStyle name="Comma 17 3 7 2 4" xfId="13981" xr:uid="{41728755-28DE-4DA8-ADF4-DA3F963FF5D0}"/>
    <cellStyle name="Comma 17 3 7 2 4 2" xfId="13987" xr:uid="{CCD8C7C3-AFDF-4922-A660-040D5EF8F0CE}"/>
    <cellStyle name="Comma 17 3 7 2 5" xfId="13992" xr:uid="{618D4B7C-DDDC-4794-A271-5B9B576B51C3}"/>
    <cellStyle name="Comma 17 3 7 3" xfId="13993" xr:uid="{DBD2AD85-9E14-4D49-8213-F77B791087E2}"/>
    <cellStyle name="Comma 17 3 7 3 2" xfId="13996" xr:uid="{C01131CF-C28C-4CFF-9981-FAA415ECF8C2}"/>
    <cellStyle name="Comma 17 3 7 3 2 2" xfId="14000" xr:uid="{472BEB8E-45DF-4AA1-800A-C449BEBEF804}"/>
    <cellStyle name="Comma 17 3 7 3 2 2 2" xfId="9428" xr:uid="{256B27DC-30D3-4594-8440-9DAFD77BCFAE}"/>
    <cellStyle name="Comma 17 3 7 3 2 3" xfId="9654" xr:uid="{69E3D1A1-92CE-4EF9-932B-2B95A8A4F7DC}"/>
    <cellStyle name="Comma 17 3 7 3 3" xfId="14003" xr:uid="{F0489C9E-566A-4AFF-BC6E-9F9D2CD37B40}"/>
    <cellStyle name="Comma 17 3 7 3 3 2" xfId="14010" xr:uid="{272FCB80-CBCC-44E5-A56F-0E4E4361AC0C}"/>
    <cellStyle name="Comma 17 3 7 3 4" xfId="14015" xr:uid="{C77FE61A-E158-4AEA-B789-E0C9FE6B17A1}"/>
    <cellStyle name="Comma 17 3 7 4" xfId="14016" xr:uid="{B3671216-DB4C-4D23-9425-285ABE2AA072}"/>
    <cellStyle name="Comma 17 3 7 4 2" xfId="14019" xr:uid="{C48B7099-9BA6-4695-8B55-13B3A2C5AED8}"/>
    <cellStyle name="Comma 17 3 7 4 2 2" xfId="14022" xr:uid="{61FA49A4-B36C-4DB0-87B0-513D4A007F4D}"/>
    <cellStyle name="Comma 17 3 7 4 3" xfId="14025" xr:uid="{48A39CC0-5404-4790-95C0-6AF3A88E4EA6}"/>
    <cellStyle name="Comma 17 3 7 5" xfId="14029" xr:uid="{99353897-F1F4-4DC6-9054-B5303110D89B}"/>
    <cellStyle name="Comma 17 3 7 5 2" xfId="14030" xr:uid="{891E576E-2DC8-47B1-BC5C-F17D147C1DEB}"/>
    <cellStyle name="Comma 17 3 7 6" xfId="14031" xr:uid="{E9C9AC4B-9B1A-4574-9AE5-284EB4CE2B9F}"/>
    <cellStyle name="Comma 17 3 7 7" xfId="14032" xr:uid="{F072DD53-3472-4777-AE1D-F7F323EE03BC}"/>
    <cellStyle name="Comma 17 3 8" xfId="14033" xr:uid="{CC6E4951-7C55-4C9D-B4B6-7518B6171AF9}"/>
    <cellStyle name="Comma 17 3 8 2" xfId="14034" xr:uid="{32569936-F284-40A6-8E87-69233B3C86CA}"/>
    <cellStyle name="Comma 17 3 8 2 2" xfId="14035" xr:uid="{089D0F82-287F-4399-814B-8784BA313E8D}"/>
    <cellStyle name="Comma 17 3 8 2 2 2" xfId="14040" xr:uid="{551ED5F5-13D9-43BA-AA0C-AC944815CB28}"/>
    <cellStyle name="Comma 17 3 8 2 2 2 2" xfId="14042" xr:uid="{9472E4BE-222C-4CD9-B57A-2428A26EEF08}"/>
    <cellStyle name="Comma 17 3 8 2 2 3" xfId="9803" xr:uid="{E845B9F6-EDD7-462B-8CAA-3C2F72E5C0D8}"/>
    <cellStyle name="Comma 17 3 8 2 3" xfId="14043" xr:uid="{15A10BAC-71B5-4A25-9BA6-850C5A0FD758}"/>
    <cellStyle name="Comma 17 3 8 2 3 2" xfId="14048" xr:uid="{67CCF7A4-57D2-44E3-98AF-A52B48073AC9}"/>
    <cellStyle name="Comma 17 3 8 2 4" xfId="14051" xr:uid="{0B0D8021-201C-476C-858B-CFB2849B60B9}"/>
    <cellStyle name="Comma 17 3 8 3" xfId="14052" xr:uid="{8AB4C76F-D97E-4498-B445-4E8C704467E0}"/>
    <cellStyle name="Comma 17 3 8 3 2" xfId="14053" xr:uid="{087FFDB9-6335-4265-87B7-19204EEF4988}"/>
    <cellStyle name="Comma 17 3 8 3 2 2" xfId="14056" xr:uid="{DE5C3390-1B00-48AE-B1BE-7FC77B17A59C}"/>
    <cellStyle name="Comma 17 3 8 3 3" xfId="14057" xr:uid="{5862464C-1CAD-41FC-A8F5-6A9F2140D246}"/>
    <cellStyle name="Comma 17 3 8 4" xfId="14058" xr:uid="{4738236C-1E36-47B5-88BC-01C9D0979D5E}"/>
    <cellStyle name="Comma 17 3 8 4 2" xfId="14059" xr:uid="{41B5ED55-249D-4223-A360-BE5722DB77C0}"/>
    <cellStyle name="Comma 17 3 8 5" xfId="14060" xr:uid="{CEBB4D4D-E08F-4A32-B9A2-D8D28700A1CB}"/>
    <cellStyle name="Comma 17 3 9" xfId="14061" xr:uid="{07F9C291-7E50-4647-8BD9-BC80A0624BCA}"/>
    <cellStyle name="Comma 17 3 9 2" xfId="14064" xr:uid="{428DA1CB-3F47-4952-AA97-C39F95405A61}"/>
    <cellStyle name="Comma 17 3 9 2 2" xfId="14066" xr:uid="{5B4DCDAD-2CCB-4099-9ED4-10C583DFB70B}"/>
    <cellStyle name="Comma 17 3 9 2 2 2" xfId="14067" xr:uid="{82036488-FB6A-4839-8BA4-A8DB66356380}"/>
    <cellStyle name="Comma 17 3 9 2 3" xfId="14069" xr:uid="{A0F25C41-1699-47C2-822D-2D6C5E8055D2}"/>
    <cellStyle name="Comma 17 3 9 3" xfId="14071" xr:uid="{C61B9C7B-3059-43D6-99F5-9876BF68212F}"/>
    <cellStyle name="Comma 17 3 9 3 2" xfId="14072" xr:uid="{97C53EF6-9D5E-4C14-B69D-6BCAE088138E}"/>
    <cellStyle name="Comma 17 3 9 4" xfId="14073" xr:uid="{2C4C23B7-165B-40BA-A143-5D6F7498A58F}"/>
    <cellStyle name="Comma 17 4" xfId="14074" xr:uid="{0BCB21D1-FE1B-41BA-B47C-875826245710}"/>
    <cellStyle name="Comma 17 4 10" xfId="14077" xr:uid="{B47E8980-A0B8-4B42-9472-EB6AE2B0F8BD}"/>
    <cellStyle name="Comma 17 4 10 2" xfId="14078" xr:uid="{EAA87B7D-DF20-4E83-8CF5-823DCFB3A3B4}"/>
    <cellStyle name="Comma 17 4 11" xfId="14080" xr:uid="{20B0F03D-51EB-4909-9AFF-18A987D26D0B}"/>
    <cellStyle name="Comma 17 4 12" xfId="14081" xr:uid="{B670B25D-2AE1-42CA-B365-772CBBF52840}"/>
    <cellStyle name="Comma 17 4 13" xfId="14082" xr:uid="{67971139-8676-47AA-8AD7-2F4E4335AB31}"/>
    <cellStyle name="Comma 17 4 2" xfId="14083" xr:uid="{AA0367C7-2989-490B-9922-D07F7E88DB0F}"/>
    <cellStyle name="Comma 17 4 2 10" xfId="4894" xr:uid="{9AA41E7D-EE3F-4F9D-A89B-3E87DCBC98FE}"/>
    <cellStyle name="Comma 17 4 2 11" xfId="4906" xr:uid="{5FFDA373-94B1-4699-A755-165B854D05BE}"/>
    <cellStyle name="Comma 17 4 2 2" xfId="14084" xr:uid="{37C84374-B712-402C-A0E2-62D32AB2450E}"/>
    <cellStyle name="Comma 17 4 2 2 10" xfId="14087" xr:uid="{B99782E3-F189-4016-9664-73C7D0FD461C}"/>
    <cellStyle name="Comma 17 4 2 2 2" xfId="14092" xr:uid="{C5A0549E-D869-48B0-B07B-515D49B6616F}"/>
    <cellStyle name="Comma 17 4 2 2 2 2" xfId="14093" xr:uid="{9DEEE6C8-6AEA-4B47-ACA4-F0A9ACDE7B2C}"/>
    <cellStyle name="Comma 17 4 2 2 2 2 2" xfId="14094" xr:uid="{23D8191B-F1D9-4151-8257-3101F5C7E53F}"/>
    <cellStyle name="Comma 17 4 2 2 2 2 2 2" xfId="14095" xr:uid="{5E5E68C4-13EB-4032-82C0-5144F379FCFE}"/>
    <cellStyle name="Comma 17 4 2 2 2 2 2 2 2" xfId="14096" xr:uid="{E7EF2DAA-8F86-43A4-997A-7B966F106013}"/>
    <cellStyle name="Comma 17 4 2 2 2 2 2 2 2 2" xfId="14097" xr:uid="{D20AEC10-92C5-40D6-9D9B-48BDAFC7212E}"/>
    <cellStyle name="Comma 17 4 2 2 2 2 2 2 2 2 2" xfId="14098" xr:uid="{821DD64D-2C2E-4185-A988-E46F154A8370}"/>
    <cellStyle name="Comma 17 4 2 2 2 2 2 2 2 2 2 2" xfId="14099" xr:uid="{CDF93E87-84C2-45E5-9FFD-7005E3915E8B}"/>
    <cellStyle name="Comma 17 4 2 2 2 2 2 2 2 2 3" xfId="14101" xr:uid="{529E3601-BFC2-4740-9232-E19D76942F30}"/>
    <cellStyle name="Comma 17 4 2 2 2 2 2 2 2 3" xfId="14104" xr:uid="{754FBC3A-9437-49D6-B4D1-65910C3E02D2}"/>
    <cellStyle name="Comma 17 4 2 2 2 2 2 2 2 3 2" xfId="14106" xr:uid="{4B69C146-329B-4D43-9B81-6BC359AA5322}"/>
    <cellStyle name="Comma 17 4 2 2 2 2 2 2 2 4" xfId="6679" xr:uid="{02E0B099-07A3-4835-BD51-4F2DA6F6C404}"/>
    <cellStyle name="Comma 17 4 2 2 2 2 2 2 3" xfId="14107" xr:uid="{5DC8517D-1B10-420C-BCBF-435F6E740BC1}"/>
    <cellStyle name="Comma 17 4 2 2 2 2 2 2 3 2" xfId="14108" xr:uid="{7FDBCB23-66D9-4D7F-BC10-4D25A9A6A14E}"/>
    <cellStyle name="Comma 17 4 2 2 2 2 2 2 3 2 2" xfId="14109" xr:uid="{03CC5777-1406-4380-A73E-07291F2B7113}"/>
    <cellStyle name="Comma 17 4 2 2 2 2 2 2 3 3" xfId="14111" xr:uid="{99B32525-395B-4A1D-B57C-6B81F4811358}"/>
    <cellStyle name="Comma 17 4 2 2 2 2 2 2 4" xfId="10716" xr:uid="{C626C789-39ED-41E0-AB68-BF9D07C6F006}"/>
    <cellStyle name="Comma 17 4 2 2 2 2 2 2 4 2" xfId="10718" xr:uid="{AF6489CB-7672-4EFC-A99F-438E077DA999}"/>
    <cellStyle name="Comma 17 4 2 2 2 2 2 2 5" xfId="10721" xr:uid="{352490DA-A09C-4DC0-A3F6-619C93018BF0}"/>
    <cellStyle name="Comma 17 4 2 2 2 2 2 3" xfId="14112" xr:uid="{6DBE24E2-3D5D-49EC-8AFF-1205E1AD985F}"/>
    <cellStyle name="Comma 17 4 2 2 2 2 2 3 2" xfId="14113" xr:uid="{156483D7-FEFB-43AB-8386-8C2EC316050B}"/>
    <cellStyle name="Comma 17 4 2 2 2 2 2 3 2 2" xfId="14114" xr:uid="{6D508961-3FDB-4D62-A4EE-89DA07D41F61}"/>
    <cellStyle name="Comma 17 4 2 2 2 2 2 3 2 2 2" xfId="14115" xr:uid="{B528DC9C-E34B-47BF-8387-FA244CC68959}"/>
    <cellStyle name="Comma 17 4 2 2 2 2 2 3 2 3" xfId="14117" xr:uid="{2DD226DE-EA2D-41D6-92D7-32D7C798881C}"/>
    <cellStyle name="Comma 17 4 2 2 2 2 2 3 3" xfId="14119" xr:uid="{36C7765C-83A5-43CA-A577-AE5E65E4BC7F}"/>
    <cellStyle name="Comma 17 4 2 2 2 2 2 3 3 2" xfId="14121" xr:uid="{8B4C3E63-E88A-4C40-A1AB-14E0171E1A0E}"/>
    <cellStyle name="Comma 17 4 2 2 2 2 2 3 4" xfId="10725" xr:uid="{7BAC350B-31EA-4614-9A25-D7300DA7289F}"/>
    <cellStyle name="Comma 17 4 2 2 2 2 2 4" xfId="3123" xr:uid="{7562A2AD-10FC-4315-B9AC-92BA81528820}"/>
    <cellStyle name="Comma 17 4 2 2 2 2 2 4 2" xfId="14124" xr:uid="{703D474B-3194-4120-9624-50BB2AB73A14}"/>
    <cellStyle name="Comma 17 4 2 2 2 2 2 4 2 2" xfId="14126" xr:uid="{6AA1CDA9-2DB6-43F6-9008-2BDE008E04C7}"/>
    <cellStyle name="Comma 17 4 2 2 2 2 2 4 3" xfId="14130" xr:uid="{DE1FAAE7-9C54-4B39-AF4C-6AA4BA5824A4}"/>
    <cellStyle name="Comma 17 4 2 2 2 2 2 5" xfId="14131" xr:uid="{17DE2064-F5BD-432E-BC03-8A3296A81D1F}"/>
    <cellStyle name="Comma 17 4 2 2 2 2 2 5 2" xfId="14134" xr:uid="{C412BA52-50FF-4FEB-958D-FF419DEE6A19}"/>
    <cellStyle name="Comma 17 4 2 2 2 2 2 6" xfId="14136" xr:uid="{5ABA4BBF-9551-4F97-9F3D-575A69DD78B1}"/>
    <cellStyle name="Comma 17 4 2 2 2 2 2 7" xfId="14138" xr:uid="{0B151FA7-EB4B-4211-9788-E3BA6C52ECE0}"/>
    <cellStyle name="Comma 17 4 2 2 2 2 3" xfId="14139" xr:uid="{DE196C11-F29C-441B-AF2B-BD8D3A00A80D}"/>
    <cellStyle name="Comma 17 4 2 2 2 2 3 2" xfId="14140" xr:uid="{669BAB9E-36F8-4486-A0BD-8E0463ED38FA}"/>
    <cellStyle name="Comma 17 4 2 2 2 2 3 2 2" xfId="14141" xr:uid="{F7EA7225-8D68-4BFF-AD52-8CA34B92511B}"/>
    <cellStyle name="Comma 17 4 2 2 2 2 3 2 2 2" xfId="14142" xr:uid="{1B0F12EA-DE8D-4D4E-BAF5-4C277370E60F}"/>
    <cellStyle name="Comma 17 4 2 2 2 2 3 2 2 2 2" xfId="14143" xr:uid="{B9483729-625D-4E9C-AD0E-2742B65BFE5A}"/>
    <cellStyle name="Comma 17 4 2 2 2 2 3 2 2 3" xfId="14145" xr:uid="{9806E868-ABD5-4E09-9255-CB01BF2C47CE}"/>
    <cellStyle name="Comma 17 4 2 2 2 2 3 2 3" xfId="14146" xr:uid="{22870C97-4EBD-44A6-8DBD-E6BB76F6CD18}"/>
    <cellStyle name="Comma 17 4 2 2 2 2 3 2 3 2" xfId="14147" xr:uid="{A1C62E91-16F2-44B5-BA69-62B9A013327F}"/>
    <cellStyle name="Comma 17 4 2 2 2 2 3 2 4" xfId="10733" xr:uid="{C88368AE-CEEE-466A-9112-5D203EDD2CAE}"/>
    <cellStyle name="Comma 17 4 2 2 2 2 3 3" xfId="14148" xr:uid="{4E19EAF8-67D9-483F-AD19-CC73150808E7}"/>
    <cellStyle name="Comma 17 4 2 2 2 2 3 3 2" xfId="14149" xr:uid="{131B6934-C555-4F1C-88A3-3D175DA6A3C4}"/>
    <cellStyle name="Comma 17 4 2 2 2 2 3 3 2 2" xfId="14150" xr:uid="{23EEE946-0BB8-424A-97F7-CDD74B5DE06B}"/>
    <cellStyle name="Comma 17 4 2 2 2 2 3 3 3" xfId="14152" xr:uid="{28EFA395-B58E-42B3-AE4E-DBE3F1719006}"/>
    <cellStyle name="Comma 17 4 2 2 2 2 3 4" xfId="14153" xr:uid="{3F99BE18-DCEF-481B-B052-DB2627DAF108}"/>
    <cellStyle name="Comma 17 4 2 2 2 2 3 4 2" xfId="14154" xr:uid="{1FC09B62-5878-41E8-8DC1-9743ECF386C2}"/>
    <cellStyle name="Comma 17 4 2 2 2 2 3 5" xfId="14155" xr:uid="{ADC06EF9-914E-4384-9D82-0968B750E120}"/>
    <cellStyle name="Comma 17 4 2 2 2 2 4" xfId="14156" xr:uid="{C6D542BD-C5D7-4192-9BF6-1C8E7E2B1DEA}"/>
    <cellStyle name="Comma 17 4 2 2 2 2 4 2" xfId="14157" xr:uid="{44DD159C-64B8-4997-B804-A6F1C8F3A6C2}"/>
    <cellStyle name="Comma 17 4 2 2 2 2 4 2 2" xfId="14160" xr:uid="{9D18B4F3-5BCF-40C6-8087-4E29021AB927}"/>
    <cellStyle name="Comma 17 4 2 2 2 2 4 2 2 2" xfId="14163" xr:uid="{796B3CCF-4536-4F5E-885D-22E50DEF59C4}"/>
    <cellStyle name="Comma 17 4 2 2 2 2 4 2 3" xfId="14167" xr:uid="{D9E684D4-11B8-4DEC-AAB4-A015E4C125E9}"/>
    <cellStyle name="Comma 17 4 2 2 2 2 4 3" xfId="14168" xr:uid="{68207125-279C-471F-B3E9-FF3B5B7AC11A}"/>
    <cellStyle name="Comma 17 4 2 2 2 2 4 3 2" xfId="14169" xr:uid="{375A5CDC-3B14-422F-AC83-7F940E493A8E}"/>
    <cellStyle name="Comma 17 4 2 2 2 2 4 4" xfId="14170" xr:uid="{3B985095-0FAE-422B-AE93-79EE3A5438D4}"/>
    <cellStyle name="Comma 17 4 2 2 2 2 5" xfId="14171" xr:uid="{6122F0E4-7087-430E-8172-C0C375B95FE4}"/>
    <cellStyle name="Comma 17 4 2 2 2 2 5 2" xfId="14172" xr:uid="{FF055F71-C6CD-4FA0-B4D4-495F8BED403F}"/>
    <cellStyle name="Comma 17 4 2 2 2 2 5 2 2" xfId="14173" xr:uid="{2900C8CD-18E7-4284-9FC6-967EBCDAB366}"/>
    <cellStyle name="Comma 17 4 2 2 2 2 5 3" xfId="14174" xr:uid="{4EC7CCD0-65DD-4211-B16D-12ECF318B3FD}"/>
    <cellStyle name="Comma 17 4 2 2 2 2 6" xfId="14177" xr:uid="{1ADB2984-0C0A-4B77-8334-D1194C0E8279}"/>
    <cellStyle name="Comma 17 4 2 2 2 2 6 2" xfId="14179" xr:uid="{7BBAC819-BE05-420C-A5F5-00BA75A243CA}"/>
    <cellStyle name="Comma 17 4 2 2 2 2 7" xfId="14181" xr:uid="{E7E6AA4E-3F9F-4CA3-B5B3-FC785AF1608D}"/>
    <cellStyle name="Comma 17 4 2 2 2 2 8" xfId="14183" xr:uid="{510C904A-5B57-40FA-97B0-91CB6B1B2151}"/>
    <cellStyle name="Comma 17 4 2 2 2 3" xfId="14186" xr:uid="{04417777-7265-4E2D-A232-8881974DB3AE}"/>
    <cellStyle name="Comma 17 4 2 2 2 3 2" xfId="14187" xr:uid="{2B436ACF-29DA-4A52-BDDD-47F596077039}"/>
    <cellStyle name="Comma 17 4 2 2 2 3 2 2" xfId="14188" xr:uid="{A534DD56-F5E1-4B9A-92DD-0051AAC40295}"/>
    <cellStyle name="Comma 17 4 2 2 2 3 2 2 2" xfId="14189" xr:uid="{E03F8FEB-4BEF-46D5-AFFB-BECAC4182675}"/>
    <cellStyle name="Comma 17 4 2 2 2 3 2 2 2 2" xfId="14190" xr:uid="{A74D7AE2-77D7-4613-8ED0-2FB80F667ACF}"/>
    <cellStyle name="Comma 17 4 2 2 2 3 2 2 2 2 2" xfId="14191" xr:uid="{4C99B52F-3836-414A-A904-F245A6B9B7B5}"/>
    <cellStyle name="Comma 17 4 2 2 2 3 2 2 2 3" xfId="14193" xr:uid="{2D62F93C-B79B-4BFC-99B7-D2E1AE3BA92C}"/>
    <cellStyle name="Comma 17 4 2 2 2 3 2 2 3" xfId="14194" xr:uid="{D3B088E9-EA2C-4E1E-8832-0696EBCBABB6}"/>
    <cellStyle name="Comma 17 4 2 2 2 3 2 2 3 2" xfId="14195" xr:uid="{31007826-BBC3-4F4A-92B3-EED7247A864B}"/>
    <cellStyle name="Comma 17 4 2 2 2 3 2 2 4" xfId="10791" xr:uid="{4F369E21-D710-47DC-BFAD-065361A7EFA4}"/>
    <cellStyle name="Comma 17 4 2 2 2 3 2 3" xfId="14196" xr:uid="{E5A77B0B-DB45-4BF6-B7C9-52AAB8B10339}"/>
    <cellStyle name="Comma 17 4 2 2 2 3 2 3 2" xfId="14197" xr:uid="{A8279467-A989-4E9D-B500-C5C2DE0DF82E}"/>
    <cellStyle name="Comma 17 4 2 2 2 3 2 3 2 2" xfId="14198" xr:uid="{C97C5F94-E982-4DAF-AF82-94E54C8B7873}"/>
    <cellStyle name="Comma 17 4 2 2 2 3 2 3 3" xfId="14200" xr:uid="{B8693BC7-199C-47C2-997F-7D205EF76F14}"/>
    <cellStyle name="Comma 17 4 2 2 2 3 2 4" xfId="14201" xr:uid="{6F615518-0182-4565-BFD4-187A40DE8FE5}"/>
    <cellStyle name="Comma 17 4 2 2 2 3 2 4 2" xfId="14203" xr:uid="{4ACE88A3-A0EB-4A9E-8B28-3C38B78AF08F}"/>
    <cellStyle name="Comma 17 4 2 2 2 3 2 5" xfId="14204" xr:uid="{3D0532E6-A2A1-49FF-8C84-A0EB3646A2EB}"/>
    <cellStyle name="Comma 17 4 2 2 2 3 3" xfId="14205" xr:uid="{6BE3C07B-102B-44D5-8DC9-D607EB0FCD43}"/>
    <cellStyle name="Comma 17 4 2 2 2 3 3 2" xfId="14206" xr:uid="{EE945690-2E80-4387-AECB-518CD581A3D4}"/>
    <cellStyle name="Comma 17 4 2 2 2 3 3 2 2" xfId="14207" xr:uid="{648BD9AB-F93D-453A-B718-78A806E7A95C}"/>
    <cellStyle name="Comma 17 4 2 2 2 3 3 2 2 2" xfId="14208" xr:uid="{580FFBD8-B436-469C-9A76-DE321D14E18A}"/>
    <cellStyle name="Comma 17 4 2 2 2 3 3 2 3" xfId="14211" xr:uid="{4A59323F-A271-4368-A3A4-F18B430F1018}"/>
    <cellStyle name="Comma 17 4 2 2 2 3 3 3" xfId="14212" xr:uid="{0FD32987-8B90-4F25-A1F8-D85080F23D71}"/>
    <cellStyle name="Comma 17 4 2 2 2 3 3 3 2" xfId="14213" xr:uid="{2496FD76-081B-4294-A1D3-1EF9CC147323}"/>
    <cellStyle name="Comma 17 4 2 2 2 3 3 4" xfId="14214" xr:uid="{BB53A4E8-7945-4C5A-ACAB-EEFB0751702F}"/>
    <cellStyle name="Comma 17 4 2 2 2 3 4" xfId="6070" xr:uid="{8756ABC0-D196-4C85-B92B-F5ED1101D3B2}"/>
    <cellStyle name="Comma 17 4 2 2 2 3 4 2" xfId="5065" xr:uid="{82DBDFD2-CA75-49FF-8CD8-AA6F613E160E}"/>
    <cellStyle name="Comma 17 4 2 2 2 3 4 2 2" xfId="14215" xr:uid="{B8FF089B-CEBE-451E-8C1B-761E5339E3E3}"/>
    <cellStyle name="Comma 17 4 2 2 2 3 4 3" xfId="14216" xr:uid="{7B567985-C054-48DD-B745-8DEDC1579A47}"/>
    <cellStyle name="Comma 17 4 2 2 2 3 5" xfId="4909" xr:uid="{4CF6B900-D889-4CE6-9595-8CC33E9EB271}"/>
    <cellStyle name="Comma 17 4 2 2 2 3 5 2" xfId="14217" xr:uid="{ADC43812-AE53-4E55-B11F-D3B617ED6456}"/>
    <cellStyle name="Comma 17 4 2 2 2 3 6" xfId="14219" xr:uid="{20AEA94D-1C20-4078-AB8D-A04C9C319858}"/>
    <cellStyle name="Comma 17 4 2 2 2 3 7" xfId="9201" xr:uid="{B586719E-5B7A-4B78-A87F-20CC026E32D5}"/>
    <cellStyle name="Comma 17 4 2 2 2 4" xfId="14222" xr:uid="{B3435964-A552-4784-AC71-3881A7C4C174}"/>
    <cellStyle name="Comma 17 4 2 2 2 4 2" xfId="14223" xr:uid="{EAFCD3D8-131C-4221-93F9-EF7DF1FC8B49}"/>
    <cellStyle name="Comma 17 4 2 2 2 4 2 2" xfId="14224" xr:uid="{BE797114-FB98-41C3-A95C-1A4D726A4A85}"/>
    <cellStyle name="Comma 17 4 2 2 2 4 2 2 2" xfId="14225" xr:uid="{6C3C3A79-2EC0-4495-B282-1F6F4FF71B49}"/>
    <cellStyle name="Comma 17 4 2 2 2 4 2 2 2 2" xfId="14226" xr:uid="{FF9DE6A3-1D30-40EB-98E1-8B76C4531AD0}"/>
    <cellStyle name="Comma 17 4 2 2 2 4 2 2 3" xfId="14227" xr:uid="{71D28577-A2DC-488A-8D91-D5D68A2691B8}"/>
    <cellStyle name="Comma 17 4 2 2 2 4 2 3" xfId="14229" xr:uid="{1DBE64FB-F40A-4123-81AE-89E41A1B2E61}"/>
    <cellStyle name="Comma 17 4 2 2 2 4 2 3 2" xfId="14230" xr:uid="{BDAAE465-224C-4948-AB7E-D59BDB824128}"/>
    <cellStyle name="Comma 17 4 2 2 2 4 2 4" xfId="14231" xr:uid="{E148737E-B533-476B-94CA-7E3A831E3053}"/>
    <cellStyle name="Comma 17 4 2 2 2 4 3" xfId="14232" xr:uid="{448B9E57-F1D2-4E2D-AD3E-8F04ECC74DB5}"/>
    <cellStyle name="Comma 17 4 2 2 2 4 3 2" xfId="14233" xr:uid="{67F2AC8D-4B8E-4C1E-8B2F-4368A2D86AFD}"/>
    <cellStyle name="Comma 17 4 2 2 2 4 3 2 2" xfId="14234" xr:uid="{F7062A12-665E-4041-B1D6-FA3548503BA0}"/>
    <cellStyle name="Comma 17 4 2 2 2 4 3 3" xfId="14235" xr:uid="{55D33E3C-07D1-451E-9DEA-E6EE819FEAC2}"/>
    <cellStyle name="Comma 17 4 2 2 2 4 4" xfId="6473" xr:uid="{35A58691-2264-40A6-A917-016D9C155373}"/>
    <cellStyle name="Comma 17 4 2 2 2 4 4 2" xfId="14236" xr:uid="{2EA11C99-623E-4932-8B5F-4BE769D59ED8}"/>
    <cellStyle name="Comma 17 4 2 2 2 4 5" xfId="14237" xr:uid="{BC3E99F9-5BB3-4CC7-A7FD-DB06441C0F53}"/>
    <cellStyle name="Comma 17 4 2 2 2 5" xfId="14238" xr:uid="{3AD39D1C-EA37-4191-B0BE-F7B02356F83E}"/>
    <cellStyle name="Comma 17 4 2 2 2 5 2" xfId="14239" xr:uid="{2CBC223C-4B85-46E9-A053-8C7AAB9486A2}"/>
    <cellStyle name="Comma 17 4 2 2 2 5 2 2" xfId="14240" xr:uid="{0AC9B432-EE77-47CB-A41B-F1C14ABD13AE}"/>
    <cellStyle name="Comma 17 4 2 2 2 5 2 2 2" xfId="14243" xr:uid="{CB50294A-14AC-4C9E-A5A6-06028A395780}"/>
    <cellStyle name="Comma 17 4 2 2 2 5 2 3" xfId="14245" xr:uid="{2B54BA51-B9B9-4260-9632-C75433E7F16F}"/>
    <cellStyle name="Comma 17 4 2 2 2 5 3" xfId="14247" xr:uid="{5B4963AC-42E8-4197-8534-60D2465BD95D}"/>
    <cellStyle name="Comma 17 4 2 2 2 5 3 2" xfId="14249" xr:uid="{AEE1A274-0288-4B8A-8AC0-F80DF6DC0705}"/>
    <cellStyle name="Comma 17 4 2 2 2 5 4" xfId="14251" xr:uid="{4361C6FD-919D-4CB6-A739-FB84470387AE}"/>
    <cellStyle name="Comma 17 4 2 2 2 6" xfId="9102" xr:uid="{14CE5EB0-2F49-4CC2-B2AC-1DB053FAE038}"/>
    <cellStyle name="Comma 17 4 2 2 2 6 2" xfId="9104" xr:uid="{EF86404E-F2D4-4EAC-AAA5-80B2289F5A69}"/>
    <cellStyle name="Comma 17 4 2 2 2 6 2 2" xfId="9106" xr:uid="{BE871CFE-B4F0-495E-8776-D4BCF517901C}"/>
    <cellStyle name="Comma 17 4 2 2 2 6 3" xfId="9109" xr:uid="{E2FE1ECE-9454-4C1E-BA40-FC58E69C5782}"/>
    <cellStyle name="Comma 17 4 2 2 2 7" xfId="9111" xr:uid="{11A3E067-A164-4630-A599-990099FD4C89}"/>
    <cellStyle name="Comma 17 4 2 2 2 7 2" xfId="9113" xr:uid="{7AA55F54-2F88-4AA4-AE87-CBEC56ED4E06}"/>
    <cellStyle name="Comma 17 4 2 2 2 8" xfId="9117" xr:uid="{381FC281-F619-4E92-ABCF-B77ED39CCCB8}"/>
    <cellStyle name="Comma 17 4 2 2 2 9" xfId="14254" xr:uid="{386E70CA-FAA7-4429-AD3E-E857BDDDE15E}"/>
    <cellStyle name="Comma 17 4 2 2 3" xfId="10925" xr:uid="{A4CCD928-1672-441D-BB95-8E6EF41BC93A}"/>
    <cellStyle name="Comma 17 4 2 2 3 2" xfId="10929" xr:uid="{9DB02446-EF93-48E1-A0A8-D5521464D75E}"/>
    <cellStyle name="Comma 17 4 2 2 3 2 2" xfId="14256" xr:uid="{39DC0458-B9EF-4FA4-AD83-48F2CAB40F0A}"/>
    <cellStyle name="Comma 17 4 2 2 3 2 2 2" xfId="14257" xr:uid="{0408274E-AC5F-41A3-843C-D10569219A58}"/>
    <cellStyle name="Comma 17 4 2 2 3 2 2 2 2" xfId="14258" xr:uid="{650F6320-05AF-49D8-9834-DCDF136CB7E5}"/>
    <cellStyle name="Comma 17 4 2 2 3 2 2 2 2 2" xfId="14259" xr:uid="{8AFA11EA-D15E-4B44-92C7-38D5A3BF1F8A}"/>
    <cellStyle name="Comma 17 4 2 2 3 2 2 2 2 2 2" xfId="14260" xr:uid="{A0705A7B-AA46-4981-80BA-D961FF2A37D8}"/>
    <cellStyle name="Comma 17 4 2 2 3 2 2 2 2 3" xfId="14262" xr:uid="{70AFDDCB-56A9-4030-80A9-D1A4CF42CA17}"/>
    <cellStyle name="Comma 17 4 2 2 3 2 2 2 3" xfId="14265" xr:uid="{1A8E5F79-93CC-43B2-8A74-382E277DE34B}"/>
    <cellStyle name="Comma 17 4 2 2 3 2 2 2 3 2" xfId="14268" xr:uid="{0A3817B1-AEAD-441E-AF49-5922B01020FD}"/>
    <cellStyle name="Comma 17 4 2 2 3 2 2 2 4" xfId="10992" xr:uid="{C7AEBD53-9CD8-496C-8AE4-977A3CC5649F}"/>
    <cellStyle name="Comma 17 4 2 2 3 2 2 3" xfId="14269" xr:uid="{EE522273-F219-425B-8D0C-F012795A0601}"/>
    <cellStyle name="Comma 17 4 2 2 3 2 2 3 2" xfId="14272" xr:uid="{E9AEA6C1-A250-463E-A9DC-2E5AF44E8F34}"/>
    <cellStyle name="Comma 17 4 2 2 3 2 2 3 2 2" xfId="14275" xr:uid="{2289C4D4-8CAF-4879-9B51-EF945255079E}"/>
    <cellStyle name="Comma 17 4 2 2 3 2 2 3 3" xfId="14280" xr:uid="{6707CD4C-5558-4B38-A4F4-78813C91E3EA}"/>
    <cellStyle name="Comma 17 4 2 2 3 2 2 4" xfId="14281" xr:uid="{057EBA68-346D-4665-A8A8-E9B11285094A}"/>
    <cellStyle name="Comma 17 4 2 2 3 2 2 4 2" xfId="14285" xr:uid="{03A865B6-0E2E-4049-A382-C443E9E172A7}"/>
    <cellStyle name="Comma 17 4 2 2 3 2 2 5" xfId="14286" xr:uid="{26C67C2E-6414-4AE4-9E31-9492807614B6}"/>
    <cellStyle name="Comma 17 4 2 2 3 2 3" xfId="14287" xr:uid="{D1055B4E-DFB1-46C3-8946-C5D2241DB94D}"/>
    <cellStyle name="Comma 17 4 2 2 3 2 3 2" xfId="14288" xr:uid="{4645746A-2576-4DDE-AE05-34E4C3859AB1}"/>
    <cellStyle name="Comma 17 4 2 2 3 2 3 2 2" xfId="14289" xr:uid="{6A285AD7-59A0-449B-B527-FE8A7C538591}"/>
    <cellStyle name="Comma 17 4 2 2 3 2 3 2 2 2" xfId="14290" xr:uid="{13236A0C-1337-414B-A783-33406EA54DC7}"/>
    <cellStyle name="Comma 17 4 2 2 3 2 3 2 3" xfId="14292" xr:uid="{7370A7B4-54D6-4195-AA60-B6883347FBFE}"/>
    <cellStyle name="Comma 17 4 2 2 3 2 3 3" xfId="14293" xr:uid="{74D5931D-A819-401A-A9D2-6D0A43878E80}"/>
    <cellStyle name="Comma 17 4 2 2 3 2 3 3 2" xfId="14296" xr:uid="{09938C9B-F123-4C62-8C72-B1B3102EBAE6}"/>
    <cellStyle name="Comma 17 4 2 2 3 2 3 4" xfId="14297" xr:uid="{C109407F-43AB-47F1-A766-B130766A3948}"/>
    <cellStyle name="Comma 17 4 2 2 3 2 4" xfId="2767" xr:uid="{24DDADCA-76E8-4F75-8F22-C51E379908C7}"/>
    <cellStyle name="Comma 17 4 2 2 3 2 4 2" xfId="2777" xr:uid="{0BA06D9B-51E1-4787-AD0E-ECBE32FEAE3B}"/>
    <cellStyle name="Comma 17 4 2 2 3 2 4 2 2" xfId="2789" xr:uid="{C84540CA-EEBC-4E42-B99C-612701E90AEE}"/>
    <cellStyle name="Comma 17 4 2 2 3 2 4 3" xfId="2799" xr:uid="{DC712E7D-C205-4E00-A52D-4CD045D8FE16}"/>
    <cellStyle name="Comma 17 4 2 2 3 2 5" xfId="2823" xr:uid="{578658EE-0224-4694-9906-39693D4ACFEE}"/>
    <cellStyle name="Comma 17 4 2 2 3 2 5 2" xfId="2852" xr:uid="{849211DB-5CCB-48AC-8CA1-7ACFC5DE766E}"/>
    <cellStyle name="Comma 17 4 2 2 3 2 6" xfId="6622" xr:uid="{A2D5BB6A-E607-40F8-8DD4-9AFE35256A90}"/>
    <cellStyle name="Comma 17 4 2 2 3 2 7" xfId="4968" xr:uid="{8B804309-B687-4B9C-AC3C-DCA4A77B2514}"/>
    <cellStyle name="Comma 17 4 2 2 3 3" xfId="14301" xr:uid="{2650960B-3C6B-4019-9125-173DA7F7D416}"/>
    <cellStyle name="Comma 17 4 2 2 3 3 2" xfId="14304" xr:uid="{EC20D47B-04CF-4932-B046-AD0C99F324A2}"/>
    <cellStyle name="Comma 17 4 2 2 3 3 2 2" xfId="14305" xr:uid="{AEF9DDF8-E769-4230-85B0-4AFE095F58F0}"/>
    <cellStyle name="Comma 17 4 2 2 3 3 2 2 2" xfId="14306" xr:uid="{C5085556-43BE-44B5-B7A0-EA90576B94E4}"/>
    <cellStyle name="Comma 17 4 2 2 3 3 2 2 2 2" xfId="14307" xr:uid="{B56638CC-5109-4AE0-8848-061082457BFA}"/>
    <cellStyle name="Comma 17 4 2 2 3 3 2 2 3" xfId="14308" xr:uid="{EEFE8BE9-4E76-48C2-A104-802B9459AB6A}"/>
    <cellStyle name="Comma 17 4 2 2 3 3 2 3" xfId="14309" xr:uid="{8F25661E-76E9-495B-B18D-6A3527D4AFB5}"/>
    <cellStyle name="Comma 17 4 2 2 3 3 2 3 2" xfId="14311" xr:uid="{D456C934-94EB-4893-B653-01964BE1156B}"/>
    <cellStyle name="Comma 17 4 2 2 3 3 2 4" xfId="3294" xr:uid="{BDAD22EE-3E3F-4069-9A69-B2EF311E0765}"/>
    <cellStyle name="Comma 17 4 2 2 3 3 3" xfId="14313" xr:uid="{B414BA9C-8F8E-4D13-9C4F-363460B6AE42}"/>
    <cellStyle name="Comma 17 4 2 2 3 3 3 2" xfId="14314" xr:uid="{C1F41CE2-6BB8-4EFB-97D3-C6BD9DA7250E}"/>
    <cellStyle name="Comma 17 4 2 2 3 3 3 2 2" xfId="14315" xr:uid="{DF52F172-AFD6-4E58-9142-5DB034D6F927}"/>
    <cellStyle name="Comma 17 4 2 2 3 3 3 3" xfId="14316" xr:uid="{28D6E0AD-5B80-4291-A9A9-4843C4BC2628}"/>
    <cellStyle name="Comma 17 4 2 2 3 3 4" xfId="6494" xr:uid="{EF15F694-F127-40AB-BF0A-344D90B6723B}"/>
    <cellStyle name="Comma 17 4 2 2 3 3 4 2" xfId="14319" xr:uid="{BFC73A1A-C193-448C-81B4-7A3EF9AC56C7}"/>
    <cellStyle name="Comma 17 4 2 2 3 3 5" xfId="14322" xr:uid="{85E14F51-42E5-45ED-820D-F70166F9A1EB}"/>
    <cellStyle name="Comma 17 4 2 2 3 4" xfId="14325" xr:uid="{C209C582-64D6-4CE8-B80F-65603B2B5894}"/>
    <cellStyle name="Comma 17 4 2 2 3 4 2" xfId="14326" xr:uid="{979269DC-4F5C-46DE-A95E-9EB4F7C70546}"/>
    <cellStyle name="Comma 17 4 2 2 3 4 2 2" xfId="14328" xr:uid="{54F15F01-DF18-449B-8701-A3FD15B6893A}"/>
    <cellStyle name="Comma 17 4 2 2 3 4 2 2 2" xfId="7238" xr:uid="{C91CCE74-6BED-4BAF-89A5-CE38E6AE7C46}"/>
    <cellStyle name="Comma 17 4 2 2 3 4 2 3" xfId="14329" xr:uid="{8C39AB1F-F095-4CB4-A58E-06DE1B428BC4}"/>
    <cellStyle name="Comma 17 4 2 2 3 4 3" xfId="14330" xr:uid="{E7B50FFF-0305-4B97-90BC-EDBD07ABD6DC}"/>
    <cellStyle name="Comma 17 4 2 2 3 4 3 2" xfId="14331" xr:uid="{76E8FEE3-A708-415F-A241-68F47E7ACAED}"/>
    <cellStyle name="Comma 17 4 2 2 3 4 4" xfId="14334" xr:uid="{D52BD87D-16EC-410F-ADC7-B1B63C07BBBF}"/>
    <cellStyle name="Comma 17 4 2 2 3 5" xfId="14335" xr:uid="{58522E50-4B0F-45B7-91B8-A556F3D71DC8}"/>
    <cellStyle name="Comma 17 4 2 2 3 5 2" xfId="14336" xr:uid="{741C974F-4E90-43D6-B7E5-53ABE08C6877}"/>
    <cellStyle name="Comma 17 4 2 2 3 5 2 2" xfId="14337" xr:uid="{A9A01E29-EF59-4EF5-BE1B-05EA38702970}"/>
    <cellStyle name="Comma 17 4 2 2 3 5 3" xfId="14339" xr:uid="{DFD23A12-2BCA-4818-B73E-52FE2E9116AE}"/>
    <cellStyle name="Comma 17 4 2 2 3 6" xfId="9120" xr:uid="{6E2398DE-6ECB-4660-A72E-02B9C92B1706}"/>
    <cellStyle name="Comma 17 4 2 2 3 6 2" xfId="9122" xr:uid="{64666EE5-2C03-4753-9D9E-BC25FA3204FB}"/>
    <cellStyle name="Comma 17 4 2 2 3 7" xfId="9124" xr:uid="{ECC45EAB-66DE-4A52-A8A8-3F1A37C1D513}"/>
    <cellStyle name="Comma 17 4 2 2 3 8" xfId="14342" xr:uid="{13B5293F-FA0B-490B-93B8-29B6DA77E210}"/>
    <cellStyle name="Comma 17 4 2 2 4" xfId="10933" xr:uid="{B8A669E0-500B-4510-A171-4E6DBF820D49}"/>
    <cellStyle name="Comma 17 4 2 2 4 2" xfId="14344" xr:uid="{06797E4D-DD72-4EB6-8A8A-E6A1CDDBEB23}"/>
    <cellStyle name="Comma 17 4 2 2 4 2 2" xfId="14345" xr:uid="{99FFC541-FDB3-4CF3-96F8-83B6B6B18B65}"/>
    <cellStyle name="Comma 17 4 2 2 4 2 2 2" xfId="14346" xr:uid="{887FF996-CA20-4A9B-8AA5-197C1907C520}"/>
    <cellStyle name="Comma 17 4 2 2 4 2 2 2 2" xfId="1697" xr:uid="{6F94EE3C-A5E1-4E0F-ADBA-8F5E547E43B3}"/>
    <cellStyle name="Comma 17 4 2 2 4 2 2 2 2 2" xfId="4169" xr:uid="{4A3CA523-2284-484C-865A-4CA8999EE0FC}"/>
    <cellStyle name="Comma 17 4 2 2 4 2 2 2 3" xfId="1703" xr:uid="{9EEFF321-4898-4980-8CF9-CC45C26E2C87}"/>
    <cellStyle name="Comma 17 4 2 2 4 2 2 3" xfId="14347" xr:uid="{90DB217E-E53E-44BC-80CA-45CF6B3002C7}"/>
    <cellStyle name="Comma 17 4 2 2 4 2 2 3 2" xfId="4238" xr:uid="{D055A7D0-816C-4963-897A-04A7B8CC7F44}"/>
    <cellStyle name="Comma 17 4 2 2 4 2 2 4" xfId="14348" xr:uid="{2BC10D91-2B94-4577-8B76-0AC246F9BC17}"/>
    <cellStyle name="Comma 17 4 2 2 4 2 3" xfId="14350" xr:uid="{9B5B40EA-C682-4227-B9D6-2EBC5B5E2768}"/>
    <cellStyle name="Comma 17 4 2 2 4 2 3 2" xfId="14351" xr:uid="{BCFDBA0E-C6F4-4735-84A3-5DFFE38A6164}"/>
    <cellStyle name="Comma 17 4 2 2 4 2 3 2 2" xfId="525" xr:uid="{CAB6DF83-6090-410F-8B12-3B45AA17E93A}"/>
    <cellStyle name="Comma 17 4 2 2 4 2 3 3" xfId="14352" xr:uid="{6646D173-737E-485C-AE4D-7B1249EB5677}"/>
    <cellStyle name="Comma 17 4 2 2 4 2 4" xfId="14355" xr:uid="{5C6FBD2E-0E7B-4EB8-B5F9-7627BFB329A4}"/>
    <cellStyle name="Comma 17 4 2 2 4 2 4 2" xfId="14358" xr:uid="{F4E750B4-5649-4538-B40D-1805FE97A7B2}"/>
    <cellStyle name="Comma 17 4 2 2 4 2 5" xfId="14361" xr:uid="{E36FFFE5-BAF2-4B7C-A1DC-7E5CBE11809D}"/>
    <cellStyle name="Comma 17 4 2 2 4 3" xfId="14365" xr:uid="{03D46FAD-651E-4595-B177-94FEC396AD51}"/>
    <cellStyle name="Comma 17 4 2 2 4 3 2" xfId="14366" xr:uid="{1C8AB98B-F2A1-4E4E-8395-CE0333112DF9}"/>
    <cellStyle name="Comma 17 4 2 2 4 3 2 2" xfId="14367" xr:uid="{55BCC5F4-B980-40A6-A9BA-B34B5EF6648A}"/>
    <cellStyle name="Comma 17 4 2 2 4 3 2 2 2" xfId="2902" xr:uid="{C0095219-D7DD-4CF5-82C0-B6D44AAC2A1B}"/>
    <cellStyle name="Comma 17 4 2 2 4 3 2 3" xfId="14368" xr:uid="{B4E3A840-6303-4581-A454-3E77AEA92DE2}"/>
    <cellStyle name="Comma 17 4 2 2 4 3 3" xfId="2909" xr:uid="{C51D95BA-C34A-4B5C-92E8-F8888540BC55}"/>
    <cellStyle name="Comma 17 4 2 2 4 3 3 2" xfId="2917" xr:uid="{BC3F8FEA-14BB-46D6-89AE-073FCD49707C}"/>
    <cellStyle name="Comma 17 4 2 2 4 3 4" xfId="2928" xr:uid="{C6096273-9503-43F4-9026-8378FAEEE67B}"/>
    <cellStyle name="Comma 17 4 2 2 4 4" xfId="14371" xr:uid="{1BEDEA51-5D19-4141-A3C4-2BBD8277491A}"/>
    <cellStyle name="Comma 17 4 2 2 4 4 2" xfId="14373" xr:uid="{4A78D40D-B447-402A-B9DC-B11C3DE6E26A}"/>
    <cellStyle name="Comma 17 4 2 2 4 4 2 2" xfId="14374" xr:uid="{8DF24D50-ED96-4210-88BA-E6E8FF8A1B85}"/>
    <cellStyle name="Comma 17 4 2 2 4 4 3" xfId="2951" xr:uid="{BE312D61-120F-4D16-8D6F-4B6F7EA7B170}"/>
    <cellStyle name="Comma 17 4 2 2 4 5" xfId="14375" xr:uid="{C6D88AC1-B5E2-4474-B620-1C807DE257EB}"/>
    <cellStyle name="Comma 17 4 2 2 4 5 2" xfId="2961" xr:uid="{C4AC4BEA-D1DF-4C4C-9248-97274B2C40D9}"/>
    <cellStyle name="Comma 17 4 2 2 4 6" xfId="9127" xr:uid="{B3D9CA33-B9EB-4A10-A539-61B9EB958840}"/>
    <cellStyle name="Comma 17 4 2 2 4 7" xfId="14376" xr:uid="{74524BAC-67F5-44EE-8E5A-6EF8DFA027AF}"/>
    <cellStyle name="Comma 17 4 2 2 5" xfId="11229" xr:uid="{EE6B3026-9E82-4765-B2FE-A3CD9B809BED}"/>
    <cellStyle name="Comma 17 4 2 2 5 2" xfId="11231" xr:uid="{19A2C95F-6435-4B11-B0A2-BD8BE277C33B}"/>
    <cellStyle name="Comma 17 4 2 2 5 2 2" xfId="14377" xr:uid="{573CB93C-5E96-4B3A-B2EA-7732DDA59428}"/>
    <cellStyle name="Comma 17 4 2 2 5 2 2 2" xfId="14378" xr:uid="{2215925E-01BB-4222-B5D2-D24B9223EE13}"/>
    <cellStyle name="Comma 17 4 2 2 5 2 2 2 2" xfId="11792" xr:uid="{4D791EDD-A018-4041-803E-4B846477BA8D}"/>
    <cellStyle name="Comma 17 4 2 2 5 2 2 3" xfId="14379" xr:uid="{C0629F58-A00E-4259-9BE0-7001D427F299}"/>
    <cellStyle name="Comma 17 4 2 2 5 2 3" xfId="14380" xr:uid="{B19E32FF-885B-462C-AB9F-9CCEE729CE59}"/>
    <cellStyle name="Comma 17 4 2 2 5 2 3 2" xfId="14381" xr:uid="{8B018C57-0F06-42D8-BF4D-5409B406206C}"/>
    <cellStyle name="Comma 17 4 2 2 5 2 4" xfId="14386" xr:uid="{3DA84169-AB7B-4FBB-9A9C-FBEA3559CD8D}"/>
    <cellStyle name="Comma 17 4 2 2 5 3" xfId="14389" xr:uid="{7D591077-2705-4004-8152-510F78CB400E}"/>
    <cellStyle name="Comma 17 4 2 2 5 3 2" xfId="14390" xr:uid="{C60BD4E8-748A-45DC-943D-90CBCFB03C47}"/>
    <cellStyle name="Comma 17 4 2 2 5 3 2 2" xfId="14391" xr:uid="{CD870B31-3A71-48CE-A044-9494ECD5AE76}"/>
    <cellStyle name="Comma 17 4 2 2 5 3 3" xfId="3007" xr:uid="{537A2C28-43BB-43D3-BAE5-951DAD0308E3}"/>
    <cellStyle name="Comma 17 4 2 2 5 4" xfId="14394" xr:uid="{171D6400-8AC2-435F-818C-DCA0675FDBCB}"/>
    <cellStyle name="Comma 17 4 2 2 5 4 2" xfId="14396" xr:uid="{53F34229-05F7-4F38-AA86-B3799D0F488D}"/>
    <cellStyle name="Comma 17 4 2 2 5 5" xfId="14397" xr:uid="{C0AFA8BD-D455-4DB8-8481-C7A6D20520F3}"/>
    <cellStyle name="Comma 17 4 2 2 6" xfId="11233" xr:uid="{AB485258-4B16-4C14-896F-27DBDBDB0A48}"/>
    <cellStyle name="Comma 17 4 2 2 6 2" xfId="14398" xr:uid="{A0898173-442A-4601-8386-0933461EA462}"/>
    <cellStyle name="Comma 17 4 2 2 6 2 2" xfId="14399" xr:uid="{43678F28-70DA-4587-A702-43C043918345}"/>
    <cellStyle name="Comma 17 4 2 2 6 2 2 2" xfId="14400" xr:uid="{110DF1C3-532D-4A3F-9A12-1C1A01A41B35}"/>
    <cellStyle name="Comma 17 4 2 2 6 2 3" xfId="14401" xr:uid="{D4B4054D-6D7E-4795-B5EE-50E3C47A80E7}"/>
    <cellStyle name="Comma 17 4 2 2 6 3" xfId="14404" xr:uid="{EB8B477A-212D-4725-9606-9A5F6158E5BC}"/>
    <cellStyle name="Comma 17 4 2 2 6 3 2" xfId="3043" xr:uid="{825EA3D3-FE43-4F60-B95E-02FFAB93ECA7}"/>
    <cellStyle name="Comma 17 4 2 2 6 4" xfId="14407" xr:uid="{97C9F537-F6CF-4163-86CC-552D23284EB6}"/>
    <cellStyle name="Comma 17 4 2 2 7" xfId="14409" xr:uid="{33E28908-E38B-4C11-9982-1189047FA99B}"/>
    <cellStyle name="Comma 17 4 2 2 7 2" xfId="14411" xr:uid="{F67FFE0B-1A80-4922-BAF3-268C74D04161}"/>
    <cellStyle name="Comma 17 4 2 2 7 2 2" xfId="14412" xr:uid="{468E0A25-0283-4043-807B-5EDDBBBEA45F}"/>
    <cellStyle name="Comma 17 4 2 2 7 3" xfId="14414" xr:uid="{2A3CD71C-1A24-43A1-B39A-CCB6E2609149}"/>
    <cellStyle name="Comma 17 4 2 2 8" xfId="14416" xr:uid="{CAF92359-471C-402A-8E97-BEC36FC9954E}"/>
    <cellStyle name="Comma 17 4 2 2 8 2" xfId="14417" xr:uid="{9ECE9997-2E4B-48E5-865E-97AC7E85BA78}"/>
    <cellStyle name="Comma 17 4 2 2 9" xfId="14418" xr:uid="{DED6037D-5BD5-47BD-9F70-EAE20D042823}"/>
    <cellStyle name="Comma 17 4 2 3" xfId="14420" xr:uid="{33A62398-8B1B-4266-A1D6-C56974AB8E99}"/>
    <cellStyle name="Comma 17 4 2 3 2" xfId="14423" xr:uid="{7E3FB1B2-00A0-4A0A-8E07-C0A9B91542F3}"/>
    <cellStyle name="Comma 17 4 2 3 2 2" xfId="14426" xr:uid="{EBDCC42B-AE98-4611-B0AF-EA3DEF97CB81}"/>
    <cellStyle name="Comma 17 4 2 3 2 2 2" xfId="14428" xr:uid="{8EA58055-E3B6-456E-B638-211D28D864C0}"/>
    <cellStyle name="Comma 17 4 2 3 2 2 2 2" xfId="14430" xr:uid="{0ED2BBF7-FB58-4762-8AE9-F15840E4EC37}"/>
    <cellStyle name="Comma 17 4 2 3 2 2 2 2 2" xfId="14433" xr:uid="{002E2728-3BF9-4A12-9728-B644F5181E0A}"/>
    <cellStyle name="Comma 17 4 2 3 2 2 2 2 2 2" xfId="14435" xr:uid="{88CB26EF-336B-409C-8912-17494503468E}"/>
    <cellStyle name="Comma 17 4 2 3 2 2 2 2 2 2 2" xfId="14436" xr:uid="{CACECB35-22A0-49A3-853B-1D0174ABB1F8}"/>
    <cellStyle name="Comma 17 4 2 3 2 2 2 2 2 3" xfId="14438" xr:uid="{029158A4-7A01-4201-952D-28BE65E14E5F}"/>
    <cellStyle name="Comma 17 4 2 3 2 2 2 2 3" xfId="14442" xr:uid="{78943595-8768-4537-8601-15D608D7C97E}"/>
    <cellStyle name="Comma 17 4 2 3 2 2 2 2 3 2" xfId="14446" xr:uid="{0982B4D0-2A97-4202-B9F1-A2E998B17479}"/>
    <cellStyle name="Comma 17 4 2 3 2 2 2 2 4" xfId="11354" xr:uid="{28997DC9-C85A-4039-B02E-2C146E278F79}"/>
    <cellStyle name="Comma 17 4 2 3 2 2 2 3" xfId="14448" xr:uid="{C308AD5E-0547-41BC-8EF6-A397BDBAD25D}"/>
    <cellStyle name="Comma 17 4 2 3 2 2 2 3 2" xfId="14450" xr:uid="{14F10E0D-D381-4CFE-B778-BA5FED86102B}"/>
    <cellStyle name="Comma 17 4 2 3 2 2 2 3 2 2" xfId="14451" xr:uid="{BAD0CEDD-85B3-4856-A830-5C9BA28A80AE}"/>
    <cellStyle name="Comma 17 4 2 3 2 2 2 3 3" xfId="14453" xr:uid="{DABE4DD3-6BD3-4127-99FE-C50521D37B02}"/>
    <cellStyle name="Comma 17 4 2 3 2 2 2 4" xfId="12339" xr:uid="{C01AB618-D4D3-449D-8D19-C4FB3627F12B}"/>
    <cellStyle name="Comma 17 4 2 3 2 2 2 4 2" xfId="12343" xr:uid="{355E2E82-2414-43C0-BE54-104DB55ABA7B}"/>
    <cellStyle name="Comma 17 4 2 3 2 2 2 5" xfId="12347" xr:uid="{B91F453E-FF5F-4C95-96DE-7DB369F7EB08}"/>
    <cellStyle name="Comma 17 4 2 3 2 2 3" xfId="14455" xr:uid="{0D638A08-F3FC-4FCC-98DA-9083AE7DA494}"/>
    <cellStyle name="Comma 17 4 2 3 2 2 3 2" xfId="14457" xr:uid="{DE518327-22A0-4934-8281-EC20C199CA38}"/>
    <cellStyle name="Comma 17 4 2 3 2 2 3 2 2" xfId="14459" xr:uid="{9FF95B1B-05F7-4425-9B3C-2BDDA2806E9E}"/>
    <cellStyle name="Comma 17 4 2 3 2 2 3 2 2 2" xfId="14460" xr:uid="{8CBC3C20-CB43-4747-A62D-D270420F3A90}"/>
    <cellStyle name="Comma 17 4 2 3 2 2 3 2 3" xfId="14462" xr:uid="{F3D88D3F-ADA9-4298-9718-E89390187B11}"/>
    <cellStyle name="Comma 17 4 2 3 2 2 3 3" xfId="14464" xr:uid="{316E5BD3-677F-4EC5-9BC8-FA0E519E96CD}"/>
    <cellStyle name="Comma 17 4 2 3 2 2 3 3 2" xfId="14465" xr:uid="{FBD8DE5E-B277-41D4-8D1B-3100B50FEAA3}"/>
    <cellStyle name="Comma 17 4 2 3 2 2 3 4" xfId="4820" xr:uid="{150F8508-1083-4332-B229-E001FA80F2C6}"/>
    <cellStyle name="Comma 17 4 2 3 2 2 4" xfId="14469" xr:uid="{D69D1275-D6DA-41B9-9077-7FAA4773F87E}"/>
    <cellStyle name="Comma 17 4 2 3 2 2 4 2" xfId="14473" xr:uid="{528788C6-9C9A-44A8-898F-E5E21570CC9D}"/>
    <cellStyle name="Comma 17 4 2 3 2 2 4 2 2" xfId="14476" xr:uid="{8A09E460-BA20-449A-B962-175CE784D1D4}"/>
    <cellStyle name="Comma 17 4 2 3 2 2 4 3" xfId="14479" xr:uid="{EC976ACF-2552-45FA-8358-7732712B9EA5}"/>
    <cellStyle name="Comma 17 4 2 3 2 2 5" xfId="14483" xr:uid="{0DD910FD-7501-4046-B2B9-5D95FF2CF7F4}"/>
    <cellStyle name="Comma 17 4 2 3 2 2 5 2" xfId="14486" xr:uid="{238A21D2-6D47-4139-9CA6-7C15FA25052D}"/>
    <cellStyle name="Comma 17 4 2 3 2 2 6" xfId="14490" xr:uid="{DA4583A1-7E32-4A46-AC78-9A580EDC546D}"/>
    <cellStyle name="Comma 17 4 2 3 2 2 7" xfId="14494" xr:uid="{5051CE10-46C6-46B4-9F14-6BF7A6E8C3B5}"/>
    <cellStyle name="Comma 17 4 2 3 2 3" xfId="14496" xr:uid="{5E4B15F2-112A-4A87-BDE8-302A3E90833E}"/>
    <cellStyle name="Comma 17 4 2 3 2 3 2" xfId="14498" xr:uid="{E498C1AD-0799-4500-A13D-8890C3A7914A}"/>
    <cellStyle name="Comma 17 4 2 3 2 3 2 2" xfId="14500" xr:uid="{DAB005CF-7BB0-4028-81F3-806F4BB00465}"/>
    <cellStyle name="Comma 17 4 2 3 2 3 2 2 2" xfId="14502" xr:uid="{8D991CA9-9C3A-452E-A855-43E5A6DC9C55}"/>
    <cellStyle name="Comma 17 4 2 3 2 3 2 2 2 2" xfId="14503" xr:uid="{9A58ABA6-A0EA-4908-A51C-2FCFE8FBD36B}"/>
    <cellStyle name="Comma 17 4 2 3 2 3 2 2 3" xfId="14504" xr:uid="{97E76606-4DB4-4C5B-AE51-2D44217D61C3}"/>
    <cellStyle name="Comma 17 4 2 3 2 3 2 3" xfId="14506" xr:uid="{E70FFA9D-5687-40D6-9C13-5260DF842A58}"/>
    <cellStyle name="Comma 17 4 2 3 2 3 2 3 2" xfId="14508" xr:uid="{0F3FC941-F020-476E-B796-00106BD5712D}"/>
    <cellStyle name="Comma 17 4 2 3 2 3 2 4" xfId="12367" xr:uid="{2F033ED3-FCA7-4BAC-822A-39C34D667A83}"/>
    <cellStyle name="Comma 17 4 2 3 2 3 3" xfId="8429" xr:uid="{EAEB3195-F40E-42A0-8BB4-7604E6E27FC2}"/>
    <cellStyle name="Comma 17 4 2 3 2 3 3 2" xfId="8432" xr:uid="{468419F9-E874-4811-A3C7-23A7DD4D6E18}"/>
    <cellStyle name="Comma 17 4 2 3 2 3 3 2 2" xfId="3422" xr:uid="{C62A7CFE-D010-442C-877F-6555C1E1F98F}"/>
    <cellStyle name="Comma 17 4 2 3 2 3 3 3" xfId="8434" xr:uid="{A600FA60-CC35-455A-8A85-F31F7C72F4C8}"/>
    <cellStyle name="Comma 17 4 2 3 2 3 4" xfId="6535" xr:uid="{D7AB4896-7C17-41F8-A8BC-FE9A2881C684}"/>
    <cellStyle name="Comma 17 4 2 3 2 3 4 2" xfId="8438" xr:uid="{08320616-AFD0-4F51-9605-219C841E370F}"/>
    <cellStyle name="Comma 17 4 2 3 2 3 5" xfId="8445" xr:uid="{BD37096D-AEE0-4A80-A46C-426A52D6D88C}"/>
    <cellStyle name="Comma 17 4 2 3 2 4" xfId="14511" xr:uid="{B5D25B74-0B6C-4716-9D0F-9748F2671C38}"/>
    <cellStyle name="Comma 17 4 2 3 2 4 2" xfId="14514" xr:uid="{B4FF0259-B6C5-4770-9A90-A4E100F51319}"/>
    <cellStyle name="Comma 17 4 2 3 2 4 2 2" xfId="14517" xr:uid="{15018945-44C8-41DC-A1A2-32FEC2103887}"/>
    <cellStyle name="Comma 17 4 2 3 2 4 2 2 2" xfId="14518" xr:uid="{53982C69-1506-4529-9597-5761DDAC0B02}"/>
    <cellStyle name="Comma 17 4 2 3 2 4 2 3" xfId="14519" xr:uid="{F9730DB6-697C-46EB-A9DE-7FB996B90933}"/>
    <cellStyle name="Comma 17 4 2 3 2 4 3" xfId="8456" xr:uid="{858A9E7C-C2B1-4467-ADBE-3B905A5DCBCB}"/>
    <cellStyle name="Comma 17 4 2 3 2 4 3 2" xfId="8458" xr:uid="{6E5B29D8-93C9-4CA7-8F32-AAA8B6B65587}"/>
    <cellStyle name="Comma 17 4 2 3 2 4 4" xfId="8463" xr:uid="{EA540B55-A182-4A63-B2FE-F14C82798E06}"/>
    <cellStyle name="Comma 17 4 2 3 2 5" xfId="10313" xr:uid="{8C9B8FA1-8D01-4369-BF7F-B49AFA5F7A02}"/>
    <cellStyle name="Comma 17 4 2 3 2 5 2" xfId="10316" xr:uid="{A45EFE0A-2099-4BD8-BD96-777C0D561BBD}"/>
    <cellStyle name="Comma 17 4 2 3 2 5 2 2" xfId="14520" xr:uid="{B1335676-A5A1-4C20-8334-32ADE4D40220}"/>
    <cellStyle name="Comma 17 4 2 3 2 5 3" xfId="8474" xr:uid="{A2E305A6-03E9-4129-AAF1-9A71ED17C771}"/>
    <cellStyle name="Comma 17 4 2 3 2 6" xfId="9134" xr:uid="{131E7B73-6BD4-49A3-9E2F-D9EBFA5FB6FA}"/>
    <cellStyle name="Comma 17 4 2 3 2 6 2" xfId="9136" xr:uid="{23ACD5EE-F689-40CB-AF41-4F546C750464}"/>
    <cellStyle name="Comma 17 4 2 3 2 7" xfId="9140" xr:uid="{0129EC54-3EFB-4811-BFF7-B9EA161F93EB}"/>
    <cellStyle name="Comma 17 4 2 3 2 8" xfId="14523" xr:uid="{D954E42F-882F-49F6-A073-F1B324512632}"/>
    <cellStyle name="Comma 17 4 2 3 3" xfId="10944" xr:uid="{85B7DE28-D84D-4801-AAFE-81BD8A26B8C5}"/>
    <cellStyle name="Comma 17 4 2 3 3 2" xfId="14526" xr:uid="{98547CC0-618A-40EE-97A8-46E416260B3E}"/>
    <cellStyle name="Comma 17 4 2 3 3 2 2" xfId="14528" xr:uid="{FB8C683F-BA98-4440-9695-8C22287D0C19}"/>
    <cellStyle name="Comma 17 4 2 3 3 2 2 2" xfId="14530" xr:uid="{977FDFF4-FDAC-44A4-932B-AB4729A48666}"/>
    <cellStyle name="Comma 17 4 2 3 3 2 2 2 2" xfId="14533" xr:uid="{1E41F3D7-795F-4FAC-9AB2-CB3791EBDE98}"/>
    <cellStyle name="Comma 17 4 2 3 3 2 2 2 2 2" xfId="10516" xr:uid="{3B12EB89-AB30-41EA-B27B-B20540CFDF78}"/>
    <cellStyle name="Comma 17 4 2 3 3 2 2 2 3" xfId="14534" xr:uid="{9752179A-42B4-48FC-8EC9-9B30F2197B2F}"/>
    <cellStyle name="Comma 17 4 2 3 3 2 2 3" xfId="14537" xr:uid="{B55763A0-B4AC-411F-AC8E-5A99379D64E1}"/>
    <cellStyle name="Comma 17 4 2 3 3 2 2 3 2" xfId="14539" xr:uid="{57410E60-6662-4360-A084-82C856BE2142}"/>
    <cellStyle name="Comma 17 4 2 3 3 2 2 4" xfId="12420" xr:uid="{2221E28D-D411-4F43-A781-9AA1D49C83B3}"/>
    <cellStyle name="Comma 17 4 2 3 3 2 3" xfId="14541" xr:uid="{4F036386-2773-427C-88B1-6E269E909E4F}"/>
    <cellStyle name="Comma 17 4 2 3 3 2 3 2" xfId="14543" xr:uid="{7E07743C-9A6A-4B4A-987B-62118AD277FE}"/>
    <cellStyle name="Comma 17 4 2 3 3 2 3 2 2" xfId="14544" xr:uid="{4CEDBF42-6034-44C9-9D02-C9CE384E62E2}"/>
    <cellStyle name="Comma 17 4 2 3 3 2 3 3" xfId="14546" xr:uid="{9836AE43-468D-4095-90F4-6D89D2978153}"/>
    <cellStyle name="Comma 17 4 2 3 3 2 4" xfId="14552" xr:uid="{46863967-3FE4-4D21-8715-32EB06F5B548}"/>
    <cellStyle name="Comma 17 4 2 3 3 2 4 2" xfId="14557" xr:uid="{E2CA4CDC-C049-4102-A8C5-3F0475D38238}"/>
    <cellStyle name="Comma 17 4 2 3 3 2 5" xfId="14562" xr:uid="{8D54D5EE-A328-47CF-AE2B-7596E9056A9B}"/>
    <cellStyle name="Comma 17 4 2 3 3 3" xfId="14564" xr:uid="{E1F01E8A-CADB-456C-8F3A-6AF4A2464320}"/>
    <cellStyle name="Comma 17 4 2 3 3 3 2" xfId="14567" xr:uid="{197EDD98-88EF-4369-B9B3-5983D1890D80}"/>
    <cellStyle name="Comma 17 4 2 3 3 3 2 2" xfId="14570" xr:uid="{51C1A906-6EC8-4DE9-AD4C-F29718B8CE5E}"/>
    <cellStyle name="Comma 17 4 2 3 3 3 2 2 2" xfId="14571" xr:uid="{D798A830-E95F-47C3-B328-C3E51342F143}"/>
    <cellStyle name="Comma 17 4 2 3 3 3 2 3" xfId="14573" xr:uid="{F20A6525-0406-4DF8-ABD3-1EAC8F9E10BC}"/>
    <cellStyle name="Comma 17 4 2 3 3 3 3" xfId="8490" xr:uid="{EEEDC21A-E841-4521-B59B-D44D82DDFDBA}"/>
    <cellStyle name="Comma 17 4 2 3 3 3 3 2" xfId="8492" xr:uid="{E4675683-B762-424F-AECD-ADB8E48D49E2}"/>
    <cellStyle name="Comma 17 4 2 3 3 3 4" xfId="8499" xr:uid="{40404BE3-9460-4156-A559-179CFCFD860D}"/>
    <cellStyle name="Comma 17 4 2 3 3 4" xfId="14578" xr:uid="{2FACBD98-9733-49AA-B4C0-C58D610DB705}"/>
    <cellStyle name="Comma 17 4 2 3 3 4 2" xfId="14584" xr:uid="{7DD95920-6D29-48E5-9DDF-49A8A9D66BA5}"/>
    <cellStyle name="Comma 17 4 2 3 3 4 2 2" xfId="14587" xr:uid="{B6EFF87B-5A8B-417E-93D0-6FC22CD763FD}"/>
    <cellStyle name="Comma 17 4 2 3 3 4 3" xfId="8516" xr:uid="{F566A414-8F75-42B7-820D-80B77F4870BF}"/>
    <cellStyle name="Comma 17 4 2 3 3 5" xfId="10323" xr:uid="{5E57EF82-50B0-46C7-9A22-B39393A7DDF1}"/>
    <cellStyle name="Comma 17 4 2 3 3 5 2" xfId="14590" xr:uid="{8DEBA7C3-39FB-4EA0-AE81-73A6462B0579}"/>
    <cellStyle name="Comma 17 4 2 3 3 6" xfId="9144" xr:uid="{7425B748-9075-4091-BF67-114C951BBF6E}"/>
    <cellStyle name="Comma 17 4 2 3 3 7" xfId="14591" xr:uid="{EB69403D-189C-4D10-B94A-9A2640C74C38}"/>
    <cellStyle name="Comma 17 4 2 3 4" xfId="14595" xr:uid="{40B821AD-6BD9-45D0-A847-646C0780046A}"/>
    <cellStyle name="Comma 17 4 2 3 4 2" xfId="14597" xr:uid="{DEF89467-A5E5-4A51-8F04-A8D937981136}"/>
    <cellStyle name="Comma 17 4 2 3 4 2 2" xfId="14599" xr:uid="{E891C308-E60B-435D-9761-C6B9A04C1D07}"/>
    <cellStyle name="Comma 17 4 2 3 4 2 2 2" xfId="14601" xr:uid="{65FDBEE5-1254-419B-895F-129443271B41}"/>
    <cellStyle name="Comma 17 4 2 3 4 2 2 2 2" xfId="14602" xr:uid="{85FB8351-888A-48D5-9C3B-CE62182C7929}"/>
    <cellStyle name="Comma 17 4 2 3 4 2 2 3" xfId="14604" xr:uid="{C78ABD89-4F47-441F-8174-4B15BE0E403A}"/>
    <cellStyle name="Comma 17 4 2 3 4 2 3" xfId="14606" xr:uid="{795D0C09-175A-40D1-92E6-13D2F931F572}"/>
    <cellStyle name="Comma 17 4 2 3 4 2 3 2" xfId="14607" xr:uid="{4E6076A3-4D77-470F-801D-17178B6199EF}"/>
    <cellStyle name="Comma 17 4 2 3 4 2 4" xfId="14614" xr:uid="{2399B263-72B9-4A7A-8FB7-20A7ED26137A}"/>
    <cellStyle name="Comma 17 4 2 3 4 3" xfId="14616" xr:uid="{54BB3039-698C-42FD-83F4-D7B9056F5974}"/>
    <cellStyle name="Comma 17 4 2 3 4 3 2" xfId="14618" xr:uid="{4947EE56-15AA-4B3C-ABC2-80BBF251E69C}"/>
    <cellStyle name="Comma 17 4 2 3 4 3 2 2" xfId="14619" xr:uid="{5C1BD3EA-4D0D-40DF-8ADC-F33CAD61E974}"/>
    <cellStyle name="Comma 17 4 2 3 4 3 3" xfId="3108" xr:uid="{C21AEE80-AC69-4BB7-99E8-8791651152B2}"/>
    <cellStyle name="Comma 17 4 2 3 4 4" xfId="14623" xr:uid="{419E2A62-E93A-4687-88EF-429F5469765F}"/>
    <cellStyle name="Comma 17 4 2 3 4 4 2" xfId="14626" xr:uid="{C8F34585-C7EE-4ADA-9D20-DF184B598FBC}"/>
    <cellStyle name="Comma 17 4 2 3 4 5" xfId="14629" xr:uid="{1748ACDE-8564-4B18-B537-1462261DEC92}"/>
    <cellStyle name="Comma 17 4 2 3 5" xfId="11239" xr:uid="{A1395B40-9E17-44A0-B44E-FC18D44212E6}"/>
    <cellStyle name="Comma 17 4 2 3 5 2" xfId="14631" xr:uid="{12E938D7-8E80-4741-8F32-2AAB189B28C9}"/>
    <cellStyle name="Comma 17 4 2 3 5 2 2" xfId="14633" xr:uid="{F924CD9D-7888-4BA1-82FE-7E64F4479F5C}"/>
    <cellStyle name="Comma 17 4 2 3 5 2 2 2" xfId="14634" xr:uid="{DE9169E5-A335-44AE-86E7-AD7A9CF38755}"/>
    <cellStyle name="Comma 17 4 2 3 5 2 3" xfId="14635" xr:uid="{7740E3EE-DE0A-4450-BA0F-765831BF3E11}"/>
    <cellStyle name="Comma 17 4 2 3 5 3" xfId="14637" xr:uid="{F2196CC2-45BA-43DC-ADFC-C23AD88B16C7}"/>
    <cellStyle name="Comma 17 4 2 3 5 3 2" xfId="14638" xr:uid="{577E61BA-FC2F-4481-A4CB-44E8C628E0B5}"/>
    <cellStyle name="Comma 17 4 2 3 5 4" xfId="14641" xr:uid="{6D81E734-3CAF-41DA-A9C1-9670F2D070D7}"/>
    <cellStyle name="Comma 17 4 2 3 6" xfId="14643" xr:uid="{D7AE241B-2E32-4B17-927B-A2B35F167B04}"/>
    <cellStyle name="Comma 17 4 2 3 6 2" xfId="14646" xr:uid="{2773CEE3-79BE-4A05-A76A-412BA4DECC72}"/>
    <cellStyle name="Comma 17 4 2 3 6 2 2" xfId="14648" xr:uid="{8622555F-7F2F-4D14-BD07-C7CCBC097DD7}"/>
    <cellStyle name="Comma 17 4 2 3 6 3" xfId="14650" xr:uid="{1F1B3EE3-355B-4DD3-A8F3-DD4889EB90CE}"/>
    <cellStyle name="Comma 17 4 2 3 7" xfId="14653" xr:uid="{04CEEBA2-9FC0-47B1-B9CD-46A025DEA7FB}"/>
    <cellStyle name="Comma 17 4 2 3 7 2" xfId="14655" xr:uid="{9379299A-C78A-4C08-B60F-FD0B47CE4D59}"/>
    <cellStyle name="Comma 17 4 2 3 8" xfId="14657" xr:uid="{FD0DE144-2A93-4C9A-8DD9-5B9E40669526}"/>
    <cellStyle name="Comma 17 4 2 3 9" xfId="14658" xr:uid="{73D037FC-97F5-47CE-8CBA-9417813F2372}"/>
    <cellStyle name="Comma 17 4 2 4" xfId="14659" xr:uid="{775C2E5A-52CC-40B2-8E84-1E4035480F9A}"/>
    <cellStyle name="Comma 17 4 2 4 2" xfId="14661" xr:uid="{7CB7E8C0-3F9F-4CF8-BCFC-F07244EE1E3E}"/>
    <cellStyle name="Comma 17 4 2 4 2 2" xfId="14663" xr:uid="{1BA55D0B-A291-4EF4-A495-6EAE343916BA}"/>
    <cellStyle name="Comma 17 4 2 4 2 2 2" xfId="7482" xr:uid="{F72BA697-2D3A-4329-99F3-1D7121D4850B}"/>
    <cellStyle name="Comma 17 4 2 4 2 2 2 2" xfId="7485" xr:uid="{B4613562-9E94-459A-98FF-4841426563CA}"/>
    <cellStyle name="Comma 17 4 2 4 2 2 2 2 2" xfId="5767" xr:uid="{4B68759F-474C-4F3B-AFE6-4773158C83DD}"/>
    <cellStyle name="Comma 17 4 2 4 2 2 2 2 2 2" xfId="4319" xr:uid="{3FE224EF-C533-4D9B-B6CB-0480C79DC2D1}"/>
    <cellStyle name="Comma 17 4 2 4 2 2 2 2 3" xfId="14668" xr:uid="{E01EED26-6AC1-4806-BAD2-7D7936F75D10}"/>
    <cellStyle name="Comma 17 4 2 4 2 2 2 3" xfId="7488" xr:uid="{1C6C6C05-FBA2-42C4-915A-DB2A7D63BC4F}"/>
    <cellStyle name="Comma 17 4 2 4 2 2 2 3 2" xfId="14670" xr:uid="{43A27505-5C19-4F61-9B20-94760138CDA7}"/>
    <cellStyle name="Comma 17 4 2 4 2 2 2 4" xfId="12633" xr:uid="{462DFE92-818E-4A25-9B39-040371A6E193}"/>
    <cellStyle name="Comma 17 4 2 4 2 2 3" xfId="7491" xr:uid="{21CBBD0D-D8E9-4820-9375-B7C89E5CFF3E}"/>
    <cellStyle name="Comma 17 4 2 4 2 2 3 2" xfId="7494" xr:uid="{400D33F7-E326-47EA-9BBF-CB0B578D53B3}"/>
    <cellStyle name="Comma 17 4 2 4 2 2 3 2 2" xfId="14673" xr:uid="{AC9D57B5-5D0D-4532-97E0-D328FA8A4FE6}"/>
    <cellStyle name="Comma 17 4 2 4 2 2 3 3" xfId="14674" xr:uid="{575C3B42-93C2-4EB8-B7B8-03FD6F2BCC04}"/>
    <cellStyle name="Comma 17 4 2 4 2 2 4" xfId="7501" xr:uid="{D47B2D1A-609C-4E18-B698-56FA123747B9}"/>
    <cellStyle name="Comma 17 4 2 4 2 2 4 2" xfId="14677" xr:uid="{F9B0AF00-8623-4C63-9E66-86D00375E887}"/>
    <cellStyle name="Comma 17 4 2 4 2 2 5" xfId="7507" xr:uid="{46CBD722-482C-44AF-9D28-2E028AAC39EB}"/>
    <cellStyle name="Comma 17 4 2 4 2 3" xfId="14679" xr:uid="{4D3F8CC3-0E3A-4861-A852-6429FF4668BD}"/>
    <cellStyle name="Comma 17 4 2 4 2 3 2" xfId="6476" xr:uid="{C4672F19-0EF2-4CFE-B2EB-1AF78882A4B8}"/>
    <cellStyle name="Comma 17 4 2 4 2 3 2 2" xfId="7553" xr:uid="{47C4987E-FB17-437B-B3BD-10EFC22EB001}"/>
    <cellStyle name="Comma 17 4 2 4 2 3 2 2 2" xfId="10562" xr:uid="{B429E88B-FA17-47C5-92E3-FA7517B580CE}"/>
    <cellStyle name="Comma 17 4 2 4 2 3 2 3" xfId="14680" xr:uid="{016DAE76-0048-4622-AAA2-D817D5B32E4A}"/>
    <cellStyle name="Comma 17 4 2 4 2 3 3" xfId="7557" xr:uid="{84803D92-DDC8-47DE-BFA8-8D22E10F6B92}"/>
    <cellStyle name="Comma 17 4 2 4 2 3 3 2" xfId="8555" xr:uid="{C20D4912-C929-492A-B2B3-C8355DFF0844}"/>
    <cellStyle name="Comma 17 4 2 4 2 3 4" xfId="7565" xr:uid="{7C19401F-6A91-4CF0-A4F1-8B9AAABC0D00}"/>
    <cellStyle name="Comma 17 4 2 4 2 4" xfId="14683" xr:uid="{92BDFA83-872C-4A70-A092-A4910E362C83}"/>
    <cellStyle name="Comma 17 4 2 4 2 4 2" xfId="6724" xr:uid="{E19140E4-F6CB-4AE6-8D9B-4112BD2DD30C}"/>
    <cellStyle name="Comma 17 4 2 4 2 4 2 2" xfId="14684" xr:uid="{5C9C4D42-EB6B-45C0-8264-A06EFCCE749D}"/>
    <cellStyle name="Comma 17 4 2 4 2 4 3" xfId="7586" xr:uid="{1218458E-D948-46DC-8014-9D583F971377}"/>
    <cellStyle name="Comma 17 4 2 4 2 5" xfId="10329" xr:uid="{FCC42B6E-A813-468A-A7C5-A3CB18BBEC3D}"/>
    <cellStyle name="Comma 17 4 2 4 2 5 2" xfId="14686" xr:uid="{7E5BABA5-873F-4FF2-B925-0E0BDBCFC6D3}"/>
    <cellStyle name="Comma 17 4 2 4 2 6" xfId="9153" xr:uid="{FE99FAA2-5EC3-4B04-8EB1-B19B100D9E49}"/>
    <cellStyle name="Comma 17 4 2 4 2 7" xfId="14688" xr:uid="{D701E208-7F45-4026-A762-697A4868E2FB}"/>
    <cellStyle name="Comma 17 4 2 4 3" xfId="14691" xr:uid="{BBE77BB3-859D-44C7-A3ED-82BC9F643D1F}"/>
    <cellStyle name="Comma 17 4 2 4 3 2" xfId="14693" xr:uid="{3CB84F59-D8AC-486C-81A9-5F92FCEF336B}"/>
    <cellStyle name="Comma 17 4 2 4 3 2 2" xfId="7724" xr:uid="{88982623-2690-4E88-BD47-1262E7963D9F}"/>
    <cellStyle name="Comma 17 4 2 4 3 2 2 2" xfId="7728" xr:uid="{E60A7110-5861-400A-9796-8107160F5EAC}"/>
    <cellStyle name="Comma 17 4 2 4 3 2 2 2 2" xfId="14697" xr:uid="{1677D596-CBDB-4B59-A316-820DE31599E4}"/>
    <cellStyle name="Comma 17 4 2 4 3 2 2 3" xfId="14701" xr:uid="{4A1DD63C-5638-4992-A742-6FEBB2D84A8D}"/>
    <cellStyle name="Comma 17 4 2 4 3 2 3" xfId="47" xr:uid="{BA454A4C-F124-4701-880F-A7247189C934}"/>
    <cellStyle name="Comma 17 4 2 4 3 2 3 2" xfId="14704" xr:uid="{104D50D1-9059-4405-8A47-2A1AED7D3F07}"/>
    <cellStyle name="Comma 17 4 2 4 3 2 4" xfId="7742" xr:uid="{E913E5B9-72C4-408E-AD82-4D3ABAF79CF3}"/>
    <cellStyle name="Comma 17 4 2 4 3 3" xfId="14706" xr:uid="{579C71C6-7D0F-45A8-AD57-808D858EA6B9}"/>
    <cellStyle name="Comma 17 4 2 4 3 3 2" xfId="7794" xr:uid="{7D2002CB-1726-4043-94C2-68D2DC24F851}"/>
    <cellStyle name="Comma 17 4 2 4 3 3 2 2" xfId="14709" xr:uid="{1EF2F99F-D8E8-4284-923C-320AFDFD10B3}"/>
    <cellStyle name="Comma 17 4 2 4 3 3 3" xfId="7802" xr:uid="{76D0C6DE-27B1-4108-8D30-A85A93BDE1A0}"/>
    <cellStyle name="Comma 17 4 2 4 3 4" xfId="14713" xr:uid="{DACC0FC8-A1C1-4700-8A57-5CC3433F0B5A}"/>
    <cellStyle name="Comma 17 4 2 4 3 4 2" xfId="14718" xr:uid="{C154F894-7FB7-4306-82E9-BE29578D968E}"/>
    <cellStyle name="Comma 17 4 2 4 3 5" xfId="14721" xr:uid="{E469BDB5-C385-45D1-B59B-D792877F6322}"/>
    <cellStyle name="Comma 17 4 2 4 4" xfId="14723" xr:uid="{2F4F79DF-1334-4AD7-80D1-DD7B380BA56A}"/>
    <cellStyle name="Comma 17 4 2 4 4 2" xfId="14725" xr:uid="{24A650BE-1B35-4E79-9C09-98DA03BBF093}"/>
    <cellStyle name="Comma 17 4 2 4 4 2 2" xfId="1458" xr:uid="{55A3FDF5-7E16-4EAE-9B34-E4CA95BE00FD}"/>
    <cellStyle name="Comma 17 4 2 4 4 2 2 2" xfId="14728" xr:uid="{E9EFD4E3-B13F-4762-A377-945ABC119696}"/>
    <cellStyle name="Comma 17 4 2 4 4 2 3" xfId="1469" xr:uid="{E2999800-6715-4B99-9F24-C408C42F1D29}"/>
    <cellStyle name="Comma 17 4 2 4 4 3" xfId="14730" xr:uid="{39F49C67-417F-4CFA-BC22-F97754C6D921}"/>
    <cellStyle name="Comma 17 4 2 4 4 3 2" xfId="12151" xr:uid="{556B0219-AD5E-4F32-8AC0-1BE144494C3E}"/>
    <cellStyle name="Comma 17 4 2 4 4 4" xfId="14733" xr:uid="{7635991C-307B-4B41-8224-53D847CC5CC3}"/>
    <cellStyle name="Comma 17 4 2 4 5" xfId="14735" xr:uid="{87F01C71-7A6C-4FFA-AA58-2DDF7CDBD0EC}"/>
    <cellStyle name="Comma 17 4 2 4 5 2" xfId="14737" xr:uid="{1665C1D8-C528-48DD-9702-6A96EBFE522C}"/>
    <cellStyle name="Comma 17 4 2 4 5 2 2" xfId="14742" xr:uid="{F70BA75A-2513-4DE4-9C1E-D199C791AFB6}"/>
    <cellStyle name="Comma 17 4 2 4 5 3" xfId="14743" xr:uid="{60BE9E29-4CE1-42C4-B28D-4ED1F76D090F}"/>
    <cellStyle name="Comma 17 4 2 4 6" xfId="14745" xr:uid="{9ABC0B4D-8D6C-48B3-A10B-51BA6B9E08B7}"/>
    <cellStyle name="Comma 17 4 2 4 6 2" xfId="8044" xr:uid="{2E07F491-F1BC-4578-9C71-6E55190B354E}"/>
    <cellStyle name="Comma 17 4 2 4 7" xfId="8613" xr:uid="{5A19E9E1-67FB-412F-BD75-08144A6E6F0B}"/>
    <cellStyle name="Comma 17 4 2 4 8" xfId="8618" xr:uid="{A963391A-A51F-418E-AA65-ED6ABC1BC514}"/>
    <cellStyle name="Comma 17 4 2 5" xfId="14751" xr:uid="{CF4A9475-1B84-4703-ADE2-BEC9A9456333}"/>
    <cellStyle name="Comma 17 4 2 5 2" xfId="14753" xr:uid="{42E17386-43E6-4103-90AB-07C8BCDFF4E9}"/>
    <cellStyle name="Comma 17 4 2 5 2 2" xfId="14755" xr:uid="{D2C93423-8314-4EA0-8946-8227421B78AD}"/>
    <cellStyle name="Comma 17 4 2 5 2 2 2" xfId="5745" xr:uid="{EF5DB2AA-B56A-480A-8AB1-B7FAF927CDE4}"/>
    <cellStyle name="Comma 17 4 2 5 2 2 2 2" xfId="8040" xr:uid="{F2DDF445-0DB5-4DFF-B950-BB34401D521C}"/>
    <cellStyle name="Comma 17 4 2 5 2 2 2 2 2" xfId="14758" xr:uid="{4CCDC539-7AEB-4488-B3BD-CBD9C9A68616}"/>
    <cellStyle name="Comma 17 4 2 5 2 2 2 3" xfId="14760" xr:uid="{C30F18DC-DF97-4BF4-8F23-C45580866E53}"/>
    <cellStyle name="Comma 17 4 2 5 2 2 3" xfId="8043" xr:uid="{12CC3118-2294-4197-81CD-EC9438A89C54}"/>
    <cellStyle name="Comma 17 4 2 5 2 2 3 2" xfId="14764" xr:uid="{192365F5-46DB-4E45-946D-3EC08115067A}"/>
    <cellStyle name="Comma 17 4 2 5 2 2 4" xfId="6209" xr:uid="{7334ED4E-FD0F-4D59-A9E9-DC8C5D650A81}"/>
    <cellStyle name="Comma 17 4 2 5 2 3" xfId="14767" xr:uid="{9D30B334-109D-4C21-BE02-6ABA021713A3}"/>
    <cellStyle name="Comma 17 4 2 5 2 3 2" xfId="8049" xr:uid="{4344142A-8AB7-4A4B-8070-875ECD35A854}"/>
    <cellStyle name="Comma 17 4 2 5 2 3 2 2" xfId="14769" xr:uid="{4F472F42-54B3-4F3B-BA96-548B976113C2}"/>
    <cellStyle name="Comma 17 4 2 5 2 3 3" xfId="8051" xr:uid="{5AC803BC-B633-490F-A7D0-1AB97E976258}"/>
    <cellStyle name="Comma 17 4 2 5 2 4" xfId="14771" xr:uid="{ABFADBB7-A8A9-4427-8611-68397506F47D}"/>
    <cellStyle name="Comma 17 4 2 5 2 4 2" xfId="1148" xr:uid="{31E666CA-9B40-4A63-B671-1A63F71F8F6E}"/>
    <cellStyle name="Comma 17 4 2 5 2 5" xfId="14772" xr:uid="{DB556179-6DBB-44A1-ABF0-871F77AB594B}"/>
    <cellStyle name="Comma 17 4 2 5 3" xfId="14774" xr:uid="{0B2BCA81-D915-4F29-A2E2-DD9211F022A1}"/>
    <cellStyle name="Comma 17 4 2 5 3 2" xfId="14776" xr:uid="{3ED9EBE0-2857-49F9-96D5-16EBC77ADEDF}"/>
    <cellStyle name="Comma 17 4 2 5 3 2 2" xfId="8101" xr:uid="{5C0223EC-868A-49C7-BD5A-3F66AA0D93FC}"/>
    <cellStyle name="Comma 17 4 2 5 3 2 2 2" xfId="14780" xr:uid="{3D8ADA78-FDE2-41E1-A151-A8B8D69718EB}"/>
    <cellStyle name="Comma 17 4 2 5 3 2 3" xfId="8105" xr:uid="{594F429A-793B-405C-BC9C-E00C4AB34B08}"/>
    <cellStyle name="Comma 17 4 2 5 3 3" xfId="14782" xr:uid="{FE92B945-B348-49C5-A6D4-F4B8E00BD220}"/>
    <cellStyle name="Comma 17 4 2 5 3 3 2" xfId="14785" xr:uid="{32AD1691-5378-4D26-B296-F4A20ED28C27}"/>
    <cellStyle name="Comma 17 4 2 5 3 4" xfId="14788" xr:uid="{C07F4B76-AA73-43A4-A0B2-4E6EFF0F34CE}"/>
    <cellStyle name="Comma 17 4 2 5 4" xfId="14790" xr:uid="{5BAE3A4F-2B2D-447B-89A0-5C1B20081518}"/>
    <cellStyle name="Comma 17 4 2 5 4 2" xfId="14792" xr:uid="{266E1279-D493-4590-AAC0-69EF9C34B030}"/>
    <cellStyle name="Comma 17 4 2 5 4 2 2" xfId="14796" xr:uid="{F678D2B4-7564-42BE-9E47-226C5ECC6F06}"/>
    <cellStyle name="Comma 17 4 2 5 4 3" xfId="14797" xr:uid="{5EB48BAA-121A-4C34-976E-E3E35938AFBA}"/>
    <cellStyle name="Comma 17 4 2 5 5" xfId="14799" xr:uid="{C7815F24-D8E8-41A0-AE6D-6CDE6528E4CA}"/>
    <cellStyle name="Comma 17 4 2 5 5 2" xfId="14800" xr:uid="{805DB667-BBFC-4544-8CA7-B0207C49A2EF}"/>
    <cellStyle name="Comma 17 4 2 5 6" xfId="14802" xr:uid="{6CA6E75C-692A-4601-874F-CAC17E63D0B0}"/>
    <cellStyle name="Comma 17 4 2 5 7" xfId="8624" xr:uid="{ABAA23B6-D1CB-49D0-BB55-B5EBBBF5140E}"/>
    <cellStyle name="Comma 17 4 2 6" xfId="14807" xr:uid="{06BA5AC6-15E5-4517-A9B6-8ECB2A2AF53C}"/>
    <cellStyle name="Comma 17 4 2 6 2" xfId="14810" xr:uid="{673AEE14-6D3A-420A-9144-584B279050B1}"/>
    <cellStyle name="Comma 17 4 2 6 2 2" xfId="14812" xr:uid="{8B512536-461E-4206-8BCE-E75BBFFC22BE}"/>
    <cellStyle name="Comma 17 4 2 6 2 2 2" xfId="5792" xr:uid="{8ACABBCE-92F7-4F88-8CE5-0820AEDBB686}"/>
    <cellStyle name="Comma 17 4 2 6 2 2 2 2" xfId="14441" xr:uid="{03413030-D84E-4822-8E55-447CA382BC08}"/>
    <cellStyle name="Comma 17 4 2 6 2 2 3" xfId="5805" xr:uid="{3CA505F5-066B-4D98-A791-49ABE685ED12}"/>
    <cellStyle name="Comma 17 4 2 6 2 3" xfId="14818" xr:uid="{8F03B55B-8B58-403C-A168-B84E366340DF}"/>
    <cellStyle name="Comma 17 4 2 6 2 3 2" xfId="14825" xr:uid="{2560B20A-B688-4754-956B-CC9E5ACBE263}"/>
    <cellStyle name="Comma 17 4 2 6 2 4" xfId="14827" xr:uid="{8232901D-A215-46A2-87BC-C387BC75BB94}"/>
    <cellStyle name="Comma 17 4 2 6 3" xfId="14832" xr:uid="{28FF7100-B770-4E59-BBE9-4DB9ADC4FC51}"/>
    <cellStyle name="Comma 17 4 2 6 3 2" xfId="14834" xr:uid="{D0149F5B-6DD2-4EBF-9FFE-44A97AB423C5}"/>
    <cellStyle name="Comma 17 4 2 6 3 2 2" xfId="14838" xr:uid="{DC29F4DE-FA47-4DEC-BFBF-896E09E4101A}"/>
    <cellStyle name="Comma 17 4 2 6 3 3" xfId="14839" xr:uid="{D0601F2E-389A-49C2-A1BD-DF83689A6909}"/>
    <cellStyle name="Comma 17 4 2 6 4" xfId="14845" xr:uid="{9E81F304-CB81-48B8-833D-188FBE5B52C1}"/>
    <cellStyle name="Comma 17 4 2 6 4 2" xfId="14846" xr:uid="{994CF85E-8AAA-442F-B258-CA0962585941}"/>
    <cellStyle name="Comma 17 4 2 6 5" xfId="14851" xr:uid="{97A1864C-02C9-4DB9-805E-C57F5D37A64E}"/>
    <cellStyle name="Comma 17 4 2 7" xfId="14853" xr:uid="{290C191F-4653-4E4C-B805-53774AD3FE22}"/>
    <cellStyle name="Comma 17 4 2 7 2" xfId="14855" xr:uid="{1899EBBE-C45E-410F-95AF-FFD3185B5FB7}"/>
    <cellStyle name="Comma 17 4 2 7 2 2" xfId="14858" xr:uid="{1F4C1CCB-DA15-40C5-955E-2AE6566C40D8}"/>
    <cellStyle name="Comma 17 4 2 7 2 2 2" xfId="14859" xr:uid="{5B3B83CA-A5E7-4DDE-A69D-029FC9B5D7EE}"/>
    <cellStyle name="Comma 17 4 2 7 2 3" xfId="14862" xr:uid="{A7243ADA-7E60-41EB-8E7C-137F08BCCCA7}"/>
    <cellStyle name="Comma 17 4 2 7 3" xfId="14864" xr:uid="{9D916030-DA24-48AD-B2B0-A57A77B20449}"/>
    <cellStyle name="Comma 17 4 2 7 3 2" xfId="14865" xr:uid="{4A40D3BE-036C-421D-842A-03A374C2F20F}"/>
    <cellStyle name="Comma 17 4 2 7 4" xfId="14867" xr:uid="{6F3F6524-84EC-480C-AFC7-C28E707A2A02}"/>
    <cellStyle name="Comma 17 4 2 8" xfId="14868" xr:uid="{4C1C4EAC-4367-4608-ADAD-12C49FBB7005}"/>
    <cellStyle name="Comma 17 4 2 8 2" xfId="14870" xr:uid="{11DC6C62-5A4B-4D66-BE9B-CC72BC30A999}"/>
    <cellStyle name="Comma 17 4 2 8 2 2" xfId="5872" xr:uid="{EB91FF08-A3D9-4C5C-AEAB-828165BD11E0}"/>
    <cellStyle name="Comma 17 4 2 8 3" xfId="14873" xr:uid="{45233985-6B1B-40B3-8916-ACB78CA4E637}"/>
    <cellStyle name="Comma 17 4 2 9" xfId="14874" xr:uid="{FDD42906-8858-4C5C-8D2A-AD1CE472427B}"/>
    <cellStyle name="Comma 17 4 2 9 2" xfId="14875" xr:uid="{D11558F9-47AE-4D57-A58A-100C29FA2CEC}"/>
    <cellStyle name="Comma 17 4 3" xfId="14877" xr:uid="{BD5D0E4D-0BC3-488B-99AD-FFDFD0285159}"/>
    <cellStyle name="Comma 17 4 3 10" xfId="14878" xr:uid="{D01BE988-CA7E-47FD-9A77-5331C1D7A889}"/>
    <cellStyle name="Comma 17 4 3 2" xfId="14879" xr:uid="{6ABBC676-026E-47FA-99F7-51E1F85A339F}"/>
    <cellStyle name="Comma 17 4 3 2 2" xfId="14880" xr:uid="{374ABBB5-BE38-433A-A885-19B463B495E3}"/>
    <cellStyle name="Comma 17 4 3 2 2 2" xfId="14881" xr:uid="{0B9152CE-F108-4AE4-960C-38CE9423FF0B}"/>
    <cellStyle name="Comma 17 4 3 2 2 2 2" xfId="14882" xr:uid="{ABC75B2F-9D77-48CB-8A71-E3E2B2C9F2AD}"/>
    <cellStyle name="Comma 17 4 3 2 2 2 2 2" xfId="14883" xr:uid="{57C98619-8ABD-4686-9537-9E3910BEDEBD}"/>
    <cellStyle name="Comma 17 4 3 2 2 2 2 2 2" xfId="11791" xr:uid="{C20C6185-79B4-496D-99E7-1CB6E62FD692}"/>
    <cellStyle name="Comma 17 4 3 2 2 2 2 2 2 2" xfId="14884" xr:uid="{40E92CEA-D8B6-4060-9F2D-AAEACD2513FE}"/>
    <cellStyle name="Comma 17 4 3 2 2 2 2 2 2 2 2" xfId="14886" xr:uid="{EE25E6B9-87B4-4BE7-8DB6-99D5A344BC8A}"/>
    <cellStyle name="Comma 17 4 3 2 2 2 2 2 2 3" xfId="14888" xr:uid="{BD13E05D-A365-4921-AA91-E3B50115DD3B}"/>
    <cellStyle name="Comma 17 4 3 2 2 2 2 2 3" xfId="14889" xr:uid="{95CB18DF-9D71-4E55-BE67-1A56745834C4}"/>
    <cellStyle name="Comma 17 4 3 2 2 2 2 2 3 2" xfId="14890" xr:uid="{972DA234-D652-489B-BE46-FFC5C5AFCDCC}"/>
    <cellStyle name="Comma 17 4 3 2 2 2 2 2 4" xfId="12268" xr:uid="{87AE9A54-35FA-44B3-B7A6-350D2EA8F999}"/>
    <cellStyle name="Comma 17 4 3 2 2 2 2 3" xfId="14892" xr:uid="{582596A5-5253-4B9D-BC16-00E075F018A1}"/>
    <cellStyle name="Comma 17 4 3 2 2 2 2 3 2" xfId="14893" xr:uid="{48743FE0-DD7D-4616-84C3-734E895D90C5}"/>
    <cellStyle name="Comma 17 4 3 2 2 2 2 3 2 2" xfId="14896" xr:uid="{9C1A8C48-E08C-4CAB-91CB-7B35634BC68E}"/>
    <cellStyle name="Comma 17 4 3 2 2 2 2 3 3" xfId="14898" xr:uid="{0018BD1D-757F-496A-A8D6-8B0D7A06A887}"/>
    <cellStyle name="Comma 17 4 3 2 2 2 2 4" xfId="14899" xr:uid="{CC38B14B-C047-4C69-B28B-3CCAD4E96037}"/>
    <cellStyle name="Comma 17 4 3 2 2 2 2 4 2" xfId="14900" xr:uid="{74145979-BC70-4103-A2CF-6C83C326C2C0}"/>
    <cellStyle name="Comma 17 4 3 2 2 2 2 5" xfId="14901" xr:uid="{E378BA66-A7F4-4C43-A625-98BD988560D2}"/>
    <cellStyle name="Comma 17 4 3 2 2 2 3" xfId="14902" xr:uid="{39444861-CD47-4827-8A5D-34D3805965A6}"/>
    <cellStyle name="Comma 17 4 3 2 2 2 3 2" xfId="14903" xr:uid="{7EACBC6E-A52C-4404-B90E-75753AC2E80D}"/>
    <cellStyle name="Comma 17 4 3 2 2 2 3 2 2" xfId="14904" xr:uid="{0070A1F6-85AE-4936-A892-51C079101A63}"/>
    <cellStyle name="Comma 17 4 3 2 2 2 3 2 2 2" xfId="14905" xr:uid="{0C778323-A182-465A-92D6-18B664343D23}"/>
    <cellStyle name="Comma 17 4 3 2 2 2 3 2 3" xfId="14906" xr:uid="{D4F6B7A1-BC95-45B7-B3DE-7C295E4212C5}"/>
    <cellStyle name="Comma 17 4 3 2 2 2 3 3" xfId="14907" xr:uid="{3C7438AE-0279-4040-B000-7232CB88A8AE}"/>
    <cellStyle name="Comma 17 4 3 2 2 2 3 3 2" xfId="1231" xr:uid="{E0117E1E-1A56-4621-ACE5-1D4A8CAEEBD3}"/>
    <cellStyle name="Comma 17 4 3 2 2 2 3 4" xfId="12083" xr:uid="{CF469B53-F5A5-451E-A7AF-5BF193618F46}"/>
    <cellStyle name="Comma 17 4 3 2 2 2 4" xfId="14908" xr:uid="{103E04C2-ACC4-4C90-8CB3-B907C9672B52}"/>
    <cellStyle name="Comma 17 4 3 2 2 2 4 2" xfId="14910" xr:uid="{740E0944-FADA-4C80-85F6-3BCDA09EB340}"/>
    <cellStyle name="Comma 17 4 3 2 2 2 4 2 2" xfId="14911" xr:uid="{A456846D-5D19-471C-B74B-F7BE08B855AE}"/>
    <cellStyle name="Comma 17 4 3 2 2 2 4 3" xfId="14912" xr:uid="{28B731F8-E78D-4489-8F71-77FA4C905016}"/>
    <cellStyle name="Comma 17 4 3 2 2 2 5" xfId="2978" xr:uid="{89D0198C-9579-49B9-AB66-2CCC55112E5E}"/>
    <cellStyle name="Comma 17 4 3 2 2 2 5 2" xfId="4657" xr:uid="{662414B2-27B8-4D75-B1E1-8F17EE27EACD}"/>
    <cellStyle name="Comma 17 4 3 2 2 2 6" xfId="2986" xr:uid="{5ED4A850-272E-4E05-ABEE-E07BDE58CAFB}"/>
    <cellStyle name="Comma 17 4 3 2 2 2 7" xfId="8002" xr:uid="{E065A5D4-A39D-40C0-961C-57333A4002CD}"/>
    <cellStyle name="Comma 17 4 3 2 2 3" xfId="14913" xr:uid="{77F08B19-2FAB-4113-BEBE-88FA86A99A9B}"/>
    <cellStyle name="Comma 17 4 3 2 2 3 2" xfId="14914" xr:uid="{3EB6D433-AF6F-462D-A042-516004EB93D2}"/>
    <cellStyle name="Comma 17 4 3 2 2 3 2 2" xfId="14916" xr:uid="{294B19ED-5410-4556-8BFD-41D72B67D5A9}"/>
    <cellStyle name="Comma 17 4 3 2 2 3 2 2 2" xfId="14918" xr:uid="{FCCA902A-F2E6-4499-98D3-A20BCB94FD10}"/>
    <cellStyle name="Comma 17 4 3 2 2 3 2 2 2 2" xfId="14920" xr:uid="{3D3F51F6-4825-41D3-9A84-038A23343179}"/>
    <cellStyle name="Comma 17 4 3 2 2 3 2 2 3" xfId="14922" xr:uid="{84D2B12B-30D6-4D4F-B05D-7A5EBF7ACA60}"/>
    <cellStyle name="Comma 17 4 3 2 2 3 2 3" xfId="14923" xr:uid="{FF73B159-0EF9-4706-A1FE-BD813B4DC640}"/>
    <cellStyle name="Comma 17 4 3 2 2 3 2 3 2" xfId="10391" xr:uid="{215BFC25-55B3-40BB-BC68-0395B932064A}"/>
    <cellStyle name="Comma 17 4 3 2 2 3 2 4" xfId="14924" xr:uid="{7C72CEFB-53EC-4562-B20A-AFCFB44956F4}"/>
    <cellStyle name="Comma 17 4 3 2 2 3 3" xfId="14925" xr:uid="{1E6ECD12-304C-43C7-AC94-6C0E6F9B0D4C}"/>
    <cellStyle name="Comma 17 4 3 2 2 3 3 2" xfId="14926" xr:uid="{C9D42952-34AF-44EF-9575-2448DB92559E}"/>
    <cellStyle name="Comma 17 4 3 2 2 3 3 2 2" xfId="14928" xr:uid="{46EB9901-34B2-4B1F-94C6-C77C09CBC2AC}"/>
    <cellStyle name="Comma 17 4 3 2 2 3 3 3" xfId="14929" xr:uid="{FAA2CDF2-F5EB-459B-8023-7194A4EC4BF9}"/>
    <cellStyle name="Comma 17 4 3 2 2 3 4" xfId="3023" xr:uid="{D604DDCA-61E8-47CA-A76E-4D889DEE83DD}"/>
    <cellStyle name="Comma 17 4 3 2 2 3 4 2" xfId="14932" xr:uid="{E39899EF-FE73-47EB-8DAF-61CD0251C2C7}"/>
    <cellStyle name="Comma 17 4 3 2 2 3 5" xfId="4673" xr:uid="{6EABFBAF-63FF-424F-8F83-02A0CE270E71}"/>
    <cellStyle name="Comma 17 4 3 2 2 4" xfId="14933" xr:uid="{29B3B908-F9C2-4FB4-8C11-0260B324D8C6}"/>
    <cellStyle name="Comma 17 4 3 2 2 4 2" xfId="14934" xr:uid="{4BD1A8C6-5B38-4787-805D-D9FFCCBB5103}"/>
    <cellStyle name="Comma 17 4 3 2 2 4 2 2" xfId="14936" xr:uid="{FEE2C102-8619-447E-87DB-EF0A9CE2D515}"/>
    <cellStyle name="Comma 17 4 3 2 2 4 2 2 2" xfId="14938" xr:uid="{27D321CC-04A6-466A-9626-1330BF00B776}"/>
    <cellStyle name="Comma 17 4 3 2 2 4 2 3" xfId="14939" xr:uid="{E69F0750-5620-4A7D-B0B3-C391C6904488}"/>
    <cellStyle name="Comma 17 4 3 2 2 4 3" xfId="14940" xr:uid="{38938372-90D6-4818-A3E5-089F53DA9C81}"/>
    <cellStyle name="Comma 17 4 3 2 2 4 3 2" xfId="14941" xr:uid="{D7492190-63F9-4DAB-85AC-E9F37EFCE957}"/>
    <cellStyle name="Comma 17 4 3 2 2 4 4" xfId="14942" xr:uid="{232EE7A7-A67B-41F2-9228-5ACFB7E489A8}"/>
    <cellStyle name="Comma 17 4 3 2 2 5" xfId="14946" xr:uid="{519E159C-65AE-4F2E-B541-FE9BF2E4AC80}"/>
    <cellStyle name="Comma 17 4 3 2 2 5 2" xfId="14948" xr:uid="{CA322F8F-B1FA-47E4-8FDD-BD2B3F0CC3D9}"/>
    <cellStyle name="Comma 17 4 3 2 2 5 2 2" xfId="14949" xr:uid="{666A91A6-26CA-4C02-BED1-05B707EB7A1A}"/>
    <cellStyle name="Comma 17 4 3 2 2 5 3" xfId="14951" xr:uid="{863A9E5E-3F7F-4D75-8C20-E470C961F61B}"/>
    <cellStyle name="Comma 17 4 3 2 2 6" xfId="9256" xr:uid="{8E6072AA-E08A-4364-B2DA-97BCC39C5BCD}"/>
    <cellStyle name="Comma 17 4 3 2 2 6 2" xfId="9259" xr:uid="{DA9F334D-4044-4033-A5BE-F3262DF26E29}"/>
    <cellStyle name="Comma 17 4 3 2 2 7" xfId="9264" xr:uid="{03F27AE1-7AD1-4FAF-8252-E73ADC3EFE22}"/>
    <cellStyle name="Comma 17 4 3 2 2 8" xfId="14957" xr:uid="{E4D14038-A1A0-4A6E-A2F9-BAC7CC0FF55C}"/>
    <cellStyle name="Comma 17 4 3 2 3" xfId="11001" xr:uid="{BB394FF3-00F3-4469-8B96-0AD90347F0D2}"/>
    <cellStyle name="Comma 17 4 3 2 3 2" xfId="14960" xr:uid="{69A27F20-9776-4D74-ABC9-4BA357F38BF9}"/>
    <cellStyle name="Comma 17 4 3 2 3 2 2" xfId="14961" xr:uid="{E00B25A1-86A6-47C4-9C12-D3E961A14BDB}"/>
    <cellStyle name="Comma 17 4 3 2 3 2 2 2" xfId="14962" xr:uid="{6A861C55-E8B7-465E-B795-2C955FF5557A}"/>
    <cellStyle name="Comma 17 4 3 2 3 2 2 2 2" xfId="14964" xr:uid="{CA4A8B0F-DB6A-4714-AF73-AA44E9B20D81}"/>
    <cellStyle name="Comma 17 4 3 2 3 2 2 2 2 2" xfId="14967" xr:uid="{981A7B9B-FEE3-4282-8BF4-BA9B9AA5DBEF}"/>
    <cellStyle name="Comma 17 4 3 2 3 2 2 2 3" xfId="14969" xr:uid="{512EF9A8-55B2-4622-92B4-3025DC27C6FB}"/>
    <cellStyle name="Comma 17 4 3 2 3 2 2 3" xfId="14970" xr:uid="{C737C187-24D5-4049-8922-4AE4D36A3E64}"/>
    <cellStyle name="Comma 17 4 3 2 3 2 2 3 2" xfId="14972" xr:uid="{0CE5D518-855A-4DCF-906E-EE767CE42D18}"/>
    <cellStyle name="Comma 17 4 3 2 3 2 2 4" xfId="14973" xr:uid="{CC696B8A-61E8-45C3-9FB9-95D06B0B807F}"/>
    <cellStyle name="Comma 17 4 3 2 3 2 3" xfId="14974" xr:uid="{7E90A76D-ED0C-4F59-8F47-0491F676B575}"/>
    <cellStyle name="Comma 17 4 3 2 3 2 3 2" xfId="3134" xr:uid="{0F668AAB-F112-42FA-AED7-9E83D0474655}"/>
    <cellStyle name="Comma 17 4 3 2 3 2 3 2 2" xfId="3525" xr:uid="{07988B66-F318-4BD5-951A-B712E562C40F}"/>
    <cellStyle name="Comma 17 4 3 2 3 2 3 3" xfId="3569" xr:uid="{9CF12D24-D684-46E8-9CDA-4796B167F95C}"/>
    <cellStyle name="Comma 17 4 3 2 3 2 4" xfId="14977" xr:uid="{803CC9E0-A206-4387-A2AE-7AE2F84C0AC8}"/>
    <cellStyle name="Comma 17 4 3 2 3 2 4 2" xfId="4009" xr:uid="{F03A3648-E404-4FCC-94E5-58BB0A5E5232}"/>
    <cellStyle name="Comma 17 4 3 2 3 2 5" xfId="4698" xr:uid="{41A84DD4-5EF1-4E05-9BFF-2DC49079FCD4}"/>
    <cellStyle name="Comma 17 4 3 2 3 3" xfId="14978" xr:uid="{C9CC5520-7E59-4086-9A8F-0F3EE84A882A}"/>
    <cellStyle name="Comma 17 4 3 2 3 3 2" xfId="14979" xr:uid="{13B34EFC-C6D2-4A51-A19A-6889318F07BA}"/>
    <cellStyle name="Comma 17 4 3 2 3 3 2 2" xfId="14980" xr:uid="{9C4033BE-46B6-4C0E-89B5-8DD479C542A7}"/>
    <cellStyle name="Comma 17 4 3 2 3 3 2 2 2" xfId="14982" xr:uid="{6D11DDAC-A7AD-4B57-91CE-7001EB576759}"/>
    <cellStyle name="Comma 17 4 3 2 3 3 2 3" xfId="14983" xr:uid="{5DBE9D0F-57FF-45A1-B471-95E2C46232BD}"/>
    <cellStyle name="Comma 17 4 3 2 3 3 3" xfId="14984" xr:uid="{3F87E724-456C-4FB9-87A6-F902C0EA75CC}"/>
    <cellStyle name="Comma 17 4 3 2 3 3 3 2" xfId="4703" xr:uid="{DFCDFBDB-F347-4F87-B0EC-A96780ED8774}"/>
    <cellStyle name="Comma 17 4 3 2 3 3 4" xfId="14987" xr:uid="{6B07D4F3-B19E-4911-AF8D-EDF7E8958DDD}"/>
    <cellStyle name="Comma 17 4 3 2 3 4" xfId="14988" xr:uid="{E2D7549D-05DD-40C4-BD9B-3E549217F7F1}"/>
    <cellStyle name="Comma 17 4 3 2 3 4 2" xfId="14989" xr:uid="{B2D7C0C6-38C9-4165-BFED-29EF2DA08BF0}"/>
    <cellStyle name="Comma 17 4 3 2 3 4 2 2" xfId="14991" xr:uid="{CF12C58A-1612-43EF-8755-EEBE30030E3E}"/>
    <cellStyle name="Comma 17 4 3 2 3 4 3" xfId="14992" xr:uid="{615AF351-E5FC-4C30-A008-67B86C970A4F}"/>
    <cellStyle name="Comma 17 4 3 2 3 5" xfId="14994" xr:uid="{BC60CB71-2574-4179-A065-047593549E8C}"/>
    <cellStyle name="Comma 17 4 3 2 3 5 2" xfId="14995" xr:uid="{5F82EA0C-1781-44FB-B3E4-691246FB22FE}"/>
    <cellStyle name="Comma 17 4 3 2 3 6" xfId="9267" xr:uid="{2913FC6D-7193-4B20-8693-3C0829BBD0A4}"/>
    <cellStyle name="Comma 17 4 3 2 3 7" xfId="14999" xr:uid="{40095157-736B-41CA-BEA1-CFE43E5A54C7}"/>
    <cellStyle name="Comma 17 4 3 2 4" xfId="15001" xr:uid="{C3311D21-73E4-4426-8C83-3F8587C3A857}"/>
    <cellStyle name="Comma 17 4 3 2 4 2" xfId="15005" xr:uid="{6D75325C-CC4D-454C-8F30-11A5E5024510}"/>
    <cellStyle name="Comma 17 4 3 2 4 2 2" xfId="15006" xr:uid="{A6B5595F-C1BD-4486-9DBA-34CF94C4AE3C}"/>
    <cellStyle name="Comma 17 4 3 2 4 2 2 2" xfId="15010" xr:uid="{C9598277-2225-435C-B74C-73A3568E5046}"/>
    <cellStyle name="Comma 17 4 3 2 4 2 2 2 2" xfId="15017" xr:uid="{D924A5F9-0643-48DE-AF5F-46191959B0D7}"/>
    <cellStyle name="Comma 17 4 3 2 4 2 2 3" xfId="15021" xr:uid="{66CBE7AD-E416-4FCB-9199-90071CDEE62A}"/>
    <cellStyle name="Comma 17 4 3 2 4 2 3" xfId="15022" xr:uid="{AEE59FDA-7E1B-4359-A6B7-ACAD83C29C97}"/>
    <cellStyle name="Comma 17 4 3 2 4 2 3 2" xfId="4722" xr:uid="{547FD1A3-745B-42B9-AC21-309A54C90B70}"/>
    <cellStyle name="Comma 17 4 3 2 4 2 4" xfId="15025" xr:uid="{D095F02D-E709-4383-B62E-AE3E71C0F109}"/>
    <cellStyle name="Comma 17 4 3 2 4 3" xfId="15028" xr:uid="{E5A0E5A6-1690-4998-B7FE-A1170B38294A}"/>
    <cellStyle name="Comma 17 4 3 2 4 3 2" xfId="15029" xr:uid="{16813435-9177-4A94-8006-E3131ADCD789}"/>
    <cellStyle name="Comma 17 4 3 2 4 3 2 2" xfId="15031" xr:uid="{3F256E58-415C-439E-AF1D-168C4890F464}"/>
    <cellStyle name="Comma 17 4 3 2 4 3 3" xfId="3300" xr:uid="{D1FE3EFB-5206-432A-BBBC-8528EACD67DE}"/>
    <cellStyle name="Comma 17 4 3 2 4 4" xfId="15033" xr:uid="{0FD528A1-4D40-462E-B171-D663061B3E7F}"/>
    <cellStyle name="Comma 17 4 3 2 4 4 2" xfId="15034" xr:uid="{CB61F589-2A37-4577-85A5-E0AF2F238C77}"/>
    <cellStyle name="Comma 17 4 3 2 4 5" xfId="15035" xr:uid="{7D73AD78-A60D-43B3-98F1-273B9A213C32}"/>
    <cellStyle name="Comma 17 4 3 2 5" xfId="11245" xr:uid="{317E5811-DA8D-4FF7-866E-767F153A7FCD}"/>
    <cellStyle name="Comma 17 4 3 2 5 2" xfId="15042" xr:uid="{864018F7-6469-40FC-BC7C-585F0F6B798A}"/>
    <cellStyle name="Comma 17 4 3 2 5 2 2" xfId="9990" xr:uid="{3306D0F7-D2F4-40F8-82BD-F8C619679ADD}"/>
    <cellStyle name="Comma 17 4 3 2 5 2 2 2" xfId="15044" xr:uid="{AF9346B0-92AC-4F75-89C3-C108ADA87258}"/>
    <cellStyle name="Comma 17 4 3 2 5 2 3" xfId="15046" xr:uid="{4E3C6BF4-0353-4887-9923-7909178AB307}"/>
    <cellStyle name="Comma 17 4 3 2 5 3" xfId="15051" xr:uid="{9FE60DDE-6143-49FD-B13E-4FE3019CD6C1}"/>
    <cellStyle name="Comma 17 4 3 2 5 3 2" xfId="15054" xr:uid="{6082C1C4-7E09-486F-A445-DED3738B1F8F}"/>
    <cellStyle name="Comma 17 4 3 2 5 4" xfId="15058" xr:uid="{68AFD9CA-7A89-44BB-8D06-706EDA9CDC71}"/>
    <cellStyle name="Comma 17 4 3 2 6" xfId="15060" xr:uid="{505A8E52-3925-436D-8ACC-715A4179C70F}"/>
    <cellStyle name="Comma 17 4 3 2 6 2" xfId="15063" xr:uid="{1420ED90-E190-4334-948E-9122220B9F0C}"/>
    <cellStyle name="Comma 17 4 3 2 6 2 2" xfId="15065" xr:uid="{59D468A6-CDAA-45AE-9F8D-1FF62EF7E283}"/>
    <cellStyle name="Comma 17 4 3 2 6 3" xfId="15067" xr:uid="{D828A167-F187-4015-A97C-9B03E851BC86}"/>
    <cellStyle name="Comma 17 4 3 2 7" xfId="10452" xr:uid="{9C90A814-7D15-4183-BD54-64AF4E87F2E8}"/>
    <cellStyle name="Comma 17 4 3 2 7 2" xfId="15070" xr:uid="{ADB19D9F-E63F-4B6F-BE09-69DFA2A05114}"/>
    <cellStyle name="Comma 17 4 3 2 8" xfId="15072" xr:uid="{F4334EAA-94DC-4DE0-9503-89CABED617A1}"/>
    <cellStyle name="Comma 17 4 3 2 9" xfId="15074" xr:uid="{ADD97EB7-DC0C-4619-97AE-5A5A181BA5A9}"/>
    <cellStyle name="Comma 17 4 3 3" xfId="15075" xr:uid="{8AB53E4F-BAB8-4AF6-898F-30AC51CCF0C1}"/>
    <cellStyle name="Comma 17 4 3 3 2" xfId="15077" xr:uid="{933767FD-6BA3-40B7-A1DE-96DF7857D19D}"/>
    <cellStyle name="Comma 17 4 3 3 2 2" xfId="15081" xr:uid="{2CC1E1A3-46E6-4F72-A11A-AEA91D18E62B}"/>
    <cellStyle name="Comma 17 4 3 3 2 2 2" xfId="3246" xr:uid="{80461E27-B961-453B-A405-1DF445E6FE73}"/>
    <cellStyle name="Comma 17 4 3 3 2 2 2 2" xfId="1447" xr:uid="{8C010417-78E1-4532-AC04-1E7F5C5CB205}"/>
    <cellStyle name="Comma 17 4 3 3 2 2 2 2 2" xfId="15083" xr:uid="{DA3222BC-E547-414C-B064-D0153127B1E2}"/>
    <cellStyle name="Comma 17 4 3 3 2 2 2 2 2 2" xfId="15085" xr:uid="{E8DEE200-A70C-488D-880E-AFFDCD0AE216}"/>
    <cellStyle name="Comma 17 4 3 3 2 2 2 2 3" xfId="15086" xr:uid="{7D04AE43-CE42-4F20-AA78-8964262BBBA8}"/>
    <cellStyle name="Comma 17 4 3 3 2 2 2 3" xfId="15088" xr:uid="{9BD7E8D6-4DA5-41BD-AF62-0D7695A5BE3C}"/>
    <cellStyle name="Comma 17 4 3 3 2 2 2 3 2" xfId="15089" xr:uid="{483FB462-02CF-40E9-A21D-F2C6E88BE0C1}"/>
    <cellStyle name="Comma 17 4 3 3 2 2 2 4" xfId="13122" xr:uid="{CCC83080-A2B7-425A-BB72-ACE51D6E995C}"/>
    <cellStyle name="Comma 17 4 3 3 2 2 3" xfId="3254" xr:uid="{C8781F0E-0638-4645-BFBE-1D9EFCC78663}"/>
    <cellStyle name="Comma 17 4 3 3 2 2 3 2" xfId="3309" xr:uid="{6D4DE0F1-9E07-47AA-AFCE-D8040A09E72F}"/>
    <cellStyle name="Comma 17 4 3 3 2 2 3 2 2" xfId="4743" xr:uid="{A9A1B0C6-8C6E-4FCF-9E6C-59ED276F8704}"/>
    <cellStyle name="Comma 17 4 3 3 2 2 3 3" xfId="4749" xr:uid="{8715A00A-F840-49E6-A568-FEA50BF5A8FD}"/>
    <cellStyle name="Comma 17 4 3 3 2 2 4" xfId="15091" xr:uid="{AC45963D-4546-43B2-8BEF-7C22DF1B9DDB}"/>
    <cellStyle name="Comma 17 4 3 3 2 2 4 2" xfId="4754" xr:uid="{D6ABCD42-2792-4539-823B-949D9AC9E7C8}"/>
    <cellStyle name="Comma 17 4 3 3 2 2 5" xfId="4762" xr:uid="{7D9FE86C-D71F-4B60-9DB0-73F6174B210B}"/>
    <cellStyle name="Comma 17 4 3 3 2 3" xfId="15093" xr:uid="{A913B68F-384F-48C3-9A0F-8B675C7A4E6A}"/>
    <cellStyle name="Comma 17 4 3 3 2 3 2" xfId="3271" xr:uid="{35BFE8C7-CD9D-42E6-B4FC-C40537285445}"/>
    <cellStyle name="Comma 17 4 3 3 2 3 2 2" xfId="15095" xr:uid="{72C2F124-87AC-4021-A428-7AAB67659AD1}"/>
    <cellStyle name="Comma 17 4 3 3 2 3 2 2 2" xfId="15096" xr:uid="{5CBBCB3B-63F9-4D1F-BF79-5B32A4D84DFD}"/>
    <cellStyle name="Comma 17 4 3 3 2 3 2 3" xfId="15097" xr:uid="{1A2A864D-F54F-44CA-99AA-30830872FBCC}"/>
    <cellStyle name="Comma 17 4 3 3 2 3 3" xfId="8672" xr:uid="{AAC5F0B0-1E3E-4415-8AB9-42C0D9A17830}"/>
    <cellStyle name="Comma 17 4 3 3 2 3 3 2" xfId="8674" xr:uid="{200A5201-E5FA-4058-B720-6B1FE2A3ADE1}"/>
    <cellStyle name="Comma 17 4 3 3 2 3 4" xfId="8681" xr:uid="{C20C8788-307C-4188-8651-25350F3BF442}"/>
    <cellStyle name="Comma 17 4 3 3 2 4" xfId="15100" xr:uid="{629F1865-80D9-457B-BA5E-520807C8F253}"/>
    <cellStyle name="Comma 17 4 3 3 2 4 2" xfId="15102" xr:uid="{09927D2C-7DA9-49FA-925E-80D458FE3248}"/>
    <cellStyle name="Comma 17 4 3 3 2 4 2 2" xfId="15103" xr:uid="{7B4115EC-4C04-4FA1-84BC-BD927FFAAA57}"/>
    <cellStyle name="Comma 17 4 3 3 2 4 3" xfId="8686" xr:uid="{D0E460A8-6FCD-4DD2-B9B3-46D07CCA471C}"/>
    <cellStyle name="Comma 17 4 3 3 2 5" xfId="10347" xr:uid="{009E9E27-9F7A-42A4-8CD1-633ECC6931BD}"/>
    <cellStyle name="Comma 17 4 3 3 2 5 2" xfId="15104" xr:uid="{84F1A850-5E8B-4D92-B2D2-56FCC8072AD1}"/>
    <cellStyle name="Comma 17 4 3 3 2 6" xfId="9272" xr:uid="{6EDB94B9-2387-4010-A8D5-5987837E8166}"/>
    <cellStyle name="Comma 17 4 3 3 2 7" xfId="15108" xr:uid="{3172F9B5-A537-4E1D-8D7F-C4951C77E66C}"/>
    <cellStyle name="Comma 17 4 3 3 3" xfId="15111" xr:uid="{48703D7C-232B-45DD-B7DC-CF3B2D93FA94}"/>
    <cellStyle name="Comma 17 4 3 3 3 2" xfId="6838" xr:uid="{A4A00D2E-DCA4-4781-A455-B5BDCADAC103}"/>
    <cellStyle name="Comma 17 4 3 3 3 2 2" xfId="3375" xr:uid="{1B9A8271-C9C4-4DDC-B9BC-D9BFB3B3516F}"/>
    <cellStyle name="Comma 17 4 3 3 3 2 2 2" xfId="10575" xr:uid="{DBFB26D3-932D-482E-A66E-281792C82635}"/>
    <cellStyle name="Comma 17 4 3 3 3 2 2 2 2" xfId="10578" xr:uid="{B5D154B9-9D1B-4AC5-85C6-4E923D88D934}"/>
    <cellStyle name="Comma 17 4 3 3 3 2 2 3" xfId="10580" xr:uid="{703AFE36-191B-422F-9982-DFD367640F62}"/>
    <cellStyle name="Comma 17 4 3 3 3 2 3" xfId="15114" xr:uid="{28EDD6C2-0BBB-446E-B272-C112649E76CA}"/>
    <cellStyle name="Comma 17 4 3 3 3 2 3 2" xfId="10596" xr:uid="{FF8F1D68-BA08-4164-8D9B-1478E3549D5E}"/>
    <cellStyle name="Comma 17 4 3 3 3 2 4" xfId="15117" xr:uid="{F64ED9B4-01C0-46C1-80EB-8254B74CE7D6}"/>
    <cellStyle name="Comma 17 4 3 3 3 3" xfId="6845" xr:uid="{3514878D-87C9-4EDC-9F89-FBE6B18BF5B6}"/>
    <cellStyle name="Comma 17 4 3 3 3 3 2" xfId="15120" xr:uid="{EB54039D-C3D4-4B26-82D3-C75F17A4C407}"/>
    <cellStyle name="Comma 17 4 3 3 3 3 2 2" xfId="10727" xr:uid="{6A836C80-1D7E-4A83-BF5A-C130CC0B41D0}"/>
    <cellStyle name="Comma 17 4 3 3 3 3 3" xfId="8701" xr:uid="{0AC9F35C-9B79-4FD4-8FD4-71ABE22D7470}"/>
    <cellStyle name="Comma 17 4 3 3 3 4" xfId="15125" xr:uid="{A72FCE8C-D6FF-4AF9-91AD-4E71287EF769}"/>
    <cellStyle name="Comma 17 4 3 3 3 4 2" xfId="15129" xr:uid="{669CC97E-0163-43DC-B7DE-4680E701BD48}"/>
    <cellStyle name="Comma 17 4 3 3 3 5" xfId="15133" xr:uid="{EA8FA060-C2A5-4696-A21C-08B551076077}"/>
    <cellStyle name="Comma 17 4 3 3 4" xfId="15135" xr:uid="{2C9967BE-A6D3-4448-98B2-DBB7479BB8AF}"/>
    <cellStyle name="Comma 17 4 3 3 4 2" xfId="6859" xr:uid="{7D4FDA88-E422-4EEB-8319-26BB0D83DD91}"/>
    <cellStyle name="Comma 17 4 3 3 4 2 2" xfId="15137" xr:uid="{397101D8-AEAC-439F-9D80-8E51D1387542}"/>
    <cellStyle name="Comma 17 4 3 3 4 2 2 2" xfId="10918" xr:uid="{DBD945FE-91D8-49DB-B1A3-3EF92FAD398C}"/>
    <cellStyle name="Comma 17 4 3 3 4 2 3" xfId="11225" xr:uid="{92C444D4-F6A8-4F46-A58C-220B40FB2D40}"/>
    <cellStyle name="Comma 17 4 3 3 4 3" xfId="15141" xr:uid="{BDF5806C-0488-4728-B194-FF2DE9C35201}"/>
    <cellStyle name="Comma 17 4 3 3 4 3 2" xfId="15143" xr:uid="{5F3DDDE6-AB4D-4C96-B8D2-85F2BD251B18}"/>
    <cellStyle name="Comma 17 4 3 3 4 4" xfId="15147" xr:uid="{412D01FA-586B-446E-BF4D-EB434CFA145F}"/>
    <cellStyle name="Comma 17 4 3 3 5" xfId="15150" xr:uid="{4A4E2A79-52DE-4EC4-B53A-CC931121A8E6}"/>
    <cellStyle name="Comma 17 4 3 3 5 2" xfId="15158" xr:uid="{B7D2A469-2CC8-4E79-A78B-C509C14116FF}"/>
    <cellStyle name="Comma 17 4 3 3 5 2 2" xfId="15162" xr:uid="{2DBCEF0D-838C-4F49-B3EB-D4E8FCB44305}"/>
    <cellStyle name="Comma 17 4 3 3 5 3" xfId="15167" xr:uid="{AAC1DB30-A485-4648-B46F-46E904BF39AD}"/>
    <cellStyle name="Comma 17 4 3 3 6" xfId="15170" xr:uid="{FDA25072-91C3-40AF-86BF-C5094EA9C1B1}"/>
    <cellStyle name="Comma 17 4 3 3 6 2" xfId="15179" xr:uid="{04712900-20FD-46E9-8346-BBB4393A9027}"/>
    <cellStyle name="Comma 17 4 3 3 7" xfId="15183" xr:uid="{6606619C-800C-49CD-A7ED-B83D96B17863}"/>
    <cellStyle name="Comma 17 4 3 3 8" xfId="15186" xr:uid="{3DF226B0-06FB-4643-B631-7E932B13771E}"/>
    <cellStyle name="Comma 17 4 3 4" xfId="15188" xr:uid="{3F348B87-9231-408B-9F77-0F631888C65E}"/>
    <cellStyle name="Comma 17 4 3 4 2" xfId="15190" xr:uid="{3C54A3CC-791F-40F9-B9E1-5D0B8B80C2BB}"/>
    <cellStyle name="Comma 17 4 3 4 2 2" xfId="15192" xr:uid="{12124393-D060-477F-AD70-91B02CC194D8}"/>
    <cellStyle name="Comma 17 4 3 4 2 2 2" xfId="289" xr:uid="{5B76B751-83A2-4A68-A5B5-A5F267C63732}"/>
    <cellStyle name="Comma 17 4 3 4 2 2 2 2" xfId="8544" xr:uid="{DBDC9323-AA50-4F59-8900-B02ECE22433D}"/>
    <cellStyle name="Comma 17 4 3 4 2 2 2 2 2" xfId="15193" xr:uid="{645E4586-8858-4E17-939D-FEBE7C5507F1}"/>
    <cellStyle name="Comma 17 4 3 4 2 2 2 3" xfId="15195" xr:uid="{159EC20A-0989-419C-B3FA-F4A9CAAECD7B}"/>
    <cellStyle name="Comma 17 4 3 4 2 2 3" xfId="8547" xr:uid="{423847E1-C141-4474-92A3-A2775CADB1EE}"/>
    <cellStyle name="Comma 17 4 3 4 2 2 3 2" xfId="15196" xr:uid="{1F66DED2-D0DC-47F2-8760-BB052CE95533}"/>
    <cellStyle name="Comma 17 4 3 4 2 2 4" xfId="8549" xr:uid="{3E019AB2-E255-47BF-A0FA-257103A0E681}"/>
    <cellStyle name="Comma 17 4 3 4 2 3" xfId="15198" xr:uid="{E1BDC193-9B10-46B6-AC88-7F6ADE605018}"/>
    <cellStyle name="Comma 17 4 3 4 2 3 2" xfId="8602" xr:uid="{FC8514FA-F085-47AF-840D-6E114A8ADC6D}"/>
    <cellStyle name="Comma 17 4 3 4 2 3 2 2" xfId="15199" xr:uid="{CCE73AE0-A0BB-4890-AAE4-918427D4A51B}"/>
    <cellStyle name="Comma 17 4 3 4 2 3 3" xfId="8604" xr:uid="{EC8E1414-05E5-4377-B1F1-4D70B5A1AC93}"/>
    <cellStyle name="Comma 17 4 3 4 2 4" xfId="15201" xr:uid="{A0AAE5D1-2BD9-4433-A7D8-63782ACB93E0}"/>
    <cellStyle name="Comma 17 4 3 4 2 4 2" xfId="15204" xr:uid="{B3CDE5CA-2236-45F2-889C-10B93A940514}"/>
    <cellStyle name="Comma 17 4 3 4 2 5" xfId="15205" xr:uid="{ED7239F8-085F-4D6D-BF98-AE57E05AE13F}"/>
    <cellStyle name="Comma 17 4 3 4 3" xfId="15207" xr:uid="{D7628B63-5234-4411-AA2D-6C2BEEF076AA}"/>
    <cellStyle name="Comma 17 4 3 4 3 2" xfId="1683" xr:uid="{C6429704-4859-4194-A9F5-FB3B08670E2A}"/>
    <cellStyle name="Comma 17 4 3 4 3 2 2" xfId="8727" xr:uid="{5B2EF3BD-9B71-4F5E-BD9A-55D3C8CA54DA}"/>
    <cellStyle name="Comma 17 4 3 4 3 2 2 2" xfId="11300" xr:uid="{099FA6AD-4EA4-4B65-B85E-33564D8456F0}"/>
    <cellStyle name="Comma 17 4 3 4 3 2 3" xfId="8731" xr:uid="{62DFCC1B-7B45-4254-A591-BE479031D193}"/>
    <cellStyle name="Comma 17 4 3 4 3 3" xfId="15209" xr:uid="{5D5CC137-6526-46B8-B0EB-5C90F5A8AA02}"/>
    <cellStyle name="Comma 17 4 3 4 3 3 2" xfId="15212" xr:uid="{6045F09A-4979-4742-A5CF-4BBB3EC89706}"/>
    <cellStyle name="Comma 17 4 3 4 3 4" xfId="15215" xr:uid="{B3BAD74A-BE7E-47F1-A2FC-E94E00EF62EF}"/>
    <cellStyle name="Comma 17 4 3 4 4" xfId="15217" xr:uid="{0527CBC6-9E54-46A5-B64D-568C1B687EEB}"/>
    <cellStyle name="Comma 17 4 3 4 4 2" xfId="15219" xr:uid="{7DDF4388-85E2-4714-99C5-46F4D759A17A}"/>
    <cellStyle name="Comma 17 4 3 4 4 2 2" xfId="15222" xr:uid="{39CF9BBD-AFE9-4F0F-9760-342F2174A1ED}"/>
    <cellStyle name="Comma 17 4 3 4 4 3" xfId="15225" xr:uid="{A4E59661-1F0C-4ADF-BC10-EB3E1E8648A4}"/>
    <cellStyle name="Comma 17 4 3 4 5" xfId="15228" xr:uid="{670294AD-BED3-4D93-99C3-A83ADD07BC3D}"/>
    <cellStyle name="Comma 17 4 3 4 5 2" xfId="15230" xr:uid="{28F92842-F84E-44C7-9695-15279AC301B0}"/>
    <cellStyle name="Comma 17 4 3 4 6" xfId="15233" xr:uid="{CBD19007-10A1-46C1-92C1-BE2417EBBA55}"/>
    <cellStyle name="Comma 17 4 3 4 7" xfId="8641" xr:uid="{21E4C018-6EAD-4F40-A13F-9BDD5D66B317}"/>
    <cellStyle name="Comma 17 4 3 5" xfId="15235" xr:uid="{2CBDD7BD-3B1D-4DAC-B892-FE59A1F52F55}"/>
    <cellStyle name="Comma 17 4 3 5 2" xfId="15237" xr:uid="{EDA731FA-5902-462C-B05F-3D880D676227}"/>
    <cellStyle name="Comma 17 4 3 5 2 2" xfId="15239" xr:uid="{7DA7E721-41B6-42B0-870D-4FF84E80D51F}"/>
    <cellStyle name="Comma 17 4 3 5 2 2 2" xfId="8990" xr:uid="{AC6EE30C-73CB-463D-92EB-1E99E6DE473D}"/>
    <cellStyle name="Comma 17 4 3 5 2 2 2 2" xfId="15241" xr:uid="{29633A6A-10D0-43B0-9483-DBF5F816839E}"/>
    <cellStyle name="Comma 17 4 3 5 2 2 3" xfId="8992" xr:uid="{B8FF72B7-24AF-4BF9-8829-689E1B8A6424}"/>
    <cellStyle name="Comma 17 4 3 5 2 3" xfId="15243" xr:uid="{792281AE-AC10-4AF6-9FE8-00CFF7D588CE}"/>
    <cellStyle name="Comma 17 4 3 5 2 3 2" xfId="15244" xr:uid="{E6326E1B-51EF-45A8-B6D7-96CF499E30A0}"/>
    <cellStyle name="Comma 17 4 3 5 2 4" xfId="15245" xr:uid="{833F443A-34B7-497C-84AA-FC434B4987D8}"/>
    <cellStyle name="Comma 17 4 3 5 3" xfId="15248" xr:uid="{96071C3A-F3EF-4067-9FFF-C1BC54E7D027}"/>
    <cellStyle name="Comma 17 4 3 5 3 2" xfId="15251" xr:uid="{974AE7DC-795A-4BE7-877B-D5966BF46781}"/>
    <cellStyle name="Comma 17 4 3 5 3 2 2" xfId="15254" xr:uid="{AE01B289-7F32-4042-8717-05DED9CA710C}"/>
    <cellStyle name="Comma 17 4 3 5 3 3" xfId="15255" xr:uid="{0D3475C9-A5E1-4E36-B013-1A05C1BB330A}"/>
    <cellStyle name="Comma 17 4 3 5 4" xfId="15258" xr:uid="{4532EAD3-F619-4DE2-95B6-797CAB078A49}"/>
    <cellStyle name="Comma 17 4 3 5 4 2" xfId="15259" xr:uid="{37BB89D3-ED23-474E-8D20-88D8FA5577DE}"/>
    <cellStyle name="Comma 17 4 3 5 5" xfId="15261" xr:uid="{B07198EB-A4FE-4BB2-B20B-4EEFF3B046AE}"/>
    <cellStyle name="Comma 17 4 3 6" xfId="15263" xr:uid="{73D00455-30F8-41EB-9A46-9EC3EB7960EE}"/>
    <cellStyle name="Comma 17 4 3 6 2" xfId="15266" xr:uid="{30379607-F9F2-4ADF-8D3E-2D91BAD629D6}"/>
    <cellStyle name="Comma 17 4 3 6 2 2" xfId="15270" xr:uid="{8E0BBD14-EB80-4612-8061-3D576A2A9C98}"/>
    <cellStyle name="Comma 17 4 3 6 2 2 2" xfId="15272" xr:uid="{E9123BB5-C7A9-4400-8467-A471B8AEEF25}"/>
    <cellStyle name="Comma 17 4 3 6 2 3" xfId="15274" xr:uid="{EB2CB12D-1B53-4208-B1A9-185A3572BDE5}"/>
    <cellStyle name="Comma 17 4 3 6 3" xfId="15278" xr:uid="{E69AD3B2-2B05-4DB3-A1BB-9D01E6140607}"/>
    <cellStyle name="Comma 17 4 3 6 3 2" xfId="15280" xr:uid="{00F1877B-7D1F-4150-A039-AD5CED5EBB4B}"/>
    <cellStyle name="Comma 17 4 3 6 4" xfId="15285" xr:uid="{EE52ED0A-3267-4753-B5A3-89C29BA23761}"/>
    <cellStyle name="Comma 17 4 3 7" xfId="15286" xr:uid="{C2774EB2-C4BB-48AA-9AAC-6BFADD4110F7}"/>
    <cellStyle name="Comma 17 4 3 7 2" xfId="15289" xr:uid="{3AA9A630-B670-411D-9164-A22E1D7ED9E6}"/>
    <cellStyle name="Comma 17 4 3 7 2 2" xfId="15291" xr:uid="{A12CB3A8-D5D0-462D-A354-2CCB12A492D7}"/>
    <cellStyle name="Comma 17 4 3 7 3" xfId="15294" xr:uid="{7A1C36CA-F013-4D4C-BEB8-512DB74E34AC}"/>
    <cellStyle name="Comma 17 4 3 8" xfId="15295" xr:uid="{91EFFF8E-EFBB-4C34-8826-45F00B572316}"/>
    <cellStyle name="Comma 17 4 3 8 2" xfId="15297" xr:uid="{C60D52F0-6156-47FD-9C60-D37B5D3A6688}"/>
    <cellStyle name="Comma 17 4 3 9" xfId="15298" xr:uid="{1B258529-C8D6-476A-8C2A-F38E56FEB2BD}"/>
    <cellStyle name="Comma 17 4 4" xfId="15299" xr:uid="{D5206AB9-458D-4750-822F-49330A993FD2}"/>
    <cellStyle name="Comma 17 4 4 2" xfId="15300" xr:uid="{8990B030-98F3-4095-975B-A412BA75BCCF}"/>
    <cellStyle name="Comma 17 4 4 2 2" xfId="15301" xr:uid="{9649F07D-9721-4D20-83AD-99AE61CFA3E5}"/>
    <cellStyle name="Comma 17 4 4 2 2 2" xfId="15302" xr:uid="{14E74760-B9CB-4D3B-8531-17B45D7DDD46}"/>
    <cellStyle name="Comma 17 4 4 2 2 2 2" xfId="15303" xr:uid="{EE372A0B-523E-43AF-9DAE-7B3801B9412E}"/>
    <cellStyle name="Comma 17 4 4 2 2 2 2 2" xfId="15304" xr:uid="{EBD36920-E42E-4608-A28B-676D3E2E27F9}"/>
    <cellStyle name="Comma 17 4 4 2 2 2 2 2 2" xfId="15305" xr:uid="{9CC1D3F9-3DB7-46EA-9CA8-9FA6972D9F42}"/>
    <cellStyle name="Comma 17 4 4 2 2 2 2 2 2 2" xfId="15306" xr:uid="{7615FA80-DB26-4793-AE66-5BB2FC050D6A}"/>
    <cellStyle name="Comma 17 4 4 2 2 2 2 2 3" xfId="15307" xr:uid="{35A2EB9D-BA1F-425D-ABBE-511B48A03625}"/>
    <cellStyle name="Comma 17 4 4 2 2 2 2 3" xfId="15311" xr:uid="{10CA5665-91CF-499E-A394-D9665F5707EA}"/>
    <cellStyle name="Comma 17 4 4 2 2 2 2 3 2" xfId="15312" xr:uid="{D6FDD1F5-0C36-4858-AC72-F15EF35159B5}"/>
    <cellStyle name="Comma 17 4 4 2 2 2 2 4" xfId="15313" xr:uid="{52EA4ECC-A431-42F1-9797-3D4AB1DF577B}"/>
    <cellStyle name="Comma 17 4 4 2 2 2 3" xfId="15314" xr:uid="{E04D02F4-8933-4475-B24A-C25263F55906}"/>
    <cellStyle name="Comma 17 4 4 2 2 2 3 2" xfId="15315" xr:uid="{323AF1BA-233C-41C6-B4D6-2DFF5C66C09A}"/>
    <cellStyle name="Comma 17 4 4 2 2 2 3 2 2" xfId="15316" xr:uid="{97227464-89DB-43AE-8E4C-9D107B02BFB3}"/>
    <cellStyle name="Comma 17 4 4 2 2 2 3 3" xfId="15317" xr:uid="{3AB11E65-CD78-428D-9927-E4B5BE3817FA}"/>
    <cellStyle name="Comma 17 4 4 2 2 2 4" xfId="15318" xr:uid="{A86829A3-B2A1-4E4E-9608-90F9C844428E}"/>
    <cellStyle name="Comma 17 4 4 2 2 2 4 2" xfId="15319" xr:uid="{6346D48C-55C3-4296-9351-39DA5DCACD6F}"/>
    <cellStyle name="Comma 17 4 4 2 2 2 5" xfId="5083" xr:uid="{6875E159-AAC5-40B7-8950-6BCC9064DA64}"/>
    <cellStyle name="Comma 17 4 4 2 2 3" xfId="15321" xr:uid="{4657D0C1-E4E2-4025-A67B-891B3711732F}"/>
    <cellStyle name="Comma 17 4 4 2 2 3 2" xfId="15322" xr:uid="{322B5D23-9024-4F52-B487-0EB23474720C}"/>
    <cellStyle name="Comma 17 4 4 2 2 3 2 2" xfId="15323" xr:uid="{8386CA76-21E6-4965-AB6A-94981D99AC61}"/>
    <cellStyle name="Comma 17 4 4 2 2 3 2 2 2" xfId="15324" xr:uid="{1E0737B2-8BFA-4EDC-9453-276F22A0190F}"/>
    <cellStyle name="Comma 17 4 4 2 2 3 2 3" xfId="15325" xr:uid="{CA39AB56-F864-463F-ABC7-3E6BCB87E433}"/>
    <cellStyle name="Comma 17 4 4 2 2 3 3" xfId="15326" xr:uid="{3D00312D-17ED-4B91-AE3A-3AAD23E3B405}"/>
    <cellStyle name="Comma 17 4 4 2 2 3 3 2" xfId="15327" xr:uid="{33F61078-46A3-493B-A133-27CAE417A80A}"/>
    <cellStyle name="Comma 17 4 4 2 2 3 4" xfId="15328" xr:uid="{98778C5B-44A9-4969-AA0D-23F1EB0684AF}"/>
    <cellStyle name="Comma 17 4 4 2 2 4" xfId="15329" xr:uid="{300A09AA-B5A7-48D3-A711-789BEEF9D68C}"/>
    <cellStyle name="Comma 17 4 4 2 2 4 2" xfId="15330" xr:uid="{41F8FDD4-4E7A-4FD3-A8F8-DB29BFD06D14}"/>
    <cellStyle name="Comma 17 4 4 2 2 4 2 2" xfId="15331" xr:uid="{CFFD233A-05E3-4433-90FC-9EBF35A01D81}"/>
    <cellStyle name="Comma 17 4 4 2 2 4 3" xfId="15333" xr:uid="{67B5C073-6AAA-4A11-A300-81038435B5C6}"/>
    <cellStyle name="Comma 17 4 4 2 2 5" xfId="15336" xr:uid="{AC99E56E-89A0-474E-B8A1-10AC2D91BFA0}"/>
    <cellStyle name="Comma 17 4 4 2 2 5 2" xfId="15338" xr:uid="{15325D92-8F8E-4E1C-AF2D-8965AD9900CB}"/>
    <cellStyle name="Comma 17 4 4 2 2 6" xfId="9325" xr:uid="{6B1F197F-0D6E-4A1E-9DAD-1FBD391F7BF0}"/>
    <cellStyle name="Comma 17 4 4 2 2 7" xfId="15341" xr:uid="{A9BA8CFA-C739-49A0-A8C4-4AC153915333}"/>
    <cellStyle name="Comma 17 4 4 2 3" xfId="15343" xr:uid="{5FEF35C9-957C-4419-A235-E3538784D130}"/>
    <cellStyle name="Comma 17 4 4 2 3 2" xfId="15344" xr:uid="{15AD293C-7252-4079-BE8D-E4A846984448}"/>
    <cellStyle name="Comma 17 4 4 2 3 2 2" xfId="3706" xr:uid="{D19E4B69-0A79-49D8-A0E5-160CF4B02CE2}"/>
    <cellStyle name="Comma 17 4 4 2 3 2 2 2" xfId="2949" xr:uid="{472DBB01-D535-4603-92A7-06A79DB76251}"/>
    <cellStyle name="Comma 17 4 4 2 3 2 2 2 2" xfId="15347" xr:uid="{759C12C3-1A49-427A-AB8E-8680B33C26C4}"/>
    <cellStyle name="Comma 17 4 4 2 3 2 2 3" xfId="15352" xr:uid="{38558ACE-9B00-4E2C-B2EE-071985FF5270}"/>
    <cellStyle name="Comma 17 4 4 2 3 2 3" xfId="3719" xr:uid="{502BC74C-0060-46A5-9996-5EBFBBC7724C}"/>
    <cellStyle name="Comma 17 4 4 2 3 2 3 2" xfId="15356" xr:uid="{FFB421CC-2785-4E02-B5E5-38AC4DFC9FFB}"/>
    <cellStyle name="Comma 17 4 4 2 3 2 4" xfId="15363" xr:uid="{392D372B-E461-4009-9DCF-71386E12C7A2}"/>
    <cellStyle name="Comma 17 4 4 2 3 3" xfId="15365" xr:uid="{19F4E177-DABB-4E3D-A6FC-A1E5ACDE591D}"/>
    <cellStyle name="Comma 17 4 4 2 3 3 2" xfId="3737" xr:uid="{CCD7E8F0-ABF3-4E3A-8B08-AA3C83B75584}"/>
    <cellStyle name="Comma 17 4 4 2 3 3 2 2" xfId="15368" xr:uid="{B63BCF0B-FA9D-45BF-ACC4-530146A653DD}"/>
    <cellStyle name="Comma 17 4 4 2 3 3 3" xfId="15372" xr:uid="{0372F84C-96F9-46E4-BD53-89CF47C702C3}"/>
    <cellStyle name="Comma 17 4 4 2 3 4" xfId="15373" xr:uid="{1AF547B7-677F-4B63-8E57-33A9594BD6CE}"/>
    <cellStyle name="Comma 17 4 4 2 3 4 2" xfId="15374" xr:uid="{F8E9459C-91CE-4DAE-B274-CC47CDD3B996}"/>
    <cellStyle name="Comma 17 4 4 2 3 5" xfId="15375" xr:uid="{E4BCDFEC-7BC7-4954-9B6B-F342757D5C98}"/>
    <cellStyle name="Comma 17 4 4 2 4" xfId="15376" xr:uid="{624E2601-03A1-4765-BED8-517874185864}"/>
    <cellStyle name="Comma 17 4 4 2 4 2" xfId="15377" xr:uid="{3C7A58A4-8460-4530-A87B-C69227BCCD2E}"/>
    <cellStyle name="Comma 17 4 4 2 4 2 2" xfId="3754" xr:uid="{17121A28-1447-448A-83F2-E7887159D1AE}"/>
    <cellStyle name="Comma 17 4 4 2 4 2 2 2" xfId="14135" xr:uid="{0E40AB48-675F-4F6A-921A-B26A1EE8C4CD}"/>
    <cellStyle name="Comma 17 4 4 2 4 2 3" xfId="15381" xr:uid="{BCF2F6A5-0777-4544-8382-3274A09C2896}"/>
    <cellStyle name="Comma 17 4 4 2 4 3" xfId="15383" xr:uid="{A8C1DA4F-AE59-444F-AC42-979BA9DDFCA1}"/>
    <cellStyle name="Comma 17 4 4 2 4 3 2" xfId="15384" xr:uid="{86677A1D-839E-459B-B622-B3291A2EDFD0}"/>
    <cellStyle name="Comma 17 4 4 2 4 4" xfId="15385" xr:uid="{3483BBAD-E802-4638-853E-038FE2D05933}"/>
    <cellStyle name="Comma 17 4 4 2 5" xfId="15387" xr:uid="{3CA3CF58-C1CA-42B0-B652-E05B858CBD7D}"/>
    <cellStyle name="Comma 17 4 4 2 5 2" xfId="15390" xr:uid="{B8FD9C62-C484-41EE-A7A8-20369E81C4C3}"/>
    <cellStyle name="Comma 17 4 4 2 5 2 2" xfId="13611" xr:uid="{07B0DF67-7AE7-4312-B970-BDDEA68F9FB4}"/>
    <cellStyle name="Comma 17 4 4 2 5 3" xfId="15392" xr:uid="{D929719A-B314-4238-B2EA-DFBAF58F275B}"/>
    <cellStyle name="Comma 17 4 4 2 6" xfId="15395" xr:uid="{6B5578BA-E4B2-4665-9292-75C574DF506B}"/>
    <cellStyle name="Comma 17 4 4 2 6 2" xfId="15398" xr:uid="{D7926912-197D-42F4-85B1-0F348A81FC6A}"/>
    <cellStyle name="Comma 17 4 4 2 7" xfId="15401" xr:uid="{2120E724-37EE-4CE9-95F3-621BC21BAF92}"/>
    <cellStyle name="Comma 17 4 4 2 8" xfId="15403" xr:uid="{335567C6-7071-4A1F-A39C-60D5420661AE}"/>
    <cellStyle name="Comma 17 4 4 3" xfId="15404" xr:uid="{CAA90C92-A875-4A3A-A515-1C89939BF62E}"/>
    <cellStyle name="Comma 17 4 4 3 2" xfId="15406" xr:uid="{D833B831-9CCD-4FBE-B8ED-12A16A952EF7}"/>
    <cellStyle name="Comma 17 4 4 3 2 2" xfId="15409" xr:uid="{41F440AE-DA18-4FB7-8181-74BFC867DA75}"/>
    <cellStyle name="Comma 17 4 4 3 2 2 2" xfId="3827" xr:uid="{4140A42E-B01D-4608-81EB-06ED0AF2B664}"/>
    <cellStyle name="Comma 17 4 4 3 2 2 2 2" xfId="3834" xr:uid="{03A9729E-1087-46A9-9049-F0B7677A102B}"/>
    <cellStyle name="Comma 17 4 4 3 2 2 2 2 2" xfId="15410" xr:uid="{52B31B26-72DF-43B1-AAB8-22D15246EA11}"/>
    <cellStyle name="Comma 17 4 4 3 2 2 2 3" xfId="15411" xr:uid="{F59432D6-EE9B-46D2-A258-C0E4BF5A4A4B}"/>
    <cellStyle name="Comma 17 4 4 3 2 2 3" xfId="3851" xr:uid="{5FAC556B-7D41-4778-8002-96BAF2E3A364}"/>
    <cellStyle name="Comma 17 4 4 3 2 2 3 2" xfId="15412" xr:uid="{3E6774A6-4EF1-4C6E-B03A-9F119C55466D}"/>
    <cellStyle name="Comma 17 4 4 3 2 2 4" xfId="15413" xr:uid="{E696434A-0D46-441D-8171-D66174B6E1F3}"/>
    <cellStyle name="Comma 17 4 4 3 2 3" xfId="15416" xr:uid="{3F0DCD73-AA0B-4858-BC6F-7C3822449089}"/>
    <cellStyle name="Comma 17 4 4 3 2 3 2" xfId="1983" xr:uid="{8B14B378-9835-4079-B935-7626C5C9FFE3}"/>
    <cellStyle name="Comma 17 4 4 3 2 3 2 2" xfId="15417" xr:uid="{76020757-2EBA-441A-9F75-CAEDE0493252}"/>
    <cellStyle name="Comma 17 4 4 3 2 3 3" xfId="8815" xr:uid="{7D8C7CB0-6BC0-4261-93A9-0894B8A7E3AD}"/>
    <cellStyle name="Comma 17 4 4 3 2 4" xfId="15419" xr:uid="{E88D1C3A-4D48-49C4-B5C4-723E64698785}"/>
    <cellStyle name="Comma 17 4 4 3 2 4 2" xfId="15421" xr:uid="{B1E3AD82-C85A-4E1F-B5A9-6560313F4A86}"/>
    <cellStyle name="Comma 17 4 4 3 2 5" xfId="15422" xr:uid="{56E13A6E-9334-4449-B1BE-50FA341E41DB}"/>
    <cellStyle name="Comma 17 4 4 3 3" xfId="15424" xr:uid="{39F31A40-2B6A-40BA-BB75-605B28E49BBF}"/>
    <cellStyle name="Comma 17 4 4 3 3 2" xfId="15426" xr:uid="{6BAED598-7079-46EB-977E-5C9FE5DF1B2D}"/>
    <cellStyle name="Comma 17 4 4 3 3 2 2" xfId="3860" xr:uid="{BAF3D709-48DB-4BDD-99CB-AE891630327E}"/>
    <cellStyle name="Comma 17 4 4 3 3 2 2 2" xfId="12232" xr:uid="{52EC87CC-305F-4949-A2BC-4064D2479922}"/>
    <cellStyle name="Comma 17 4 4 3 3 2 3" xfId="15427" xr:uid="{7A4C2DC0-A876-49C5-8949-A9E354256CFF}"/>
    <cellStyle name="Comma 17 4 4 3 3 3" xfId="15429" xr:uid="{EA53268A-D232-44BA-8F18-CEBC830103E1}"/>
    <cellStyle name="Comma 17 4 4 3 3 3 2" xfId="15430" xr:uid="{31893B20-A31F-4BF8-9075-D9EA3FE5A39E}"/>
    <cellStyle name="Comma 17 4 4 3 3 4" xfId="895" xr:uid="{6B60EE6F-A230-4A04-9956-F410C7D729FC}"/>
    <cellStyle name="Comma 17 4 4 3 4" xfId="15432" xr:uid="{B639F6A9-56D0-46D1-9ED2-9ECDB3F67B9D}"/>
    <cellStyle name="Comma 17 4 4 3 4 2" xfId="15434" xr:uid="{2C2DC960-0B11-4482-BE59-F0025D5C937F}"/>
    <cellStyle name="Comma 17 4 4 3 4 2 2" xfId="15436" xr:uid="{DFA985A5-1D12-4AE5-966B-0DD245E6177C}"/>
    <cellStyle name="Comma 17 4 4 3 4 3" xfId="15437" xr:uid="{1A1B6DA5-14C3-4FC7-9658-847BE2DEB7A6}"/>
    <cellStyle name="Comma 17 4 4 3 5" xfId="15440" xr:uid="{FA0D9ACD-284D-4D33-B462-7E7DFE6B040C}"/>
    <cellStyle name="Comma 17 4 4 3 5 2" xfId="15442" xr:uid="{08C0DA81-7AAE-4972-9DAD-C2157B9DF140}"/>
    <cellStyle name="Comma 17 4 4 3 6" xfId="15446" xr:uid="{84808391-CB26-48E1-ADAA-C9812ED3183B}"/>
    <cellStyle name="Comma 17 4 4 3 7" xfId="15449" xr:uid="{91EE8C57-AA6D-4E80-9EA7-9AAF87FC965C}"/>
    <cellStyle name="Comma 17 4 4 4" xfId="15452" xr:uid="{A50C2AB2-502D-4373-A880-DBE72D958773}"/>
    <cellStyle name="Comma 17 4 4 4 2" xfId="1899" xr:uid="{023CFF33-C141-488C-BEB3-88D7E189462C}"/>
    <cellStyle name="Comma 17 4 4 4 2 2" xfId="15454" xr:uid="{9E8D4E0A-835B-400A-B1EF-9153D7D27BD7}"/>
    <cellStyle name="Comma 17 4 4 4 2 2 2" xfId="3951" xr:uid="{E572D41C-671E-4649-AC1D-432D731C4206}"/>
    <cellStyle name="Comma 17 4 4 4 2 2 2 2" xfId="15455" xr:uid="{EEAEE745-0795-4E60-BFF7-B7670C69BE40}"/>
    <cellStyle name="Comma 17 4 4 4 2 2 3" xfId="9456" xr:uid="{3BEC93C2-BD7A-4E4A-B68F-236E8E6C16B1}"/>
    <cellStyle name="Comma 17 4 4 4 2 3" xfId="15458" xr:uid="{F51E7642-2941-4126-B3BA-BA77EB05C91E}"/>
    <cellStyle name="Comma 17 4 4 4 2 3 2" xfId="15459" xr:uid="{D822200B-A0DB-4674-A15F-CBA1FA11E51D}"/>
    <cellStyle name="Comma 17 4 4 4 2 4" xfId="15460" xr:uid="{B5910181-9C6F-4F38-B00C-EDC9FDA64B1C}"/>
    <cellStyle name="Comma 17 4 4 4 3" xfId="15462" xr:uid="{67495A72-A8C5-4CAA-9965-0FBC140A7DDC}"/>
    <cellStyle name="Comma 17 4 4 4 3 2" xfId="15464" xr:uid="{173509EF-9D4A-45DD-A358-118E48C867BD}"/>
    <cellStyle name="Comma 17 4 4 4 3 2 2" xfId="15467" xr:uid="{FED84C87-101E-4001-A3EC-D8F3A20CA544}"/>
    <cellStyle name="Comma 17 4 4 4 3 3" xfId="15468" xr:uid="{C80C4998-07B1-4F2C-BDC3-C1587F925B82}"/>
    <cellStyle name="Comma 17 4 4 4 4" xfId="15470" xr:uid="{9CD88BDF-8776-456B-8275-DFD4D8835A83}"/>
    <cellStyle name="Comma 17 4 4 4 4 2" xfId="15471" xr:uid="{CFB4DEC9-298E-49D6-B440-01DA161EF82D}"/>
    <cellStyle name="Comma 17 4 4 4 5" xfId="15473" xr:uid="{2BF6E316-B3BA-4E97-A8BE-3E459EB09EB0}"/>
    <cellStyle name="Comma 17 4 4 5" xfId="15474" xr:uid="{64F75C8D-E696-4A5F-B3CA-8552DA954957}"/>
    <cellStyle name="Comma 17 4 4 5 2" xfId="15476" xr:uid="{D47E838D-49B5-450C-8386-A32F0EF5878C}"/>
    <cellStyle name="Comma 17 4 4 5 2 2" xfId="15478" xr:uid="{1E97249B-A178-4297-9559-87B73E251928}"/>
    <cellStyle name="Comma 17 4 4 5 2 2 2" xfId="15479" xr:uid="{9F0F327C-228F-4F67-AA7E-6A583E586A0D}"/>
    <cellStyle name="Comma 17 4 4 5 2 3" xfId="15480" xr:uid="{7060E499-8F89-4207-8646-0196B8CDD45D}"/>
    <cellStyle name="Comma 17 4 4 5 3" xfId="15483" xr:uid="{379FC6AC-46C6-4D8A-8FCC-E598F461A720}"/>
    <cellStyle name="Comma 17 4 4 5 3 2" xfId="15484" xr:uid="{68EFBE1A-69CF-4641-9403-95A3CE9B4760}"/>
    <cellStyle name="Comma 17 4 4 5 4" xfId="15485" xr:uid="{138B80CE-3735-475A-87DF-39AAEB1241A7}"/>
    <cellStyle name="Comma 17 4 4 6" xfId="15487" xr:uid="{4BB0BCFB-9238-4284-ACAC-8E849781683C}"/>
    <cellStyle name="Comma 17 4 4 6 2" xfId="15491" xr:uid="{F5F91CAE-11E5-4A0F-B585-A3D814F5BD28}"/>
    <cellStyle name="Comma 17 4 4 6 2 2" xfId="15494" xr:uid="{2700D692-77AA-46BF-8C75-813F5044097B}"/>
    <cellStyle name="Comma 17 4 4 6 3" xfId="15498" xr:uid="{C002BF20-0B75-4D0E-9B35-A92B75031EB1}"/>
    <cellStyle name="Comma 17 4 4 7" xfId="15500" xr:uid="{8402D892-3840-4E9A-8406-09B4310ADF0C}"/>
    <cellStyle name="Comma 17 4 4 7 2" xfId="15503" xr:uid="{C0F4807A-5ED7-45EA-9B50-2711702ACC6A}"/>
    <cellStyle name="Comma 17 4 4 8" xfId="15505" xr:uid="{05E89421-E45D-404B-A1B5-AB1539D6F883}"/>
    <cellStyle name="Comma 17 4 4 9" xfId="15508" xr:uid="{402C1D8C-90FC-4941-89A1-CFCBC7882031}"/>
    <cellStyle name="Comma 17 4 5" xfId="15509" xr:uid="{3B3203EA-5306-4C1F-B1FB-6E3EDB19E253}"/>
    <cellStyle name="Comma 17 4 5 2" xfId="15510" xr:uid="{2C793698-A800-4F6C-9049-9B28EF890204}"/>
    <cellStyle name="Comma 17 4 5 2 2" xfId="15511" xr:uid="{A97768FF-9D06-4209-BF7A-0B36F5767839}"/>
    <cellStyle name="Comma 17 4 5 2 2 2" xfId="15513" xr:uid="{F67F2A6D-EC49-4BA5-A3B5-B2F0C72CC9D3}"/>
    <cellStyle name="Comma 17 4 5 2 2 2 2" xfId="15516" xr:uid="{7081E5E3-6F4E-4037-B4A0-693025602943}"/>
    <cellStyle name="Comma 17 4 5 2 2 2 2 2" xfId="15518" xr:uid="{85D6112A-4619-49B9-B153-71A4960074D7}"/>
    <cellStyle name="Comma 17 4 5 2 2 2 2 2 2" xfId="15520" xr:uid="{D7740067-D5F1-4D5F-AE7F-BE3FE755CBBC}"/>
    <cellStyle name="Comma 17 4 5 2 2 2 2 3" xfId="700" xr:uid="{5E033CA7-A804-40FC-B2B5-371AA6ECF521}"/>
    <cellStyle name="Comma 17 4 5 2 2 2 3" xfId="15522" xr:uid="{C3541436-FBCC-4F69-A1CB-05B9D876BF2B}"/>
    <cellStyle name="Comma 17 4 5 2 2 2 3 2" xfId="15524" xr:uid="{4DC10EC0-97F1-4694-BF15-BCD727102381}"/>
    <cellStyle name="Comma 17 4 5 2 2 2 4" xfId="15526" xr:uid="{1ED4CFA4-D9FE-4C9C-9791-5AFD8967F3E7}"/>
    <cellStyle name="Comma 17 4 5 2 2 3" xfId="15528" xr:uid="{C4EFD6F2-E9AD-4155-8B85-D3790C673645}"/>
    <cellStyle name="Comma 17 4 5 2 2 3 2" xfId="15530" xr:uid="{C6735180-E6FD-433D-9735-117B5AFFA14C}"/>
    <cellStyle name="Comma 17 4 5 2 2 3 2 2" xfId="15532" xr:uid="{F5640F1F-090B-4351-8503-3C7334E3774F}"/>
    <cellStyle name="Comma 17 4 5 2 2 3 3" xfId="15534" xr:uid="{7CF35753-DCF7-4DBC-B15A-F6A750DA754B}"/>
    <cellStyle name="Comma 17 4 5 2 2 4" xfId="15535" xr:uid="{A72F5923-C6EB-437D-87DB-4839F1D1BE56}"/>
    <cellStyle name="Comma 17 4 5 2 2 4 2" xfId="15538" xr:uid="{3EF09F00-3B94-4EF1-AD9D-69A7D209A3F4}"/>
    <cellStyle name="Comma 17 4 5 2 2 5" xfId="15539" xr:uid="{2A2359FA-BCFE-41A3-8BDF-9F8D50A25905}"/>
    <cellStyle name="Comma 17 4 5 2 3" xfId="15540" xr:uid="{04B4278B-AC24-4CA9-97D1-32966936193C}"/>
    <cellStyle name="Comma 17 4 5 2 3 2" xfId="15542" xr:uid="{69FADA33-4617-42EA-B02D-6A545A2F5B2C}"/>
    <cellStyle name="Comma 17 4 5 2 3 2 2" xfId="9346" xr:uid="{98183509-611C-483B-8D3A-8CEB0845359B}"/>
    <cellStyle name="Comma 17 4 5 2 3 2 2 2" xfId="15545" xr:uid="{10184315-F6C0-41D4-AF45-9AB99F440BA4}"/>
    <cellStyle name="Comma 17 4 5 2 3 2 3" xfId="15547" xr:uid="{30666206-395C-498E-B999-14097B399759}"/>
    <cellStyle name="Comma 17 4 5 2 3 3" xfId="15548" xr:uid="{FCA5F368-A053-44C4-B6E9-A1A169D8BEA6}"/>
    <cellStyle name="Comma 17 4 5 2 3 3 2" xfId="15550" xr:uid="{0B6071C9-D60F-4B23-BE27-19E69586F17B}"/>
    <cellStyle name="Comma 17 4 5 2 3 4" xfId="15551" xr:uid="{C9E119EF-D9AB-4BBC-991D-1FFB0CCB99AB}"/>
    <cellStyle name="Comma 17 4 5 2 4" xfId="15552" xr:uid="{35FD04EE-F976-4302-8A44-429CFE34EC62}"/>
    <cellStyle name="Comma 17 4 5 2 4 2" xfId="15553" xr:uid="{BEA5D82C-8007-4396-925C-BF90841F1FB0}"/>
    <cellStyle name="Comma 17 4 5 2 4 2 2" xfId="15555" xr:uid="{9304BAA7-3365-4BE3-9E5C-236AEEE63FC1}"/>
    <cellStyle name="Comma 17 4 5 2 4 3" xfId="15556" xr:uid="{59080F74-C6A7-4491-8AA1-C0E472F85EE3}"/>
    <cellStyle name="Comma 17 4 5 2 5" xfId="15558" xr:uid="{D025D0F5-5E72-446A-AB7B-65EA1A10B8C0}"/>
    <cellStyle name="Comma 17 4 5 2 5 2" xfId="15560" xr:uid="{435B1C6F-40BB-4CF8-BE9C-576F61E34BEA}"/>
    <cellStyle name="Comma 17 4 5 2 6" xfId="15563" xr:uid="{DD539017-BA9D-4E68-89F5-CBC879B66E19}"/>
    <cellStyle name="Comma 17 4 5 2 7" xfId="15565" xr:uid="{143C7DA9-BD92-4EE1-8A49-DEA4269EAC65}"/>
    <cellStyle name="Comma 17 4 5 3" xfId="15566" xr:uid="{7CA35167-39E3-44B2-9F89-C7F17C3CCEA6}"/>
    <cellStyle name="Comma 17 4 5 3 2" xfId="15568" xr:uid="{7BA648D8-6C97-4C65-BEA7-6C9D0638A78D}"/>
    <cellStyle name="Comma 17 4 5 3 2 2" xfId="15571" xr:uid="{48ECC279-4DE6-4306-A734-A499A90DA447}"/>
    <cellStyle name="Comma 17 4 5 3 2 2 2" xfId="4123" xr:uid="{EDF5821E-CC61-4EB6-BC69-1BFD0E722716}"/>
    <cellStyle name="Comma 17 4 5 3 2 2 2 2" xfId="12074" xr:uid="{D4E9DCB6-F07F-4152-9CAC-79DAB154117D}"/>
    <cellStyle name="Comma 17 4 5 3 2 2 3" xfId="15573" xr:uid="{5AE71D90-E33A-4EB7-9BDE-23E95644B356}"/>
    <cellStyle name="Comma 17 4 5 3 2 3" xfId="15575" xr:uid="{19A1D0A5-85AC-48C3-80F2-021FD93986A4}"/>
    <cellStyle name="Comma 17 4 5 3 2 3 2" xfId="15577" xr:uid="{EC4E3F7C-FB1C-455B-8775-9F309438FE40}"/>
    <cellStyle name="Comma 17 4 5 3 2 4" xfId="15578" xr:uid="{CA2B4685-D273-4C10-8AB4-8CAA235CED09}"/>
    <cellStyle name="Comma 17 4 5 3 3" xfId="15580" xr:uid="{9D4F0987-9CA9-4F52-964F-AFBD67878599}"/>
    <cellStyle name="Comma 17 4 5 3 3 2" xfId="15582" xr:uid="{74068190-06D8-42F9-A464-BE662E52D7D3}"/>
    <cellStyle name="Comma 17 4 5 3 3 2 2" xfId="15584" xr:uid="{9B3E9E79-F0F5-4AF3-A130-BCEF17E19F65}"/>
    <cellStyle name="Comma 17 4 5 3 3 3" xfId="15585" xr:uid="{3F62A4AE-C805-4A3C-AD63-518EBB34648F}"/>
    <cellStyle name="Comma 17 4 5 3 4" xfId="15587" xr:uid="{D5F8F523-B963-484A-BB9B-03DB11BE902D}"/>
    <cellStyle name="Comma 17 4 5 3 4 2" xfId="15588" xr:uid="{56C5DDC5-134D-49AD-9E0B-3C60B59E6367}"/>
    <cellStyle name="Comma 17 4 5 3 5" xfId="15591" xr:uid="{A3F633AD-2469-4D9B-9B85-7AAE7D419D80}"/>
    <cellStyle name="Comma 17 4 5 4" xfId="15592" xr:uid="{3DFA07BB-3FC3-4DB0-A534-C5D14DFF2CCD}"/>
    <cellStyle name="Comma 17 4 5 4 2" xfId="15594" xr:uid="{149F68B8-D23D-42E8-B906-670AE601C0DB}"/>
    <cellStyle name="Comma 17 4 5 4 2 2" xfId="15596" xr:uid="{B6BD9B59-6545-41FA-AA1E-609F06D5DE3D}"/>
    <cellStyle name="Comma 17 4 5 4 2 2 2" xfId="15598" xr:uid="{DF00706C-55CB-463B-B580-10455C5DC9AC}"/>
    <cellStyle name="Comma 17 4 5 4 2 3" xfId="15599" xr:uid="{5D9F94AA-7E8E-4C06-BF4E-96E5DCE25F03}"/>
    <cellStyle name="Comma 17 4 5 4 3" xfId="15601" xr:uid="{B64050F9-E166-438F-8487-892E2F6A0C34}"/>
    <cellStyle name="Comma 17 4 5 4 3 2" xfId="15602" xr:uid="{1B4B4A0D-ED58-451E-89C2-CB0F0B5D9734}"/>
    <cellStyle name="Comma 17 4 5 4 4" xfId="15603" xr:uid="{87DAEECC-6197-474B-BC4C-09C791900360}"/>
    <cellStyle name="Comma 17 4 5 5" xfId="15604" xr:uid="{8E54EFA6-04F9-43A5-9750-D02F57B24DBB}"/>
    <cellStyle name="Comma 17 4 5 5 2" xfId="15606" xr:uid="{EB2265EA-CE07-4625-80D3-032E0631E200}"/>
    <cellStyle name="Comma 17 4 5 5 2 2" xfId="15607" xr:uid="{DA0F0A0D-9F86-4650-A857-95991BC44EA0}"/>
    <cellStyle name="Comma 17 4 5 5 3" xfId="5445" xr:uid="{187A8F82-A0D4-42E1-97C3-CD4FC723FC11}"/>
    <cellStyle name="Comma 17 4 5 6" xfId="15609" xr:uid="{25205656-6D37-45A0-947A-C5064D284BC1}"/>
    <cellStyle name="Comma 17 4 5 6 2" xfId="15612" xr:uid="{424D5E8C-B7F7-4BE5-BF7D-128112505B25}"/>
    <cellStyle name="Comma 17 4 5 7" xfId="15614" xr:uid="{5CF25B44-733C-4473-89A3-071E601E5720}"/>
    <cellStyle name="Comma 17 4 5 8" xfId="15615" xr:uid="{6FB4E7FE-DB14-47D2-81C1-0EE760BD9A20}"/>
    <cellStyle name="Comma 17 4 6" xfId="15616" xr:uid="{9E6A3E53-FCB9-497A-8FB1-8A5B9E5FE2E5}"/>
    <cellStyle name="Comma 17 4 6 2" xfId="15617" xr:uid="{3B2C9A75-CCE0-4D0D-9BAF-25CC4041EA27}"/>
    <cellStyle name="Comma 17 4 6 2 2" xfId="915" xr:uid="{729FBD9C-CD30-4BAF-AA50-7845DF175257}"/>
    <cellStyle name="Comma 17 4 6 2 2 2" xfId="15619" xr:uid="{E4D49B84-401E-4392-A6D8-D1EABA204AAC}"/>
    <cellStyle name="Comma 17 4 6 2 2 2 2" xfId="15621" xr:uid="{2C15DFE2-7D50-4BE1-A677-C4E0097B5526}"/>
    <cellStyle name="Comma 17 4 6 2 2 2 2 2" xfId="15625" xr:uid="{B4AF6E8B-97ED-49A1-ACBC-9398E6938BC0}"/>
    <cellStyle name="Comma 17 4 6 2 2 2 3" xfId="15628" xr:uid="{8CC2A03D-30E5-495E-9E9A-FA8A3036E470}"/>
    <cellStyle name="Comma 17 4 6 2 2 3" xfId="15629" xr:uid="{37719073-624C-4214-A100-BCD5CDAE70B3}"/>
    <cellStyle name="Comma 17 4 6 2 2 3 2" xfId="15631" xr:uid="{19D66CC2-6816-4707-82BB-662ACF5E3BA5}"/>
    <cellStyle name="Comma 17 4 6 2 2 4" xfId="15632" xr:uid="{9F025CC7-D60D-4BE8-AF70-AD35699EB795}"/>
    <cellStyle name="Comma 17 4 6 2 3" xfId="918" xr:uid="{2CD5B7FB-7D02-495A-9785-8FB9BC15DFBC}"/>
    <cellStyle name="Comma 17 4 6 2 3 2" xfId="15635" xr:uid="{9C51F30F-418E-4C98-97BD-753C688C80B7}"/>
    <cellStyle name="Comma 17 4 6 2 3 2 2" xfId="15637" xr:uid="{BFE60A1E-831F-46C3-AFD8-553C23981BAA}"/>
    <cellStyle name="Comma 17 4 6 2 3 3" xfId="15638" xr:uid="{28E93813-604A-49D7-BC37-BC76025C54A7}"/>
    <cellStyle name="Comma 17 4 6 2 4" xfId="921" xr:uid="{9CD54F3A-E63E-4697-A558-BE114929D6A7}"/>
    <cellStyle name="Comma 17 4 6 2 4 2" xfId="15639" xr:uid="{7A595AB8-2F8C-484A-921C-1D6342F1CBD9}"/>
    <cellStyle name="Comma 17 4 6 2 5" xfId="926" xr:uid="{F9184EC4-19DB-4989-9D48-7F80BEE23E88}"/>
    <cellStyle name="Comma 17 4 6 3" xfId="15640" xr:uid="{A7291C16-150D-44FA-A71A-842116B2710A}"/>
    <cellStyle name="Comma 17 4 6 3 2" xfId="15642" xr:uid="{47F1ABC4-B41B-4F86-A591-4315B98723E9}"/>
    <cellStyle name="Comma 17 4 6 3 2 2" xfId="15645" xr:uid="{115F8857-0833-4E7E-8371-A107C7047229}"/>
    <cellStyle name="Comma 17 4 6 3 2 2 2" xfId="15649" xr:uid="{BD3D04FB-B7E5-4F7C-83C0-EFBAFD05FE48}"/>
    <cellStyle name="Comma 17 4 6 3 2 3" xfId="15651" xr:uid="{B4914B0A-0B81-4DDD-90A4-858D02B1ED2F}"/>
    <cellStyle name="Comma 17 4 6 3 3" xfId="15653" xr:uid="{4134F00D-3C27-4407-8353-22B63006C77D}"/>
    <cellStyle name="Comma 17 4 6 3 3 2" xfId="15655" xr:uid="{A4D69051-0E3D-4961-BE3E-760EF7B9E992}"/>
    <cellStyle name="Comma 17 4 6 3 4" xfId="15656" xr:uid="{7C77B848-119D-44A6-9BE4-B15210897076}"/>
    <cellStyle name="Comma 17 4 6 4" xfId="15657" xr:uid="{2FED1E74-7C29-41D6-8F47-B2CD3D49CBA1}"/>
    <cellStyle name="Comma 17 4 6 4 2" xfId="15659" xr:uid="{E8A0E578-72B6-4AD3-BB03-8452E0269F22}"/>
    <cellStyle name="Comma 17 4 6 4 2 2" xfId="15661" xr:uid="{CF15A12D-CA17-4117-AFC0-BF6325461453}"/>
    <cellStyle name="Comma 17 4 6 4 3" xfId="15662" xr:uid="{24F57778-40DF-42A7-9AE5-9F3906F5F2D1}"/>
    <cellStyle name="Comma 17 4 6 5" xfId="15664" xr:uid="{092E30A3-35F0-455A-94C3-E649F4125E19}"/>
    <cellStyle name="Comma 17 4 6 5 2" xfId="15665" xr:uid="{E12347D7-FB0C-4F4A-B520-03F35FF7912F}"/>
    <cellStyle name="Comma 17 4 6 6" xfId="15667" xr:uid="{A25718E1-1285-49D6-8A6B-FA4054C61891}"/>
    <cellStyle name="Comma 17 4 6 7" xfId="15668" xr:uid="{4906882A-F772-42CE-8C65-65B77AA233A1}"/>
    <cellStyle name="Comma 17 4 7" xfId="15669" xr:uid="{0D1766B9-99A3-4FB9-84D9-22BEAEC1596F}"/>
    <cellStyle name="Comma 17 4 7 2" xfId="15670" xr:uid="{E1B42BC4-49BA-456C-91E4-A510CF15A399}"/>
    <cellStyle name="Comma 17 4 7 2 2" xfId="15671" xr:uid="{8F89F10C-B5C4-4EC7-9BE0-ABBF5A38C58B}"/>
    <cellStyle name="Comma 17 4 7 2 2 2" xfId="15672" xr:uid="{B71B2511-C83D-48E1-8A38-1A5CAA88483E}"/>
    <cellStyle name="Comma 17 4 7 2 2 2 2" xfId="15674" xr:uid="{0D8BCD72-A0DE-4578-A9FC-4C3A2BE6EEE4}"/>
    <cellStyle name="Comma 17 4 7 2 2 3" xfId="10036" xr:uid="{0D26ADD6-989E-447D-AD27-B03318A6FE7C}"/>
    <cellStyle name="Comma 17 4 7 2 3" xfId="15675" xr:uid="{D3B13A9E-8EA8-4427-9A43-3F5CBB581816}"/>
    <cellStyle name="Comma 17 4 7 2 3 2" xfId="15678" xr:uid="{0782C9FD-D3F8-4437-89CA-4D3E7638561E}"/>
    <cellStyle name="Comma 17 4 7 2 4" xfId="15681" xr:uid="{E917FE36-93FB-4AF4-B192-031ADFEF4000}"/>
    <cellStyle name="Comma 17 4 7 3" xfId="15682" xr:uid="{D704C27E-8AD3-4A88-8484-66347460B1A2}"/>
    <cellStyle name="Comma 17 4 7 3 2" xfId="15686" xr:uid="{156FC03E-E3F2-493A-8F8B-93AAB1A07618}"/>
    <cellStyle name="Comma 17 4 7 3 2 2" xfId="15690" xr:uid="{C8D47200-FB8E-4610-BDDA-A04E110EF539}"/>
    <cellStyle name="Comma 17 4 7 3 3" xfId="15693" xr:uid="{A34E36DA-904A-4985-8BF7-547185403C66}"/>
    <cellStyle name="Comma 17 4 7 4" xfId="15694" xr:uid="{4A29C4F7-0CBF-4E30-8C47-970412ED7A49}"/>
    <cellStyle name="Comma 17 4 7 4 2" xfId="15695" xr:uid="{2EBAF70D-D228-483B-9846-8D08F1FE90BC}"/>
    <cellStyle name="Comma 17 4 7 5" xfId="15696" xr:uid="{95775872-5553-4BA7-A800-3C2CE578B693}"/>
    <cellStyle name="Comma 17 4 8" xfId="15697" xr:uid="{7E2B5D1E-2C5B-40FF-B84A-25918237CD80}"/>
    <cellStyle name="Comma 17 4 8 2" xfId="15698" xr:uid="{5C8A77B9-EFDB-44EA-9749-C298289B235F}"/>
    <cellStyle name="Comma 17 4 8 2 2" xfId="15699" xr:uid="{7AF0A5CA-9A94-45E2-AA1C-BE2B903E2212}"/>
    <cellStyle name="Comma 17 4 8 2 2 2" xfId="15701" xr:uid="{FED9683D-927C-4184-8ECA-7F69F516CDE9}"/>
    <cellStyle name="Comma 17 4 8 2 3" xfId="15703" xr:uid="{E2C504F0-F9EB-4A00-A150-45A57354AD5A}"/>
    <cellStyle name="Comma 17 4 8 3" xfId="15704" xr:uid="{F7BF5AF1-D458-4446-A62D-9CFD4AE94576}"/>
    <cellStyle name="Comma 17 4 8 3 2" xfId="15705" xr:uid="{DF96B6AD-73EB-499A-BDAC-4D1D97156F0E}"/>
    <cellStyle name="Comma 17 4 8 4" xfId="15706" xr:uid="{192C7727-FF62-448A-B70E-DE3E88A7D13F}"/>
    <cellStyle name="Comma 17 4 9" xfId="15707" xr:uid="{8EAD08B8-663F-485C-9584-41E35ED431CC}"/>
    <cellStyle name="Comma 17 4 9 2" xfId="15709" xr:uid="{E7029979-7E21-4A8A-A824-6499428E8E81}"/>
    <cellStyle name="Comma 17 4 9 2 2" xfId="15710" xr:uid="{4B1E867A-0A1B-4256-8115-AA337E37AE8B}"/>
    <cellStyle name="Comma 17 4 9 3" xfId="15711" xr:uid="{117E3B5A-057E-40F7-A522-FF41C80A814C}"/>
    <cellStyle name="Comma 17 5" xfId="15712" xr:uid="{A73E2A90-87C3-4515-8D66-784C9F015BC1}"/>
    <cellStyle name="Comma 17 6" xfId="15715" xr:uid="{76DBC181-8220-48DF-90C7-36D1FBB31F05}"/>
    <cellStyle name="Comma 17 6 10" xfId="15718" xr:uid="{2D35BBAA-D721-48CD-A30F-5373B0A05465}"/>
    <cellStyle name="Comma 17 6 11" xfId="15720" xr:uid="{F34E22B7-0EBE-4B2E-B0CC-E549F962E37B}"/>
    <cellStyle name="Comma 17 6 2" xfId="15722" xr:uid="{C3E1458A-8B0E-4BD8-BBFD-F103E444510D}"/>
    <cellStyle name="Comma 17 6 2 10" xfId="4952" xr:uid="{6E69A54C-E17D-4AB0-9136-6B65F1300CD4}"/>
    <cellStyle name="Comma 17 6 2 2" xfId="15724" xr:uid="{4B12256D-6CA7-43EF-BE90-B799A717D4F8}"/>
    <cellStyle name="Comma 17 6 2 2 2" xfId="15725" xr:uid="{B56C6B90-FD90-46BA-B5D4-58539C5A7060}"/>
    <cellStyle name="Comma 17 6 2 2 2 2" xfId="9148" xr:uid="{3FC9BD22-03CD-4E2A-B9C6-376777233C9E}"/>
    <cellStyle name="Comma 17 6 2 2 2 2 2" xfId="9150" xr:uid="{11872734-AECB-4EF2-8BEE-399197849DC0}"/>
    <cellStyle name="Comma 17 6 2 2 2 2 2 2" xfId="9152" xr:uid="{3F8C6AED-D172-46AC-9ED9-916312DB643E}"/>
    <cellStyle name="Comma 17 6 2 2 2 2 2 2 2" xfId="15727" xr:uid="{5AE24FCD-1F18-48FD-A2FA-94A230E2B289}"/>
    <cellStyle name="Comma 17 6 2 2 2 2 2 2 2 2" xfId="15728" xr:uid="{2D70FBD2-96DB-4938-9468-0ABDA3CEA0D9}"/>
    <cellStyle name="Comma 17 6 2 2 2 2 2 2 2 2 2" xfId="15732" xr:uid="{CB10D5B9-E472-4FB8-832B-67996A39C493}"/>
    <cellStyle name="Comma 17 6 2 2 2 2 2 2 2 3" xfId="15733" xr:uid="{086D7308-5E3C-488A-A75E-AD9271106D6A}"/>
    <cellStyle name="Comma 17 6 2 2 2 2 2 2 3" xfId="15735" xr:uid="{BB35E7AB-EC25-49C2-9CEB-3C5E7DDB38F6}"/>
    <cellStyle name="Comma 17 6 2 2 2 2 2 2 3 2" xfId="15736" xr:uid="{60C3E76F-CF18-480C-A149-921C7CAD10B2}"/>
    <cellStyle name="Comma 17 6 2 2 2 2 2 2 4" xfId="172" xr:uid="{40C49281-380B-4027-9951-C6E17F8DA7AD}"/>
    <cellStyle name="Comma 17 6 2 2 2 2 2 3" xfId="14687" xr:uid="{CD422FED-AA63-4D8D-8C02-C23816CE5E02}"/>
    <cellStyle name="Comma 17 6 2 2 2 2 2 3 2" xfId="15738" xr:uid="{C7CCE993-D172-4AFA-9EEE-EE6CE2471387}"/>
    <cellStyle name="Comma 17 6 2 2 2 2 2 3 2 2" xfId="15739" xr:uid="{68BCC478-7D3D-4CA6-AD58-714C6DF8115F}"/>
    <cellStyle name="Comma 17 6 2 2 2 2 2 3 3" xfId="15740" xr:uid="{47664422-47F7-4F05-BCA8-FB5877756B6D}"/>
    <cellStyle name="Comma 17 6 2 2 2 2 2 4" xfId="15741" xr:uid="{A6ECFACA-FF1F-4ADD-996D-8B80FAB37FB9}"/>
    <cellStyle name="Comma 17 6 2 2 2 2 2 4 2" xfId="15742" xr:uid="{3A5EF33F-37E0-46F0-A184-E1F5C368AE29}"/>
    <cellStyle name="Comma 17 6 2 2 2 2 2 5" xfId="14507" xr:uid="{6E307041-EDF5-42AC-8627-D7EB564EF19F}"/>
    <cellStyle name="Comma 17 6 2 2 2 2 3" xfId="9155" xr:uid="{3AD09831-F007-4F9B-BE09-69286D1B93F6}"/>
    <cellStyle name="Comma 17 6 2 2 2 2 3 2" xfId="15743" xr:uid="{4BD23869-9C3F-411F-AEEB-5263D6B4361D}"/>
    <cellStyle name="Comma 17 6 2 2 2 2 3 2 2" xfId="15745" xr:uid="{CAF84199-7213-4FD8-9CE3-ACBB7A448A8F}"/>
    <cellStyle name="Comma 17 6 2 2 2 2 3 2 2 2" xfId="15746" xr:uid="{D9BFFBF4-EF0B-4CC7-94D4-A1BB0DDCC822}"/>
    <cellStyle name="Comma 17 6 2 2 2 2 3 2 3" xfId="15747" xr:uid="{A829A4EF-DB11-45CC-8B09-2F30BB86CB1B}"/>
    <cellStyle name="Comma 17 6 2 2 2 2 3 3" xfId="14963" xr:uid="{F9FA168E-9B84-40E4-A9C1-C889979B9120}"/>
    <cellStyle name="Comma 17 6 2 2 2 2 3 3 2" xfId="14966" xr:uid="{F8D91755-E4D2-43A1-A09B-EB712273C0D2}"/>
    <cellStyle name="Comma 17 6 2 2 2 2 3 4" xfId="14968" xr:uid="{C786E55A-8C96-4C8F-9A2E-D512CC9E3AF1}"/>
    <cellStyle name="Comma 17 6 2 2 2 2 4" xfId="15748" xr:uid="{7D75F891-A943-4AC8-ACB6-380E582CF0E3}"/>
    <cellStyle name="Comma 17 6 2 2 2 2 4 2" xfId="15749" xr:uid="{C11EC66F-DF5B-403E-8558-FE9398CB760C}"/>
    <cellStyle name="Comma 17 6 2 2 2 2 4 2 2" xfId="15750" xr:uid="{54188AAC-49A0-492C-892D-A1E7D1F5BB31}"/>
    <cellStyle name="Comma 17 6 2 2 2 2 4 3" xfId="14971" xr:uid="{99DAC5B3-2254-44E0-B55A-F0A0995CE1CE}"/>
    <cellStyle name="Comma 17 6 2 2 2 2 5" xfId="15752" xr:uid="{A1730392-AC89-49F3-B692-3A23DECB0800}"/>
    <cellStyle name="Comma 17 6 2 2 2 2 5 2" xfId="15754" xr:uid="{21F1C2D8-1896-4211-9E81-7E11A9EDE3CD}"/>
    <cellStyle name="Comma 17 6 2 2 2 2 6" xfId="15757" xr:uid="{79D05843-5072-4BA4-9313-2513B26A2345}"/>
    <cellStyle name="Comma 17 6 2 2 2 2 7" xfId="15760" xr:uid="{250D411B-FF79-4C91-8E41-73607E48B240}"/>
    <cellStyle name="Comma 17 6 2 2 2 3" xfId="9157" xr:uid="{2FDA8F86-5619-4962-9C73-286B55045004}"/>
    <cellStyle name="Comma 17 6 2 2 2 3 2" xfId="9160" xr:uid="{530D4420-6A37-4A84-B475-D151B03383CD}"/>
    <cellStyle name="Comma 17 6 2 2 2 3 2 2" xfId="15762" xr:uid="{981909EA-AFF0-4642-A478-4BF9C2335EA1}"/>
    <cellStyle name="Comma 17 6 2 2 2 3 2 2 2" xfId="15764" xr:uid="{5EA9CA2E-728F-4204-BDDF-CA80112AEF85}"/>
    <cellStyle name="Comma 17 6 2 2 2 3 2 2 2 2" xfId="15767" xr:uid="{960AAB13-033F-4D69-9A76-24B0FB3EFC70}"/>
    <cellStyle name="Comma 17 6 2 2 2 3 2 2 3" xfId="15769" xr:uid="{42C14697-EADF-4737-B2FF-F69F2CDF68E3}"/>
    <cellStyle name="Comma 17 6 2 2 2 3 2 3" xfId="3453" xr:uid="{94C90BCB-53D7-4058-BCE6-EB8CCFE4A3CF}"/>
    <cellStyle name="Comma 17 6 2 2 2 3 2 3 2" xfId="3455" xr:uid="{FB01E57B-C3D5-4F86-B644-538DD8E71BC3}"/>
    <cellStyle name="Comma 17 6 2 2 2 3 2 4" xfId="3493" xr:uid="{FEB02954-F7C4-4DEC-A941-43CB2D0BE59B}"/>
    <cellStyle name="Comma 17 6 2 2 2 3 3" xfId="15771" xr:uid="{BD2F0D0B-26B9-46EB-A712-4410A281AD3C}"/>
    <cellStyle name="Comma 17 6 2 2 2 3 3 2" xfId="15773" xr:uid="{F5445360-8339-4081-84C9-77B943CBA731}"/>
    <cellStyle name="Comma 17 6 2 2 2 3 3 2 2" xfId="15774" xr:uid="{6AD41EF7-CCB8-48C5-9A62-931BBA9DCEE2}"/>
    <cellStyle name="Comma 17 6 2 2 2 3 3 3" xfId="3524" xr:uid="{26E9275A-ED10-4932-8776-821AA151F859}"/>
    <cellStyle name="Comma 17 6 2 2 2 3 4" xfId="15776" xr:uid="{CC97BE4D-5A76-4289-8CE4-21B058353E83}"/>
    <cellStyle name="Comma 17 6 2 2 2 3 4 2" xfId="15777" xr:uid="{0909050C-BAB4-4C29-B074-FF966AAABFF3}"/>
    <cellStyle name="Comma 17 6 2 2 2 3 5" xfId="15780" xr:uid="{E8246C3B-9CF5-432F-996B-743BE4A339AF}"/>
    <cellStyle name="Comma 17 6 2 2 2 4" xfId="9163" xr:uid="{55100730-95D2-4E39-B07C-4D9593A980CC}"/>
    <cellStyle name="Comma 17 6 2 2 2 4 2" xfId="1787" xr:uid="{F8D666AB-4F16-4680-80FE-DD376458A5C1}"/>
    <cellStyle name="Comma 17 6 2 2 2 4 2 2" xfId="15784" xr:uid="{CE6F0635-DAF8-4F9F-9504-DCB76D3A0E1E}"/>
    <cellStyle name="Comma 17 6 2 2 2 4 2 2 2" xfId="15785" xr:uid="{D469D01C-3782-4275-B2AE-7AC2B3F6A08C}"/>
    <cellStyle name="Comma 17 6 2 2 2 4 2 3" xfId="3933" xr:uid="{030EF262-160F-4590-B089-6148D27BC4E8}"/>
    <cellStyle name="Comma 17 6 2 2 2 4 3" xfId="1790" xr:uid="{1B2D6719-1803-4CED-AD7A-B2A691DFE5F5}"/>
    <cellStyle name="Comma 17 6 2 2 2 4 3 2" xfId="15786" xr:uid="{FF2822CB-4838-499F-9EC4-158A8F46343C}"/>
    <cellStyle name="Comma 17 6 2 2 2 4 4" xfId="1792" xr:uid="{3EFCB20D-377E-4789-8589-8AB1F9965A6C}"/>
    <cellStyle name="Comma 17 6 2 2 2 5" xfId="9165" xr:uid="{903FE89D-9BBC-49F9-9760-26F67690D13B}"/>
    <cellStyle name="Comma 17 6 2 2 2 5 2" xfId="15787" xr:uid="{1AC6344C-D335-4BF4-BB41-9F13B85194C2}"/>
    <cellStyle name="Comma 17 6 2 2 2 5 2 2" xfId="15790" xr:uid="{21B13418-0816-4EA8-90E6-29B8A836C7B8}"/>
    <cellStyle name="Comma 17 6 2 2 2 5 3" xfId="15791" xr:uid="{42AE2886-085E-4F02-85C9-739F96E2C5CB}"/>
    <cellStyle name="Comma 17 6 2 2 2 6" xfId="10095" xr:uid="{BAE2F4D9-0290-48A6-8753-9F00BFCCBFB2}"/>
    <cellStyle name="Comma 17 6 2 2 2 6 2" xfId="15794" xr:uid="{C9A440E1-DD51-49FB-900E-4E062684E717}"/>
    <cellStyle name="Comma 17 6 2 2 2 7" xfId="15797" xr:uid="{00DFA811-F86F-4718-AAF7-6AB4CB181ED1}"/>
    <cellStyle name="Comma 17 6 2 2 2 8" xfId="15799" xr:uid="{50B3D725-C733-4063-B9CA-51491703A667}"/>
    <cellStyle name="Comma 17 6 2 2 3" xfId="15801" xr:uid="{D6C28823-75F7-40BD-AD97-B5829E190104}"/>
    <cellStyle name="Comma 17 6 2 2 3 2" xfId="9276" xr:uid="{8B854E69-07DA-43F4-8F99-3D2DCD83189A}"/>
    <cellStyle name="Comma 17 6 2 2 3 2 2" xfId="9278" xr:uid="{C77CEA67-635B-42A3-838B-EEB96984E03D}"/>
    <cellStyle name="Comma 17 6 2 2 3 2 2 2" xfId="15802" xr:uid="{01ACFB74-197F-49B8-BD30-E4FD04800AFC}"/>
    <cellStyle name="Comma 17 6 2 2 3 2 2 2 2" xfId="15803" xr:uid="{542545F4-707A-4C93-9A68-74636D6E88C3}"/>
    <cellStyle name="Comma 17 6 2 2 3 2 2 2 2 2" xfId="15804" xr:uid="{C855E96D-F992-4E97-87C1-60DB1313DE7A}"/>
    <cellStyle name="Comma 17 6 2 2 3 2 2 2 3" xfId="15805" xr:uid="{1ECE33A6-DAA4-4EAA-B46A-6C929E6F01EA}"/>
    <cellStyle name="Comma 17 6 2 2 3 2 2 3" xfId="15806" xr:uid="{DC49D02A-BB07-493C-8B0B-D079FCC802BE}"/>
    <cellStyle name="Comma 17 6 2 2 3 2 2 3 2" xfId="15807" xr:uid="{D3E3E88E-31B0-45B8-80BC-25A7B56FE345}"/>
    <cellStyle name="Comma 17 6 2 2 3 2 2 4" xfId="15808" xr:uid="{AB361506-5DE2-4F52-8498-8E70703CC837}"/>
    <cellStyle name="Comma 17 6 2 2 3 2 3" xfId="15809" xr:uid="{E216E989-1A70-45BC-9F33-CEBB30CB525C}"/>
    <cellStyle name="Comma 17 6 2 2 3 2 3 2" xfId="15810" xr:uid="{E0183F9F-61CA-4EAC-A069-DC121F004F97}"/>
    <cellStyle name="Comma 17 6 2 2 3 2 3 2 2" xfId="15811" xr:uid="{CD626C14-7D2F-4A20-8C15-5A4995CBE493}"/>
    <cellStyle name="Comma 17 6 2 2 3 2 3 3" xfId="14981" xr:uid="{3538A316-94C2-4AAE-A9BB-0A044AE2AEB2}"/>
    <cellStyle name="Comma 17 6 2 2 3 2 4" xfId="15814" xr:uid="{080CD295-ADD0-4BD7-8E98-6B37E552099F}"/>
    <cellStyle name="Comma 17 6 2 2 3 2 4 2" xfId="15816" xr:uid="{B2D57A60-9533-4CAF-A812-B6666815EA63}"/>
    <cellStyle name="Comma 17 6 2 2 3 2 5" xfId="15819" xr:uid="{BCD13DC2-3585-4D94-8730-E7778779A181}"/>
    <cellStyle name="Comma 17 6 2 2 3 3" xfId="9281" xr:uid="{64BC2649-F444-47F1-BFED-83E880EBB5CB}"/>
    <cellStyle name="Comma 17 6 2 2 3 3 2" xfId="15821" xr:uid="{484F032D-CDAA-419D-AAAC-3E857229A8B3}"/>
    <cellStyle name="Comma 17 6 2 2 3 3 2 2" xfId="15822" xr:uid="{5DC9DB81-D5A6-446F-8882-341A767A57B8}"/>
    <cellStyle name="Comma 17 6 2 2 3 3 2 2 2" xfId="15824" xr:uid="{CC188430-D274-4520-9B4C-0ADE4E40328C}"/>
    <cellStyle name="Comma 17 6 2 2 3 3 2 3" xfId="4737" xr:uid="{DF8AB7DE-5362-4E35-8659-386F3C1B85BC}"/>
    <cellStyle name="Comma 17 6 2 2 3 3 3" xfId="15826" xr:uid="{F75CD1E8-5E36-44EF-B0C6-79FE64B36697}"/>
    <cellStyle name="Comma 17 6 2 2 3 3 3 2" xfId="15827" xr:uid="{D64A09C5-EABC-46DD-AF6C-6CE35DA9D2F5}"/>
    <cellStyle name="Comma 17 6 2 2 3 3 4" xfId="15829" xr:uid="{EF3CAEC1-DE1C-4F78-B18E-D7AA45BCB10B}"/>
    <cellStyle name="Comma 17 6 2 2 3 4" xfId="9283" xr:uid="{FBE62A00-A5F9-4921-AF62-F45F1B765343}"/>
    <cellStyle name="Comma 17 6 2 2 3 4 2" xfId="15830" xr:uid="{E34AC98B-D40C-4118-9D13-0505DC805C3B}"/>
    <cellStyle name="Comma 17 6 2 2 3 4 2 2" xfId="15831" xr:uid="{67CEA554-4FCC-412C-958A-20E330C3A07B}"/>
    <cellStyle name="Comma 17 6 2 2 3 4 3" xfId="15832" xr:uid="{E5D6F84B-E797-4EF9-AC65-E5C2D8E864CF}"/>
    <cellStyle name="Comma 17 6 2 2 3 5" xfId="15833" xr:uid="{3C258B0A-D739-497F-A9BA-96CFDF76A1DA}"/>
    <cellStyle name="Comma 17 6 2 2 3 5 2" xfId="15836" xr:uid="{A3530ADE-7482-4BFD-9B04-E06195799DA6}"/>
    <cellStyle name="Comma 17 6 2 2 3 6" xfId="15840" xr:uid="{EAA64D29-1EF6-41FC-B1D7-DCBE1E7A3F0D}"/>
    <cellStyle name="Comma 17 6 2 2 3 7" xfId="15843" xr:uid="{4BD60128-E337-41B7-BA1A-2E763D0A698B}"/>
    <cellStyle name="Comma 17 6 2 2 4" xfId="15844" xr:uid="{A203D3D2-807C-4781-862A-C16287154852}"/>
    <cellStyle name="Comma 17 6 2 2 4 2" xfId="9331" xr:uid="{5D70DCE3-7B64-42D7-89B9-8E691B66203B}"/>
    <cellStyle name="Comma 17 6 2 2 4 2 2" xfId="15847" xr:uid="{4EE7D6AB-1424-4DDE-9F9A-9B31D6DC90F1}"/>
    <cellStyle name="Comma 17 6 2 2 4 2 2 2" xfId="15848" xr:uid="{68DD3189-17D8-4700-9571-35F951A4C340}"/>
    <cellStyle name="Comma 17 6 2 2 4 2 2 2 2" xfId="15849" xr:uid="{EF88374E-A1F3-40A2-9C69-041BEBE7F9FB}"/>
    <cellStyle name="Comma 17 6 2 2 4 2 2 3" xfId="15850" xr:uid="{FAD9CCA2-39BD-40B8-906D-88E566C55ACC}"/>
    <cellStyle name="Comma 17 6 2 2 4 2 3" xfId="15851" xr:uid="{455021F7-18D2-43AB-B1FC-3E7089FB94AA}"/>
    <cellStyle name="Comma 17 6 2 2 4 2 3 2" xfId="15852" xr:uid="{4F21A4D4-77FD-4978-BD5A-72445B05C32E}"/>
    <cellStyle name="Comma 17 6 2 2 4 2 4" xfId="15854" xr:uid="{9A65852B-7197-4DC5-B640-E93F81FEDC0F}"/>
    <cellStyle name="Comma 17 6 2 2 4 3" xfId="9333" xr:uid="{A744A896-15DF-44F3-8929-1D208BB8DAE0}"/>
    <cellStyle name="Comma 17 6 2 2 4 3 2" xfId="15856" xr:uid="{938E262A-8340-418F-8934-8331A756750A}"/>
    <cellStyle name="Comma 17 6 2 2 4 3 2 2" xfId="15858" xr:uid="{877D5946-B6CC-493F-9665-6DF759B633BA}"/>
    <cellStyle name="Comma 17 6 2 2 4 3 3" xfId="15860" xr:uid="{1C46EE84-EBAB-41C9-8E1B-F5AB465C1890}"/>
    <cellStyle name="Comma 17 6 2 2 4 4" xfId="15861" xr:uid="{D2C14278-8AC8-43A8-9710-779639BCEB71}"/>
    <cellStyle name="Comma 17 6 2 2 4 4 2" xfId="15864" xr:uid="{85BD4762-8306-4243-94B7-40C5D8787EF3}"/>
    <cellStyle name="Comma 17 6 2 2 4 5" xfId="15867" xr:uid="{8CFFF4BB-7CC7-47AB-82EC-894990DF9A98}"/>
    <cellStyle name="Comma 17 6 2 2 5" xfId="15868" xr:uid="{38F66310-8BDF-48BC-BDF1-6B2B145CDCD9}"/>
    <cellStyle name="Comma 17 6 2 2 5 2" xfId="15870" xr:uid="{81B9B3F0-63BE-49B5-B34A-466FB8319A59}"/>
    <cellStyle name="Comma 17 6 2 2 5 2 2" xfId="15871" xr:uid="{1A788436-6D58-4F76-A773-E6B8BD4396CB}"/>
    <cellStyle name="Comma 17 6 2 2 5 2 2 2" xfId="15872" xr:uid="{A926C83B-8025-4812-BF3C-DCE33E97C81D}"/>
    <cellStyle name="Comma 17 6 2 2 5 2 3" xfId="15873" xr:uid="{D8FBE2FB-DDD0-45D8-9131-B1DDD90EC3F0}"/>
    <cellStyle name="Comma 17 6 2 2 5 3" xfId="15875" xr:uid="{3D5FBB4E-4FD5-4177-A2AF-0740CA91EFA1}"/>
    <cellStyle name="Comma 17 6 2 2 5 3 2" xfId="15876" xr:uid="{E04617B1-1F01-4FEC-BE8C-4B4BFA00F4C9}"/>
    <cellStyle name="Comma 17 6 2 2 5 4" xfId="15877" xr:uid="{7DFB13BD-758E-464F-9CCB-E8E27174C74F}"/>
    <cellStyle name="Comma 17 6 2 2 6" xfId="15878" xr:uid="{A7CE1E0D-302A-4DE3-BDB3-FB9F46CD4521}"/>
    <cellStyle name="Comma 17 6 2 2 6 2" xfId="15880" xr:uid="{AE3C355A-C1F0-43EA-85F1-5178FC3B74C0}"/>
    <cellStyle name="Comma 17 6 2 2 6 2 2" xfId="15881" xr:uid="{5759AF02-7906-4E83-BB2C-DAECAF9251C0}"/>
    <cellStyle name="Comma 17 6 2 2 6 3" xfId="15882" xr:uid="{214D3BDF-2BB4-4AD6-A5DD-B6B441509BFE}"/>
    <cellStyle name="Comma 17 6 2 2 7" xfId="15883" xr:uid="{F58A7244-1CFB-4D87-BEC8-DDA1C4B17795}"/>
    <cellStyle name="Comma 17 6 2 2 7 2" xfId="15884" xr:uid="{5248F1B1-6F51-42D7-BCC9-9EFE3869F288}"/>
    <cellStyle name="Comma 17 6 2 2 8" xfId="15885" xr:uid="{680A579C-E239-4997-B061-CE597C4499F2}"/>
    <cellStyle name="Comma 17 6 2 2 9" xfId="15888" xr:uid="{7D13D74A-E5AD-49FA-A08D-7F459BEE8866}"/>
    <cellStyle name="Comma 17 6 2 3" xfId="15889" xr:uid="{D13086C8-F14D-4E5A-A60C-92A4A25AC4FB}"/>
    <cellStyle name="Comma 17 6 2 3 2" xfId="15891" xr:uid="{250986C4-849F-4E5D-80C4-5FE08A1C92D3}"/>
    <cellStyle name="Comma 17 6 2 3 2 2" xfId="9808" xr:uid="{BCC010BA-15AF-4DD0-89C1-EF9E0C8F5209}"/>
    <cellStyle name="Comma 17 6 2 3 2 2 2" xfId="9811" xr:uid="{419F1923-C5AA-45AF-B0BB-86D4430DE2BE}"/>
    <cellStyle name="Comma 17 6 2 3 2 2 2 2" xfId="15895" xr:uid="{C39C7759-EF1C-4D6C-9656-821C2C41EFE9}"/>
    <cellStyle name="Comma 17 6 2 3 2 2 2 2 2" xfId="15896" xr:uid="{6775A2FC-8CF2-4389-A75A-7BC6A10EBB3B}"/>
    <cellStyle name="Comma 17 6 2 3 2 2 2 2 2 2" xfId="13905" xr:uid="{4D8426B0-22CB-422B-88B5-6E7ADCBB19B6}"/>
    <cellStyle name="Comma 17 6 2 3 2 2 2 2 3" xfId="15897" xr:uid="{948C8A73-EB79-4A0A-B0C6-43F470217472}"/>
    <cellStyle name="Comma 17 6 2 3 2 2 2 3" xfId="15900" xr:uid="{8BDF1819-52EE-49EF-83DF-F1DA5E9D1CB1}"/>
    <cellStyle name="Comma 17 6 2 3 2 2 2 3 2" xfId="15902" xr:uid="{6D13A25E-D25C-4032-A2A0-0C6C846B52F5}"/>
    <cellStyle name="Comma 17 6 2 3 2 2 2 4" xfId="15907" xr:uid="{D560625B-7E5E-4627-BD91-F54492E86A8B}"/>
    <cellStyle name="Comma 17 6 2 3 2 2 3" xfId="15909" xr:uid="{33A0D8AB-6A7C-49B9-B360-87F597C066DC}"/>
    <cellStyle name="Comma 17 6 2 3 2 2 3 2" xfId="15912" xr:uid="{24B76472-21C9-4C50-A35C-A1A840CFE04D}"/>
    <cellStyle name="Comma 17 6 2 3 2 2 3 2 2" xfId="15913" xr:uid="{F0810141-55C9-4A91-ABF6-593CB5A212E6}"/>
    <cellStyle name="Comma 17 6 2 3 2 2 3 3" xfId="15013" xr:uid="{956314C1-9675-40D9-8463-E0FDBB1DB3B7}"/>
    <cellStyle name="Comma 17 6 2 3 2 2 4" xfId="15914" xr:uid="{3A988100-CEEE-4001-A193-05F3BCD6428E}"/>
    <cellStyle name="Comma 17 6 2 3 2 2 4 2" xfId="15915" xr:uid="{CBD76FDD-79DA-49CB-AC19-969E28E054EA}"/>
    <cellStyle name="Comma 17 6 2 3 2 2 5" xfId="15917" xr:uid="{A4625E66-A085-458C-9DEB-03AB745EC68A}"/>
    <cellStyle name="Comma 17 6 2 3 2 3" xfId="9814" xr:uid="{A5D3E959-2686-48B1-8151-2FC5AE1468BB}"/>
    <cellStyle name="Comma 17 6 2 3 2 3 2" xfId="15921" xr:uid="{F97858FE-2C84-4B4B-843C-A1D070E4C8DA}"/>
    <cellStyle name="Comma 17 6 2 3 2 3 2 2" xfId="15924" xr:uid="{60A22B69-468D-44F8-ACFF-D4DD3BBEA284}"/>
    <cellStyle name="Comma 17 6 2 3 2 3 2 2 2" xfId="15925" xr:uid="{D4933753-A8CD-4D11-BD9A-3CECF42E0994}"/>
    <cellStyle name="Comma 17 6 2 3 2 3 2 3" xfId="6714" xr:uid="{90682C4D-3368-4279-A8B1-41471476AB72}"/>
    <cellStyle name="Comma 17 6 2 3 2 3 3" xfId="9173" xr:uid="{AFA7F8DD-0DD8-4F07-A584-22EA54978729}"/>
    <cellStyle name="Comma 17 6 2 3 2 3 3 2" xfId="9178" xr:uid="{63F29600-7528-401D-8635-76A9BD29D2F2}"/>
    <cellStyle name="Comma 17 6 2 3 2 3 4" xfId="9181" xr:uid="{CEE8DCFE-7B68-4736-BEFD-6A362078C055}"/>
    <cellStyle name="Comma 17 6 2 3 2 4" xfId="9817" xr:uid="{27F6AC8D-7E8D-4F17-A114-DF11B676F333}"/>
    <cellStyle name="Comma 17 6 2 3 2 4 2" xfId="15926" xr:uid="{19090FFC-79B1-480C-AA01-9437E99734E5}"/>
    <cellStyle name="Comma 17 6 2 3 2 4 2 2" xfId="15927" xr:uid="{4D7CF521-923E-471E-9B55-2AEF376394A6}"/>
    <cellStyle name="Comma 17 6 2 3 2 4 3" xfId="9185" xr:uid="{892B2868-A6FB-4130-9C74-DDA59F069D55}"/>
    <cellStyle name="Comma 17 6 2 3 2 5" xfId="15700" xr:uid="{628F2FB1-0D53-463E-B9A4-37D0D26FA834}"/>
    <cellStyle name="Comma 17 6 2 3 2 5 2" xfId="15928" xr:uid="{04768B84-A1B9-4A14-94F2-A1BC03D3CC90}"/>
    <cellStyle name="Comma 17 6 2 3 2 6" xfId="15929" xr:uid="{BDA2A68A-86E9-4B87-8E74-7001058A3A4B}"/>
    <cellStyle name="Comma 17 6 2 3 2 7" xfId="15931" xr:uid="{A47D3441-6C05-4AE2-BFDB-E6B06D089190}"/>
    <cellStyle name="Comma 17 6 2 3 3" xfId="15933" xr:uid="{A23E0AC5-657D-4F94-B0CD-F221590EEDBC}"/>
    <cellStyle name="Comma 17 6 2 3 3 2" xfId="9862" xr:uid="{D55FC79A-FA6A-43D5-BCF5-E52B99F08E2C}"/>
    <cellStyle name="Comma 17 6 2 3 3 2 2" xfId="15935" xr:uid="{C9B49B40-7475-457A-9873-0D259A2E6392}"/>
    <cellStyle name="Comma 17 6 2 3 3 2 2 2" xfId="15936" xr:uid="{46988901-6253-4EE0-A671-F85E6B5737D4}"/>
    <cellStyle name="Comma 17 6 2 3 3 2 2 2 2" xfId="15938" xr:uid="{0CD33A72-40C0-4540-9F34-B67BB8F83834}"/>
    <cellStyle name="Comma 17 6 2 3 3 2 2 3" xfId="15939" xr:uid="{BF0EA305-658A-456A-921C-0DC79DD6D90D}"/>
    <cellStyle name="Comma 17 6 2 3 3 2 3" xfId="15940" xr:uid="{83818BE9-D640-4DDF-A3A0-10D70ACDA9E1}"/>
    <cellStyle name="Comma 17 6 2 3 3 2 3 2" xfId="15941" xr:uid="{61175E39-9B5D-4A07-87B5-188FEB7A787A}"/>
    <cellStyle name="Comma 17 6 2 3 3 2 4" xfId="15943" xr:uid="{5628EA26-B99F-4900-9FAC-79CFD15A79B2}"/>
    <cellStyle name="Comma 17 6 2 3 3 3" xfId="9865" xr:uid="{B0DA24A4-C92B-4C18-B248-B47D2EA3C2C6}"/>
    <cellStyle name="Comma 17 6 2 3 3 3 2" xfId="15944" xr:uid="{3FC34289-6D94-4CF5-8AB1-EF5088D76652}"/>
    <cellStyle name="Comma 17 6 2 3 3 3 2 2" xfId="15945" xr:uid="{47664291-83DC-4452-8405-3C563F7939B8}"/>
    <cellStyle name="Comma 17 6 2 3 3 3 3" xfId="9191" xr:uid="{F77895F7-0DDB-4419-A007-1A4749BA1BDF}"/>
    <cellStyle name="Comma 17 6 2 3 3 4" xfId="15948" xr:uid="{47A44936-3C19-4409-9279-B1FAD89BAE1B}"/>
    <cellStyle name="Comma 17 6 2 3 3 4 2" xfId="15949" xr:uid="{2151203E-6AE1-4421-98A5-106B3B2DF363}"/>
    <cellStyle name="Comma 17 6 2 3 3 5" xfId="15950" xr:uid="{4F2D1E2E-8686-4283-A982-1F2486D2C0E7}"/>
    <cellStyle name="Comma 17 6 2 3 4" xfId="15952" xr:uid="{088D1854-D62E-492B-B54E-B7BCD3385FD2}"/>
    <cellStyle name="Comma 17 6 2 3 4 2" xfId="15954" xr:uid="{A73A4895-0EEB-4144-A8F1-1E454F72CCE2}"/>
    <cellStyle name="Comma 17 6 2 3 4 2 2" xfId="15955" xr:uid="{196B2D73-48BC-4ABC-8444-BF9E0BE28909}"/>
    <cellStyle name="Comma 17 6 2 3 4 2 2 2" xfId="15956" xr:uid="{CFF2807B-4FF1-48E9-8480-5FF0867C89B4}"/>
    <cellStyle name="Comma 17 6 2 3 4 2 3" xfId="15957" xr:uid="{B789EECF-34C7-4DCE-9476-D03084EC5B47}"/>
    <cellStyle name="Comma 17 6 2 3 4 3" xfId="15958" xr:uid="{B368CAF6-BEDA-4B89-8FF0-4B4FCD977E2D}"/>
    <cellStyle name="Comma 17 6 2 3 4 3 2" xfId="15959" xr:uid="{1EB3FC36-9F66-4DC5-9985-8889B5378641}"/>
    <cellStyle name="Comma 17 6 2 3 4 4" xfId="15960" xr:uid="{48ECF70C-1991-4456-8D95-6E89399ADDCD}"/>
    <cellStyle name="Comma 17 6 2 3 5" xfId="15963" xr:uid="{FAF5B836-9081-484C-8963-14DEA3FBEF48}"/>
    <cellStyle name="Comma 17 6 2 3 5 2" xfId="15965" xr:uid="{120B0FC5-1A2A-4A3D-8297-0BE392603DE2}"/>
    <cellStyle name="Comma 17 6 2 3 5 2 2" xfId="15966" xr:uid="{30527F58-A51C-4912-9291-50FFDDAE6739}"/>
    <cellStyle name="Comma 17 6 2 3 5 3" xfId="15967" xr:uid="{927361F3-BF41-4D97-B2B2-E2D30F951308}"/>
    <cellStyle name="Comma 17 6 2 3 6" xfId="4316" xr:uid="{E903D7F5-0163-4503-937D-063A1D062F17}"/>
    <cellStyle name="Comma 17 6 2 3 6 2" xfId="2200" xr:uid="{B57EC946-7858-459A-BA89-A090FDF82418}"/>
    <cellStyle name="Comma 17 6 2 3 7" xfId="4324" xr:uid="{BD574BA6-188F-4C11-9B90-68AB32EF2774}"/>
    <cellStyle name="Comma 17 6 2 3 8" xfId="4336" xr:uid="{76F7B5B5-D483-4E67-91A3-02EA71406089}"/>
    <cellStyle name="Comma 17 6 2 4" xfId="15968" xr:uid="{86F1849C-2EE7-48B2-B4EB-C6A532C5D954}"/>
    <cellStyle name="Comma 17 6 2 4 2" xfId="15970" xr:uid="{C991F03B-8828-4674-8CE7-5F7F37AC2E83}"/>
    <cellStyle name="Comma 17 6 2 4 2 2" xfId="10102" xr:uid="{C5F6E658-B139-4D31-91F2-0D53F2F81CDA}"/>
    <cellStyle name="Comma 17 6 2 4 2 2 2" xfId="14176" xr:uid="{29B1CFB9-5E85-4D14-ACCA-751BB8343B9E}"/>
    <cellStyle name="Comma 17 6 2 4 2 2 2 2" xfId="14178" xr:uid="{C2151946-0770-4FB1-BCDD-341693EA02D6}"/>
    <cellStyle name="Comma 17 6 2 4 2 2 2 2 2" xfId="15971" xr:uid="{8E7E0706-E003-4671-87EF-CEEB392A8613}"/>
    <cellStyle name="Comma 17 6 2 4 2 2 2 3" xfId="15972" xr:uid="{8843E9C1-36AE-4EB6-A56E-44830210B223}"/>
    <cellStyle name="Comma 17 6 2 4 2 2 3" xfId="14180" xr:uid="{CB305A11-B710-4973-862B-E3A919950908}"/>
    <cellStyle name="Comma 17 6 2 4 2 2 3 2" xfId="15973" xr:uid="{1C1FCED2-6E22-41BA-8208-F0A7377AD806}"/>
    <cellStyle name="Comma 17 6 2 4 2 2 4" xfId="14182" xr:uid="{0FC93784-99CA-4FD2-9724-3DF73CB7F7D8}"/>
    <cellStyle name="Comma 17 6 2 4 2 3" xfId="10105" xr:uid="{E31A4EB4-BEB7-484A-806E-3BD65261BDD0}"/>
    <cellStyle name="Comma 17 6 2 4 2 3 2" xfId="14218" xr:uid="{43D62C94-3772-4690-A07F-EE8A021FBF5B}"/>
    <cellStyle name="Comma 17 6 2 4 2 3 2 2" xfId="15974" xr:uid="{7F6EB31B-6933-4659-AEFD-47CA1CACA1C2}"/>
    <cellStyle name="Comma 17 6 2 4 2 3 3" xfId="9200" xr:uid="{807B261F-15CB-4E90-81B3-A0C06E5E213F}"/>
    <cellStyle name="Comma 17 6 2 4 2 4" xfId="15975" xr:uid="{38526951-3ED2-4B14-B8B4-58B093B9128B}"/>
    <cellStyle name="Comma 17 6 2 4 2 4 2" xfId="15976" xr:uid="{32CBA1DC-1C66-48EF-9D86-1D4A325B2DD8}"/>
    <cellStyle name="Comma 17 6 2 4 2 5" xfId="15977" xr:uid="{6CDCF714-F73B-4087-BBDC-98A307873401}"/>
    <cellStyle name="Comma 17 6 2 4 3" xfId="15979" xr:uid="{1FAA41DC-D2A4-41EA-9FE2-3052E0BAE92F}"/>
    <cellStyle name="Comma 17 6 2 4 3 2" xfId="15981" xr:uid="{078D41AE-A2FA-4153-8971-5A35C0B1577E}"/>
    <cellStyle name="Comma 17 6 2 4 3 2 2" xfId="6621" xr:uid="{DF017DE1-0015-4439-83DC-05AB3BF18E6E}"/>
    <cellStyle name="Comma 17 6 2 4 3 2 2 2" xfId="6626" xr:uid="{29FB265C-2B3B-48A6-BCD7-4AE40AF76050}"/>
    <cellStyle name="Comma 17 6 2 4 3 2 3" xfId="4967" xr:uid="{0F163291-1B21-4D23-A0B3-15586A797CBA}"/>
    <cellStyle name="Comma 17 6 2 4 3 3" xfId="15982" xr:uid="{4738CF53-0E21-4014-991C-4D6E806544D0}"/>
    <cellStyle name="Comma 17 6 2 4 3 3 2" xfId="15984" xr:uid="{8E0598FD-C6AC-4FCA-89DD-4A98A912A431}"/>
    <cellStyle name="Comma 17 6 2 4 3 4" xfId="15985" xr:uid="{B10EE04D-4E78-4F03-BD4A-1C06F637A27F}"/>
    <cellStyle name="Comma 17 6 2 4 4" xfId="15987" xr:uid="{EB1FDAD0-F9F7-4D89-865F-75191988E36F}"/>
    <cellStyle name="Comma 17 6 2 4 4 2" xfId="1630" xr:uid="{D9A234E9-FD0B-4698-8869-EB7BF0015916}"/>
    <cellStyle name="Comma 17 6 2 4 4 2 2" xfId="15989" xr:uid="{8EE4245F-FC84-46E4-A525-B741E8A4757D}"/>
    <cellStyle name="Comma 17 6 2 4 4 3" xfId="15990" xr:uid="{A27FA6D6-592E-49A0-8F32-DED4457A35A3}"/>
    <cellStyle name="Comma 17 6 2 4 5" xfId="15991" xr:uid="{F8AED9B0-6261-4857-A8AF-0601EEC096B6}"/>
    <cellStyle name="Comma 17 6 2 4 5 2" xfId="15992" xr:uid="{D79C3732-C375-431D-8AED-A914602EC13B}"/>
    <cellStyle name="Comma 17 6 2 4 6" xfId="4359" xr:uid="{C2745C69-BB55-4CFB-B694-A90383A00718}"/>
    <cellStyle name="Comma 17 6 2 4 7" xfId="4362" xr:uid="{D86A614E-5E87-4DAD-94B3-3A8B6FF447A9}"/>
    <cellStyle name="Comma 17 6 2 5" xfId="15995" xr:uid="{DF9325A5-AEB5-4113-8B56-4F8A78ED82FC}"/>
    <cellStyle name="Comma 17 6 2 5 2" xfId="15997" xr:uid="{FECF076A-E6D7-4B29-AE28-99E9BA96622C}"/>
    <cellStyle name="Comma 17 6 2 5 2 2" xfId="15999" xr:uid="{BE446606-98FB-46BE-B93C-9245F0525606}"/>
    <cellStyle name="Comma 17 6 2 5 2 2 2" xfId="14489" xr:uid="{0DF8E712-6896-46BF-B585-C3069261FE1A}"/>
    <cellStyle name="Comma 17 6 2 5 2 2 2 2" xfId="16002" xr:uid="{F2238327-4D31-42F0-9AE9-85F3940F2692}"/>
    <cellStyle name="Comma 17 6 2 5 2 2 3" xfId="14493" xr:uid="{AF9C6A83-1555-460E-B7D2-0C3EDA51F588}"/>
    <cellStyle name="Comma 17 6 2 5 2 3" xfId="16003" xr:uid="{6AEDC25A-A6A7-4C39-B6F8-D53C3CB16B38}"/>
    <cellStyle name="Comma 17 6 2 5 2 3 2" xfId="8452" xr:uid="{64AC7E2B-09F4-42F6-B8CA-9F9C9A9C673B}"/>
    <cellStyle name="Comma 17 6 2 5 2 4" xfId="16004" xr:uid="{8CBEE5C4-26FE-41A2-B3B4-ADF29FBC15C2}"/>
    <cellStyle name="Comma 17 6 2 5 3" xfId="16006" xr:uid="{55A4BF2E-E8E1-43B6-9267-6AAC6E09A9A8}"/>
    <cellStyle name="Comma 17 6 2 5 3 2" xfId="16007" xr:uid="{0EB1DC86-3FFD-4D61-A8CA-3C4F85F02CE6}"/>
    <cellStyle name="Comma 17 6 2 5 3 2 2" xfId="16011" xr:uid="{F5BA244F-8559-4CD0-8838-78F9FAD11491}"/>
    <cellStyle name="Comma 17 6 2 5 3 3" xfId="16012" xr:uid="{D438B482-D7C1-4E2C-AED4-6A92FE64F286}"/>
    <cellStyle name="Comma 17 6 2 5 4" xfId="16013" xr:uid="{1232D665-AB55-47D0-BC72-76EE28355D80}"/>
    <cellStyle name="Comma 17 6 2 5 4 2" xfId="16014" xr:uid="{4BF9DC7F-4F00-4202-8FD0-43498E70D62B}"/>
    <cellStyle name="Comma 17 6 2 5 5" xfId="16015" xr:uid="{6803EA2F-64E3-4E81-A2B1-F037F88CF3CE}"/>
    <cellStyle name="Comma 17 6 2 6" xfId="16020" xr:uid="{346611EE-CBC3-47DF-860C-56BA6AA1DA58}"/>
    <cellStyle name="Comma 17 6 2 6 2" xfId="16022" xr:uid="{603897C5-9C9B-4BED-8AB7-BE0692751B33}"/>
    <cellStyle name="Comma 17 6 2 6 2 2" xfId="16023" xr:uid="{970EC9B4-C331-4BCF-95AD-5F64819CDA35}"/>
    <cellStyle name="Comma 17 6 2 6 2 2 2" xfId="16026" xr:uid="{B8697A70-933B-4144-A8CE-03689EDC95CB}"/>
    <cellStyle name="Comma 17 6 2 6 2 3" xfId="16027" xr:uid="{BAAAF0A9-3E42-4434-84FD-9568273CF6C1}"/>
    <cellStyle name="Comma 17 6 2 6 3" xfId="16028" xr:uid="{F086182A-5CA2-445C-AD31-7DBDD2C4FACC}"/>
    <cellStyle name="Comma 17 6 2 6 3 2" xfId="16030" xr:uid="{C05924D1-BB66-4F89-9BAA-D8E4D804DD7B}"/>
    <cellStyle name="Comma 17 6 2 6 4" xfId="16031" xr:uid="{662C0381-1FDA-44E4-9B53-E7366952B1F9}"/>
    <cellStyle name="Comma 17 6 2 7" xfId="16032" xr:uid="{B17C196B-86C5-41C3-9057-330E09824DE6}"/>
    <cellStyle name="Comma 17 6 2 7 2" xfId="16033" xr:uid="{16292A3A-10F9-4150-B209-4F12EF10376B}"/>
    <cellStyle name="Comma 17 6 2 7 2 2" xfId="16034" xr:uid="{6A69433A-E89C-4173-946C-32280EADD69A}"/>
    <cellStyle name="Comma 17 6 2 7 3" xfId="16035" xr:uid="{A68F283C-DD15-439D-A4C2-F826D12455A3}"/>
    <cellStyle name="Comma 17 6 2 8" xfId="16036" xr:uid="{80AB4C31-0D7E-49D2-97CD-CC182E705C7B}"/>
    <cellStyle name="Comma 17 6 2 8 2" xfId="16040" xr:uid="{7B9072A7-2C81-438C-88FA-777CF7A36B65}"/>
    <cellStyle name="Comma 17 6 2 9" xfId="16041" xr:uid="{EDD923E2-480F-41C9-A965-BE043D621F2C}"/>
    <cellStyle name="Comma 17 6 3" xfId="16042" xr:uid="{841CF61D-536A-46CA-A5EE-744EE58D17DD}"/>
    <cellStyle name="Comma 17 6 3 2" xfId="16044" xr:uid="{6BAB0550-035F-47EF-B647-22A982BC23CD}"/>
    <cellStyle name="Comma 17 6 3 2 2" xfId="16045" xr:uid="{493050B5-5DB2-4319-BCCB-4BE7D7EFCEFD}"/>
    <cellStyle name="Comma 17 6 3 2 2 2" xfId="12708" xr:uid="{65107F3E-5E3A-4477-A789-008190CD8D82}"/>
    <cellStyle name="Comma 17 6 3 2 2 2 2" xfId="12710" xr:uid="{576C24F5-1C29-496D-B308-BA639431E501}"/>
    <cellStyle name="Comma 17 6 3 2 2 2 2 2" xfId="12712" xr:uid="{F797A02D-AB6B-4850-87AF-F23B0A57FA97}"/>
    <cellStyle name="Comma 17 6 3 2 2 2 2 2 2" xfId="16046" xr:uid="{96BAF4FE-931C-419D-9544-5DB4B966442D}"/>
    <cellStyle name="Comma 17 6 3 2 2 2 2 2 2 2" xfId="16047" xr:uid="{F51C64AE-399A-4FD2-AD25-DAC40F557DB9}"/>
    <cellStyle name="Comma 17 6 3 2 2 2 2 2 3" xfId="16048" xr:uid="{5C821FE0-11C7-42C6-A166-CCD75142E84F}"/>
    <cellStyle name="Comma 17 6 3 2 2 2 2 3" xfId="10566" xr:uid="{5EE2D3D6-FA0F-41AE-9D26-F55B43818099}"/>
    <cellStyle name="Comma 17 6 3 2 2 2 2 3 2" xfId="10568" xr:uid="{68BC1EA6-57D5-4467-8444-8BE11172485A}"/>
    <cellStyle name="Comma 17 6 3 2 2 2 2 4" xfId="10571" xr:uid="{F63B43F0-F85F-4ECA-AB50-9DD3584F2B1B}"/>
    <cellStyle name="Comma 17 6 3 2 2 2 3" xfId="12714" xr:uid="{405B4411-D308-49AB-91C9-6D888EAC4ECC}"/>
    <cellStyle name="Comma 17 6 3 2 2 2 3 2" xfId="16049" xr:uid="{A3D3B6EF-2258-47E9-93D4-6E7172B62CD2}"/>
    <cellStyle name="Comma 17 6 3 2 2 2 3 2 2" xfId="16050" xr:uid="{9687B024-B8C8-4A3A-BEEB-B15DF2207612}"/>
    <cellStyle name="Comma 17 6 3 2 2 2 3 3" xfId="10577" xr:uid="{40B359F8-C5C7-457F-A79E-2612E6CAE7F0}"/>
    <cellStyle name="Comma 17 6 3 2 2 2 4" xfId="16051" xr:uid="{0DF11ECC-DE1C-494A-9E51-5859CF2ED474}"/>
    <cellStyle name="Comma 17 6 3 2 2 2 4 2" xfId="16052" xr:uid="{3F7625DB-7D5F-472B-83FC-62541A8DB402}"/>
    <cellStyle name="Comma 17 6 3 2 2 2 5" xfId="8351" xr:uid="{A65775B1-8D81-4A11-98A3-B9A7748E2C4E}"/>
    <cellStyle name="Comma 17 6 3 2 2 3" xfId="12718" xr:uid="{2F75BD38-1E2E-4995-A887-E84C135F9B21}"/>
    <cellStyle name="Comma 17 6 3 2 2 3 2" xfId="12722" xr:uid="{CCCF2206-37EC-49DA-991A-540AA165FDB3}"/>
    <cellStyle name="Comma 17 6 3 2 2 3 2 2" xfId="16053" xr:uid="{8528573F-8529-479A-9E05-D4CE06975B6F}"/>
    <cellStyle name="Comma 17 6 3 2 2 3 2 2 2" xfId="16054" xr:uid="{5C7CE8C8-FB7D-4545-BFC9-0CD4220B51CE}"/>
    <cellStyle name="Comma 17 6 3 2 2 3 2 3" xfId="10593" xr:uid="{1503687C-E3CD-4218-872D-515987028970}"/>
    <cellStyle name="Comma 17 6 3 2 2 3 3" xfId="16055" xr:uid="{CD54B2DA-E720-4044-A1D5-2A84BA47C61D}"/>
    <cellStyle name="Comma 17 6 3 2 2 3 3 2" xfId="16056" xr:uid="{D135C2BD-35C3-4B43-BA91-4B80C4F8F7D5}"/>
    <cellStyle name="Comma 17 6 3 2 2 3 4" xfId="16057" xr:uid="{4DB3BA68-079E-4947-B2B2-598B5438F233}"/>
    <cellStyle name="Comma 17 6 3 2 2 4" xfId="12726" xr:uid="{E91B710C-C67B-492F-8BFC-BA3F00CBF410}"/>
    <cellStyle name="Comma 17 6 3 2 2 4 2" xfId="16058" xr:uid="{8E2F4A12-4A38-47DF-A01A-61CA1A9A6BBC}"/>
    <cellStyle name="Comma 17 6 3 2 2 4 2 2" xfId="16059" xr:uid="{9FA63714-4E8B-4DC5-91DD-5B506AF4D0CB}"/>
    <cellStyle name="Comma 17 6 3 2 2 4 3" xfId="16060" xr:uid="{253477C6-6120-4AB0-B83B-D1B2DF651D61}"/>
    <cellStyle name="Comma 17 6 3 2 2 5" xfId="12728" xr:uid="{9209E600-9A45-4E36-BEB0-AE9F2DDE2F21}"/>
    <cellStyle name="Comma 17 6 3 2 2 5 2" xfId="16061" xr:uid="{192A43D2-459D-45FE-A0FF-BC39A1D68FBA}"/>
    <cellStyle name="Comma 17 6 3 2 2 6" xfId="16062" xr:uid="{A35A83D0-877F-4868-AFD6-C3D5DEA9E240}"/>
    <cellStyle name="Comma 17 6 3 2 2 7" xfId="16064" xr:uid="{45F65856-9714-4F0B-809F-D27DCEFA0836}"/>
    <cellStyle name="Comma 17 6 3 2 3" xfId="12533" xr:uid="{9344C056-B1D6-4281-AA4B-392A9AADA67E}"/>
    <cellStyle name="Comma 17 6 3 2 3 2" xfId="12830" xr:uid="{31007679-BD1D-4C32-9BF0-6EE8E85DD08B}"/>
    <cellStyle name="Comma 17 6 3 2 3 2 2" xfId="12832" xr:uid="{E8AA839F-4BEE-453C-952F-E76651FC4BB3}"/>
    <cellStyle name="Comma 17 6 3 2 3 2 2 2" xfId="14118" xr:uid="{2B2BB5DB-D4F5-490B-B2B3-46235B7BAD40}"/>
    <cellStyle name="Comma 17 6 3 2 3 2 2 2 2" xfId="14120" xr:uid="{6E1FDA73-FC72-4960-8371-1A1213248A16}"/>
    <cellStyle name="Comma 17 6 3 2 3 2 2 3" xfId="10723" xr:uid="{F37F66DA-BA7E-4C0F-8CA3-267062CED970}"/>
    <cellStyle name="Comma 17 6 3 2 3 2 3" xfId="16065" xr:uid="{6059F0EF-3215-4B8C-8A49-22B5BFA9E7D6}"/>
    <cellStyle name="Comma 17 6 3 2 3 2 3 2" xfId="14128" xr:uid="{806BA8CF-064A-43FD-89B8-C905C5E40854}"/>
    <cellStyle name="Comma 17 6 3 2 3 2 4" xfId="16068" xr:uid="{9ECAA182-7851-4170-98AE-5D1FA5C386E8}"/>
    <cellStyle name="Comma 17 6 3 2 3 3" xfId="12836" xr:uid="{948A967A-A457-4F0F-9517-20A2B6C66182}"/>
    <cellStyle name="Comma 17 6 3 2 3 3 2" xfId="390" xr:uid="{FEBE62E2-4917-456C-BD52-8274FA569C5E}"/>
    <cellStyle name="Comma 17 6 3 2 3 3 2 2" xfId="14151" xr:uid="{4E30A41B-446B-42E4-BAFA-69075B98D5BB}"/>
    <cellStyle name="Comma 17 6 3 2 3 3 3" xfId="394" xr:uid="{C40E4598-EE7E-4F34-99E0-C57DA50A24B4}"/>
    <cellStyle name="Comma 17 6 3 2 3 4" xfId="12840" xr:uid="{4BFA8E79-9A3B-4E1B-9DDB-62971B31130D}"/>
    <cellStyle name="Comma 17 6 3 2 3 4 2" xfId="16069" xr:uid="{9B087462-2C25-499E-B001-07CBCDAD9FAF}"/>
    <cellStyle name="Comma 17 6 3 2 3 5" xfId="16070" xr:uid="{5E8A68D9-3C9A-4041-9D9C-1E5777CF33C2}"/>
    <cellStyle name="Comma 17 6 3 2 4" xfId="16071" xr:uid="{7BDB5756-1A70-44E3-A800-F4F31E25301F}"/>
    <cellStyle name="Comma 17 6 3 2 4 2" xfId="12889" xr:uid="{A7B4C42C-C43C-4DDF-ABA7-54A783542036}"/>
    <cellStyle name="Comma 17 6 3 2 4 2 2" xfId="16072" xr:uid="{ED923BAA-D654-40FB-B414-9B8B470DB6E5}"/>
    <cellStyle name="Comma 17 6 3 2 4 2 2 2" xfId="14199" xr:uid="{E6E21FD8-DBA4-4EDD-BBB0-021C40771A72}"/>
    <cellStyle name="Comma 17 6 3 2 4 2 3" xfId="16073" xr:uid="{7E025B07-3599-4FD4-9D37-C907AAD93756}"/>
    <cellStyle name="Comma 17 6 3 2 4 3" xfId="12893" xr:uid="{9CA9E86A-DAA9-499B-A448-4BA2EE344EFE}"/>
    <cellStyle name="Comma 17 6 3 2 4 3 2" xfId="16078" xr:uid="{BFE5CD82-42D1-44DA-ACBC-34D165578CDF}"/>
    <cellStyle name="Comma 17 6 3 2 4 4" xfId="16081" xr:uid="{4889C9F1-3CF0-48BC-88B2-3E336EA23614}"/>
    <cellStyle name="Comma 17 6 3 2 5" xfId="16083" xr:uid="{B3D23C74-9AC6-4181-BEC1-CBA2A83287D8}"/>
    <cellStyle name="Comma 17 6 3 2 5 2" xfId="16086" xr:uid="{78287594-36AA-49BD-A451-1965DA32FEB5}"/>
    <cellStyle name="Comma 17 6 3 2 5 2 2" xfId="16088" xr:uid="{81CA3F8F-6CB1-4817-BADC-960BE4B46753}"/>
    <cellStyle name="Comma 17 6 3 2 5 3" xfId="16092" xr:uid="{9DD0C42A-7CEB-4F87-BCA3-8AFCB7408DE8}"/>
    <cellStyle name="Comma 17 6 3 2 6" xfId="16094" xr:uid="{552627BC-A90B-4317-8773-30F2FB0C25A9}"/>
    <cellStyle name="Comma 17 6 3 2 6 2" xfId="16096" xr:uid="{27B18D23-1822-4CE9-A741-1BF3F4D34E10}"/>
    <cellStyle name="Comma 17 6 3 2 7" xfId="16098" xr:uid="{8F90F849-32BB-443F-BD80-637CA351E233}"/>
    <cellStyle name="Comma 17 6 3 2 8" xfId="16099" xr:uid="{73F89380-01C9-4F25-8A31-BC8071B37EE6}"/>
    <cellStyle name="Comma 17 6 3 3" xfId="16100" xr:uid="{DE20DB58-A7B6-45EE-AF3B-026FF068104C}"/>
    <cellStyle name="Comma 17 6 3 3 2" xfId="16102" xr:uid="{779D99FC-98F0-4F03-A231-9063A6D37E2C}"/>
    <cellStyle name="Comma 17 6 3 3 2 2" xfId="13350" xr:uid="{5492F156-1C7E-4784-A01B-0F761F6CD4B7}"/>
    <cellStyle name="Comma 17 6 3 3 2 2 2" xfId="13353" xr:uid="{67B616BD-42FC-4B0A-B71F-57A29722B55C}"/>
    <cellStyle name="Comma 17 6 3 3 2 2 2 2" xfId="16104" xr:uid="{5F6E2E60-F9B5-4D12-86F7-6150660AABF2}"/>
    <cellStyle name="Comma 17 6 3 3 2 2 2 2 2" xfId="16106" xr:uid="{8A9DFB1C-F436-4FE9-BE29-1341AA620DE5}"/>
    <cellStyle name="Comma 17 6 3 3 2 2 2 3" xfId="10914" xr:uid="{BFA700BF-6D4D-4D90-AE85-EEFB68AB528B}"/>
    <cellStyle name="Comma 17 6 3 3 2 2 3" xfId="16107" xr:uid="{2E4A9A49-9F18-4C74-B726-1462BB583C71}"/>
    <cellStyle name="Comma 17 6 3 3 2 2 3 2" xfId="16111" xr:uid="{CFF8782C-957E-4BD6-812F-A4A16A85803D}"/>
    <cellStyle name="Comma 17 6 3 3 2 2 4" xfId="16112" xr:uid="{0D552AF5-1624-458B-921F-BE50A12ADAF4}"/>
    <cellStyle name="Comma 17 6 3 3 2 3" xfId="13356" xr:uid="{5818F908-C3BA-4F0B-A0CF-59BC232C4477}"/>
    <cellStyle name="Comma 17 6 3 3 2 3 2" xfId="16113" xr:uid="{ECB6055A-14DC-4445-9AD3-2390D285E533}"/>
    <cellStyle name="Comma 17 6 3 3 2 3 2 2" xfId="16114" xr:uid="{F79CCE40-5D67-4F75-8BC8-3BC1324A053D}"/>
    <cellStyle name="Comma 17 6 3 3 2 3 3" xfId="9232" xr:uid="{2A9CF2E9-4C63-4757-A5E1-37D16DCF7137}"/>
    <cellStyle name="Comma 17 6 3 3 2 4" xfId="13358" xr:uid="{53EC1324-E595-4180-A66D-D416C376A29B}"/>
    <cellStyle name="Comma 17 6 3 3 2 4 2" xfId="16115" xr:uid="{DAA29962-BEBB-47F4-9717-992CBBA20915}"/>
    <cellStyle name="Comma 17 6 3 3 2 5" xfId="16116" xr:uid="{9986C833-6683-4147-ABA3-909F137340C1}"/>
    <cellStyle name="Comma 17 6 3 3 3" xfId="16118" xr:uid="{47261C03-3395-45E7-9592-C6228AACC5B0}"/>
    <cellStyle name="Comma 17 6 3 3 3 2" xfId="13430" xr:uid="{C9596E28-D385-4836-99E9-E0ADD3AD2D68}"/>
    <cellStyle name="Comma 17 6 3 3 3 2 2" xfId="16120" xr:uid="{0E6F2F4D-FC8C-48C1-A44C-A043AE05C467}"/>
    <cellStyle name="Comma 17 6 3 3 3 2 2 2" xfId="14279" xr:uid="{71E5736D-F304-4D3E-90AE-1D9E0CAFCAB5}"/>
    <cellStyle name="Comma 17 6 3 3 3 2 3" xfId="16122" xr:uid="{A9FF3F41-B2A1-4798-B07A-7311B007D547}"/>
    <cellStyle name="Comma 17 6 3 3 3 3" xfId="13432" xr:uid="{5FFA9B74-7A2F-4615-9DEA-21482024B1A6}"/>
    <cellStyle name="Comma 17 6 3 3 3 3 2" xfId="16125" xr:uid="{7CCEF2DF-36B9-4B34-AB90-B318A20DB06D}"/>
    <cellStyle name="Comma 17 6 3 3 3 4" xfId="16126" xr:uid="{753B4E2F-C2F2-4D89-A718-29FFF4039B10}"/>
    <cellStyle name="Comma 17 6 3 3 4" xfId="16128" xr:uid="{A0432F77-31B6-42AF-B386-D6BC2EED79C8}"/>
    <cellStyle name="Comma 17 6 3 3 4 2" xfId="16129" xr:uid="{7DBA137F-8726-4072-94FC-80CC8B7FE12F}"/>
    <cellStyle name="Comma 17 6 3 3 4 2 2" xfId="16130" xr:uid="{F7EFC4C7-908C-43BF-A452-996106540DC7}"/>
    <cellStyle name="Comma 17 6 3 3 4 3" xfId="16131" xr:uid="{7EE9ECBE-83F8-41A4-B037-B7891F87B1CC}"/>
    <cellStyle name="Comma 17 6 3 3 5" xfId="16133" xr:uid="{F10D3A26-048A-4A41-8EC1-F8E010745C97}"/>
    <cellStyle name="Comma 17 6 3 3 5 2" xfId="16135" xr:uid="{089C1994-456B-42DC-A8FA-587340986AB0}"/>
    <cellStyle name="Comma 17 6 3 3 6" xfId="2353" xr:uid="{74CE50ED-81CE-4511-A9FA-47CB3BDC59D0}"/>
    <cellStyle name="Comma 17 6 3 3 7" xfId="4413" xr:uid="{7D431E72-A880-4077-A6D7-671E022E46F0}"/>
    <cellStyle name="Comma 17 6 3 4" xfId="16136" xr:uid="{0F772117-09D8-4388-B0F7-8FB98E7463B1}"/>
    <cellStyle name="Comma 17 6 3 4 2" xfId="16139" xr:uid="{08318712-F085-42EE-B3A1-22906CF1647A}"/>
    <cellStyle name="Comma 17 6 3 4 2 2" xfId="13761" xr:uid="{0BBF341A-DF38-40A0-B754-C81A46AC4318}"/>
    <cellStyle name="Comma 17 6 3 4 2 2 2" xfId="2985" xr:uid="{1F0CB789-7308-4A57-8B95-05AE8AE14C9C}"/>
    <cellStyle name="Comma 17 6 3 4 2 2 2 2" xfId="7997" xr:uid="{3FFF3CA8-4B88-42C4-944F-A9D3CA2975C0}"/>
    <cellStyle name="Comma 17 6 3 4 2 2 3" xfId="8001" xr:uid="{46CF336D-755F-47E4-93BA-19E36A9CB49B}"/>
    <cellStyle name="Comma 17 6 3 4 2 3" xfId="13763" xr:uid="{3B16AF90-460D-4796-9D39-1414D7969DEC}"/>
    <cellStyle name="Comma 17 6 3 4 2 3 2" xfId="8009" xr:uid="{DAA92C7E-4071-4364-93FA-9C01AE550DF9}"/>
    <cellStyle name="Comma 17 6 3 4 2 4" xfId="16140" xr:uid="{DE3C08C4-E09D-46F0-9F6C-947C72691C2A}"/>
    <cellStyle name="Comma 17 6 3 4 3" xfId="16142" xr:uid="{54546EC8-9065-4ED7-9836-F4B158A0EB5D}"/>
    <cellStyle name="Comma 17 6 3 4 3 2" xfId="16143" xr:uid="{58CC371F-F305-4E3A-B4DC-B052787BD4AB}"/>
    <cellStyle name="Comma 17 6 3 4 3 2 2" xfId="8021" xr:uid="{4A50E2D7-38FC-4C9E-92D8-1EBCC68646FC}"/>
    <cellStyle name="Comma 17 6 3 4 3 3" xfId="16144" xr:uid="{5118FDF7-833B-465E-BAA7-017FA81E901E}"/>
    <cellStyle name="Comma 17 6 3 4 4" xfId="16145" xr:uid="{9804DB33-B698-4DAB-874E-AB6EDA6894B2}"/>
    <cellStyle name="Comma 17 6 3 4 4 2" xfId="16146" xr:uid="{399AB382-505F-49EA-8E68-5EA965617AC4}"/>
    <cellStyle name="Comma 17 6 3 4 5" xfId="16148" xr:uid="{D10D29B5-D75F-4D19-B90A-547CC0F96B72}"/>
    <cellStyle name="Comma 17 6 3 5" xfId="16149" xr:uid="{6EFA7E94-2A33-49E9-A356-61419AEF0715}"/>
    <cellStyle name="Comma 17 6 3 5 2" xfId="16151" xr:uid="{75082D86-FF5B-4C2A-9C55-F529E0E58323}"/>
    <cellStyle name="Comma 17 6 3 5 2 2" xfId="16152" xr:uid="{D1B110A0-77DB-4648-AC9E-C6AAC58FB402}"/>
    <cellStyle name="Comma 17 6 3 5 2 2 2" xfId="7385" xr:uid="{CB10A5EF-4686-4EA8-8537-81E1B4C597FE}"/>
    <cellStyle name="Comma 17 6 3 5 2 3" xfId="16153" xr:uid="{497C0F14-E715-4247-99E7-2C9160B2C36E}"/>
    <cellStyle name="Comma 17 6 3 5 3" xfId="16154" xr:uid="{D3364EF7-4835-4020-8A3D-0094AA8A2FA0}"/>
    <cellStyle name="Comma 17 6 3 5 3 2" xfId="16155" xr:uid="{FB1E7E73-D526-4FE1-9083-83AB8EBCBE1D}"/>
    <cellStyle name="Comma 17 6 3 5 4" xfId="16156" xr:uid="{8AC07A1C-923D-41C0-A14D-8FC402C588B8}"/>
    <cellStyle name="Comma 17 6 3 6" xfId="16157" xr:uid="{9A2C2EB5-2C6E-4D81-9B73-F26F2AAA92B3}"/>
    <cellStyle name="Comma 17 6 3 6 2" xfId="16160" xr:uid="{B5BC0962-9D6B-420D-AF60-E5E70397B942}"/>
    <cellStyle name="Comma 17 6 3 6 2 2" xfId="16165" xr:uid="{AA9E5EA7-D94F-4489-96F8-281186F0E5E9}"/>
    <cellStyle name="Comma 17 6 3 6 3" xfId="16166" xr:uid="{D33929D8-814A-470E-80C4-5278D8D0B9EF}"/>
    <cellStyle name="Comma 17 6 3 7" xfId="16167" xr:uid="{2E525797-FF6C-4C71-AD59-D70748553AF1}"/>
    <cellStyle name="Comma 17 6 3 7 2" xfId="16169" xr:uid="{B74D2548-A801-4DBD-9E98-FED3AEAAA394}"/>
    <cellStyle name="Comma 17 6 3 8" xfId="16171" xr:uid="{EA818BF9-6BCA-406E-A54B-044A581427E4}"/>
    <cellStyle name="Comma 17 6 3 9" xfId="16175" xr:uid="{C646B4DA-39DD-4C0E-A2EE-A45D1F54D923}"/>
    <cellStyle name="Comma 17 6 4" xfId="16176" xr:uid="{3E48A64B-A4E9-4958-83E2-FE299EA8A859}"/>
    <cellStyle name="Comma 17 6 4 2" xfId="16177" xr:uid="{E08D3544-0288-4C5E-8864-60A389485D22}"/>
    <cellStyle name="Comma 17 6 4 2 2" xfId="16178" xr:uid="{DB9E04D5-5CA2-4B28-800A-09B36D1D2BE0}"/>
    <cellStyle name="Comma 17 6 4 2 2 2" xfId="15171" xr:uid="{058EDE87-8F4D-4187-A26C-D02C124B14B1}"/>
    <cellStyle name="Comma 17 6 4 2 2 2 2" xfId="15180" xr:uid="{3B62343B-1D13-476B-933B-1213C03E93DE}"/>
    <cellStyle name="Comma 17 6 4 2 2 2 2 2" xfId="16182" xr:uid="{D5171308-B8D2-4092-9D75-C90E451DD88D}"/>
    <cellStyle name="Comma 17 6 4 2 2 2 2 2 2" xfId="16183" xr:uid="{B37EEE94-C97F-4ADB-87DC-37E9A2DAC8EB}"/>
    <cellStyle name="Comma 17 6 4 2 2 2 2 3" xfId="11296" xr:uid="{1551E6D5-A3A2-4FFC-B87A-4773754CD6D4}"/>
    <cellStyle name="Comma 17 6 4 2 2 2 3" xfId="16188" xr:uid="{D0EE307A-796A-4241-9DB8-915C3E70F369}"/>
    <cellStyle name="Comma 17 6 4 2 2 2 3 2" xfId="16192" xr:uid="{A939F104-A363-4831-856C-06E85CBA966F}"/>
    <cellStyle name="Comma 17 6 4 2 2 2 4" xfId="16196" xr:uid="{0ED92244-55A1-4C0D-956F-A5CC5814F44F}"/>
    <cellStyle name="Comma 17 6 4 2 2 3" xfId="15184" xr:uid="{7E5C13A5-A347-4F17-863C-548F0A10140F}"/>
    <cellStyle name="Comma 17 6 4 2 2 3 2" xfId="16200" xr:uid="{8DCFB21B-11F9-465D-B548-EA0D0A46FB00}"/>
    <cellStyle name="Comma 17 6 4 2 2 3 2 2" xfId="16201" xr:uid="{CC9378AE-BD5B-4AF1-9577-BD96A86195A2}"/>
    <cellStyle name="Comma 17 6 4 2 2 3 3" xfId="16203" xr:uid="{D0C7421D-2837-4848-9E09-1E2632B73AB2}"/>
    <cellStyle name="Comma 17 6 4 2 2 4" xfId="15187" xr:uid="{42CED6C8-24DD-4228-848B-C30C654E632A}"/>
    <cellStyle name="Comma 17 6 4 2 2 4 2" xfId="16206" xr:uid="{8F8C0251-B776-4E89-883B-526C88F8AEBD}"/>
    <cellStyle name="Comma 17 6 4 2 2 5" xfId="16207" xr:uid="{1E45B440-5FF6-483C-85CA-F0F39FEEA55E}"/>
    <cellStyle name="Comma 17 6 4 2 3" xfId="16208" xr:uid="{941CDD1C-1D77-42B6-8462-36139CB3375F}"/>
    <cellStyle name="Comma 17 6 4 2 3 2" xfId="15234" xr:uid="{F5564141-CA48-4BFA-AA70-05917F433308}"/>
    <cellStyle name="Comma 17 6 4 2 3 2 2" xfId="5804" xr:uid="{AEC06E79-21D0-4105-81E1-67B3E7B9BE46}"/>
    <cellStyle name="Comma 17 6 4 2 3 2 2 2" xfId="14452" xr:uid="{39B0610A-AD26-4E9F-BF3E-0857F4F2BC51}"/>
    <cellStyle name="Comma 17 6 4 2 3 2 3" xfId="16209" xr:uid="{591DB491-0EFD-4B94-A4DF-93545F80A6B8}"/>
    <cellStyle name="Comma 17 6 4 2 3 3" xfId="8642" xr:uid="{E31DCCE9-115B-4E6E-92D0-E7681F3DA613}"/>
    <cellStyle name="Comma 17 6 4 2 3 3 2" xfId="8645" xr:uid="{4EC7AE1C-0AE1-4C34-8F01-867CDC29C398}"/>
    <cellStyle name="Comma 17 6 4 2 3 4" xfId="8647" xr:uid="{7475DA14-CC34-4CA5-A33F-D3877166FA1D}"/>
    <cellStyle name="Comma 17 6 4 2 4" xfId="16210" xr:uid="{E50D9816-336D-4611-BBCD-518BDDF03145}"/>
    <cellStyle name="Comma 17 6 4 2 4 2" xfId="16212" xr:uid="{3A8DEB87-5F10-4C1E-9470-F71ED9B835C5}"/>
    <cellStyle name="Comma 17 6 4 2 4 2 2" xfId="16213" xr:uid="{AFE8F04F-5804-4136-B455-60279F52B6DF}"/>
    <cellStyle name="Comma 17 6 4 2 4 3" xfId="8650" xr:uid="{2F9C6F4E-16A8-4EF5-8DD0-5643C16F8E81}"/>
    <cellStyle name="Comma 17 6 4 2 5" xfId="16215" xr:uid="{2CFA1CAE-E4D4-4269-9197-70841D3B317B}"/>
    <cellStyle name="Comma 17 6 4 2 5 2" xfId="16217" xr:uid="{3B4C2B06-0C18-4BD4-90CC-6597E44977EB}"/>
    <cellStyle name="Comma 17 6 4 2 6" xfId="16219" xr:uid="{18D5521F-56FC-4461-B4E3-ADE4489F9A02}"/>
    <cellStyle name="Comma 17 6 4 2 7" xfId="16220" xr:uid="{CEB22265-F81E-47DD-9F80-972AA6D75B34}"/>
    <cellStyle name="Comma 17 6 4 3" xfId="16221" xr:uid="{2F26844A-7E00-452D-B73F-976CADC9F8DE}"/>
    <cellStyle name="Comma 17 6 4 3 2" xfId="16223" xr:uid="{B4E88B4B-480C-45AE-8475-DA942B4BE6A8}"/>
    <cellStyle name="Comma 17 6 4 3 2 2" xfId="15447" xr:uid="{6F616FB3-331A-49B4-9BC2-E6948DE6B8F2}"/>
    <cellStyle name="Comma 17 6 4 3 2 2 2" xfId="16227" xr:uid="{E11D0E13-4E50-47F9-A6C9-529142BB9557}"/>
    <cellStyle name="Comma 17 6 4 3 2 2 2 2" xfId="16228" xr:uid="{50A6A471-09B5-44AB-A863-3882D9EC41B8}"/>
    <cellStyle name="Comma 17 6 4 3 2 2 3" xfId="16232" xr:uid="{7B975C6F-8178-455B-8175-7981C8663A3E}"/>
    <cellStyle name="Comma 17 6 4 3 2 3" xfId="15450" xr:uid="{060226BF-15B0-455C-9A4E-F27E7AF96E32}"/>
    <cellStyle name="Comma 17 6 4 3 2 3 2" xfId="16234" xr:uid="{0679AA01-CD6C-4B9A-8DBC-52A7DD3127FB}"/>
    <cellStyle name="Comma 17 6 4 3 2 4" xfId="16235" xr:uid="{1460FA96-53D2-4506-9349-5863ABF5B43A}"/>
    <cellStyle name="Comma 17 6 4 3 3" xfId="16237" xr:uid="{D75EAE15-9F5F-4E58-95BE-92D0A06AD9EA}"/>
    <cellStyle name="Comma 17 6 4 3 3 2" xfId="16239" xr:uid="{0C86A753-3E6A-4792-A97F-39A0614C4470}"/>
    <cellStyle name="Comma 17 6 4 3 3 2 2" xfId="16240" xr:uid="{A4F2E7F7-C315-4288-98BA-80E37A991FDD}"/>
    <cellStyle name="Comma 17 6 4 3 3 3" xfId="8657" xr:uid="{D0EE724F-E9CB-4E7A-BC54-99F0A207EE1F}"/>
    <cellStyle name="Comma 17 6 4 3 4" xfId="16241" xr:uid="{42968C4E-FC88-4228-896A-55C48F1B710E}"/>
    <cellStyle name="Comma 17 6 4 3 4 2" xfId="16242" xr:uid="{2A407F4C-E800-425B-9259-73BE200F162C}"/>
    <cellStyle name="Comma 17 6 4 3 5" xfId="16244" xr:uid="{5F007604-76A2-48D0-B8EA-1120517DB45C}"/>
    <cellStyle name="Comma 17 6 4 4" xfId="16245" xr:uid="{CC39A6CC-B459-4D28-BFE2-01885E3F0053}"/>
    <cellStyle name="Comma 17 6 4 4 2" xfId="16247" xr:uid="{4610EE7C-5197-4163-B345-7C9192B0A6B0}"/>
    <cellStyle name="Comma 17 6 4 4 2 2" xfId="16249" xr:uid="{886EA7D9-A2DC-422B-A4A3-B420903C8B16}"/>
    <cellStyle name="Comma 17 6 4 4 2 2 2" xfId="8070" xr:uid="{8974392C-2376-409C-8743-E8C85D7B4085}"/>
    <cellStyle name="Comma 17 6 4 4 2 3" xfId="16250" xr:uid="{B31C4C94-E3FA-41A7-9BB8-281011BEC080}"/>
    <cellStyle name="Comma 17 6 4 4 3" xfId="16251" xr:uid="{FB6B6F83-27D8-461C-86F5-E493BE4D4E5F}"/>
    <cellStyle name="Comma 17 6 4 4 3 2" xfId="16252" xr:uid="{AA784E90-24A6-441B-8BD5-8BEB40B92642}"/>
    <cellStyle name="Comma 17 6 4 4 4" xfId="16253" xr:uid="{4067431F-FF83-4F0B-90FD-669C953956B1}"/>
    <cellStyle name="Comma 17 6 4 5" xfId="16254" xr:uid="{C9C7B364-2AEC-4B22-99C3-ED52D29D8506}"/>
    <cellStyle name="Comma 17 6 4 5 2" xfId="6030" xr:uid="{584C147B-69BC-4D5D-8173-6D01A433CFE0}"/>
    <cellStyle name="Comma 17 6 4 5 2 2" xfId="6032" xr:uid="{69681051-9658-4C22-9FBC-252271A7A668}"/>
    <cellStyle name="Comma 17 6 4 5 3" xfId="6034" xr:uid="{B7A4B7E8-6CD2-4054-80CF-7E089FB9F8C8}"/>
    <cellStyle name="Comma 17 6 4 6" xfId="16256" xr:uid="{E76349BC-2979-4A8D-BD97-12939C905F14}"/>
    <cellStyle name="Comma 17 6 4 6 2" xfId="3151" xr:uid="{0259185F-E6B4-4ADC-8669-D371B963877A}"/>
    <cellStyle name="Comma 17 6 4 7" xfId="15643" xr:uid="{BA877A6B-FDFB-4916-9DC0-40CCA66791A9}"/>
    <cellStyle name="Comma 17 6 4 8" xfId="15650" xr:uid="{CF4BFD1B-03AC-437E-8F87-D4D22161F136}"/>
    <cellStyle name="Comma 17 6 5" xfId="16257" xr:uid="{DF3633B1-2E33-4852-865C-4BCDC44937D3}"/>
    <cellStyle name="Comma 17 6 5 2" xfId="16258" xr:uid="{25E3858B-AEEC-41EA-B8FA-D5A49B7176A1}"/>
    <cellStyle name="Comma 17 6 5 2 2" xfId="16259" xr:uid="{BED66DF5-094D-4913-ABA2-94B5C0B2CF6B}"/>
    <cellStyle name="Comma 17 6 5 2 2 2" xfId="16262" xr:uid="{32833612-B089-4B86-95BA-B6B23E3271A8}"/>
    <cellStyle name="Comma 17 6 5 2 2 2 2" xfId="16265" xr:uid="{18CE3E5F-B7CF-4948-A62E-4FCCAFEB0F4F}"/>
    <cellStyle name="Comma 17 6 5 2 2 2 2 2" xfId="16269" xr:uid="{64BE6395-8E59-4BE1-AB1F-65B8EE43D61F}"/>
    <cellStyle name="Comma 17 6 5 2 2 2 3" xfId="16270" xr:uid="{969147A6-7EAB-4D99-BF83-239723EBF2E4}"/>
    <cellStyle name="Comma 17 6 5 2 2 3" xfId="16274" xr:uid="{0B00469F-0F02-4710-B149-F96119E588A6}"/>
    <cellStyle name="Comma 17 6 5 2 2 3 2" xfId="16275" xr:uid="{88CC200A-981C-434B-ABDC-3436242DA6E6}"/>
    <cellStyle name="Comma 17 6 5 2 2 4" xfId="16276" xr:uid="{43C58735-331D-4CA3-8289-7B0E7656522C}"/>
    <cellStyle name="Comma 17 6 5 2 3" xfId="16277" xr:uid="{2497583F-FEC9-4EAC-A71B-7A983FF427BC}"/>
    <cellStyle name="Comma 17 6 5 2 3 2" xfId="16281" xr:uid="{B69EFA2B-91B4-4796-A0B3-8300CF978341}"/>
    <cellStyle name="Comma 17 6 5 2 3 2 2" xfId="16282" xr:uid="{41FB0263-E67B-425E-A7A6-13598603986F}"/>
    <cellStyle name="Comma 17 6 5 2 3 3" xfId="8788" xr:uid="{940BA424-57AE-43D8-9D5C-46912B08F702}"/>
    <cellStyle name="Comma 17 6 5 2 4" xfId="16283" xr:uid="{2069D4E4-F845-47B8-A559-9AA6F4735A84}"/>
    <cellStyle name="Comma 17 6 5 2 4 2" xfId="16284" xr:uid="{E80A5FA9-AFED-49E3-8384-D3A01449CFFB}"/>
    <cellStyle name="Comma 17 6 5 2 5" xfId="16286" xr:uid="{449F982E-F7B1-464A-899D-A811889E9F24}"/>
    <cellStyle name="Comma 17 6 5 3" xfId="16287" xr:uid="{A03DB253-9541-4E22-802E-2EEC46B4F855}"/>
    <cellStyle name="Comma 17 6 5 3 2" xfId="16289" xr:uid="{6A68F408-A7C8-41EA-A9A7-E36F7D7D096B}"/>
    <cellStyle name="Comma 17 6 5 3 2 2" xfId="16291" xr:uid="{958DDA5B-E1C5-420E-9DB8-AC359DFFEEC6}"/>
    <cellStyle name="Comma 17 6 5 3 2 2 2" xfId="16292" xr:uid="{528C18F9-9C83-4539-84CF-D9BA893750EC}"/>
    <cellStyle name="Comma 17 6 5 3 2 3" xfId="16293" xr:uid="{0B7DD279-23AF-47E9-9D80-650C37414AE3}"/>
    <cellStyle name="Comma 17 6 5 3 3" xfId="16294" xr:uid="{83601BDB-1B7E-4506-8D98-3B781C7FAF59}"/>
    <cellStyle name="Comma 17 6 5 3 3 2" xfId="16295" xr:uid="{66FEAB45-3D43-472A-8C44-FF95B8BFCF9D}"/>
    <cellStyle name="Comma 17 6 5 3 4" xfId="16296" xr:uid="{D4DBA851-A7E8-449F-89AD-268270C4AB74}"/>
    <cellStyle name="Comma 17 6 5 4" xfId="16297" xr:uid="{84E362FA-DF09-4B04-9319-A8E788F6101F}"/>
    <cellStyle name="Comma 17 6 5 4 2" xfId="16298" xr:uid="{95932FC6-E203-45C5-ADE1-CC4880E26625}"/>
    <cellStyle name="Comma 17 6 5 4 2 2" xfId="16299" xr:uid="{14BC08A8-DB01-4471-A29D-030303D1C1F3}"/>
    <cellStyle name="Comma 17 6 5 4 3" xfId="16300" xr:uid="{B417A038-DB5A-44C7-8BD3-F86752E47DB6}"/>
    <cellStyle name="Comma 17 6 5 5" xfId="16301" xr:uid="{407144D1-7B42-4D88-B8E4-6C75C4019E61}"/>
    <cellStyle name="Comma 17 6 5 5 2" xfId="6083" xr:uid="{89F8D4C6-5E6C-419F-8E03-11497A4D1D77}"/>
    <cellStyle name="Comma 17 6 5 6" xfId="16302" xr:uid="{E9C4A776-CDEB-4F33-8291-C0C3472A94D8}"/>
    <cellStyle name="Comma 17 6 5 7" xfId="15654" xr:uid="{87C02E88-301C-44EF-9A2C-0511314C111C}"/>
    <cellStyle name="Comma 17 6 6" xfId="16303" xr:uid="{92DD3AF6-F03F-4CBE-8560-CCF98CD55E90}"/>
    <cellStyle name="Comma 17 6 6 2" xfId="4403" xr:uid="{365E30E6-607B-466E-A7C8-06EF32B1EF8F}"/>
    <cellStyle name="Comma 17 6 6 2 2" xfId="2348" xr:uid="{3667F6CC-2864-4B55-AA16-E0DF0B8699B9}"/>
    <cellStyle name="Comma 17 6 6 2 2 2" xfId="2354" xr:uid="{B9711E4A-F188-4332-A1F3-99D2092C9E78}"/>
    <cellStyle name="Comma 17 6 6 2 2 2 2" xfId="4405" xr:uid="{0A933D8F-A8FA-4CF9-8165-879045593632}"/>
    <cellStyle name="Comma 17 6 6 2 2 3" xfId="4414" xr:uid="{35A336BF-FCC9-4CBB-B6C9-9F1A524ACF53}"/>
    <cellStyle name="Comma 17 6 6 2 3" xfId="2362" xr:uid="{8AEE2F38-2F1E-4F10-A1C1-928065C0E667}"/>
    <cellStyle name="Comma 17 6 6 2 3 2" xfId="2368" xr:uid="{BA06B0AF-ED7B-471B-AF1D-750621F8BC8C}"/>
    <cellStyle name="Comma 17 6 6 2 4" xfId="2373" xr:uid="{BF58E2D3-203F-4AE0-BE52-05021AD8309A}"/>
    <cellStyle name="Comma 17 6 6 3" xfId="4424" xr:uid="{45EAFE61-E90C-4391-B369-24304B6EFCBF}"/>
    <cellStyle name="Comma 17 6 6 3 2" xfId="4427" xr:uid="{6A92BA22-642F-4788-A673-B726A695FE7F}"/>
    <cellStyle name="Comma 17 6 6 3 2 2" xfId="4431" xr:uid="{829122FC-90EC-4839-AA9B-DDC8F673E16A}"/>
    <cellStyle name="Comma 17 6 6 3 3" xfId="4441" xr:uid="{BF1AA19A-8AD7-461D-97FC-A0050C343EF0}"/>
    <cellStyle name="Comma 17 6 6 4" xfId="4447" xr:uid="{31412C91-ABC3-40BC-AC71-0BD04F9EE2B8}"/>
    <cellStyle name="Comma 17 6 6 4 2" xfId="4452" xr:uid="{46FD43CA-B3E2-4C7C-AB24-7A418D3D42A9}"/>
    <cellStyle name="Comma 17 6 6 5" xfId="4457" xr:uid="{BCEE827D-033A-4EC9-9C54-505704BC2766}"/>
    <cellStyle name="Comma 17 6 7" xfId="16304" xr:uid="{4128E356-C753-4576-81C7-DD0DA6DD35DE}"/>
    <cellStyle name="Comma 17 6 7 2" xfId="4527" xr:uid="{C8CBBF9C-4AC8-4316-8DE6-5F57FDEECBA1}"/>
    <cellStyle name="Comma 17 6 7 2 2" xfId="4530" xr:uid="{77EF9B13-B06E-40F1-BE67-90A42C3823B9}"/>
    <cellStyle name="Comma 17 6 7 2 2 2" xfId="4533" xr:uid="{E965B54F-A2F1-4EC3-9297-8D71371AA45E}"/>
    <cellStyle name="Comma 17 6 7 2 3" xfId="4540" xr:uid="{D4BDDEAB-D814-47CA-A312-A2C5C2098CD4}"/>
    <cellStyle name="Comma 17 6 7 3" xfId="4553" xr:uid="{F6821F29-540A-4076-9D27-4C13D8259106}"/>
    <cellStyle name="Comma 17 6 7 3 2" xfId="4562" xr:uid="{488FC93E-6483-413F-B031-CAB3416B0396}"/>
    <cellStyle name="Comma 17 6 7 4" xfId="4575" xr:uid="{A321F590-A762-4629-9B6D-7668B82FE265}"/>
    <cellStyle name="Comma 17 6 8" xfId="16305" xr:uid="{04B2B4B8-85D2-451C-B089-D001D424F0D4}"/>
    <cellStyle name="Comma 17 6 8 2" xfId="3800" xr:uid="{AD9B7A4D-B336-4C9B-A194-75A2E775C658}"/>
    <cellStyle name="Comma 17 6 8 2 2" xfId="3806" xr:uid="{051802FB-B043-4D54-A5EB-1D85F65C59BB}"/>
    <cellStyle name="Comma 17 6 8 3" xfId="3826" xr:uid="{ED636B42-3E76-420E-8746-710A4DA231B3}"/>
    <cellStyle name="Comma 17 6 9" xfId="16306" xr:uid="{7F8A96E6-5263-4C43-8697-6BDC2D7873AC}"/>
    <cellStyle name="Comma 17 6 9 2" xfId="1968" xr:uid="{A3D0BFA1-8A2B-442A-8BB8-C91E30E1FE66}"/>
    <cellStyle name="Comma 17 7" xfId="16307" xr:uid="{CA93225A-3589-411A-A755-FAF730F973C1}"/>
    <cellStyle name="Comma 17 7 10" xfId="7842" xr:uid="{8BAA3A05-54E5-4F15-88EF-2658D1D21667}"/>
    <cellStyle name="Comma 17 7 2" xfId="16311" xr:uid="{EC40EFCA-BA44-4771-8EA8-35ACC69F4262}"/>
    <cellStyle name="Comma 17 7 2 2" xfId="327" xr:uid="{743FE4D8-53FF-4FCB-A2A4-AB94F6A65B23}"/>
    <cellStyle name="Comma 17 7 2 2 2" xfId="329" xr:uid="{E0DB44D5-9946-4A1F-80A0-A62EFF6DF07B}"/>
    <cellStyle name="Comma 17 7 2 2 2 2" xfId="16312" xr:uid="{43B401A3-FF72-4778-BFA7-6188C7266915}"/>
    <cellStyle name="Comma 17 7 2 2 2 2 2" xfId="2050" xr:uid="{F680BB9B-E7AC-41AE-9F8C-DCC9C0B75CA2}"/>
    <cellStyle name="Comma 17 7 2 2 2 2 2 2" xfId="2053" xr:uid="{523F05D6-10D5-488A-A3B9-0C1A5C6D8937}"/>
    <cellStyle name="Comma 17 7 2 2 2 2 2 2 2" xfId="16313" xr:uid="{F16FE88D-50AD-4D6C-A038-C89162830B2A}"/>
    <cellStyle name="Comma 17 7 2 2 2 2 2 2 2 2" xfId="16315" xr:uid="{13204183-49B3-4871-8304-BF73D1B8CAA6}"/>
    <cellStyle name="Comma 17 7 2 2 2 2 2 2 3" xfId="16316" xr:uid="{DF96320D-A344-4ACA-AF6C-7A8D30CC5862}"/>
    <cellStyle name="Comma 17 7 2 2 2 2 2 3" xfId="16317" xr:uid="{9010FE1D-BB0B-45F8-A24E-774ED5231CF3}"/>
    <cellStyle name="Comma 17 7 2 2 2 2 2 3 2" xfId="16320" xr:uid="{38955FF2-287C-4648-9FDF-ADCFCEA82B7A}"/>
    <cellStyle name="Comma 17 7 2 2 2 2 2 4" xfId="16321" xr:uid="{4F277BE8-B8B3-43AD-A63F-C9711279D9E2}"/>
    <cellStyle name="Comma 17 7 2 2 2 2 3" xfId="2056" xr:uid="{60368643-82A4-40D1-B7D9-731B63D3C934}"/>
    <cellStyle name="Comma 17 7 2 2 2 2 3 2" xfId="2059" xr:uid="{462D6FBC-1041-4365-BDA3-813B5EE66D3E}"/>
    <cellStyle name="Comma 17 7 2 2 2 2 3 2 2" xfId="16322" xr:uid="{2D00FFAD-A72B-466E-AA43-86D943BD576D}"/>
    <cellStyle name="Comma 17 7 2 2 2 2 3 3" xfId="15349" xr:uid="{5D351A01-689D-4A90-8C3F-68281A595CBA}"/>
    <cellStyle name="Comma 17 7 2 2 2 2 4" xfId="2278" xr:uid="{D6D9789D-F508-4033-81E5-BCA4248101D8}"/>
    <cellStyle name="Comma 17 7 2 2 2 2 4 2" xfId="2281" xr:uid="{EE3FE577-9531-4A87-BE6C-39FCD3D21239}"/>
    <cellStyle name="Comma 17 7 2 2 2 2 5" xfId="2285" xr:uid="{909343E1-1614-440C-87A9-3B17417F6370}"/>
    <cellStyle name="Comma 17 7 2 2 2 3" xfId="16323" xr:uid="{7EC9FBBF-487D-4D0C-AEC3-AF044C911FB9}"/>
    <cellStyle name="Comma 17 7 2 2 2 3 2" xfId="2742" xr:uid="{9E257A33-D432-4EB3-9C4A-1220BED8B120}"/>
    <cellStyle name="Comma 17 7 2 2 2 3 2 2" xfId="1223" xr:uid="{06E95F15-1A6B-4EEF-917D-25AF9EBF4A99}"/>
    <cellStyle name="Comma 17 7 2 2 2 3 2 2 2" xfId="16324" xr:uid="{89A8F8A4-7319-4263-89E3-B85F04838319}"/>
    <cellStyle name="Comma 17 7 2 2 2 3 2 3" xfId="16329" xr:uid="{52B355A1-D93D-4F47-824E-22D6A8C6EEBB}"/>
    <cellStyle name="Comma 17 7 2 2 2 3 3" xfId="2747" xr:uid="{26242A0D-31F2-42EA-873F-AAEA4497EDBE}"/>
    <cellStyle name="Comma 17 7 2 2 2 3 3 2" xfId="2752" xr:uid="{1F2FB466-4FF5-4F50-BDE1-9AB343D0DDBB}"/>
    <cellStyle name="Comma 17 7 2 2 2 3 4" xfId="7260" xr:uid="{2652BBCA-B807-4C88-B3AA-CCD2DD8C96FB}"/>
    <cellStyle name="Comma 17 7 2 2 2 4" xfId="16330" xr:uid="{EB31F42C-9763-4745-ABA9-E23928AC5969}"/>
    <cellStyle name="Comma 17 7 2 2 2 4 2" xfId="16335" xr:uid="{6B04D128-EE81-4EA1-A009-412F8F1C7EFE}"/>
    <cellStyle name="Comma 17 7 2 2 2 4 2 2" xfId="16340" xr:uid="{270310F5-8714-4704-BF2A-8D874A1B5218}"/>
    <cellStyle name="Comma 17 7 2 2 2 4 3" xfId="16345" xr:uid="{47962DB8-62DF-4F61-8760-BA77DFC9F722}"/>
    <cellStyle name="Comma 17 7 2 2 2 5" xfId="16347" xr:uid="{E1FB7633-B0F2-4908-A742-C7EAC776687B}"/>
    <cellStyle name="Comma 17 7 2 2 2 5 2" xfId="16353" xr:uid="{6E5D680B-5A14-400B-ACA3-9927FE67C564}"/>
    <cellStyle name="Comma 17 7 2 2 2 6" xfId="16355" xr:uid="{56EC9940-0143-4969-A23C-C24704CCD943}"/>
    <cellStyle name="Comma 17 7 2 2 2 7" xfId="16357" xr:uid="{FC4E1A4A-685A-4DF1-A91D-E273E1C5338E}"/>
    <cellStyle name="Comma 17 7 2 2 3" xfId="16358" xr:uid="{AA4512EE-0B37-40CF-A9A2-081B11062460}"/>
    <cellStyle name="Comma 17 7 2 2 3 2" xfId="16359" xr:uid="{9C974211-6719-4B2D-A80C-99E5FD9E2277}"/>
    <cellStyle name="Comma 17 7 2 2 3 2 2" xfId="16360" xr:uid="{FC710956-B838-4149-8F40-8D58E6534710}"/>
    <cellStyle name="Comma 17 7 2 2 3 2 2 2" xfId="16361" xr:uid="{94D41F93-3A0B-4E45-9C4C-23A5CF510C0C}"/>
    <cellStyle name="Comma 17 7 2 2 3 2 2 2 2" xfId="16363" xr:uid="{0A438962-BEDD-46DE-A704-358ADC50F64E}"/>
    <cellStyle name="Comma 17 7 2 2 3 2 2 3" xfId="16364" xr:uid="{0F949FFA-73D9-4DB1-A720-473F3B056132}"/>
    <cellStyle name="Comma 17 7 2 2 3 2 3" xfId="16365" xr:uid="{5E094440-0203-40FB-AE64-3B5E4EE628A2}"/>
    <cellStyle name="Comma 17 7 2 2 3 2 3 2" xfId="16366" xr:uid="{9A47AB7D-A8CB-4BAD-AAE2-E6B9BDC18186}"/>
    <cellStyle name="Comma 17 7 2 2 3 2 4" xfId="16368" xr:uid="{DAA5C4C3-F6E5-499E-A0DE-B92A8185B465}"/>
    <cellStyle name="Comma 17 7 2 2 3 3" xfId="16369" xr:uid="{5973591F-04EC-4429-B125-619BBE40FF04}"/>
    <cellStyle name="Comma 17 7 2 2 3 3 2" xfId="16372" xr:uid="{BECE4BCE-6A44-4E22-8012-CE1368070F8A}"/>
    <cellStyle name="Comma 17 7 2 2 3 3 2 2" xfId="16373" xr:uid="{9A5E2695-31C3-4884-A5BC-6E0830C3A879}"/>
    <cellStyle name="Comma 17 7 2 2 3 3 3" xfId="16376" xr:uid="{00B1C072-8579-4AC9-80AA-F1E0D8B85A93}"/>
    <cellStyle name="Comma 17 7 2 2 3 4" xfId="16377" xr:uid="{3B3634F3-BBE9-4757-B72F-0839E62BEEE9}"/>
    <cellStyle name="Comma 17 7 2 2 3 4 2" xfId="16380" xr:uid="{A78E5AFD-5A32-4CF3-8068-73DF753D8E4D}"/>
    <cellStyle name="Comma 17 7 2 2 3 5" xfId="16382" xr:uid="{A7DFFCBE-5180-46D3-9C1F-E68D64CC302F}"/>
    <cellStyle name="Comma 17 7 2 2 4" xfId="16383" xr:uid="{5EB9FDC8-86E5-4379-9871-850EBF6A9284}"/>
    <cellStyle name="Comma 17 7 2 2 4 2" xfId="16384" xr:uid="{5719F2B6-3D63-4CD0-97A6-49EFBDD5E1CE}"/>
    <cellStyle name="Comma 17 7 2 2 4 2 2" xfId="16385" xr:uid="{D728E183-3227-414D-9FFB-280F17C27FDB}"/>
    <cellStyle name="Comma 17 7 2 2 4 2 2 2" xfId="16387" xr:uid="{C7707C6B-ACAE-44B2-A236-0EB82ED423DB}"/>
    <cellStyle name="Comma 17 7 2 2 4 2 3" xfId="16388" xr:uid="{616F0545-9A3B-4218-8214-249E13730E54}"/>
    <cellStyle name="Comma 17 7 2 2 4 3" xfId="16389" xr:uid="{879AFE62-D7A9-482A-906F-B355844FDE2E}"/>
    <cellStyle name="Comma 17 7 2 2 4 3 2" xfId="16390" xr:uid="{6626E3DB-399D-4439-9B6D-C6EFF7274897}"/>
    <cellStyle name="Comma 17 7 2 2 4 4" xfId="16391" xr:uid="{DAEE94D6-D69D-4DED-9AE8-3C3F49D1C083}"/>
    <cellStyle name="Comma 17 7 2 2 5" xfId="16392" xr:uid="{2B09A056-8965-41DB-9423-8164C360DBD7}"/>
    <cellStyle name="Comma 17 7 2 2 5 2" xfId="16394" xr:uid="{675ED101-0F0D-4862-A6C2-A91D2421E51F}"/>
    <cellStyle name="Comma 17 7 2 2 5 2 2" xfId="16395" xr:uid="{44BB1E7D-F4F2-4E51-A979-DB9177CD26F6}"/>
    <cellStyle name="Comma 17 7 2 2 5 3" xfId="16396" xr:uid="{D1CCF0B8-FEA1-4F31-A988-FEBF2B32E1BC}"/>
    <cellStyle name="Comma 17 7 2 2 6" xfId="16397" xr:uid="{91E28302-D89A-426E-9E8B-3D496FCA4BD3}"/>
    <cellStyle name="Comma 17 7 2 2 6 2" xfId="16398" xr:uid="{1F4A17D7-9FDD-4372-9F5E-ECC8CF8D8DAD}"/>
    <cellStyle name="Comma 17 7 2 2 7" xfId="16401" xr:uid="{729FE6B3-622D-4027-887F-5FEC03AE8718}"/>
    <cellStyle name="Comma 17 7 2 2 8" xfId="16404" xr:uid="{C39A5449-C1E5-4456-82CF-4FEE33B59AD8}"/>
    <cellStyle name="Comma 17 7 2 3" xfId="337" xr:uid="{1A81F366-B2EA-4BF1-A704-2580E7E9FC31}"/>
    <cellStyle name="Comma 17 7 2 3 2" xfId="7517" xr:uid="{1D10ED45-58AA-4393-A66D-35B8778BA426}"/>
    <cellStyle name="Comma 17 7 2 3 2 2" xfId="16405" xr:uid="{5C45363C-90B5-4D44-BFB5-387700330215}"/>
    <cellStyle name="Comma 17 7 2 3 2 2 2" xfId="16406" xr:uid="{763E663C-EAA1-4EA2-8AC9-32B35500DF30}"/>
    <cellStyle name="Comma 17 7 2 3 2 2 2 2" xfId="16410" xr:uid="{D9804E71-65CD-4BED-95F8-B0EFDF3171B2}"/>
    <cellStyle name="Comma 17 7 2 3 2 2 2 2 2" xfId="16411" xr:uid="{A70D879E-2896-4337-B141-0374FAD18ABF}"/>
    <cellStyle name="Comma 17 7 2 3 2 2 2 3" xfId="14133" xr:uid="{EB69F635-F5CB-41C6-B7C0-9AD57B1F11EB}"/>
    <cellStyle name="Comma 17 7 2 3 2 2 3" xfId="16412" xr:uid="{0F762281-E636-4D51-B0DC-A7A8FF2CA113}"/>
    <cellStyle name="Comma 17 7 2 3 2 2 3 2" xfId="16414" xr:uid="{01B99B53-6215-47E9-B8F5-8CC1BD17FA11}"/>
    <cellStyle name="Comma 17 7 2 3 2 2 4" xfId="16415" xr:uid="{14506534-ADB2-416C-A334-2C442FEA5114}"/>
    <cellStyle name="Comma 17 7 2 3 2 3" xfId="16416" xr:uid="{09A04C2E-2A44-49D8-A57C-5C84135334C9}"/>
    <cellStyle name="Comma 17 7 2 3 2 3 2" xfId="16417" xr:uid="{5CAA635F-DB84-4480-8644-14A570D0711D}"/>
    <cellStyle name="Comma 17 7 2 3 2 3 2 2" xfId="16418" xr:uid="{52DDA8A1-ACF1-4C2E-B7A1-700D1C206F92}"/>
    <cellStyle name="Comma 17 7 2 3 2 3 3" xfId="9294" xr:uid="{335247A6-DDCF-4FE4-8261-6992B8B09931}"/>
    <cellStyle name="Comma 17 7 2 3 2 4" xfId="16421" xr:uid="{B02F88EF-7903-4965-9B12-AD4245EA39D2}"/>
    <cellStyle name="Comma 17 7 2 3 2 4 2" xfId="16424" xr:uid="{A9316A89-0679-45A5-B386-52ABD972C789}"/>
    <cellStyle name="Comma 17 7 2 3 2 5" xfId="16428" xr:uid="{DB66924C-ED81-40D9-8662-B1D0A06C763C}"/>
    <cellStyle name="Comma 17 7 2 3 3" xfId="16429" xr:uid="{B62AEC0C-373F-4F75-8FFF-27180DB033F0}"/>
    <cellStyle name="Comma 17 7 2 3 3 2" xfId="16430" xr:uid="{9CBB4940-CE3A-429E-B129-5ACC54DDEE4E}"/>
    <cellStyle name="Comma 17 7 2 3 3 2 2" xfId="16431" xr:uid="{84E97BE0-2959-47A4-A6F4-33F14C8F1EAC}"/>
    <cellStyle name="Comma 17 7 2 3 3 2 2 2" xfId="16433" xr:uid="{758F13AB-DEDE-4597-AA09-4606F1F8DDC1}"/>
    <cellStyle name="Comma 17 7 2 3 3 2 3" xfId="16434" xr:uid="{F8873759-2668-456B-B60C-4CEEDB45FA3B}"/>
    <cellStyle name="Comma 17 7 2 3 3 3" xfId="16435" xr:uid="{4AB056D6-BC9B-4DC4-AD38-B16E2EE29378}"/>
    <cellStyle name="Comma 17 7 2 3 3 3 2" xfId="16436" xr:uid="{7FEC00F1-AB46-495F-A1D9-B13F424C7E1F}"/>
    <cellStyle name="Comma 17 7 2 3 3 4" xfId="16439" xr:uid="{EB2E9181-0C12-40CA-962B-F640EB33F6CD}"/>
    <cellStyle name="Comma 17 7 2 3 4" xfId="16440" xr:uid="{6F96E2F1-58E8-4EB4-820B-1EE1CD951E22}"/>
    <cellStyle name="Comma 17 7 2 3 4 2" xfId="16441" xr:uid="{87755C90-4550-4456-8F11-9E2940DA9339}"/>
    <cellStyle name="Comma 17 7 2 3 4 2 2" xfId="16442" xr:uid="{E90C7AC0-35F8-4BE1-9938-DCF2CA743C48}"/>
    <cellStyle name="Comma 17 7 2 3 4 3" xfId="16443" xr:uid="{5B6FCF37-EC27-4B9F-8359-091CFE6A52FB}"/>
    <cellStyle name="Comma 17 7 2 3 5" xfId="16445" xr:uid="{D15BCF8B-EC8F-4873-B491-4F089D397F9D}"/>
    <cellStyle name="Comma 17 7 2 3 5 2" xfId="16447" xr:uid="{BBD0473A-AB3D-4AE6-A484-D9790AB2EC62}"/>
    <cellStyle name="Comma 17 7 2 3 6" xfId="4472" xr:uid="{F8B9F5DB-AD38-4C10-A98C-D1AD39930CBB}"/>
    <cellStyle name="Comma 17 7 2 3 7" xfId="4482" xr:uid="{F53F5BBA-D80F-4EF5-BE4F-78A8C7FC962C}"/>
    <cellStyle name="Comma 17 7 2 4" xfId="16448" xr:uid="{4EC7423D-6E7C-4C91-9F27-C9B697706BAE}"/>
    <cellStyle name="Comma 17 7 2 4 2" xfId="16449" xr:uid="{FD48A71F-F5ED-4D77-8786-0616E4AF12B4}"/>
    <cellStyle name="Comma 17 7 2 4 2 2" xfId="16450" xr:uid="{E0C29C10-C8E5-4CA8-B84B-7FB49B70E5C7}"/>
    <cellStyle name="Comma 17 7 2 4 2 2 2" xfId="16451" xr:uid="{93E7AEEB-6583-4A0D-91BE-78401C66D9DA}"/>
    <cellStyle name="Comma 17 7 2 4 2 2 2 2" xfId="16454" xr:uid="{2A1DFB2C-25B4-4A7F-B28E-C5E43586102B}"/>
    <cellStyle name="Comma 17 7 2 4 2 2 3" xfId="16461" xr:uid="{D254E9D7-8849-4BE6-B44A-36C2FABAF1DF}"/>
    <cellStyle name="Comma 17 7 2 4 2 3" xfId="16466" xr:uid="{9194DE04-4C34-4A09-983D-249EF2335768}"/>
    <cellStyle name="Comma 17 7 2 4 2 3 2" xfId="16469" xr:uid="{E8E69DD6-6B4A-498F-A21D-B8C6F94C4CE2}"/>
    <cellStyle name="Comma 17 7 2 4 2 4" xfId="16472" xr:uid="{E7BB79B8-14B5-4791-B7FD-2AC4C1B4AC32}"/>
    <cellStyle name="Comma 17 7 2 4 3" xfId="16473" xr:uid="{289C06CA-A7CE-4CDA-B504-95E79F90EC44}"/>
    <cellStyle name="Comma 17 7 2 4 3 2" xfId="16474" xr:uid="{0394EFCC-5EE4-4564-9ABB-DDD5C879AAA4}"/>
    <cellStyle name="Comma 17 7 2 4 3 2 2" xfId="16477" xr:uid="{7C7D8D8A-7B8D-45A2-B947-6246DB1136D0}"/>
    <cellStyle name="Comma 17 7 2 4 3 3" xfId="16479" xr:uid="{6F603364-8B08-4959-9CC3-695A88BB5026}"/>
    <cellStyle name="Comma 17 7 2 4 4" xfId="16480" xr:uid="{3A228915-5B83-4C55-A113-2DFF80737EDF}"/>
    <cellStyle name="Comma 17 7 2 4 4 2" xfId="16481" xr:uid="{9C7D9264-45D6-4A59-A6B1-0A86C07C824B}"/>
    <cellStyle name="Comma 17 7 2 4 5" xfId="16482" xr:uid="{A67D3A97-EE6C-4B32-8CB1-7DAC84ED15F3}"/>
    <cellStyle name="Comma 17 7 2 5" xfId="16485" xr:uid="{353A5522-216E-4507-831A-3BCA9EE0475B}"/>
    <cellStyle name="Comma 17 7 2 5 2" xfId="16486" xr:uid="{AC3C88A6-2D6E-4F9C-870F-C0C414B9162D}"/>
    <cellStyle name="Comma 17 7 2 5 2 2" xfId="16487" xr:uid="{D8D2C13F-6C6E-4692-A8F8-28794ED3416B}"/>
    <cellStyle name="Comma 17 7 2 5 2 2 2" xfId="16488" xr:uid="{4F3DF700-1668-4DD1-94EE-A950A0B66A60}"/>
    <cellStyle name="Comma 17 7 2 5 2 3" xfId="16491" xr:uid="{3B0C2878-3CEC-4432-AC7D-2F80FF1C51E3}"/>
    <cellStyle name="Comma 17 7 2 5 3" xfId="16492" xr:uid="{3D386FC8-11F6-4AAB-833D-A0654D3CB374}"/>
    <cellStyle name="Comma 17 7 2 5 3 2" xfId="16493" xr:uid="{03F10776-EAFA-48E7-9AF5-051A32485E44}"/>
    <cellStyle name="Comma 17 7 2 5 4" xfId="16494" xr:uid="{8FAD82BD-A214-4DFE-AD82-09F1C67FAFC3}"/>
    <cellStyle name="Comma 17 7 2 6" xfId="16499" xr:uid="{0C488AED-50F3-4508-9E48-319991993901}"/>
    <cellStyle name="Comma 17 7 2 6 2" xfId="16500" xr:uid="{2187BADA-7296-4F9B-935F-9561FED1FF2C}"/>
    <cellStyle name="Comma 17 7 2 6 2 2" xfId="16502" xr:uid="{1BD8D4B9-6B5F-403F-AF55-0CF8E9F09AFF}"/>
    <cellStyle name="Comma 17 7 2 6 3" xfId="16503" xr:uid="{7924616F-D06E-4641-9C37-B92F8EFF8E05}"/>
    <cellStyle name="Comma 17 7 2 7" xfId="16505" xr:uid="{A97BDB6C-A870-4C9E-9729-820130A9B826}"/>
    <cellStyle name="Comma 17 7 2 7 2" xfId="16506" xr:uid="{E6A94A72-C059-43E5-883C-34B9287A8D44}"/>
    <cellStyle name="Comma 17 7 2 8" xfId="16507" xr:uid="{0D3FEE4C-4225-431B-A1F2-27A9AAF51382}"/>
    <cellStyle name="Comma 17 7 2 9" xfId="16508" xr:uid="{C9635AE8-04AC-474D-9BB9-794245B8AC0D}"/>
    <cellStyle name="Comma 17 7 3" xfId="16509" xr:uid="{DB5049A7-4EFB-4899-B02C-D5D78A094498}"/>
    <cellStyle name="Comma 17 7 3 2" xfId="475" xr:uid="{5FB966B7-B4B7-40E4-B777-27B88080EDC8}"/>
    <cellStyle name="Comma 17 7 3 2 2" xfId="479" xr:uid="{838F0AA6-6960-4F3B-9955-FC70A858DC98}"/>
    <cellStyle name="Comma 17 7 3 2 2 2" xfId="16510" xr:uid="{2C01F9F8-F41D-4D0E-9C1C-F3505B4DBDF6}"/>
    <cellStyle name="Comma 17 7 3 2 2 2 2" xfId="16513" xr:uid="{B8FC282D-299F-4C4F-80C1-0EC3077090C1}"/>
    <cellStyle name="Comma 17 7 3 2 2 2 2 2" xfId="16515" xr:uid="{52951386-DE3A-4F4F-8FA2-F8B188ED0DB1}"/>
    <cellStyle name="Comma 17 7 3 2 2 2 2 2 2" xfId="158" xr:uid="{6EEAE556-69C3-4DD2-9105-4E6E79422165}"/>
    <cellStyle name="Comma 17 7 3 2 2 2 2 3" xfId="12230" xr:uid="{BD71BD1C-D706-4B34-82F5-46E3E248F9A0}"/>
    <cellStyle name="Comma 17 7 3 2 2 2 3" xfId="16516" xr:uid="{158590E6-E29E-4877-A4E9-8DC6D633D549}"/>
    <cellStyle name="Comma 17 7 3 2 2 2 3 2" xfId="16518" xr:uid="{299AC021-0F59-4948-B0F0-A281FC50B7B8}"/>
    <cellStyle name="Comma 17 7 3 2 2 2 4" xfId="16519" xr:uid="{FC9CA9E6-C445-45CB-98D7-43563AE431C8}"/>
    <cellStyle name="Comma 17 7 3 2 2 3" xfId="16520" xr:uid="{D37AFCEA-5B4B-46F7-8491-51C9DBA5A4B6}"/>
    <cellStyle name="Comma 17 7 3 2 2 3 2" xfId="16522" xr:uid="{6EEDDADE-D426-4CC2-8455-F6159E6DE5CB}"/>
    <cellStyle name="Comma 17 7 3 2 2 3 2 2" xfId="16524" xr:uid="{41F35223-6B1A-468F-A10E-2052B389FE86}"/>
    <cellStyle name="Comma 17 7 3 2 2 3 3" xfId="16526" xr:uid="{68DF8106-E0B7-412A-8E95-87C1E40035AE}"/>
    <cellStyle name="Comma 17 7 3 2 2 4" xfId="16527" xr:uid="{4F21BB09-BDA7-4DA3-9C48-3ECF1C743A1E}"/>
    <cellStyle name="Comma 17 7 3 2 2 4 2" xfId="16530" xr:uid="{F4831000-5BC5-4851-810E-826180D2A41E}"/>
    <cellStyle name="Comma 17 7 3 2 2 5" xfId="16532" xr:uid="{EF588215-1111-481D-B0BF-DEDD65DCC14D}"/>
    <cellStyle name="Comma 17 7 3 2 3" xfId="16533" xr:uid="{A2044699-BB79-4BAB-873E-90E2B903767E}"/>
    <cellStyle name="Comma 17 7 3 2 3 2" xfId="16534" xr:uid="{2DD61B5C-EAB8-4442-A2D1-13F4A914C293}"/>
    <cellStyle name="Comma 17 7 3 2 3 2 2" xfId="16535" xr:uid="{56E04BB3-CB17-4200-BF8E-0928BFD64BCC}"/>
    <cellStyle name="Comma 17 7 3 2 3 2 2 2" xfId="14897" xr:uid="{D3A5BCFA-A138-4C17-998C-31A837B83384}"/>
    <cellStyle name="Comma 17 7 3 2 3 2 3" xfId="16536" xr:uid="{C4C034D3-A51B-4562-988D-1B72DD660096}"/>
    <cellStyle name="Comma 17 7 3 2 3 3" xfId="16537" xr:uid="{5EA8F9BF-87DE-47C6-B52B-A90961F0A547}"/>
    <cellStyle name="Comma 17 7 3 2 3 3 2" xfId="16539" xr:uid="{53DE6860-0DDA-495B-89E2-1F0595023124}"/>
    <cellStyle name="Comma 17 7 3 2 3 4" xfId="16540" xr:uid="{003BADB9-AA7C-44E0-8045-7D3A5127E1EF}"/>
    <cellStyle name="Comma 17 7 3 2 4" xfId="16541" xr:uid="{790B1E78-374A-40E4-A400-BD60416E1F60}"/>
    <cellStyle name="Comma 17 7 3 2 4 2" xfId="16545" xr:uid="{54D64F92-CDD5-4E31-A3A4-3C072844DCF2}"/>
    <cellStyle name="Comma 17 7 3 2 4 2 2" xfId="16546" xr:uid="{288C5FCD-FBB8-4D68-87B1-5952331EE8A3}"/>
    <cellStyle name="Comma 17 7 3 2 4 3" xfId="16547" xr:uid="{84297A78-60B0-473F-B3C8-7C8C4DD3B5A2}"/>
    <cellStyle name="Comma 17 7 3 2 5" xfId="16549" xr:uid="{1C82BD5D-B84E-4C1E-87EB-3817C2F692FF}"/>
    <cellStyle name="Comma 17 7 3 2 5 2" xfId="16551" xr:uid="{8C2BB8F6-E8DB-458D-BA6D-B8FB297A5D5E}"/>
    <cellStyle name="Comma 17 7 3 2 6" xfId="16553" xr:uid="{B5A0A04E-280A-4F70-AC3A-11E17AA72A26}"/>
    <cellStyle name="Comma 17 7 3 2 7" xfId="16556" xr:uid="{BB6EF183-F786-47C6-8843-230EFE4FA471}"/>
    <cellStyle name="Comma 17 7 3 3" xfId="487" xr:uid="{A10007B9-979B-441E-929A-B463D63F3A2C}"/>
    <cellStyle name="Comma 17 7 3 3 2" xfId="16557" xr:uid="{320DDB1B-D77A-4DE3-909B-10A02DA0AD31}"/>
    <cellStyle name="Comma 17 7 3 3 2 2" xfId="16558" xr:uid="{C2BF4FBA-A391-4021-A4DA-976F73F187A8}"/>
    <cellStyle name="Comma 17 7 3 3 2 2 2" xfId="16560" xr:uid="{901D0A6B-3BDA-4A9C-96D4-6E1EBAC02540}"/>
    <cellStyle name="Comma 17 7 3 3 2 2 2 2" xfId="16561" xr:uid="{AD9D9F88-3461-44B8-8406-56BED5C0B07F}"/>
    <cellStyle name="Comma 17 7 3 3 2 2 3" xfId="16562" xr:uid="{B20CABB4-22C0-4750-A3B7-F1C62E98341F}"/>
    <cellStyle name="Comma 17 7 3 3 2 3" xfId="16563" xr:uid="{747B7DEE-82DB-4863-9EEA-CFE631D2D355}"/>
    <cellStyle name="Comma 17 7 3 3 2 3 2" xfId="16564" xr:uid="{4670DA7C-09C1-4119-9479-14E5CEE29F97}"/>
    <cellStyle name="Comma 17 7 3 3 2 4" xfId="16565" xr:uid="{348814B3-9D4D-4859-A2D7-01EC16AB20A4}"/>
    <cellStyle name="Comma 17 7 3 3 3" xfId="16566" xr:uid="{FFC083AE-2A2E-41C6-8831-8F9008F9E60E}"/>
    <cellStyle name="Comma 17 7 3 3 3 2" xfId="16567" xr:uid="{9CBE4FEE-AF97-4944-9955-7098E0362EB4}"/>
    <cellStyle name="Comma 17 7 3 3 3 2 2" xfId="16568" xr:uid="{6A1F4A6D-0974-454D-B335-550FC69B71FF}"/>
    <cellStyle name="Comma 17 7 3 3 3 3" xfId="16569" xr:uid="{2DCD2F25-8A37-45E1-8608-81BF29660572}"/>
    <cellStyle name="Comma 17 7 3 3 4" xfId="16570" xr:uid="{633E4AD5-0723-40F0-81D2-4321C3C1193B}"/>
    <cellStyle name="Comma 17 7 3 3 4 2" xfId="16573" xr:uid="{4B6E4D74-022A-4398-8BFB-B8D34F4ECF28}"/>
    <cellStyle name="Comma 17 7 3 3 5" xfId="16575" xr:uid="{C34FCB93-FD7E-417F-95BB-35AB70F7DDFA}"/>
    <cellStyle name="Comma 17 7 3 4" xfId="16576" xr:uid="{DFE50A06-0004-4DBC-A411-19D1BC294837}"/>
    <cellStyle name="Comma 17 7 3 4 2" xfId="16577" xr:uid="{4346A062-AE40-4C19-AD89-20E3EE81BDA7}"/>
    <cellStyle name="Comma 17 7 3 4 2 2" xfId="16578" xr:uid="{3B1DECCC-B1C0-41A5-BE40-FCE48A73904E}"/>
    <cellStyle name="Comma 17 7 3 4 2 2 2" xfId="4400" xr:uid="{E6198364-B854-4E99-8124-F667486402A9}"/>
    <cellStyle name="Comma 17 7 3 4 2 3" xfId="16580" xr:uid="{94DD8BA4-4E07-4D87-9A39-83320CD7DA51}"/>
    <cellStyle name="Comma 17 7 3 4 3" xfId="16581" xr:uid="{D84C9FE9-0EAA-4C5A-821E-D657677BBD8F}"/>
    <cellStyle name="Comma 17 7 3 4 3 2" xfId="16582" xr:uid="{35F2FFBC-704B-4C4B-B1FA-9C722AD5B1DC}"/>
    <cellStyle name="Comma 17 7 3 4 4" xfId="16583" xr:uid="{B189742B-96B6-4084-B2E9-3DDC8B59F27F}"/>
    <cellStyle name="Comma 17 7 3 5" xfId="16584" xr:uid="{EEF0B33A-B173-4B4E-BB1B-6B4D00884570}"/>
    <cellStyle name="Comma 17 7 3 5 2" xfId="16585" xr:uid="{8FADEE2A-9768-4804-86CF-90716DC518F7}"/>
    <cellStyle name="Comma 17 7 3 5 2 2" xfId="16586" xr:uid="{A70E71AD-9018-4D9D-8D9A-971139A58F1D}"/>
    <cellStyle name="Comma 17 7 3 5 3" xfId="16587" xr:uid="{8044364C-0547-4DE7-A074-9ECC827C245C}"/>
    <cellStyle name="Comma 17 7 3 6" xfId="16588" xr:uid="{01CC5E18-5C25-42A0-90F2-778DE6773121}"/>
    <cellStyle name="Comma 17 7 3 6 2" xfId="16589" xr:uid="{6A50EB46-2D7A-41F9-8FBB-A271AA748E90}"/>
    <cellStyle name="Comma 17 7 3 7" xfId="16590" xr:uid="{0DF832E5-D189-4FF8-8139-CAD024E1845A}"/>
    <cellStyle name="Comma 17 7 3 8" xfId="16592" xr:uid="{72EDAC3F-671A-4F31-871A-C7D06D297DD5}"/>
    <cellStyle name="Comma 17 7 4" xfId="16593" xr:uid="{42CDB46B-E1B3-4DBE-B40B-C069FE88D655}"/>
    <cellStyle name="Comma 17 7 4 2" xfId="534" xr:uid="{DF093BD4-04FB-4574-B438-E20C638FB9A7}"/>
    <cellStyle name="Comma 17 7 4 2 2" xfId="542" xr:uid="{9C82A036-BA34-40C3-8074-80EA47C0702D}"/>
    <cellStyle name="Comma 17 7 4 2 2 2" xfId="16596" xr:uid="{9709E671-1BB9-472B-9B44-4498363420CF}"/>
    <cellStyle name="Comma 17 7 4 2 2 2 2" xfId="16598" xr:uid="{E60EB779-E80B-46C4-8284-9A787864183C}"/>
    <cellStyle name="Comma 17 7 4 2 2 2 2 2" xfId="16599" xr:uid="{F42CB592-8D1A-465E-B884-2B921301560B}"/>
    <cellStyle name="Comma 17 7 4 2 2 2 3" xfId="16601" xr:uid="{2FDAB0B7-A4A1-4651-9B71-83968983D6D5}"/>
    <cellStyle name="Comma 17 7 4 2 2 3" xfId="16606" xr:uid="{7B4A14BA-0926-47F3-8A93-F839C7E0B40A}"/>
    <cellStyle name="Comma 17 7 4 2 2 3 2" xfId="16607" xr:uid="{DBF62E20-44F8-45F9-81D0-5160C3981917}"/>
    <cellStyle name="Comma 17 7 4 2 2 4" xfId="16612" xr:uid="{8EB99F28-3D7F-447F-907C-8BF998622283}"/>
    <cellStyle name="Comma 17 7 4 2 3" xfId="16613" xr:uid="{09EEA1F4-01E1-44D2-A781-FC55BDA878DB}"/>
    <cellStyle name="Comma 17 7 4 2 3 2" xfId="16614" xr:uid="{17ED433A-B0CB-4C0D-99F1-6F14B2EA4FD3}"/>
    <cellStyle name="Comma 17 7 4 2 3 2 2" xfId="11685" xr:uid="{B9B77FAE-63BA-415E-B01E-C7ECBD133D16}"/>
    <cellStyle name="Comma 17 7 4 2 3 3" xfId="9042" xr:uid="{D07A4281-2ECF-4E62-B31B-9AA8E83EE594}"/>
    <cellStyle name="Comma 17 7 4 2 4" xfId="16615" xr:uid="{1FC6086B-4E41-4E74-921E-275165F4D7D8}"/>
    <cellStyle name="Comma 17 7 4 2 4 2" xfId="16616" xr:uid="{138F6F02-CE61-4377-82DE-0C91B5903B33}"/>
    <cellStyle name="Comma 17 7 4 2 5" xfId="16618" xr:uid="{0797CC91-BC59-44B3-B4EC-331AF6FCE34B}"/>
    <cellStyle name="Comma 17 7 4 3" xfId="550" xr:uid="{2A985802-8DAB-4EF5-B735-B69D9694657A}"/>
    <cellStyle name="Comma 17 7 4 3 2" xfId="16619" xr:uid="{3A91D7D9-E111-4FA3-B3F2-46A218B0CD60}"/>
    <cellStyle name="Comma 17 7 4 3 2 2" xfId="16620" xr:uid="{B94902E4-31A3-406C-9067-B8250DF85E31}"/>
    <cellStyle name="Comma 17 7 4 3 2 2 2" xfId="16622" xr:uid="{3D167F34-BF3D-48C4-9DD3-42A536FA463E}"/>
    <cellStyle name="Comma 17 7 4 3 2 3" xfId="16625" xr:uid="{08BA4561-35D7-462E-A137-6ACCC83A4C93}"/>
    <cellStyle name="Comma 17 7 4 3 3" xfId="16626" xr:uid="{139F6286-0CB8-4E7F-9267-C0C53BDCF487}"/>
    <cellStyle name="Comma 17 7 4 3 3 2" xfId="16627" xr:uid="{3343192B-C55F-496F-B738-0FA7254D6F12}"/>
    <cellStyle name="Comma 17 7 4 3 4" xfId="5640" xr:uid="{5E31ADC2-F529-4ACC-84C6-56C52B6E0044}"/>
    <cellStyle name="Comma 17 7 4 4" xfId="16628" xr:uid="{B553B6B2-6951-4518-9707-B27C5B599711}"/>
    <cellStyle name="Comma 17 7 4 4 2" xfId="16629" xr:uid="{3CEBC608-52D1-40BA-9148-6330647A6F98}"/>
    <cellStyle name="Comma 17 7 4 4 2 2" xfId="16630" xr:uid="{0D68DFED-21AD-4510-AE36-4BC168EF8AA4}"/>
    <cellStyle name="Comma 17 7 4 4 3" xfId="16631" xr:uid="{3676760C-AB9A-4142-BECD-07AE339532D0}"/>
    <cellStyle name="Comma 17 7 4 5" xfId="16632" xr:uid="{437F7978-53F2-416C-A701-EBBEBEAADD35}"/>
    <cellStyle name="Comma 17 7 4 5 2" xfId="6196" xr:uid="{8372303F-9C5C-49B9-8233-D25984DD75D2}"/>
    <cellStyle name="Comma 17 7 4 6" xfId="16633" xr:uid="{9AE24B18-FFB4-487F-BF39-4B9EAEE91FAA}"/>
    <cellStyle name="Comma 17 7 4 7" xfId="15660" xr:uid="{9AF16B63-F017-4FF3-B827-2746F4E7A042}"/>
    <cellStyle name="Comma 17 7 5" xfId="1471" xr:uid="{7B5B89C0-5687-457D-922F-8B58203E8230}"/>
    <cellStyle name="Comma 17 7 5 2" xfId="684" xr:uid="{1BB8DBD7-049A-45DC-811A-B64D423F5CFB}"/>
    <cellStyle name="Comma 17 7 5 2 2" xfId="350" xr:uid="{EE52796D-FE9D-48D2-9B04-1193BED06419}"/>
    <cellStyle name="Comma 17 7 5 2 2 2" xfId="16634" xr:uid="{9DB1708F-CF2F-4A74-AAFF-4E674667CFEE}"/>
    <cellStyle name="Comma 17 7 5 2 2 2 2" xfId="16635" xr:uid="{E258B773-2BF6-4912-99E1-AE0F6232BA43}"/>
    <cellStyle name="Comma 17 7 5 2 2 3" xfId="16636" xr:uid="{7FFA2BCF-43F5-4808-8BC4-DB0B09A781DD}"/>
    <cellStyle name="Comma 17 7 5 2 3" xfId="16637" xr:uid="{927F1F4F-24E5-4F90-81DF-A53FA83E52DD}"/>
    <cellStyle name="Comma 17 7 5 2 3 2" xfId="16638" xr:uid="{CBEE5645-6AD3-4F3E-AFD3-09B9A7E50043}"/>
    <cellStyle name="Comma 17 7 5 2 4" xfId="16639" xr:uid="{02094FE1-86CD-4B5E-B12D-895AC8B98198}"/>
    <cellStyle name="Comma 17 7 5 3" xfId="687" xr:uid="{3BE47076-43B4-4E19-A321-C9E2AF7CEC83}"/>
    <cellStyle name="Comma 17 7 5 3 2" xfId="16640" xr:uid="{E4A7851D-B0A5-403B-B40F-24CC7DBF5024}"/>
    <cellStyle name="Comma 17 7 5 3 2 2" xfId="16641" xr:uid="{37139CB8-59A9-41A1-9974-96E6CD5562EC}"/>
    <cellStyle name="Comma 17 7 5 3 3" xfId="16642" xr:uid="{4A5DAD8B-C5BC-42BC-8344-6B90114611AA}"/>
    <cellStyle name="Comma 17 7 5 4" xfId="16643" xr:uid="{AA3F81D5-A354-48DE-95AD-248BB53E5656}"/>
    <cellStyle name="Comma 17 7 5 4 2" xfId="16644" xr:uid="{EBA28471-520E-45C6-B29D-0CCC3D8EBD14}"/>
    <cellStyle name="Comma 17 7 5 5" xfId="16645" xr:uid="{C7D7F21E-3765-464F-A34E-BE93A970CD6B}"/>
    <cellStyle name="Comma 17 7 6" xfId="16646" xr:uid="{E8681AB3-79FD-49E6-8942-58BA5D317C93}"/>
    <cellStyle name="Comma 17 7 6 2" xfId="816" xr:uid="{69300F90-E1AC-4DA3-8611-B7DBD992D5FF}"/>
    <cellStyle name="Comma 17 7 6 2 2" xfId="643" xr:uid="{AF16FBFA-B820-4873-826F-498C608ABBBC}"/>
    <cellStyle name="Comma 17 7 6 2 2 2" xfId="3018" xr:uid="{AA8C27C0-541F-4659-827E-F672CFBBB2CD}"/>
    <cellStyle name="Comma 17 7 6 2 3" xfId="3025" xr:uid="{A0006AE6-4FD2-4DFC-817B-664A8F79A28D}"/>
    <cellStyle name="Comma 17 7 6 3" xfId="821" xr:uid="{479BFDEF-46AF-406C-9096-65BBF633383B}"/>
    <cellStyle name="Comma 17 7 6 3 2" xfId="3054" xr:uid="{79130B8C-29A1-4C69-BD76-4E0F5E4A1E19}"/>
    <cellStyle name="Comma 17 7 6 4" xfId="4686" xr:uid="{C5AE6272-05D7-46F0-950B-4883D99929D6}"/>
    <cellStyle name="Comma 17 7 7" xfId="16648" xr:uid="{85E32A40-0665-4319-97D6-1E66AD48F820}"/>
    <cellStyle name="Comma 17 7 7 2" xfId="870" xr:uid="{AC511502-3F9F-4D88-B851-3DC1CAFA17AA}"/>
    <cellStyle name="Comma 17 7 7 2 2" xfId="85" xr:uid="{4C6CDCA6-B62D-4D38-8664-E79D376B6294}"/>
    <cellStyle name="Comma 17 7 7 3" xfId="880" xr:uid="{10357B82-A2EC-44DB-81B5-3A6E0EAE085B}"/>
    <cellStyle name="Comma 17 7 8" xfId="1490" xr:uid="{F5E69F82-E6AC-44EB-B558-5C57619BA108}"/>
    <cellStyle name="Comma 17 7 8 2" xfId="1923" xr:uid="{E3FEF336-F8E9-4467-84B5-2E0D51307141}"/>
    <cellStyle name="Comma 17 7 9" xfId="1500" xr:uid="{354757B0-9BBE-4EE5-BBE3-7259137CCC54}"/>
    <cellStyle name="Comma 17 8" xfId="8758" xr:uid="{3A02D189-BED8-40E5-AAA6-4D69D517C01A}"/>
    <cellStyle name="Comma 17 8 2" xfId="8761" xr:uid="{BAA1B5A5-E2E0-40AF-A54F-558D5869F9D3}"/>
    <cellStyle name="Comma 17 8 2 2" xfId="8763" xr:uid="{7D041DA1-544C-401E-B2A8-E9E32C48FDBB}"/>
    <cellStyle name="Comma 17 8 2 2 2" xfId="16653" xr:uid="{534A94A5-6A7D-4B78-B000-B3562490115C}"/>
    <cellStyle name="Comma 17 8 2 2 2 2" xfId="16664" xr:uid="{CE69BC5D-8693-405F-9BDF-08E690BC3B9F}"/>
    <cellStyle name="Comma 17 8 2 2 2 2 2" xfId="16670" xr:uid="{E639C481-095A-427A-9F2A-8C9539E46BAB}"/>
    <cellStyle name="Comma 17 8 2 2 2 2 2 2" xfId="16672" xr:uid="{E61A85B7-6469-4E31-96A3-333CAD77CFF7}"/>
    <cellStyle name="Comma 17 8 2 2 2 2 2 2 2" xfId="16673" xr:uid="{00DFA875-775A-4D60-A0A6-220DD619DBF3}"/>
    <cellStyle name="Comma 17 8 2 2 2 2 2 3" xfId="16675" xr:uid="{272FE7FA-028D-4473-9189-F00B8E2DCF66}"/>
    <cellStyle name="Comma 17 8 2 2 2 2 3" xfId="16677" xr:uid="{1C885EFA-68DD-4529-B09E-D3C04C0B2534}"/>
    <cellStyle name="Comma 17 8 2 2 2 2 3 2" xfId="16678" xr:uid="{053EE3B1-1C37-434E-BB67-06C12234A213}"/>
    <cellStyle name="Comma 17 8 2 2 2 2 4" xfId="16679" xr:uid="{43172F26-6BCF-413F-92B8-A88CF5BE3920}"/>
    <cellStyle name="Comma 17 8 2 2 2 3" xfId="16687" xr:uid="{5EE42C99-1AA6-4620-92F6-EE13E01F8A26}"/>
    <cellStyle name="Comma 17 8 2 2 2 3 2" xfId="16695" xr:uid="{F1A5540D-5FFC-4F35-8449-D770CD838394}"/>
    <cellStyle name="Comma 17 8 2 2 2 3 2 2" xfId="16696" xr:uid="{DA8BCDF3-780F-4E90-9980-EFC4CD9489F5}"/>
    <cellStyle name="Comma 17 8 2 2 2 3 3" xfId="16699" xr:uid="{F9F948F4-C97F-4036-B4CE-9F6B8C579642}"/>
    <cellStyle name="Comma 17 8 2 2 2 4" xfId="16707" xr:uid="{C7CD5F2A-F190-4B5C-AB24-D89688DAE592}"/>
    <cellStyle name="Comma 17 8 2 2 2 4 2" xfId="16712" xr:uid="{0E65A205-EFA3-4531-8EEA-B095F07B5E60}"/>
    <cellStyle name="Comma 17 8 2 2 2 5" xfId="1862" xr:uid="{9E58E0AD-0818-4245-A408-3A62FEE52B8A}"/>
    <cellStyle name="Comma 17 8 2 2 3" xfId="16721" xr:uid="{FEB9D74B-615A-41FE-A6A8-6F812A0D344E}"/>
    <cellStyle name="Comma 17 8 2 2 3 2" xfId="16731" xr:uid="{7C782925-7D2C-42DC-9B7A-69A4DC9E0FDA}"/>
    <cellStyle name="Comma 17 8 2 2 3 2 2" xfId="16736" xr:uid="{2EDF0940-56F3-410A-83BE-10315C8DD5AC}"/>
    <cellStyle name="Comma 17 8 2 2 3 2 2 2" xfId="16737" xr:uid="{104CEB1E-7904-4AE8-BCA1-633E019BFEBC}"/>
    <cellStyle name="Comma 17 8 2 2 3 2 3" xfId="16738" xr:uid="{A9978768-0679-48C0-8DDE-242211618132}"/>
    <cellStyle name="Comma 17 8 2 2 3 3" xfId="16746" xr:uid="{BC64626C-AF64-4EA4-A549-81E2FAA13BB5}"/>
    <cellStyle name="Comma 17 8 2 2 3 3 2" xfId="16751" xr:uid="{847695E2-9B93-4CE7-91AA-1E6A703FE72E}"/>
    <cellStyle name="Comma 17 8 2 2 3 4" xfId="16756" xr:uid="{346AFA5D-2284-4C5A-BA74-48E8550098C2}"/>
    <cellStyle name="Comma 17 8 2 2 4" xfId="16763" xr:uid="{16D3800B-D23D-4BAA-ACCE-6BAFCDCA1809}"/>
    <cellStyle name="Comma 17 8 2 2 4 2" xfId="16776" xr:uid="{168D0348-DC93-4E4C-95AF-593569FF30B3}"/>
    <cellStyle name="Comma 17 8 2 2 4 2 2" xfId="16777" xr:uid="{A82C4620-DEAA-48CB-B67E-2389FA11F360}"/>
    <cellStyle name="Comma 17 8 2 2 4 3" xfId="16782" xr:uid="{66D87B49-0681-45F4-821E-B283B6AC43B1}"/>
    <cellStyle name="Comma 17 8 2 2 5" xfId="16789" xr:uid="{4926AC3D-FECE-4660-B54D-6A1C89E79E0C}"/>
    <cellStyle name="Comma 17 8 2 2 5 2" xfId="16798" xr:uid="{372076E8-1FD8-4A5A-A180-6A740086CF9D}"/>
    <cellStyle name="Comma 17 8 2 2 6" xfId="16804" xr:uid="{537B6F56-25EB-4FB7-BD1E-04FB018092B0}"/>
    <cellStyle name="Comma 17 8 2 2 7" xfId="16812" xr:uid="{8FEBAAA5-E838-4D5E-BA1C-A753C2C537D0}"/>
    <cellStyle name="Comma 17 8 2 3" xfId="16813" xr:uid="{033753C2-22EF-4D26-A94F-41FBF3405F59}"/>
    <cellStyle name="Comma 17 8 2 3 2" xfId="16818" xr:uid="{25E97064-14BF-4C47-9EE4-FB1B5C138462}"/>
    <cellStyle name="Comma 17 8 2 3 2 2" xfId="16821" xr:uid="{D7B01F6D-DC1D-4803-B064-55CAC62BA1A6}"/>
    <cellStyle name="Comma 17 8 2 3 2 2 2" xfId="16825" xr:uid="{CAED48D5-D226-43DB-8497-99CDAD3548FE}"/>
    <cellStyle name="Comma 17 8 2 3 2 2 2 2" xfId="16828" xr:uid="{CD3E3A17-82E4-43D5-9DCE-46B15295C0E5}"/>
    <cellStyle name="Comma 17 8 2 3 2 2 3" xfId="16830" xr:uid="{56A18317-992D-4FDC-B3F0-358455D6498D}"/>
    <cellStyle name="Comma 17 8 2 3 2 3" xfId="16832" xr:uid="{0FAE7B2D-0889-408A-9EAB-6392BF78F70D}"/>
    <cellStyle name="Comma 17 8 2 3 2 3 2" xfId="16833" xr:uid="{1D22C852-EED7-47B0-BEFE-76FF9C1EA47A}"/>
    <cellStyle name="Comma 17 8 2 3 2 4" xfId="16834" xr:uid="{5D25F56F-7CB5-4565-A23F-CB85A6DEBD2A}"/>
    <cellStyle name="Comma 17 8 2 3 3" xfId="16662" xr:uid="{BFB403AA-66CF-47EA-BF42-A1321B5785CD}"/>
    <cellStyle name="Comma 17 8 2 3 3 2" xfId="16667" xr:uid="{13EE2F79-B8FD-4B48-9A8C-CA4D7C126D4B}"/>
    <cellStyle name="Comma 17 8 2 3 3 2 2" xfId="16671" xr:uid="{750AA680-FA54-44F4-832B-2114E696D285}"/>
    <cellStyle name="Comma 17 8 2 3 3 3" xfId="16676" xr:uid="{9149F08B-55D6-45D4-8D92-90283760E86B}"/>
    <cellStyle name="Comma 17 8 2 3 4" xfId="16686" xr:uid="{16A945AD-EF01-4E1A-A7F4-977C020A7DA4}"/>
    <cellStyle name="Comma 17 8 2 3 4 2" xfId="16691" xr:uid="{AD22E891-1A22-4FC6-89AE-1C176F230CF6}"/>
    <cellStyle name="Comma 17 8 2 3 5" xfId="16706" xr:uid="{CE76FF88-AF24-42DA-B377-ECF9CD777381}"/>
    <cellStyle name="Comma 17 8 2 4" xfId="16835" xr:uid="{49043BC6-E1D6-415B-A773-ED49D6B29D70}"/>
    <cellStyle name="Comma 17 8 2 4 2" xfId="16840" xr:uid="{8FC2A64A-5D65-4522-8580-0009FEE7CB74}"/>
    <cellStyle name="Comma 17 8 2 4 2 2" xfId="16841" xr:uid="{E1D0500E-C761-4F3D-A56B-440C0AE4E00D}"/>
    <cellStyle name="Comma 17 8 2 4 2 2 2" xfId="15756" xr:uid="{9CD28562-61B9-4D49-8630-A6D2EE0CABF9}"/>
    <cellStyle name="Comma 17 8 2 4 2 3" xfId="6963" xr:uid="{27D03220-7EC4-4487-A850-0D56D953DA91}"/>
    <cellStyle name="Comma 17 8 2 4 3" xfId="16730" xr:uid="{67DAB9DB-E7E2-4C71-882A-62FDC7257B8E}"/>
    <cellStyle name="Comma 17 8 2 4 3 2" xfId="16733" xr:uid="{75AB95C1-4C8B-48B3-B9EA-87549B29B331}"/>
    <cellStyle name="Comma 17 8 2 4 4" xfId="16745" xr:uid="{C257C8C5-96BC-48BF-9F73-98DB8D661DE7}"/>
    <cellStyle name="Comma 17 8 2 5" xfId="16847" xr:uid="{62462E4D-9C44-4AB1-9EB6-2B015011FEC2}"/>
    <cellStyle name="Comma 17 8 2 5 2" xfId="16853" xr:uid="{D0DDF0F9-4E8F-4B90-97C8-744D3FA6D3A2}"/>
    <cellStyle name="Comma 17 8 2 5 2 2" xfId="16854" xr:uid="{0F08E51E-48EB-4E88-A670-3A8B5409FF0F}"/>
    <cellStyle name="Comma 17 8 2 5 3" xfId="16773" xr:uid="{4D067E1E-3F2D-4E47-B7E5-6573B411AAD9}"/>
    <cellStyle name="Comma 17 8 2 6" xfId="16859" xr:uid="{88445C4F-E3D8-41F3-8271-28C73A5A8F3E}"/>
    <cellStyle name="Comma 17 8 2 6 2" xfId="16865" xr:uid="{1AF207B8-781F-430F-B82E-FB6DB7928BDD}"/>
    <cellStyle name="Comma 17 8 2 7" xfId="16869" xr:uid="{D91185DE-804B-4005-8290-A2BB4DA77EA4}"/>
    <cellStyle name="Comma 17 8 2 8" xfId="16872" xr:uid="{D197C886-36C6-4CF4-8026-AA26DEF58FA2}"/>
    <cellStyle name="Comma 17 8 3" xfId="8765" xr:uid="{DD371D4B-1C1A-430E-B42A-471B5DCECF4D}"/>
    <cellStyle name="Comma 17 8 3 2" xfId="16874" xr:uid="{EA97963D-1829-4BAC-818E-02801E09472D}"/>
    <cellStyle name="Comma 17 8 3 2 2" xfId="16876" xr:uid="{C788DB82-08AE-4F1D-9416-3C07285572A9}"/>
    <cellStyle name="Comma 17 8 3 2 2 2" xfId="7010" xr:uid="{B85FD13D-BC4A-4C11-9CCA-E0F852179CE1}"/>
    <cellStyle name="Comma 17 8 3 2 2 2 2" xfId="16877" xr:uid="{FFA66735-8E42-4DA8-82E0-78EB351A6D98}"/>
    <cellStyle name="Comma 17 8 3 2 2 2 2 2" xfId="16881" xr:uid="{ECEB2783-2656-4C0D-9790-7CDECC23444D}"/>
    <cellStyle name="Comma 17 8 3 2 2 2 3" xfId="16883" xr:uid="{E2B2A59B-140D-4561-8782-280512288C84}"/>
    <cellStyle name="Comma 17 8 3 2 2 3" xfId="7061" xr:uid="{1E8AD8B3-2436-4741-A421-203E3B116F9A}"/>
    <cellStyle name="Comma 17 8 3 2 2 3 2" xfId="16886" xr:uid="{539F3A09-161E-490E-BE02-59D815467586}"/>
    <cellStyle name="Comma 17 8 3 2 2 4" xfId="16889" xr:uid="{D341A31B-29A1-47AE-A6D8-BAC79A5CE288}"/>
    <cellStyle name="Comma 17 8 3 2 3" xfId="16893" xr:uid="{6898FDE8-01E2-4039-B9FC-27CE6A0A92A2}"/>
    <cellStyle name="Comma 17 8 3 2 3 2" xfId="16895" xr:uid="{DEF3190A-E855-4230-AF7A-FD56014D30E3}"/>
    <cellStyle name="Comma 17 8 3 2 3 2 2" xfId="16897" xr:uid="{74BAF914-E68C-497A-A1E8-80C13F1C7832}"/>
    <cellStyle name="Comma 17 8 3 2 3 3" xfId="16902" xr:uid="{01BF559F-05CD-40F1-B274-B4A46C3A6A26}"/>
    <cellStyle name="Comma 17 8 3 2 4" xfId="16903" xr:uid="{7F61E55E-B77A-4D76-AA12-743DC99DECB5}"/>
    <cellStyle name="Comma 17 8 3 2 4 2" xfId="16904" xr:uid="{FA92F758-ED0F-4006-925A-BD0FC6C9564C}"/>
    <cellStyle name="Comma 17 8 3 2 5" xfId="16906" xr:uid="{5FDF0B81-F2F1-4EDE-A3F3-B054B283762C}"/>
    <cellStyle name="Comma 17 8 3 3" xfId="16908" xr:uid="{5D059AFA-B930-459D-A4B9-F568DA46B104}"/>
    <cellStyle name="Comma 17 8 3 3 2" xfId="16911" xr:uid="{89E446E2-BAF2-4078-AEF6-D8CB0B768FDE}"/>
    <cellStyle name="Comma 17 8 3 3 2 2" xfId="16913" xr:uid="{FCC08241-45DF-41F1-9C16-AFCBFE06A1EE}"/>
    <cellStyle name="Comma 17 8 3 3 2 2 2" xfId="16914" xr:uid="{BB9E0604-5CDD-4815-B33B-0C7CE0B0BA4A}"/>
    <cellStyle name="Comma 17 8 3 3 2 3" xfId="16916" xr:uid="{7694C002-D51D-4CE8-B2FC-7A1961D9FFE2}"/>
    <cellStyle name="Comma 17 8 3 3 3" xfId="16823" xr:uid="{74133BB3-F944-4EE0-A420-454616D81D19}"/>
    <cellStyle name="Comma 17 8 3 3 3 2" xfId="16824" xr:uid="{80AE8D7C-F29E-4DEB-B57C-4A007EA62DFE}"/>
    <cellStyle name="Comma 17 8 3 3 4" xfId="16831" xr:uid="{9916819E-C2D5-4343-BE16-3537EA034211}"/>
    <cellStyle name="Comma 17 8 3 4" xfId="16918" xr:uid="{E97D53B2-C955-427E-933C-0693F4953DFE}"/>
    <cellStyle name="Comma 17 8 3 4 2" xfId="16920" xr:uid="{60773EC7-D784-45D5-8E75-1AF05FC1590B}"/>
    <cellStyle name="Comma 17 8 3 4 2 2" xfId="16921" xr:uid="{51F35C95-FDA3-4D9D-A3CF-F793F6F08A66}"/>
    <cellStyle name="Comma 17 8 3 4 3" xfId="16669" xr:uid="{3B4D9B5C-FC0A-42B2-B2B8-4FBADE319D8C}"/>
    <cellStyle name="Comma 17 8 3 5" xfId="16923" xr:uid="{C043EFDB-DF7F-4858-9C03-4E5C29FB9BD5}"/>
    <cellStyle name="Comma 17 8 3 5 2" xfId="16927" xr:uid="{D20B5514-864B-47A2-8700-BE624ED01E70}"/>
    <cellStyle name="Comma 17 8 3 6" xfId="16929" xr:uid="{B48C7F8E-DD7A-43DA-B8A7-7A77A2ECA4D8}"/>
    <cellStyle name="Comma 17 8 3 7" xfId="16934" xr:uid="{FD59ADB4-2370-49D8-9AB7-D448E6B61BAF}"/>
    <cellStyle name="Comma 17 8 4" xfId="16935" xr:uid="{508CF433-5FB1-4CD0-AED6-F43F529FD6AD}"/>
    <cellStyle name="Comma 17 8 4 2" xfId="16938" xr:uid="{B71F9700-43A3-4BDA-844A-D85A0AE42D8C}"/>
    <cellStyle name="Comma 17 8 4 2 2" xfId="16941" xr:uid="{023D2856-56F1-4F38-BF93-0374BCB4B054}"/>
    <cellStyle name="Comma 17 8 4 2 2 2" xfId="16943" xr:uid="{5AB17C26-5695-4639-A1E1-E2520278ADB6}"/>
    <cellStyle name="Comma 17 8 4 2 2 2 2" xfId="16945" xr:uid="{C7A18C96-2964-47CB-9BCB-66EF9C0AA0E0}"/>
    <cellStyle name="Comma 17 8 4 2 2 3" xfId="16951" xr:uid="{E47CEDBE-0305-4E1E-A1BD-18931EB992E0}"/>
    <cellStyle name="Comma 17 8 4 2 3" xfId="16954" xr:uid="{C3526FC1-1F6D-4E12-A003-9F3D32582FB3}"/>
    <cellStyle name="Comma 17 8 4 2 3 2" xfId="16958" xr:uid="{54D51AAC-BCBD-48DA-99BB-7368986A8101}"/>
    <cellStyle name="Comma 17 8 4 2 4" xfId="16959" xr:uid="{38C44BB8-9456-4F43-ABF9-4459DB204919}"/>
    <cellStyle name="Comma 17 8 4 3" xfId="16962" xr:uid="{8D6DE4C2-54CE-46D7-9FAE-F485CF3E9796}"/>
    <cellStyle name="Comma 17 8 4 3 2" xfId="16965" xr:uid="{10C8536A-3138-427D-8162-D962AE0BF339}"/>
    <cellStyle name="Comma 17 8 4 3 2 2" xfId="16967" xr:uid="{3D4CC784-4150-476E-95BF-1B753D5EE53F}"/>
    <cellStyle name="Comma 17 8 4 3 3" xfId="16844" xr:uid="{8E0E257E-D841-4C66-B5C2-4CBFCC925B1B}"/>
    <cellStyle name="Comma 17 8 4 4" xfId="16970" xr:uid="{F1BE48A0-DE07-4D79-9F98-45D3F73EC652}"/>
    <cellStyle name="Comma 17 8 4 4 2" xfId="16973" xr:uid="{31A23192-DBE7-4949-A24A-C0F846199C56}"/>
    <cellStyle name="Comma 17 8 4 5" xfId="16976" xr:uid="{618C7DE7-9C01-4B4D-B043-93253350038E}"/>
    <cellStyle name="Comma 17 8 5" xfId="16977" xr:uid="{CF7D24D4-25A9-4331-B073-D296271F89BA}"/>
    <cellStyle name="Comma 17 8 5 2" xfId="16978" xr:uid="{932AD494-3B28-4A85-B080-9CB0B694D5FB}"/>
    <cellStyle name="Comma 17 8 5 2 2" xfId="16979" xr:uid="{B7EE70CF-C084-4A86-9B02-E04968FD4DCF}"/>
    <cellStyle name="Comma 17 8 5 2 2 2" xfId="16981" xr:uid="{8305EF02-8616-431D-967F-29458ADDB413}"/>
    <cellStyle name="Comma 17 8 5 2 3" xfId="16982" xr:uid="{4B08683F-CA2F-4E66-9B1C-8F094F64AE0E}"/>
    <cellStyle name="Comma 17 8 5 3" xfId="16983" xr:uid="{94E0E4C7-F245-48FD-B574-1662C2F77BF3}"/>
    <cellStyle name="Comma 17 8 5 3 2" xfId="16984" xr:uid="{92FF4868-19FD-44A8-916B-168CE2720C6E}"/>
    <cellStyle name="Comma 17 8 5 4" xfId="16985" xr:uid="{69EFE87A-579E-479A-A10A-C5CB96A496B7}"/>
    <cellStyle name="Comma 17 8 6" xfId="16986" xr:uid="{1D98E01D-9299-4386-8F5E-C11477673A75}"/>
    <cellStyle name="Comma 17 8 6 2" xfId="4775" xr:uid="{E17DD87A-7FA8-46FC-8041-5CA2F50AA9BD}"/>
    <cellStyle name="Comma 17 8 6 2 2" xfId="3333" xr:uid="{B0FC289E-541D-45BD-B8D1-6D1D6CA0ADF7}"/>
    <cellStyle name="Comma 17 8 6 3" xfId="4800" xr:uid="{DFC63BF2-4BCF-4EBF-A65C-DD7F86955FEA}"/>
    <cellStyle name="Comma 17 8 7" xfId="16987" xr:uid="{782787AA-A242-4CF1-B455-F0D63DA02808}"/>
    <cellStyle name="Comma 17 8 7 2" xfId="4834" xr:uid="{F6E9E5F6-C906-4832-A34D-C5E4D860CE8D}"/>
    <cellStyle name="Comma 17 8 8" xfId="415" xr:uid="{D3AA22AA-0691-43D9-97F5-99C6DB9C9F26}"/>
    <cellStyle name="Comma 17 8 9" xfId="433" xr:uid="{5DF9FB2E-5138-4623-A794-CFF86052A21B}"/>
    <cellStyle name="Comma 17 9" xfId="8767" xr:uid="{D1198890-C4E6-4315-8484-B81C1BF35473}"/>
    <cellStyle name="Comma 17 9 2" xfId="8770" xr:uid="{757DC9FF-451C-4017-903C-946D710EE51B}"/>
    <cellStyle name="Comma 17 9 2 2" xfId="16988" xr:uid="{AF62C454-2505-420C-9CE5-A5A3622878F7}"/>
    <cellStyle name="Comma 17 9 2 2 2" xfId="6633" xr:uid="{D5A7E29D-F978-41F9-8B12-DFEC5F913B6C}"/>
    <cellStyle name="Comma 17 9 2 2 2 2" xfId="4136" xr:uid="{E455998B-D778-4F53-BAF7-209FC1FD2BE6}"/>
    <cellStyle name="Comma 17 9 2 2 2 2 2" xfId="899" xr:uid="{DA523DC3-955B-4B64-86E7-D8B0D2F8748A}"/>
    <cellStyle name="Comma 17 9 2 2 2 2 2 2" xfId="16990" xr:uid="{AFE5F9B0-F507-4373-9E6C-DF85810A6729}"/>
    <cellStyle name="Comma 17 9 2 2 2 2 3" xfId="16993" xr:uid="{7D082164-D72F-485F-AD16-7DF039ED309A}"/>
    <cellStyle name="Comma 17 9 2 2 2 3" xfId="6675" xr:uid="{B3CA10CC-D5BC-4CF4-854B-D167ABF2AD47}"/>
    <cellStyle name="Comma 17 9 2 2 2 3 2" xfId="16995" xr:uid="{24BF9631-FAD9-425E-B1DD-DA79A9BEA76B}"/>
    <cellStyle name="Comma 17 9 2 2 2 4" xfId="16999" xr:uid="{E295076D-492E-4C31-A6CD-2BB7232C0B8A}"/>
    <cellStyle name="Comma 17 9 2 2 3" xfId="6809" xr:uid="{0EF82169-B78F-41A0-801A-44E8A8DD9CDD}"/>
    <cellStyle name="Comma 17 9 2 2 3 2" xfId="6816" xr:uid="{038C5679-D52A-413B-9172-034A6C83177B}"/>
    <cellStyle name="Comma 17 9 2 2 3 2 2" xfId="17001" xr:uid="{AC67A02F-F8E5-4156-9CCD-F024A807F2FD}"/>
    <cellStyle name="Comma 17 9 2 2 3 3" xfId="17003" xr:uid="{09BDB1FB-65E1-4AEC-91AA-F6C0F762A6B6}"/>
    <cellStyle name="Comma 17 9 2 2 4" xfId="6890" xr:uid="{C5AC61FE-C762-4E51-8749-910408A15F08}"/>
    <cellStyle name="Comma 17 9 2 2 4 2" xfId="17004" xr:uid="{3C2F4771-B535-40FD-9549-A16E86E259B5}"/>
    <cellStyle name="Comma 17 9 2 2 5" xfId="6899" xr:uid="{C45B1FE6-279C-468D-A7A9-7329B1060BF3}"/>
    <cellStyle name="Comma 17 9 2 3" xfId="17007" xr:uid="{58B066F0-407E-4814-BB5B-C1C3A59E15F9}"/>
    <cellStyle name="Comma 17 9 2 3 2" xfId="6918" xr:uid="{EF6DD782-A915-481A-8B7A-C37EAACEE2E8}"/>
    <cellStyle name="Comma 17 9 2 3 2 2" xfId="6947" xr:uid="{43FBF024-90BD-4203-9434-C6A85C2515EF}"/>
    <cellStyle name="Comma 17 9 2 3 2 2 2" xfId="17009" xr:uid="{8AF38EDF-8A3E-4EC3-84F1-D7F0CB6CA429}"/>
    <cellStyle name="Comma 17 9 2 3 2 3" xfId="17012" xr:uid="{1F652D00-DF0F-4F01-96E0-A47119F15C97}"/>
    <cellStyle name="Comma 17 9 2 3 3" xfId="7008" xr:uid="{E159E51C-67F1-47B1-BD3D-734EA2768791}"/>
    <cellStyle name="Comma 17 9 2 3 3 2" xfId="16879" xr:uid="{0E3C3614-35AE-42D6-9133-8814F17A3DA1}"/>
    <cellStyle name="Comma 17 9 2 3 4" xfId="7058" xr:uid="{840081DE-1242-41D6-9CAC-70F1F3807FD8}"/>
    <cellStyle name="Comma 17 9 2 4" xfId="17013" xr:uid="{27674C51-68FB-4711-A2F1-41D7636AD49A}"/>
    <cellStyle name="Comma 17 9 2 4 2" xfId="7077" xr:uid="{314D854A-B955-4874-A1BF-F5FED94EA962}"/>
    <cellStyle name="Comma 17 9 2 4 2 2" xfId="17016" xr:uid="{CDF9CD66-CC2D-4A4D-9629-8E9365F26175}"/>
    <cellStyle name="Comma 17 9 2 4 3" xfId="16894" xr:uid="{943E6762-39D3-43D5-86A5-7865762ED8BD}"/>
    <cellStyle name="Comma 17 9 2 5" xfId="17019" xr:uid="{272633D2-741A-4417-BF74-300FD78479CC}"/>
    <cellStyle name="Comma 17 9 2 5 2" xfId="17020" xr:uid="{A00A5003-18A7-432B-8F98-1FF600EB866C}"/>
    <cellStyle name="Comma 17 9 2 6" xfId="17025" xr:uid="{5B60D2C6-C231-42B3-A3FB-E0EF866A14A9}"/>
    <cellStyle name="Comma 17 9 2 7" xfId="17026" xr:uid="{2B9633DA-671B-4A32-B0BC-9EA4A0B2BBB6}"/>
    <cellStyle name="Comma 17 9 3" xfId="4969" xr:uid="{0CF95754-448F-4818-BD08-395D093E1E1D}"/>
    <cellStyle name="Comma 17 9 3 2" xfId="17028" xr:uid="{32913B99-A496-4A3D-90B2-F886B34332DE}"/>
    <cellStyle name="Comma 17 9 3 2 2" xfId="6935" xr:uid="{BDBF1191-3CEA-40BF-ACF3-5EA59D4EB2B9}"/>
    <cellStyle name="Comma 17 9 3 2 2 2" xfId="8155" xr:uid="{7ACC2A03-1F82-4419-AA04-073569D0D3E8}"/>
    <cellStyle name="Comma 17 9 3 2 2 2 2" xfId="17029" xr:uid="{EBC15E6D-889F-4B8B-AC3B-EA09DB5B8535}"/>
    <cellStyle name="Comma 17 9 3 2 2 3" xfId="11155" xr:uid="{A6531406-3366-4682-AA27-058E052F7988}"/>
    <cellStyle name="Comma 17 9 3 2 3" xfId="8157" xr:uid="{E87C848D-26FC-406B-9683-1D7FE1EB254E}"/>
    <cellStyle name="Comma 17 9 3 2 3 2" xfId="17030" xr:uid="{4940E5DB-99B2-4CDC-933D-6730BACDAE3F}"/>
    <cellStyle name="Comma 17 9 3 2 4" xfId="5921" xr:uid="{359FB280-389F-4A6D-ABC5-F1AD47E1660E}"/>
    <cellStyle name="Comma 17 9 3 3" xfId="17032" xr:uid="{24068323-7D67-4A32-A5FA-7D3ADBD7C033}"/>
    <cellStyle name="Comma 17 9 3 3 2" xfId="8174" xr:uid="{2959A9A7-E43C-431A-BB4D-15385B64A801}"/>
    <cellStyle name="Comma 17 9 3 3 2 2" xfId="17033" xr:uid="{5EF4C841-A5E4-4239-953A-0BBAD403CC40}"/>
    <cellStyle name="Comma 17 9 3 3 3" xfId="16912" xr:uid="{2457A523-E89F-4831-9BF0-23C575D800AE}"/>
    <cellStyle name="Comma 17 9 3 4" xfId="17035" xr:uid="{DD9FF2EC-0499-42D1-85E0-5FBFAF0E2FFE}"/>
    <cellStyle name="Comma 17 9 3 4 2" xfId="17036" xr:uid="{5678D13C-9FEA-407F-888A-437BD69CA033}"/>
    <cellStyle name="Comma 17 9 3 5" xfId="17038" xr:uid="{A9E7275A-44F7-41D2-A25C-52E6E10D6E18}"/>
    <cellStyle name="Comma 17 9 4" xfId="17040" xr:uid="{3EAB7836-A1F8-412C-88E0-039EF6357EAC}"/>
    <cellStyle name="Comma 17 9 4 2" xfId="17043" xr:uid="{64B9BE5B-BBC1-4418-8CE5-7D5EDFCE722F}"/>
    <cellStyle name="Comma 17 9 4 2 2" xfId="8299" xr:uid="{52D44511-9609-4955-BB56-68FEEA81FE95}"/>
    <cellStyle name="Comma 17 9 4 2 2 2" xfId="17045" xr:uid="{0AB75214-EF20-4EA6-8E13-A2D5F57FB8F4}"/>
    <cellStyle name="Comma 17 9 4 2 3" xfId="17046" xr:uid="{1CB8DEAC-62AC-4F13-9FFD-8067788BA0F5}"/>
    <cellStyle name="Comma 17 9 4 3" xfId="17049" xr:uid="{41DF1F5E-1325-4DFC-81EC-2947605EC167}"/>
    <cellStyle name="Comma 17 9 4 3 2" xfId="17050" xr:uid="{0D245A7F-DD25-4B93-8DAB-E2D77C31FDCD}"/>
    <cellStyle name="Comma 17 9 4 4" xfId="17053" xr:uid="{F7DB65EB-265F-4AAA-B97C-D73281EB614A}"/>
    <cellStyle name="Comma 17 9 5" xfId="17054" xr:uid="{8DA3066F-F437-418C-9532-AFDFD1FBD8DA}"/>
    <cellStyle name="Comma 17 9 5 2" xfId="17055" xr:uid="{199ED098-B908-4486-B1CB-4DE20433E4E8}"/>
    <cellStyle name="Comma 17 9 5 2 2" xfId="17056" xr:uid="{E37A31B1-BC34-4052-8FC4-300A72BD71E3}"/>
    <cellStyle name="Comma 17 9 5 3" xfId="17057" xr:uid="{EDF651F8-FA13-4278-9E5F-7A74467B8C33}"/>
    <cellStyle name="Comma 17 9 6" xfId="17058" xr:uid="{4218757D-23C3-4F0F-8733-838B3D8A45F6}"/>
    <cellStyle name="Comma 17 9 6 2" xfId="4880" xr:uid="{03A6027D-A3C5-4BE6-ACC8-644A38A94F8F}"/>
    <cellStyle name="Comma 17 9 7" xfId="17059" xr:uid="{DE4EBE52-35D2-4B46-9CEC-2D128CB63F9D}"/>
    <cellStyle name="Comma 17 9 8" xfId="1552" xr:uid="{45244E93-6274-4FAB-B1FA-0CF48BBC467C}"/>
    <cellStyle name="Comma 170" xfId="7257" xr:uid="{A83D40FD-1790-4DFC-A0D1-D3000E722831}"/>
    <cellStyle name="Comma 170 2" xfId="7262" xr:uid="{B4F37332-DDB7-431A-8557-B6F9EAA21D5F}"/>
    <cellStyle name="Comma 171" xfId="7266" xr:uid="{2A3ECFC9-DC94-4898-A036-29B76F06D146}"/>
    <cellStyle name="Comma 171 2" xfId="7270" xr:uid="{33D2F419-676C-4196-802D-88F4E15C8B4D}"/>
    <cellStyle name="Comma 172" xfId="7088" xr:uid="{6744FE12-B43C-49A2-8261-5813D4B2C492}"/>
    <cellStyle name="Comma 172 2" xfId="7094" xr:uid="{CBA7F569-D130-4DAB-A8C3-CF50A4093385}"/>
    <cellStyle name="Comma 173" xfId="7104" xr:uid="{354AE497-36C9-4212-85DE-4686930B596C}"/>
    <cellStyle name="Comma 173 2" xfId="7111" xr:uid="{27FC93DF-DEEA-42C8-8622-95F846B95E5D}"/>
    <cellStyle name="Comma 174" xfId="7118" xr:uid="{863C3307-219C-49E1-8A72-56282FBD3766}"/>
    <cellStyle name="Comma 174 2" xfId="4083" xr:uid="{131E1F7A-1E48-497D-B553-05E5A2F2CE05}"/>
    <cellStyle name="Comma 175" xfId="17060" xr:uid="{98CA762E-3559-4141-A60E-4C26613C5349}"/>
    <cellStyle name="Comma 175 2" xfId="17064" xr:uid="{A457EC2A-42F8-47DF-974F-908966DDC2A5}"/>
    <cellStyle name="Comma 176" xfId="17068" xr:uid="{E42FAFFE-E281-40DF-B278-CF0897F95425}"/>
    <cellStyle name="Comma 176 2" xfId="17072" xr:uid="{64F5E647-5EB2-47CB-A832-3CBA9214D3CA}"/>
    <cellStyle name="Comma 177" xfId="17076" xr:uid="{9B44AE1C-45EF-4936-B2FD-7F1DDA1EDA95}"/>
    <cellStyle name="Comma 177 2" xfId="17080" xr:uid="{DDBCD767-08A5-4CF3-B97A-C46E02A6218A}"/>
    <cellStyle name="Comma 178" xfId="17084" xr:uid="{ED59CB98-D55A-4D4D-903B-DEC45891A619}"/>
    <cellStyle name="Comma 178 2" xfId="17088" xr:uid="{960F59C0-89C5-4729-8453-18F3E4819F0B}"/>
    <cellStyle name="Comma 179" xfId="17096" xr:uid="{AF26A750-7ACD-4C6D-AABA-89E9E77E828F}"/>
    <cellStyle name="Comma 179 2" xfId="17100" xr:uid="{28B97112-FE36-4997-A9B6-48B320F31970}"/>
    <cellStyle name="Comma 18" xfId="6497" xr:uid="{13414672-F31F-45C2-8566-7DEEA0620692}"/>
    <cellStyle name="Comma 18 2" xfId="6718" xr:uid="{29C8728F-E996-4C58-926B-9427C60AFB09}"/>
    <cellStyle name="Comma 18 2 2" xfId="17104" xr:uid="{95A2656C-A18E-45FB-B724-C2A4EF5BEE12}"/>
    <cellStyle name="Comma 18 2 3" xfId="17108" xr:uid="{B94E61B6-AE02-44AA-9B90-92666E89B6AD}"/>
    <cellStyle name="Comma 18 3" xfId="17109" xr:uid="{59642F24-8900-4FEF-A9E2-66FEABF04177}"/>
    <cellStyle name="Comma 18 3 2" xfId="17113" xr:uid="{4F584F15-6B97-48C0-9A47-22ABE8B4185C}"/>
    <cellStyle name="Comma 18 4" xfId="17116" xr:uid="{DAB07936-C468-42B1-A08E-C4E2595245E4}"/>
    <cellStyle name="Comma 18 5" xfId="17120" xr:uid="{24177FF7-918D-415C-83FB-489BDEDCCDCF}"/>
    <cellStyle name="Comma 180" xfId="17061" xr:uid="{FBC2CC5F-8F63-4F02-8263-4DB37EC1F81D}"/>
    <cellStyle name="Comma 180 2" xfId="17065" xr:uid="{78AFD60B-619A-477F-B42B-AD2B1F853E2A}"/>
    <cellStyle name="Comma 181" xfId="17069" xr:uid="{D9FB05AC-97A7-4019-8687-F1E97C0E60B6}"/>
    <cellStyle name="Comma 181 2" xfId="17073" xr:uid="{E91B08E6-DF9E-4F5C-A6B5-4EF82F8B23CA}"/>
    <cellStyle name="Comma 182" xfId="17077" xr:uid="{AC5768FB-E8B0-4A39-9F17-B285FF801763}"/>
    <cellStyle name="Comma 182 2" xfId="17081" xr:uid="{B01E44EA-AA00-4E10-A187-05DBFBA3AE4B}"/>
    <cellStyle name="Comma 183" xfId="17085" xr:uid="{64C34BC2-ABFC-41CB-98AC-330A1CA40F3B}"/>
    <cellStyle name="Comma 183 2" xfId="17089" xr:uid="{269DF676-9955-4E0C-A8B9-F9C6B956C321}"/>
    <cellStyle name="Comma 184" xfId="17097" xr:uid="{2B19D5A3-D38D-43AC-97AF-DA99B9BB86CA}"/>
    <cellStyle name="Comma 184 2" xfId="17101" xr:uid="{4F8871EC-F974-4CEA-B59A-6C45A681B437}"/>
    <cellStyle name="Comma 185" xfId="17125" xr:uid="{ACA74E19-33FB-42FA-BE75-9E2E59392A07}"/>
    <cellStyle name="Comma 185 2" xfId="17129" xr:uid="{3461F8A5-EB13-49D6-BAC3-563E46B63FA6}"/>
    <cellStyle name="Comma 186" xfId="17133" xr:uid="{C69D2C53-C2DC-43EF-8972-2E24D7C7DB97}"/>
    <cellStyle name="Comma 186 2" xfId="17137" xr:uid="{B9C3BCB3-3384-47C6-A7A3-5D92F0CAB98F}"/>
    <cellStyle name="Comma 187" xfId="17141" xr:uid="{A7320B98-B556-499D-90D1-1C18D551AB34}"/>
    <cellStyle name="Comma 187 2" xfId="17146" xr:uid="{7F4375F8-B054-4BD3-A6BD-4252AE1C3E4E}"/>
    <cellStyle name="Comma 188" xfId="17152" xr:uid="{946A26B7-0762-49A5-92A9-23ED6CDD7DAC}"/>
    <cellStyle name="Comma 188 2" xfId="17157" xr:uid="{A1AAFD47-F117-4154-8825-9E44489BE7A5}"/>
    <cellStyle name="Comma 189" xfId="17162" xr:uid="{9368528D-5A43-43EF-9FF1-69356EBBEC40}"/>
    <cellStyle name="Comma 189 2" xfId="17167" xr:uid="{427380AC-A4F6-46E7-B27E-DFF102C01E4E}"/>
    <cellStyle name="Comma 19" xfId="6729" xr:uid="{0D04DB9C-02B8-4919-BCF9-830F94FE2A68}"/>
    <cellStyle name="Comma 19 10" xfId="16947" xr:uid="{0323A78D-2A15-4635-B01B-787FDCB06CE2}"/>
    <cellStyle name="Comma 19 11" xfId="17172" xr:uid="{3B10E425-F034-4BE6-82A2-655585A4F881}"/>
    <cellStyle name="Comma 19 12" xfId="17176" xr:uid="{F491D019-4D7C-46FC-B6A5-0D85F56E1A07}"/>
    <cellStyle name="Comma 19 13" xfId="17181" xr:uid="{C4783CB2-C168-4594-8D8D-D6836F802BA2}"/>
    <cellStyle name="Comma 19 14" xfId="17185" xr:uid="{3FE8F0AA-4C6A-438C-A7D7-629BAF3F244D}"/>
    <cellStyle name="Comma 19 15" xfId="5716" xr:uid="{4B8A424E-ADA1-443B-8EA4-98433C491ECF}"/>
    <cellStyle name="Comma 19 16" xfId="5670" xr:uid="{4DC8761F-85E4-4895-A58C-24DB8545E4C9}"/>
    <cellStyle name="Comma 19 17" xfId="5681" xr:uid="{744077A6-2881-47A9-BC36-54F52CB70587}"/>
    <cellStyle name="Comma 19 18" xfId="8024" xr:uid="{8F6BD4E6-B6A1-4346-AECC-16AAAE858487}"/>
    <cellStyle name="Comma 19 19" xfId="17189" xr:uid="{33932810-631D-4F9A-8107-484F806B2546}"/>
    <cellStyle name="Comma 19 2" xfId="17194" xr:uid="{0BC1331D-6671-4DB9-A133-C2A0CED81881}"/>
    <cellStyle name="Comma 19 20" xfId="5717" xr:uid="{3C08CBB5-D032-4AF3-8AAC-D43EBFD89468}"/>
    <cellStyle name="Comma 19 21" xfId="5671" xr:uid="{2E415822-C204-4E45-97B3-9222CC53C102}"/>
    <cellStyle name="Comma 19 22" xfId="5682" xr:uid="{18A4911C-25CB-4730-8378-08442C39895C}"/>
    <cellStyle name="Comma 19 23" xfId="8025" xr:uid="{967EF1C7-CAC5-4401-B57E-0E180B85CFD0}"/>
    <cellStyle name="Comma 19 24" xfId="17190" xr:uid="{6043BD76-0280-4483-B9EB-EA4D75BB8A01}"/>
    <cellStyle name="Comma 19 25" xfId="17196" xr:uid="{67ACE123-768F-44D6-B2B8-A2F1DB49A0D6}"/>
    <cellStyle name="Comma 19 26" xfId="17200" xr:uid="{4DD0A6FF-B93E-4E59-A18D-E43268199C89}"/>
    <cellStyle name="Comma 19 27" xfId="17204" xr:uid="{2AE41109-96DF-4E51-8F7C-2AE90C7DCAF6}"/>
    <cellStyle name="Comma 19 28" xfId="17210" xr:uid="{3969D1C3-6527-4657-89EB-279E6647EDAC}"/>
    <cellStyle name="Comma 19 29" xfId="17216" xr:uid="{530F461A-4EAA-4B08-B891-ED7AD0BD76A5}"/>
    <cellStyle name="Comma 19 3" xfId="17220" xr:uid="{E78DAFEA-EF9E-49A7-9351-8458ED04D6BA}"/>
    <cellStyle name="Comma 19 30" xfId="17197" xr:uid="{C5A682DA-1B4F-4D9F-A4B6-BABCA14892C0}"/>
    <cellStyle name="Comma 19 31" xfId="17201" xr:uid="{05E8F009-BE0B-4E95-9017-A7F8ABCF9183}"/>
    <cellStyle name="Comma 19 32" xfId="17205" xr:uid="{7D1547BF-9DDB-49B3-A497-2206745D83E7}"/>
    <cellStyle name="Comma 19 33" xfId="17211" xr:uid="{2AD13F8D-02DE-462E-B6B0-6FEFC41BFEB7}"/>
    <cellStyle name="Comma 19 34" xfId="17217" xr:uid="{261E3035-C52A-4F6B-AAD2-77BDD959E94A}"/>
    <cellStyle name="Comma 19 35" xfId="17224" xr:uid="{1D05D741-A422-47EC-96F4-735E67537ED8}"/>
    <cellStyle name="Comma 19 36" xfId="17228" xr:uid="{6F49ECA9-0BB7-4203-BBE3-CC3B976829C7}"/>
    <cellStyle name="Comma 19 37" xfId="1217" xr:uid="{1AA51F1A-8B84-4F33-9CBA-B6F7D0766A96}"/>
    <cellStyle name="Comma 19 38" xfId="16325" xr:uid="{069BD51B-C7F0-4D49-95C6-3A54F5A08ECE}"/>
    <cellStyle name="Comma 19 39" xfId="17232" xr:uid="{3451E107-653B-4C37-97D6-F386547F534A}"/>
    <cellStyle name="Comma 19 4" xfId="17236" xr:uid="{852C6DB6-A864-42D8-8D36-CB47502A6EB6}"/>
    <cellStyle name="Comma 19 40" xfId="17225" xr:uid="{B0B0DC29-493E-4EC5-900D-2A7686DA0EC3}"/>
    <cellStyle name="Comma 19 41" xfId="17229" xr:uid="{FE6722E9-F116-4019-A827-0988B125D71E}"/>
    <cellStyle name="Comma 19 42" xfId="1218" xr:uid="{6B3908B2-306B-4417-B2DF-E1881A461292}"/>
    <cellStyle name="Comma 19 43" xfId="16326" xr:uid="{899FBA02-5E07-4649-8F3B-1A4CAD53DDB3}"/>
    <cellStyle name="Comma 19 44" xfId="17233" xr:uid="{A93516A2-7137-48E7-862D-7C1B6230E296}"/>
    <cellStyle name="Comma 19 45" xfId="8903" xr:uid="{7342D9CD-2FDE-480C-B08F-FACAC756EDCF}"/>
    <cellStyle name="Comma 19 46" xfId="8914" xr:uid="{902A9BE3-44F2-4A8F-BE18-FA7AF4A07EDA}"/>
    <cellStyle name="Comma 19 47" xfId="8922" xr:uid="{3300867A-BABA-444E-B12D-984E79B83F16}"/>
    <cellStyle name="Comma 19 48" xfId="17239" xr:uid="{327E70C7-1CF5-43B2-9B5D-5AE360DD8C1A}"/>
    <cellStyle name="Comma 19 49" xfId="16956" xr:uid="{7117D81E-3C82-4961-AF4D-3589A6C52B0B}"/>
    <cellStyle name="Comma 19 5" xfId="17241" xr:uid="{66676484-2F89-44A5-90D5-F43CCFAD5EB1}"/>
    <cellStyle name="Comma 19 50" xfId="8904" xr:uid="{35AC4CA2-219C-4552-83FB-91FC4362D93F}"/>
    <cellStyle name="Comma 19 50 2" xfId="8908" xr:uid="{C86D560D-42FF-42D2-A592-6677F6AA4D7E}"/>
    <cellStyle name="Comma 19 51" xfId="8915" xr:uid="{5B8C756A-F322-4512-B029-3D6A777C019A}"/>
    <cellStyle name="Comma 19 6" xfId="17244" xr:uid="{16507F85-E642-4B22-88C4-3C58F6ABF774}"/>
    <cellStyle name="Comma 19 7" xfId="17246" xr:uid="{734006FE-2384-4805-A59B-B044CC23BC35}"/>
    <cellStyle name="Comma 19 8" xfId="8798" xr:uid="{55039AC5-4B66-4501-A77D-D0ECFC366EF3}"/>
    <cellStyle name="Comma 19 9" xfId="17249" xr:uid="{45235EE9-56AC-472A-AF0C-4A8D7BC876D6}"/>
    <cellStyle name="Comma 190" xfId="17126" xr:uid="{EC874832-0E8C-4970-AA7B-2C17B2ECC1D6}"/>
    <cellStyle name="Comma 190 2" xfId="17130" xr:uid="{FD71E82F-30AC-4625-BAF6-AD86035885D7}"/>
    <cellStyle name="Comma 191" xfId="17134" xr:uid="{F704CA92-1B10-4F35-A979-63D89A6E6736}"/>
    <cellStyle name="Comma 191 2" xfId="17138" xr:uid="{D85B7897-A3EA-40C0-A38F-3E7764691000}"/>
    <cellStyle name="Comma 192" xfId="17142" xr:uid="{1692BF79-015F-448A-9AD9-EF84D4D678C4}"/>
    <cellStyle name="Comma 192 2" xfId="17147" xr:uid="{318BC602-9E7D-46BE-9AE2-36A6A337E01C}"/>
    <cellStyle name="Comma 193" xfId="17153" xr:uid="{034D5349-07AC-410C-9025-D89ED7E886A3}"/>
    <cellStyle name="Comma 193 2" xfId="17158" xr:uid="{72BE7D30-901A-426C-A478-D9A334B7681F}"/>
    <cellStyle name="Comma 194" xfId="17163" xr:uid="{3B79975E-DAFF-46EE-B8AE-B942CECB11EA}"/>
    <cellStyle name="Comma 194 2" xfId="17168" xr:uid="{B1463A30-4C1A-454A-A1F7-57FF96D8004A}"/>
    <cellStyle name="Comma 195" xfId="17251" xr:uid="{E5611E05-991C-47C4-929A-9F869C9D8BF7}"/>
    <cellStyle name="Comma 195 2" xfId="17257" xr:uid="{A6ADDA57-1024-432A-9CD9-00E72B5B0D64}"/>
    <cellStyle name="Comma 196" xfId="17262" xr:uid="{86C5C89E-48CE-4706-973A-53F2EFC41835}"/>
    <cellStyle name="Comma 196 2" xfId="17268" xr:uid="{659EF07E-24B5-4BA1-9127-A566059537B4}"/>
    <cellStyle name="Comma 197" xfId="17273" xr:uid="{7B600EDC-ADA9-4E91-8687-4BEF0C7F5C60}"/>
    <cellStyle name="Comma 197 2" xfId="17278" xr:uid="{89C5E6EB-ACD4-415E-B230-2B12F418F88A}"/>
    <cellStyle name="Comma 198" xfId="17283" xr:uid="{F4A326D0-CD19-4D44-A215-FB3EEBF415EE}"/>
    <cellStyle name="Comma 198 2" xfId="17288" xr:uid="{5A892F69-5E25-48C2-AEB6-8CDFCCABDA4F}"/>
    <cellStyle name="Comma 199" xfId="17292" xr:uid="{D507605A-5683-40C5-B367-4394FA545B27}"/>
    <cellStyle name="Comma 199 2" xfId="17296" xr:uid="{0469FA48-8FE7-484F-971D-F05E1D1FE1A3}"/>
    <cellStyle name="Comma 2" xfId="4" xr:uid="{7833ED52-EDC1-4A7D-9800-80E5C4C8E5E1}"/>
    <cellStyle name="Comma 2 10" xfId="17305" xr:uid="{965CF03E-3136-4E58-8960-B9CCF02AE05D}"/>
    <cellStyle name="Comma 2 10 2" xfId="17309" xr:uid="{1AE770E6-4DAA-46BD-9D06-6EC007DA49BA}"/>
    <cellStyle name="Comma 2 10 3" xfId="17313" xr:uid="{756D1ADD-10AF-4C89-86EC-A4A9DB96E32E}"/>
    <cellStyle name="Comma 2 10 4" xfId="54155" xr:uid="{C42CF69B-CF96-4BDF-9CFF-A8BA00F586CD}"/>
    <cellStyle name="Comma 2 100" xfId="17316" xr:uid="{84A21004-0200-4D09-A82D-0BBD16A321D3}"/>
    <cellStyle name="Comma 2 100 2" xfId="15904" xr:uid="{7AD2BA26-BFEF-4834-AADD-0133B54A0442}"/>
    <cellStyle name="Comma 2 100 3" xfId="17318" xr:uid="{C9436916-CA62-49E9-9EAC-3A1572CAE87F}"/>
    <cellStyle name="Comma 2 101" xfId="6649" xr:uid="{C2823055-4AB5-4B90-BE7A-8C8818D1772B}"/>
    <cellStyle name="Comma 2 101 2" xfId="17321" xr:uid="{98A68D2E-89CD-43EE-BF56-D70534302C12}"/>
    <cellStyle name="Comma 2 101 3" xfId="17324" xr:uid="{CEB9F8B1-D6F6-4CB1-8252-A9BCEEB19BC2}"/>
    <cellStyle name="Comma 2 102" xfId="17327" xr:uid="{0C41C423-BCF1-4DE9-A044-14720FCD64AE}"/>
    <cellStyle name="Comma 2 102 2" xfId="17329" xr:uid="{D18F6AE0-8F12-4BF9-BD58-A35D9DD1E90C}"/>
    <cellStyle name="Comma 2 102 3" xfId="17330" xr:uid="{C8AF723E-9743-4914-8C31-1274582A5A35}"/>
    <cellStyle name="Comma 2 103" xfId="17331" xr:uid="{65011F3B-AB7B-4BAB-82A1-A4A29D342696}"/>
    <cellStyle name="Comma 2 103 2" xfId="17336" xr:uid="{57BAA1DC-948D-42F9-BC71-3D6C98A18B0D}"/>
    <cellStyle name="Comma 2 103 3" xfId="17338" xr:uid="{269EAB18-470A-405B-86DD-7EAAC0E30AD3}"/>
    <cellStyle name="Comma 2 104" xfId="17339" xr:uid="{A15CA2DE-3E73-4EFE-B141-FA7A7C958338}"/>
    <cellStyle name="Comma 2 104 2" xfId="17344" xr:uid="{9EF16B8D-46FE-47D6-967E-6853BD3BDC56}"/>
    <cellStyle name="Comma 2 104 3" xfId="17345" xr:uid="{E541690C-F209-41E8-998F-AD53E6CD732D}"/>
    <cellStyle name="Comma 2 105" xfId="17346" xr:uid="{77299AE4-8658-4A4D-8AF1-5F0D332DE7EB}"/>
    <cellStyle name="Comma 2 105 2" xfId="16870" xr:uid="{3A2B3EDA-19E1-4A18-9557-27C2785EB890}"/>
    <cellStyle name="Comma 2 105 3" xfId="17348" xr:uid="{9B7F2DB7-ACA5-41E1-8CCD-A96B61F1D313}"/>
    <cellStyle name="Comma 2 106" xfId="17350" xr:uid="{F67F6CB7-87F4-435A-9BAA-2C07244B81DC}"/>
    <cellStyle name="Comma 2 106 2" xfId="17356" xr:uid="{F8A17682-8A5B-4C07-8AF9-A27FE7A2CE0A}"/>
    <cellStyle name="Comma 2 106 3" xfId="17360" xr:uid="{F2B2D5D0-3398-433B-8957-DD72B3A0C6EF}"/>
    <cellStyle name="Comma 2 107" xfId="17362" xr:uid="{11F8BEBF-AFE5-43CE-BD9F-ECBAE19504EB}"/>
    <cellStyle name="Comma 2 107 2" xfId="17368" xr:uid="{559B94A2-823F-4FE3-86C2-8B06B483A6AA}"/>
    <cellStyle name="Comma 2 107 3" xfId="17372" xr:uid="{D03BC529-A8DA-4C6E-827A-1F0423F99F67}"/>
    <cellStyle name="Comma 2 108" xfId="17374" xr:uid="{19A07A33-30F8-49B8-9ACC-827466B3C715}"/>
    <cellStyle name="Comma 2 108 2" xfId="17376" xr:uid="{D6E240BA-C93C-4C3F-A384-9A2A94B6A3FF}"/>
    <cellStyle name="Comma 2 108 3" xfId="17378" xr:uid="{E2B73B3E-883A-4F27-8619-CB9BC0B1C6AD}"/>
    <cellStyle name="Comma 2 109" xfId="17380" xr:uid="{2A5CB600-50C9-405C-B912-1EA5643AC3EE}"/>
    <cellStyle name="Comma 2 109 2" xfId="17382" xr:uid="{F2DA2C4D-61AE-4A8F-9B7D-5114B63CD919}"/>
    <cellStyle name="Comma 2 109 3" xfId="17384" xr:uid="{5E2C811B-6362-4E78-AFF6-AAE73E90632E}"/>
    <cellStyle name="Comma 2 11" xfId="17391" xr:uid="{F3ADE887-AB2F-438C-A245-857C1CB18C08}"/>
    <cellStyle name="Comma 2 11 2" xfId="17393" xr:uid="{441DE015-C96B-42E0-9C0C-7C33655E232C}"/>
    <cellStyle name="Comma 2 11 3" xfId="17395" xr:uid="{1693200B-7B55-4ACB-ADAC-B711E83BA09E}"/>
    <cellStyle name="Comma 2 110" xfId="17347" xr:uid="{190B7567-479D-4DF7-8591-24B9D62C7285}"/>
    <cellStyle name="Comma 2 110 2" xfId="16871" xr:uid="{A6B9DC0B-90C2-4AAF-9E41-7AE30C02CAC2}"/>
    <cellStyle name="Comma 2 110 3" xfId="17349" xr:uid="{A31F86AD-63AA-4731-8F57-BA496DA1AEA4}"/>
    <cellStyle name="Comma 2 111" xfId="17351" xr:uid="{3DC79973-F22E-43D5-99FA-026838882BC0}"/>
    <cellStyle name="Comma 2 111 2" xfId="17357" xr:uid="{7E351927-6308-46CE-96C7-F0DA2C84BBCA}"/>
    <cellStyle name="Comma 2 111 3" xfId="17361" xr:uid="{0205070C-3DF4-4D5B-B1E6-8304B497B0FA}"/>
    <cellStyle name="Comma 2 112" xfId="17363" xr:uid="{DA5CBA14-BCF9-4FB5-A39A-AD0098036A49}"/>
    <cellStyle name="Comma 2 112 2" xfId="17369" xr:uid="{782F89D4-7FF1-422C-B171-F49E9BF27E41}"/>
    <cellStyle name="Comma 2 112 3" xfId="17373" xr:uid="{3CA2378B-AB23-4835-B802-3C0D8CA52811}"/>
    <cellStyle name="Comma 2 113" xfId="17375" xr:uid="{BB0E4A10-B9A9-41C3-978D-87EF48256BF9}"/>
    <cellStyle name="Comma 2 113 2" xfId="17377" xr:uid="{9A09F430-2A31-46E0-90FF-874F1E36056C}"/>
    <cellStyle name="Comma 2 113 3" xfId="17379" xr:uid="{758AA72D-0731-45EC-B0A2-C906C2B69CBA}"/>
    <cellStyle name="Comma 2 114" xfId="17381" xr:uid="{84176D54-C265-416B-B399-C96A5809A696}"/>
    <cellStyle name="Comma 2 114 2" xfId="17383" xr:uid="{889F8981-ECE3-4BE9-BDC4-E09A521AFDCC}"/>
    <cellStyle name="Comma 2 114 3" xfId="17385" xr:uid="{7437BE7F-7116-48EE-9818-B32828362C3B}"/>
    <cellStyle name="Comma 2 115" xfId="17396" xr:uid="{084FF0DB-E003-4966-8238-E49F4568B9A4}"/>
    <cellStyle name="Comma 2 115 2" xfId="17398" xr:uid="{83F1F500-F2E1-4551-A54C-2BDB20E2F351}"/>
    <cellStyle name="Comma 2 115 3" xfId="17400" xr:uid="{71E2BE73-C8B4-4BE6-A395-F8FE135738F6}"/>
    <cellStyle name="Comma 2 116" xfId="17402" xr:uid="{2B52A296-4C59-4351-B3A5-8DC83276A0A1}"/>
    <cellStyle name="Comma 2 116 2" xfId="17410" xr:uid="{6AABD747-5173-4C62-9179-FB797553C552}"/>
    <cellStyle name="Comma 2 116 3" xfId="17416" xr:uid="{5B21E3D7-3371-4793-8C03-FFCEA27DB3FA}"/>
    <cellStyle name="Comma 2 117" xfId="17418" xr:uid="{A567602F-055D-408E-8D33-03857DE1EEB6}"/>
    <cellStyle name="Comma 2 117 2" xfId="17426" xr:uid="{8951AA55-4897-4895-A197-7048C02CF89A}"/>
    <cellStyle name="Comma 2 117 3" xfId="17428" xr:uid="{6FBAB00C-8181-40AD-94BB-ABF09C3E32B8}"/>
    <cellStyle name="Comma 2 118" xfId="17433" xr:uid="{390529E9-B6F7-4635-A628-3882BD228BB8}"/>
    <cellStyle name="Comma 2 118 2" xfId="1076" xr:uid="{B259308A-2109-4434-9C73-56CF3ABE2A3D}"/>
    <cellStyle name="Comma 2 118 3" xfId="1082" xr:uid="{FCEF35B2-8D06-488D-B680-C21B06D9A56F}"/>
    <cellStyle name="Comma 2 119" xfId="17435" xr:uid="{F8748020-A564-47F0-B8AD-9956DAA53883}"/>
    <cellStyle name="Comma 2 119 2" xfId="17437" xr:uid="{4E984230-27C7-4F73-BED8-D65B619FADA6}"/>
    <cellStyle name="Comma 2 119 3" xfId="15623" xr:uid="{07DC55D0-7F81-4393-9146-72CAB67B8111}"/>
    <cellStyle name="Comma 2 12" xfId="17442" xr:uid="{18D83F42-0C02-423C-8957-3C9AF8686295}"/>
    <cellStyle name="Comma 2 12 2" xfId="17444" xr:uid="{0803DACB-98BA-4DA7-AE8E-1E9121CFB453}"/>
    <cellStyle name="Comma 2 12 3" xfId="17446" xr:uid="{6BAE26CB-0439-4D1F-861D-3000EECA78C4}"/>
    <cellStyle name="Comma 2 120" xfId="17397" xr:uid="{B73E297A-F0F7-4D6C-9658-DF484649BA28}"/>
    <cellStyle name="Comma 2 120 2" xfId="17399" xr:uid="{EEAED0B5-4F83-456F-96AB-819D06AB11F2}"/>
    <cellStyle name="Comma 2 120 3" xfId="17401" xr:uid="{0ED172CA-0205-4A16-90B5-B5FFD66D556B}"/>
    <cellStyle name="Comma 2 121" xfId="17403" xr:uid="{704ACBAB-8E36-41D4-9662-E1B66BBBCB57}"/>
    <cellStyle name="Comma 2 121 2" xfId="17411" xr:uid="{FC1B2EC0-66C1-4BE2-9848-58787A0F5023}"/>
    <cellStyle name="Comma 2 121 3" xfId="17417" xr:uid="{55013629-16A7-48E0-BAD1-369194BCCB59}"/>
    <cellStyle name="Comma 2 122" xfId="17419" xr:uid="{84B218BE-B7E9-40A5-AA14-FFC7EAF89AC2}"/>
    <cellStyle name="Comma 2 122 2" xfId="17427" xr:uid="{A890B64A-02F8-4ED5-B50C-6761D72B93C3}"/>
    <cellStyle name="Comma 2 122 3" xfId="17429" xr:uid="{A056548F-3FA4-442C-BFF9-AA2D242166E5}"/>
    <cellStyle name="Comma 2 123" xfId="17434" xr:uid="{55F020E7-6642-4794-BB6D-50D9ACBEC846}"/>
    <cellStyle name="Comma 2 123 2" xfId="1077" xr:uid="{3DF9FDC6-1778-45F8-B45E-D0FA6D3BCB6F}"/>
    <cellStyle name="Comma 2 123 3" xfId="1083" xr:uid="{F6453837-D6DF-43BA-8495-C5377D4E9F15}"/>
    <cellStyle name="Comma 2 124" xfId="17436" xr:uid="{987113E0-A4A8-44D6-8FFD-8C7E1CFBB553}"/>
    <cellStyle name="Comma 2 124 2" xfId="17438" xr:uid="{B75B2F11-0077-4D3D-BF58-1E315EDF4ABD}"/>
    <cellStyle name="Comma 2 124 3" xfId="15624" xr:uid="{18DB9261-839D-473A-A22D-D5664794036B}"/>
    <cellStyle name="Comma 2 125" xfId="17447" xr:uid="{1B58A565-C280-437B-A0FC-5CBCCB0CF766}"/>
    <cellStyle name="Comma 2 125 2" xfId="17449" xr:uid="{B5DDDD37-063A-4D38-90FD-FB33B48B9E82}"/>
    <cellStyle name="Comma 2 125 3" xfId="17451" xr:uid="{B8A360B8-6CA3-4FBC-AE67-68E43B08FD66}"/>
    <cellStyle name="Comma 2 126" xfId="17453" xr:uid="{884880DE-2C04-4228-8A56-B833752412D5}"/>
    <cellStyle name="Comma 2 126 2" xfId="17459" xr:uid="{0BBDEF02-3C50-4B0E-BFDA-3BD39E62EB41}"/>
    <cellStyle name="Comma 2 126 3" xfId="17463" xr:uid="{9EF1213E-E145-473A-A511-B26C762373A6}"/>
    <cellStyle name="Comma 2 127" xfId="17465" xr:uid="{FCBFBD2C-95B0-44F7-AE2B-5A67BEBCC19F}"/>
    <cellStyle name="Comma 2 127 2" xfId="17471" xr:uid="{15FAA855-1FF6-4815-A7C0-02DE61FB5CFB}"/>
    <cellStyle name="Comma 2 127 3" xfId="17475" xr:uid="{FB4835B6-9EA6-49D1-96BC-8DB04EA84560}"/>
    <cellStyle name="Comma 2 128" xfId="17477" xr:uid="{EDE26C98-3CD0-4D43-9AF6-9DC88D7EA292}"/>
    <cellStyle name="Comma 2 128 2" xfId="17482" xr:uid="{307D0753-6324-4E8C-96A4-AB8BAF704AB9}"/>
    <cellStyle name="Comma 2 128 3" xfId="17484" xr:uid="{525ED24A-20A2-4159-8316-E029D204945E}"/>
    <cellStyle name="Comma 2 129" xfId="10682" xr:uid="{E7832CEC-4E77-488B-BD85-9BBD8F5DC7BF}"/>
    <cellStyle name="Comma 2 129 2" xfId="17487" xr:uid="{9A495348-6B49-49B7-8C87-9560F7EE07BC}"/>
    <cellStyle name="Comma 2 129 3" xfId="17489" xr:uid="{D882CDDA-BBBE-4D4B-B1C3-E59725BAFA09}"/>
    <cellStyle name="Comma 2 13" xfId="17495" xr:uid="{DEA78CF4-66F8-4B39-B51D-E180F13731D8}"/>
    <cellStyle name="Comma 2 13 2" xfId="17498" xr:uid="{AA346FE1-D41A-460B-B830-2C0382573685}"/>
    <cellStyle name="Comma 2 13 3" xfId="17503" xr:uid="{BC21F1A3-E900-4989-98E3-0A3014CFBC24}"/>
    <cellStyle name="Comma 2 130" xfId="17448" xr:uid="{5C94BA89-11CD-42B6-A839-8D25CFED4EB7}"/>
    <cellStyle name="Comma 2 130 2" xfId="17450" xr:uid="{EBF603D7-B3D9-4558-8B13-5089FE7499BF}"/>
    <cellStyle name="Comma 2 130 3" xfId="17452" xr:uid="{C0AAD8DC-CC73-4B73-B514-5EB7A5806AE3}"/>
    <cellStyle name="Comma 2 131" xfId="17454" xr:uid="{7CD1EC7F-92A3-4A3C-83A2-EB282ADC5E21}"/>
    <cellStyle name="Comma 2 131 2" xfId="17460" xr:uid="{BD6BE832-3473-4201-93EA-3B19E65200D1}"/>
    <cellStyle name="Comma 2 131 3" xfId="17464" xr:uid="{C29A1955-CC15-4D48-8EF3-727933C40F69}"/>
    <cellStyle name="Comma 2 132" xfId="17466" xr:uid="{9477C6C8-7BEB-4331-BA41-7124678DC667}"/>
    <cellStyle name="Comma 2 132 2" xfId="17472" xr:uid="{EEAA916C-5C7E-48AF-BFE0-167414E34A5E}"/>
    <cellStyle name="Comma 2 132 3" xfId="17476" xr:uid="{8CC3977E-FC7C-480F-B9D0-CFA33A9D61F6}"/>
    <cellStyle name="Comma 2 133" xfId="17478" xr:uid="{4C20F21F-495E-4DB5-9903-34CE47D4A9E3}"/>
    <cellStyle name="Comma 2 133 2" xfId="17483" xr:uid="{7C0C5A0F-31BF-4210-BC19-3AC8C7211961}"/>
    <cellStyle name="Comma 2 133 3" xfId="17485" xr:uid="{F0DBA93A-5A03-46D4-9327-BC0C2387B990}"/>
    <cellStyle name="Comma 2 134" xfId="10683" xr:uid="{10E4CD15-A708-4301-91BC-74A49A2B21DF}"/>
    <cellStyle name="Comma 2 134 2" xfId="17488" xr:uid="{DCB198F8-8BE0-45E0-AEA9-9702D5D09FA5}"/>
    <cellStyle name="Comma 2 134 3" xfId="17490" xr:uid="{CF7D9977-FC23-421E-BEAA-1D529F10D2FE}"/>
    <cellStyle name="Comma 2 135" xfId="17506" xr:uid="{959CDA3E-5DAF-4E91-A161-BF369F60DB0F}"/>
    <cellStyle name="Comma 2 135 2" xfId="17508" xr:uid="{10452A29-0283-48EF-B70F-8F0F2D6511BA}"/>
    <cellStyle name="Comma 2 135 3" xfId="17510" xr:uid="{BBF0E8C4-499A-4BE0-BF8E-8653EFFE8BB0}"/>
    <cellStyle name="Comma 2 136" xfId="17512" xr:uid="{6771A0CA-F3B5-4755-8EE0-FE9BB87F601C}"/>
    <cellStyle name="Comma 2 136 2" xfId="17518" xr:uid="{2406CA65-17DF-42C2-BB44-207B1F94F35E}"/>
    <cellStyle name="Comma 2 136 3" xfId="17522" xr:uid="{42C3004E-BD82-4275-AD77-88E7AC57EC6F}"/>
    <cellStyle name="Comma 2 137" xfId="17524" xr:uid="{B40BDA43-B4F8-4BDD-B113-0CFCF28D8A2A}"/>
    <cellStyle name="Comma 2 137 2" xfId="17531" xr:uid="{3B446A16-1451-46EF-8071-DD6074E31886}"/>
    <cellStyle name="Comma 2 137 3" xfId="17535" xr:uid="{9D1B06EB-1943-4968-AA02-233DE00E751D}"/>
    <cellStyle name="Comma 2 138" xfId="17537" xr:uid="{342A969F-2C3B-4E9C-9FB5-862BECACCAC2}"/>
    <cellStyle name="Comma 2 138 2" xfId="906" xr:uid="{F59B29E7-1D8A-491F-93B2-4B307763F228}"/>
    <cellStyle name="Comma 2 138 3" xfId="911" xr:uid="{EB0F050B-F122-4256-9786-711E75CE3953}"/>
    <cellStyle name="Comma 2 139" xfId="17540" xr:uid="{973B56CB-E7DA-4C22-83BC-C513AC7CF2D7}"/>
    <cellStyle name="Comma 2 139 2" xfId="6696" xr:uid="{502F10B7-0525-4498-B225-09CE9859AA62}"/>
    <cellStyle name="Comma 2 139 3" xfId="6703" xr:uid="{22C98EA4-C404-467F-AA86-1F9DFEE7FDBB}"/>
    <cellStyle name="Comma 2 14" xfId="17547" xr:uid="{7AA100E9-9FFD-4C92-ABAE-C0ACF7690EC2}"/>
    <cellStyle name="Comma 2 14 2" xfId="17550" xr:uid="{493432E6-DE56-4E83-A22B-7113D44281A0}"/>
    <cellStyle name="Comma 2 14 3" xfId="17553" xr:uid="{4EB36CF8-FE47-4208-86FC-920AE58AEECE}"/>
    <cellStyle name="Comma 2 140" xfId="17507" xr:uid="{7C01659A-B171-4436-8CAC-942CC056E6DC}"/>
    <cellStyle name="Comma 2 140 2" xfId="17509" xr:uid="{333A1FEA-C8E1-499B-AD6B-5C7D723BD593}"/>
    <cellStyle name="Comma 2 140 3" xfId="17511" xr:uid="{EBBE19B4-5C17-4E3F-8FF6-705EE86BE02B}"/>
    <cellStyle name="Comma 2 141" xfId="17513" xr:uid="{55AF0C3C-DA03-4BB0-A922-C3D077BCEDF7}"/>
    <cellStyle name="Comma 2 141 2" xfId="17519" xr:uid="{89EC2B3B-E92A-4B7D-8B73-B4D212E04FBB}"/>
    <cellStyle name="Comma 2 141 3" xfId="17523" xr:uid="{32775539-AAEF-412A-A3E0-1BC01766FE6E}"/>
    <cellStyle name="Comma 2 142" xfId="17525" xr:uid="{011B18A8-EF36-49FA-8643-D6EAA24E61B8}"/>
    <cellStyle name="Comma 2 142 2" xfId="17532" xr:uid="{728FC384-3D3A-48F2-97C9-38E7C4378338}"/>
    <cellStyle name="Comma 2 142 3" xfId="17536" xr:uid="{64BFC15D-3BC9-4A04-8F0F-79A1ED1D2C9F}"/>
    <cellStyle name="Comma 2 143" xfId="17538" xr:uid="{CA761ACC-CED8-439A-8ED2-6435EB5960B7}"/>
    <cellStyle name="Comma 2 143 2" xfId="907" xr:uid="{AB45D3A2-B494-4483-B998-35657B598EF0}"/>
    <cellStyle name="Comma 2 143 3" xfId="912" xr:uid="{3CDE6C81-7E02-465E-9161-851B1492D5DA}"/>
    <cellStyle name="Comma 2 144" xfId="17541" xr:uid="{EC0F5685-F12E-4A46-AB09-82583722CFB6}"/>
    <cellStyle name="Comma 2 144 2" xfId="6697" xr:uid="{B2C8A1C7-E602-4DFB-A4C7-E738647583F6}"/>
    <cellStyle name="Comma 2 144 3" xfId="6704" xr:uid="{CD6BEAB3-8511-4EA0-B5FA-86A406FB8D24}"/>
    <cellStyle name="Comma 2 145" xfId="17557" xr:uid="{9E97CD14-9EAE-4CF4-8260-2D9825E541BC}"/>
    <cellStyle name="Comma 2 145 2" xfId="6738" xr:uid="{E35FE122-401D-46A3-9767-8FCDBA0EEE54}"/>
    <cellStyle name="Comma 2 145 3" xfId="6750" xr:uid="{87FF4E44-CD7D-423D-A8B8-B297E4C37BE1}"/>
    <cellStyle name="Comma 2 146" xfId="17561" xr:uid="{7D0402B3-FB60-408E-A482-EF2C6894D76C}"/>
    <cellStyle name="Comma 2 146 2" xfId="6767" xr:uid="{81CC8724-1DCA-4F04-AD17-4144AF222BED}"/>
    <cellStyle name="Comma 2 146 3" xfId="6778" xr:uid="{77D3351F-0A63-4225-8379-48DDD99D7E6A}"/>
    <cellStyle name="Comma 2 147" xfId="17565" xr:uid="{BFE988A6-1DE6-49F9-8DEE-1C4E9B1D4974}"/>
    <cellStyle name="Comma 2 147 2" xfId="6797" xr:uid="{CEC29761-CB4D-4C0E-9DA8-BF6344515749}"/>
    <cellStyle name="Comma 2 147 2 2" xfId="17569" xr:uid="{0CACBF4D-5CA6-4413-80DF-FFDA005F92E9}"/>
    <cellStyle name="Comma 2 147 3" xfId="14088" xr:uid="{5BA9C97A-5EE4-4087-A9FB-591F19BE4C83}"/>
    <cellStyle name="Comma 2 147 4" xfId="17573" xr:uid="{C93B0B92-FE45-467D-8704-2A840888E9EA}"/>
    <cellStyle name="Comma 2 147 5" xfId="17577" xr:uid="{06CB6FB5-2FCA-4C0A-BFFD-B81F98AC990F}"/>
    <cellStyle name="Comma 2 148" xfId="17579" xr:uid="{D42EBAAB-14F2-4E7B-877F-EFDA5C872FDD}"/>
    <cellStyle name="Comma 2 148 2" xfId="17584" xr:uid="{FED21855-E3BB-4FD6-A141-8C1FBB6F34E8}"/>
    <cellStyle name="Comma 2 148 3" xfId="17587" xr:uid="{41AF4887-56DF-4C05-B902-1D73D1343A8B}"/>
    <cellStyle name="Comma 2 149" xfId="17590" xr:uid="{F11A4FEC-CAB8-4E0A-B931-8858BB1B616A}"/>
    <cellStyle name="Comma 2 149 2" xfId="17594" xr:uid="{DDC96174-DA36-4E29-BBD9-EF244DDC3615}"/>
    <cellStyle name="Comma 2 149 3" xfId="17597" xr:uid="{CA207D64-DDE4-4FBA-B59C-DFDA5EB143A3}"/>
    <cellStyle name="Comma 2 149 4" xfId="17600" xr:uid="{9407587D-6D2A-455F-B9CB-C04793E79C9E}"/>
    <cellStyle name="Comma 2 15" xfId="17606" xr:uid="{681907B9-006E-4154-8C32-0971C509AF6F}"/>
    <cellStyle name="Comma 2 15 2" xfId="17608" xr:uid="{528CE2D5-0AA0-4EAC-8EC9-AC3112C7EF94}"/>
    <cellStyle name="Comma 2 15 3" xfId="17610" xr:uid="{2EB75C17-ECE0-42C9-B7F3-D32A7D54B2EB}"/>
    <cellStyle name="Comma 2 150" xfId="17558" xr:uid="{B90DFFB9-A0BD-4891-BFE2-1F25490C49ED}"/>
    <cellStyle name="Comma 2 150 2" xfId="6739" xr:uid="{120BF98A-3086-456E-948B-DC6F09C8C54C}"/>
    <cellStyle name="Comma 2 150 3" xfId="6751" xr:uid="{74A2ADFA-31AB-4AA5-9138-2FEB84E3EE2C}"/>
    <cellStyle name="Comma 2 151" xfId="17562" xr:uid="{80EBE99F-3354-44AC-BB30-455E3DC288A0}"/>
    <cellStyle name="Comma 2 151 2" xfId="6768" xr:uid="{060B0BD0-4FF7-428D-9570-6D06105A055E}"/>
    <cellStyle name="Comma 2 151 3" xfId="6779" xr:uid="{D120A56E-8EB8-4A77-832B-D9407B09CCED}"/>
    <cellStyle name="Comma 2 152" xfId="17566" xr:uid="{4D2DD4AB-4C81-4595-BB1B-66F7B39433CB}"/>
    <cellStyle name="Comma 2 152 2" xfId="6798" xr:uid="{E8BE773D-AD52-40DF-BCEB-5634928DAE06}"/>
    <cellStyle name="Comma 2 152 3" xfId="14089" xr:uid="{1B88505D-5A2F-46C1-B56B-78791E4F61A4}"/>
    <cellStyle name="Comma 2 153" xfId="17580" xr:uid="{F9B46C58-DA5F-4EA1-B583-733CCD8D8D1D}"/>
    <cellStyle name="Comma 2 153 2" xfId="17585" xr:uid="{7F0B2962-4989-4A2C-B33C-631E86B5905A}"/>
    <cellStyle name="Comma 2 153 3" xfId="17588" xr:uid="{BC752D52-235E-4487-87C5-3E218A76A7F2}"/>
    <cellStyle name="Comma 2 154" xfId="17591" xr:uid="{2CBF137B-1AA0-41A1-BD19-1A23EC5E4040}"/>
    <cellStyle name="Comma 2 154 2" xfId="17595" xr:uid="{B12832BF-DF4E-43A6-B5F8-FD78C0345D41}"/>
    <cellStyle name="Comma 2 154 3" xfId="17598" xr:uid="{7EEA046B-26B1-4B8F-A799-A40F338D8DF4}"/>
    <cellStyle name="Comma 2 155" xfId="17612" xr:uid="{24684621-BD5C-4255-AF2D-8333E68E49A8}"/>
    <cellStyle name="Comma 2 155 2" xfId="17616" xr:uid="{11223E5B-D14A-472F-AC10-485EEFD1217A}"/>
    <cellStyle name="Comma 2 155 3" xfId="17620" xr:uid="{67B10E0D-B87B-4BBB-B6D5-1860C74AAF55}"/>
    <cellStyle name="Comma 2 156" xfId="17623" xr:uid="{DD987595-8116-4FE4-B039-30AE9394BC4B}"/>
    <cellStyle name="Comma 2 156 2" xfId="17629" xr:uid="{9E73E6A8-3105-4272-B662-E22D304D256B}"/>
    <cellStyle name="Comma 2 156 3" xfId="17635" xr:uid="{CDE07229-B86A-4DA9-B9F3-407C6F857A0B}"/>
    <cellStyle name="Comma 2 157" xfId="17637" xr:uid="{51107CF9-666F-4B2F-9D4F-58841432B1AC}"/>
    <cellStyle name="Comma 2 157 2" xfId="17643" xr:uid="{C76A5120-71A2-4D7C-80E4-3EA288D89A6A}"/>
    <cellStyle name="Comma 2 157 3" xfId="17649" xr:uid="{35E2E437-544D-4497-8BC2-ABD984CF3635}"/>
    <cellStyle name="Comma 2 158" xfId="17651" xr:uid="{D5185B0C-D368-4105-9741-74345B1CE768}"/>
    <cellStyle name="Comma 2 158 2" xfId="17655" xr:uid="{ACEE0CF4-E47C-4F41-9754-BE9A92B0526C}"/>
    <cellStyle name="Comma 2 158 3" xfId="1811" xr:uid="{BD6013D4-BFE6-4456-8DC5-876E530B6F7E}"/>
    <cellStyle name="Comma 2 159" xfId="12496" xr:uid="{B6B24469-C5BA-4D07-B4DE-C478E3D40C95}"/>
    <cellStyle name="Comma 2 159 2" xfId="12501" xr:uid="{A92ECF5E-6DBD-4109-9ACA-01AEDA375D48}"/>
    <cellStyle name="Comma 2 159 3" xfId="12527" xr:uid="{FEB95F41-A9B3-4E11-88A6-395EBD3741D0}"/>
    <cellStyle name="Comma 2 16" xfId="17663" xr:uid="{D49BA7CC-05F7-4C2B-853B-30FC7077CB7B}"/>
    <cellStyle name="Comma 2 16 2" xfId="17665" xr:uid="{3D07BB04-86AD-43F0-8D4B-9AAD4B507027}"/>
    <cellStyle name="Comma 2 16 3" xfId="17667" xr:uid="{81ECA8FF-3CDB-47F7-B872-7FAFA39921F0}"/>
    <cellStyle name="Comma 2 160" xfId="17613" xr:uid="{9A66351C-5BBD-4F8B-A696-FFABE0A0B562}"/>
    <cellStyle name="Comma 2 160 2" xfId="17617" xr:uid="{582F5A87-F5FF-42E2-8F46-53BACF8E65FC}"/>
    <cellStyle name="Comma 2 160 3" xfId="17621" xr:uid="{54F3D927-F416-46A3-8725-DC0E92C22022}"/>
    <cellStyle name="Comma 2 161" xfId="17624" xr:uid="{BD2323C2-DA66-477E-A903-B3DF49089E01}"/>
    <cellStyle name="Comma 2 161 2" xfId="17630" xr:uid="{C7F11CF1-3776-4041-9ADE-90F2C2C35FCD}"/>
    <cellStyle name="Comma 2 162" xfId="17638" xr:uid="{5F00A118-B87B-484D-AE78-809D00C01EE5}"/>
    <cellStyle name="Comma 2 162 2" xfId="17644" xr:uid="{425D8356-C099-4D92-9AF6-CD5B160BDBD9}"/>
    <cellStyle name="Comma 2 163" xfId="17652" xr:uid="{80D95FB6-DF8E-409C-8E23-59AEB33BCA50}"/>
    <cellStyle name="Comma 2 163 2" xfId="17656" xr:uid="{D40F9ACA-51BB-451E-9CF6-953A3974385E}"/>
    <cellStyle name="Comma 2 164" xfId="12497" xr:uid="{588F6678-360D-46E3-9382-7230F52B8B83}"/>
    <cellStyle name="Comma 2 164 2" xfId="12502" xr:uid="{B2218369-59E7-468C-BADE-36547D031795}"/>
    <cellStyle name="Comma 2 165" xfId="12542" xr:uid="{712D6FDD-6F64-4F57-BF57-B7A34082C6BB}"/>
    <cellStyle name="Comma 2 165 2" xfId="12547" xr:uid="{2C7FA4BE-770C-4D14-B0B9-44A03C9CC0A9}"/>
    <cellStyle name="Comma 2 166" xfId="12569" xr:uid="{1BD72951-EBC9-4541-A5B2-6B060FCB85BF}"/>
    <cellStyle name="Comma 2 166 2" xfId="12575" xr:uid="{9F0EC5C7-EC39-4DFE-B9E5-F39301CBD3ED}"/>
    <cellStyle name="Comma 2 167" xfId="12586" xr:uid="{70CAA2A6-16BA-4267-A984-3A1898BF3E1D}"/>
    <cellStyle name="Comma 2 167 2" xfId="2142" xr:uid="{4652D63D-54A3-4F83-B88C-14FFC6FEB1C3}"/>
    <cellStyle name="Comma 2 168" xfId="963" xr:uid="{CAAAA567-84DE-4BFB-A8B1-94CDF8CC3BD7}"/>
    <cellStyle name="Comma 2 168 2" xfId="1166" xr:uid="{E3F8206A-4207-48C6-9D3C-6AF71B5DADF2}"/>
    <cellStyle name="Comma 2 169" xfId="973" xr:uid="{0B989E8B-E892-4A8A-B663-8E4DFD26CC25}"/>
    <cellStyle name="Comma 2 169 2" xfId="2205" xr:uid="{6B3255B7-519F-4F32-B174-B2ADF333AA81}"/>
    <cellStyle name="Comma 2 17" xfId="17671" xr:uid="{43F27F0D-3ECC-4F7F-803E-4E06F1D2ECE2}"/>
    <cellStyle name="Comma 2 17 2" xfId="17673" xr:uid="{B9D3A578-922C-4237-B573-00E6A88A52DC}"/>
    <cellStyle name="Comma 2 17 3" xfId="17675" xr:uid="{F8BC0C92-509B-45A5-8CE5-B738BDFB2F6A}"/>
    <cellStyle name="Comma 2 170" xfId="12543" xr:uid="{9028C671-FDD3-4D1E-9BC7-316B6AD0212F}"/>
    <cellStyle name="Comma 2 170 2" xfId="12548" xr:uid="{09867106-73E1-4803-A03C-98895546CA89}"/>
    <cellStyle name="Comma 2 171" xfId="12570" xr:uid="{C09207B6-FEE3-4FBD-9411-96D340952FEC}"/>
    <cellStyle name="Comma 2 171 2" xfId="12576" xr:uid="{4B792A61-00B1-496D-8029-1298D8EC7E97}"/>
    <cellStyle name="Comma 2 172" xfId="12587" xr:uid="{4504ECBE-B9E7-435C-BFE6-C709D402566C}"/>
    <cellStyle name="Comma 2 172 2" xfId="2143" xr:uid="{D8552309-A99C-4E71-995F-DC28771C5E77}"/>
    <cellStyle name="Comma 2 173" xfId="964" xr:uid="{479CC5C7-7E53-4C35-91DD-F53761F5F451}"/>
    <cellStyle name="Comma 2 173 2" xfId="1167" xr:uid="{639AA982-9254-42B3-B9B3-2075C46E410A}"/>
    <cellStyle name="Comma 2 174" xfId="974" xr:uid="{C4C24053-4E67-4283-83AE-5F144C9A9F2E}"/>
    <cellStyle name="Comma 2 174 2" xfId="2206" xr:uid="{5FE2FCA1-954B-472F-B2A1-2AAB5E7EBE52}"/>
    <cellStyle name="Comma 2 175" xfId="12592" xr:uid="{EA8F0E8B-D3DF-4EC1-99CE-24C691F82523}"/>
    <cellStyle name="Comma 2 175 2" xfId="17678" xr:uid="{92C02A42-75B1-4ADE-8E74-F1B235DEE0CA}"/>
    <cellStyle name="Comma 2 176" xfId="17680" xr:uid="{DCC483BC-B857-401C-BF97-251C0927C81A}"/>
    <cellStyle name="Comma 2 176 2" xfId="17684" xr:uid="{CCF57C75-0F9D-4D21-BFCE-9F06D0D8E52E}"/>
    <cellStyle name="Comma 2 177" xfId="17686" xr:uid="{0B7F8F91-49C2-4FE6-BD9C-74E1EE3D335D}"/>
    <cellStyle name="Comma 2 177 2" xfId="17690" xr:uid="{30EB47CA-2D7D-44F0-BF21-FB08DF4D92F7}"/>
    <cellStyle name="Comma 2 178" xfId="17692" xr:uid="{55742059-20FC-4B99-B452-CFCBC585D169}"/>
    <cellStyle name="Comma 2 178 2" xfId="17696" xr:uid="{53B9D78E-9148-40BF-AF65-546D7B35AB8A}"/>
    <cellStyle name="Comma 2 179" xfId="17699" xr:uid="{BC1D70B6-A1D6-40DE-9870-DC4A23457874}"/>
    <cellStyle name="Comma 2 179 2" xfId="17703" xr:uid="{24BFFB5D-A3FC-46DC-9E10-26DCBD61778D}"/>
    <cellStyle name="Comma 2 18" xfId="17708" xr:uid="{87CB073C-6297-4958-A03F-60B9BDD71818}"/>
    <cellStyle name="Comma 2 18 2" xfId="17710" xr:uid="{BB357340-8C22-4ABA-B930-6178BE2BA1D1}"/>
    <cellStyle name="Comma 2 18 3" xfId="17714" xr:uid="{04D43E6E-7D03-4205-ABFB-CE11F0298E27}"/>
    <cellStyle name="Comma 2 180" xfId="12593" xr:uid="{CF7EBB5A-D82F-45D3-96C6-19E1D84B3EB4}"/>
    <cellStyle name="Comma 2 180 2" xfId="17679" xr:uid="{0E822C09-C59A-47C5-9726-EC01FA6E15C6}"/>
    <cellStyle name="Comma 2 181" xfId="17681" xr:uid="{AD74F3D0-99F1-4DFB-B0B6-631D4878A7A4}"/>
    <cellStyle name="Comma 2 181 2" xfId="17685" xr:uid="{CFC04218-FAFF-4CA2-B1C8-612A37DDA515}"/>
    <cellStyle name="Comma 2 182" xfId="17687" xr:uid="{CB5A496A-C5ED-4477-8D3D-71DCB606EC64}"/>
    <cellStyle name="Comma 2 182 2" xfId="17691" xr:uid="{723991C8-90EA-459A-BC5E-C2E562C20DC5}"/>
    <cellStyle name="Comma 2 183" xfId="17693" xr:uid="{C06F4B22-8309-4122-ACA4-AABE8E1076A7}"/>
    <cellStyle name="Comma 2 183 2" xfId="17697" xr:uid="{435FE421-738B-4AE3-8582-E21361758D56}"/>
    <cellStyle name="Comma 2 184" xfId="17700" xr:uid="{64A1508D-81B2-4E70-B94E-183515DB63C5}"/>
    <cellStyle name="Comma 2 184 2" xfId="17704" xr:uid="{9FC42904-C46C-4ABE-9231-6E47EA22B5BA}"/>
    <cellStyle name="Comma 2 185" xfId="17718" xr:uid="{9CEB5910-8369-4757-9F0C-208E6D749458}"/>
    <cellStyle name="Comma 2 185 2" xfId="17722" xr:uid="{034D08B6-6792-446F-822E-0B1C3400DEC1}"/>
    <cellStyle name="Comma 2 186" xfId="17724" xr:uid="{612BCBA0-92E3-422E-B146-85CCCED2AA55}"/>
    <cellStyle name="Comma 2 186 2" xfId="17728" xr:uid="{9B431189-3908-48BD-A444-1917E1134C10}"/>
    <cellStyle name="Comma 2 187" xfId="17730" xr:uid="{9B4E4D61-18D7-4AC6-B28B-68535E2940F7}"/>
    <cellStyle name="Comma 2 187 2" xfId="17735" xr:uid="{E6F570C5-E3E2-42B4-AB03-F1BD80564BBF}"/>
    <cellStyle name="Comma 2 188" xfId="17737" xr:uid="{11F33CEE-AA67-4852-85B3-46817B53EDA1}"/>
    <cellStyle name="Comma 2 188 2" xfId="6820" xr:uid="{13EC6371-0BD9-48A3-9421-BB4B25BA9356}"/>
    <cellStyle name="Comma 2 189" xfId="17742" xr:uid="{4B9F3F34-3279-4619-82E0-DAD2BAFB38FF}"/>
    <cellStyle name="Comma 2 189 2" xfId="6832" xr:uid="{864B9218-A0A6-4820-88D2-E97B5711CA83}"/>
    <cellStyle name="Comma 2 19" xfId="17751" xr:uid="{A21CD85C-FEA7-40FF-A791-AE208C7AED67}"/>
    <cellStyle name="Comma 2 19 2" xfId="17753" xr:uid="{04C71E6A-546D-4A17-B4E3-544467A57F81}"/>
    <cellStyle name="Comma 2 19 3" xfId="17758" xr:uid="{7540E2E2-33AB-4281-862F-E6388FD7A684}"/>
    <cellStyle name="Comma 2 190" xfId="17719" xr:uid="{2C9CF06D-2703-4759-9C21-56C35DEB3DF2}"/>
    <cellStyle name="Comma 2 190 2" xfId="17723" xr:uid="{8EEEAE85-B73A-4EF5-8C18-14E725B89585}"/>
    <cellStyle name="Comma 2 191" xfId="17725" xr:uid="{89DECC24-00FF-4F6A-B70D-B3E8576676FD}"/>
    <cellStyle name="Comma 2 191 2" xfId="17729" xr:uid="{1DB12954-2C92-4A90-AE19-603EB7AB896F}"/>
    <cellStyle name="Comma 2 192" xfId="17731" xr:uid="{EDF6E20C-7350-42E6-943B-FF2E5BEE9CEC}"/>
    <cellStyle name="Comma 2 192 2" xfId="17736" xr:uid="{F28681AD-21FD-4CA5-93D2-4B2154468F02}"/>
    <cellStyle name="Comma 2 193" xfId="17738" xr:uid="{6AD2F2DE-8AC2-4142-9A7A-4AA5C6B211E3}"/>
    <cellStyle name="Comma 2 193 2" xfId="6821" xr:uid="{49D00619-1CE6-42B0-B1E6-EBE3ED44B55F}"/>
    <cellStyle name="Comma 2 194" xfId="17743" xr:uid="{4328F73E-01FF-4B31-ADFC-2FE09FF27F85}"/>
    <cellStyle name="Comma 2 194 2" xfId="6833" xr:uid="{7A00A426-36DA-4155-A96E-4F0F6A605F88}"/>
    <cellStyle name="Comma 2 195" xfId="17762" xr:uid="{E7B15BBE-7632-4DC1-97C4-637290614FE3}"/>
    <cellStyle name="Comma 2 195 2" xfId="6855" xr:uid="{6D27A735-F19B-4D96-A1DA-AA51AF9674EE}"/>
    <cellStyle name="Comma 2 196" xfId="17766" xr:uid="{0061EF7D-5AFA-42C1-8B0C-2B270BE68745}"/>
    <cellStyle name="Comma 2 196 2" xfId="6875" xr:uid="{99180011-D95F-4A8A-8FC2-5517779363C0}"/>
    <cellStyle name="Comma 2 197" xfId="17770" xr:uid="{FB49FEDB-8B45-4254-8F77-1AB9E624E5D7}"/>
    <cellStyle name="Comma 2 197 2" xfId="17774" xr:uid="{9101D82A-A968-4BD7-A7EA-969500B3F5E1}"/>
    <cellStyle name="Comma 2 198" xfId="17775" xr:uid="{F972D157-5601-4A4C-B5DD-402640ACA2BE}"/>
    <cellStyle name="Comma 2 198 2" xfId="17779" xr:uid="{65ACB4D6-94A9-4635-9945-503ED06E03C8}"/>
    <cellStyle name="Comma 2 199" xfId="17781" xr:uid="{205CA4D8-1ABB-41F1-AAE6-0769FBA0612A}"/>
    <cellStyle name="Comma 2 199 2" xfId="17787" xr:uid="{72530726-1AD7-470A-AC78-05030F821DAC}"/>
    <cellStyle name="Comma 2 2" xfId="9" xr:uid="{C9A950CD-1363-4F66-9FE3-77536D6C0FD0}"/>
    <cellStyle name="Comma 2 2 10" xfId="16873" xr:uid="{05F8C767-8A40-4365-B051-738BB98B0A5F}"/>
    <cellStyle name="Comma 2 2 10 2" xfId="16875" xr:uid="{3ACBA877-EBB1-4CC2-93BA-C07697B311E2}"/>
    <cellStyle name="Comma 2 2 10 3" xfId="16892" xr:uid="{58739CF3-A2CA-45E5-9E38-7482CFFECDF5}"/>
    <cellStyle name="Comma 2 2 10 3 2" xfId="54148" xr:uid="{A261C485-B758-4F69-8A25-F67D285351A7}"/>
    <cellStyle name="Comma 2 2 100" xfId="11510" xr:uid="{7EFFD84D-30C1-4985-B239-3DDF476ED843}"/>
    <cellStyle name="Comma 2 2 100 2" xfId="17790" xr:uid="{C1AE432B-649F-4D7A-A03F-9FC65003A536}"/>
    <cellStyle name="Comma 2 2 100 3" xfId="17795" xr:uid="{CEFCB8EB-F345-4033-81E0-57B7A31B9DA1}"/>
    <cellStyle name="Comma 2 2 101" xfId="17798" xr:uid="{87E30C58-7D25-494F-A256-6AC89BC29396}"/>
    <cellStyle name="Comma 2 2 101 2" xfId="17804" xr:uid="{A245ED77-0897-418F-A2D7-BF92F98A64E9}"/>
    <cellStyle name="Comma 2 2 101 3" xfId="17811" xr:uid="{C2E4536A-373B-4A13-B4D0-2B57BE636176}"/>
    <cellStyle name="Comma 2 2 102" xfId="17814" xr:uid="{317E73F9-B6D0-40C4-BDED-66CCC56379DE}"/>
    <cellStyle name="Comma 2 2 102 2" xfId="17816" xr:uid="{AB42E84B-B8B0-4301-AEB3-D299137D0B4D}"/>
    <cellStyle name="Comma 2 2 102 3" xfId="7904" xr:uid="{9B8FFE31-C5CE-423D-95BD-2A5A09F6341A}"/>
    <cellStyle name="Comma 2 2 103" xfId="17817" xr:uid="{9A6664A8-4749-4FE0-9578-7C83BF0C8B9A}"/>
    <cellStyle name="Comma 2 2 103 2" xfId="17819" xr:uid="{2FF65722-D09C-4E25-BC92-7EE5F91C60BF}"/>
    <cellStyle name="Comma 2 2 103 3" xfId="5774" xr:uid="{D6066980-D98A-4104-9553-01B5F6180A47}"/>
    <cellStyle name="Comma 2 2 104" xfId="17820" xr:uid="{2C2E0AF9-3016-403E-94D5-EE35B0893311}"/>
    <cellStyle name="Comma 2 2 104 2" xfId="17822" xr:uid="{1AF8CBE8-FA6E-4CB0-9BD8-33E1E04016A7}"/>
    <cellStyle name="Comma 2 2 104 3" xfId="17826" xr:uid="{D2B6993D-C677-4CAD-BA7D-1A02D46EBF29}"/>
    <cellStyle name="Comma 2 2 105" xfId="17827" xr:uid="{994AA659-6100-46B2-8B01-738448266F25}"/>
    <cellStyle name="Comma 2 2 105 2" xfId="17829" xr:uid="{0DFD8862-E113-4E23-A86C-E042364F94CC}"/>
    <cellStyle name="Comma 2 2 105 3" xfId="17830" xr:uid="{FE3A1A47-364D-425A-8093-F1C40F10CA5B}"/>
    <cellStyle name="Comma 2 2 106" xfId="17832" xr:uid="{72609B00-F185-424C-8790-44972E732301}"/>
    <cellStyle name="Comma 2 2 106 2" xfId="17836" xr:uid="{690A8976-BED6-4E45-89A3-81A9B1249D9A}"/>
    <cellStyle name="Comma 2 2 106 3" xfId="17839" xr:uid="{34C002DF-7931-4A98-931B-43DDB710517A}"/>
    <cellStyle name="Comma 2 2 107" xfId="17841" xr:uid="{E8856A21-EA23-419C-AFFE-E29E65524D52}"/>
    <cellStyle name="Comma 2 2 107 2" xfId="17844" xr:uid="{E7135C42-DF7F-4583-9F74-4E916509362A}"/>
    <cellStyle name="Comma 2 2 107 3" xfId="17846" xr:uid="{469C3481-F1DA-4D5D-A7CF-FF8DB7A77CC9}"/>
    <cellStyle name="Comma 2 2 108" xfId="17848" xr:uid="{85327593-89F9-49DB-85F8-5EFDF086DEF4}"/>
    <cellStyle name="Comma 2 2 109" xfId="17851" xr:uid="{0270FEE0-E794-4978-BAAB-4E5F05541617}"/>
    <cellStyle name="Comma 2 2 11" xfId="16907" xr:uid="{3AE3A951-74B6-40FD-9826-5F694878FBA6}"/>
    <cellStyle name="Comma 2 2 11 2" xfId="16910" xr:uid="{283E607B-23F0-40B4-AD58-F82DE7BC4159}"/>
    <cellStyle name="Comma 2 2 11 3" xfId="16822" xr:uid="{9EF242ED-ED47-4E5E-9322-B141BB3117E1}"/>
    <cellStyle name="Comma 2 2 110" xfId="17828" xr:uid="{2E65C56D-E0CD-473F-A8D2-DDA4C80BEA13}"/>
    <cellStyle name="Comma 2 2 111" xfId="17833" xr:uid="{59804AFF-653B-4451-A8E4-2E3B81F4692E}"/>
    <cellStyle name="Comma 2 2 112" xfId="17842" xr:uid="{448624EE-F566-4D58-B673-77F3C16B320D}"/>
    <cellStyle name="Comma 2 2 113" xfId="17849" xr:uid="{C43B564B-EAFA-48BE-9074-5C00821CF62B}"/>
    <cellStyle name="Comma 2 2 114" xfId="17852" xr:uid="{C108F688-A0B5-4A99-9112-9735DEDF4FE7}"/>
    <cellStyle name="Comma 2 2 115" xfId="17853" xr:uid="{532D2688-04CF-427E-A720-CA219BD34E6B}"/>
    <cellStyle name="Comma 2 2 116" xfId="17855" xr:uid="{953B4F83-0F8D-43B2-8A73-8ABC0EAF77B5}"/>
    <cellStyle name="Comma 2 2 117" xfId="17858" xr:uid="{494BDDE4-AFD9-4A09-82AD-D9534DC3044E}"/>
    <cellStyle name="Comma 2 2 118" xfId="17861" xr:uid="{B8344387-4FA7-479A-8226-6120CB4E9BC1}"/>
    <cellStyle name="Comma 2 2 119" xfId="17864" xr:uid="{A3F44EC2-9A50-4109-A0A3-95467B23FACE}"/>
    <cellStyle name="Comma 2 2 12" xfId="16917" xr:uid="{6677594B-D8DC-4294-959C-328C6B629840}"/>
    <cellStyle name="Comma 2 2 12 2" xfId="16919" xr:uid="{D5A19556-0C67-4E30-A3B1-F14A263D838B}"/>
    <cellStyle name="Comma 2 2 12 3" xfId="16668" xr:uid="{BF3917BA-2350-4A9A-8CFA-E07FBABA5AF2}"/>
    <cellStyle name="Comma 2 2 120" xfId="17854" xr:uid="{FBAB625A-D379-4CE6-AEF2-F284537DD062}"/>
    <cellStyle name="Comma 2 2 121" xfId="17856" xr:uid="{2CA2F9AE-AB88-4D50-B28B-50CA4106F53F}"/>
    <cellStyle name="Comma 2 2 122" xfId="17859" xr:uid="{B74EE727-A7CD-4534-9C44-68DD0FCEFA19}"/>
    <cellStyle name="Comma 2 2 123" xfId="17862" xr:uid="{CFC09E08-0D2A-4192-B763-F4B12A1DC91E}"/>
    <cellStyle name="Comma 2 2 124" xfId="17865" xr:uid="{A681E5D3-00FD-4E84-BE8C-D4FCCF97BB9B}"/>
    <cellStyle name="Comma 2 2 125" xfId="14930" xr:uid="{27C6EBD4-8CDD-435A-8A8C-4A18EB0B00F7}"/>
    <cellStyle name="Comma 2 2 126" xfId="17866" xr:uid="{7CBC81FA-9796-47F7-908B-828438BAD4A3}"/>
    <cellStyle name="Comma 2 2 127" xfId="17868" xr:uid="{63CAD924-7733-4A47-9F8B-B748ED5A9073}"/>
    <cellStyle name="Comma 2 2 128" xfId="17871" xr:uid="{CF0562B5-BF4F-4A54-8A14-266A0AC7569F}"/>
    <cellStyle name="Comma 2 2 129" xfId="17874" xr:uid="{164EBC03-BDFB-47E2-9C67-0FB710B3414C}"/>
    <cellStyle name="Comma 2 2 13" xfId="16922" xr:uid="{6706C8E5-67B3-4712-8114-6876D0DEAB20}"/>
    <cellStyle name="Comma 2 2 13 2" xfId="16924" xr:uid="{32CCE63C-F42A-4DE3-B4BF-21DD0582A35B}"/>
    <cellStyle name="Comma 2 2 13 3" xfId="16692" xr:uid="{1016463E-F26C-4028-9BE0-376D75FC7AEB}"/>
    <cellStyle name="Comma 2 2 130" xfId="14931" xr:uid="{F1D59D79-AD4C-441E-92BA-0CFAAB3D5418}"/>
    <cellStyle name="Comma 2 2 131" xfId="17867" xr:uid="{50D345B6-6970-4B37-87DD-A6E509A11059}"/>
    <cellStyle name="Comma 2 2 132" xfId="17869" xr:uid="{D5ABEBBE-F3BD-4F09-AE84-028C31B2B7A5}"/>
    <cellStyle name="Comma 2 2 133" xfId="17872" xr:uid="{40ADE37C-A711-4025-BCD2-D79D5FF88938}"/>
    <cellStyle name="Comma 2 2 134" xfId="17875" xr:uid="{8BCCAAEB-C154-47C6-9A23-295BE501640E}"/>
    <cellStyle name="Comma 2 2 135" xfId="9781" xr:uid="{6AB3B8CF-B997-4F30-89AC-08F101CA736F}"/>
    <cellStyle name="Comma 2 2 136" xfId="9786" xr:uid="{5880F87B-7EF0-4EC9-BB99-4E1683F76EA0}"/>
    <cellStyle name="Comma 2 2 137" xfId="17879" xr:uid="{D6C583F9-3B07-4F07-A060-5322848A783C}"/>
    <cellStyle name="Comma 2 2 138" xfId="17882" xr:uid="{A20D9381-9152-45C9-B143-B38F628AF5C8}"/>
    <cellStyle name="Comma 2 2 139" xfId="17885" xr:uid="{F17DED35-01BF-4083-8651-FE54EB5CD46B}"/>
    <cellStyle name="Comma 2 2 14" xfId="16928" xr:uid="{221F28B3-03C1-4656-83B7-780962B14591}"/>
    <cellStyle name="Comma 2 2 14 2" xfId="17888" xr:uid="{586BF06F-9BC5-488C-844B-8B6E5D7A268D}"/>
    <cellStyle name="Comma 2 2 14 3" xfId="16709" xr:uid="{78BA37B5-10FF-4AD8-B1AC-CA7ED9DBFD82}"/>
    <cellStyle name="Comma 2 2 140" xfId="9782" xr:uid="{09147455-72A1-4F5F-8DCA-3F1124FD3D62}"/>
    <cellStyle name="Comma 2 2 141" xfId="9787" xr:uid="{79084798-AE36-4843-9BE2-C639FD8F617D}"/>
    <cellStyle name="Comma 2 2 142" xfId="17880" xr:uid="{1BAE3C04-5649-4A53-B399-075232F213FC}"/>
    <cellStyle name="Comma 2 2 143" xfId="17883" xr:uid="{D481E172-1ACD-47E5-A16A-4B044E1ABA53}"/>
    <cellStyle name="Comma 2 2 144" xfId="17886" xr:uid="{4A04F253-4C0D-4402-8EE3-F6D305D1F82B}"/>
    <cellStyle name="Comma 2 2 145" xfId="17891" xr:uid="{16CB9875-3708-4502-8342-F944D1F358AF}"/>
    <cellStyle name="Comma 2 2 146" xfId="17895" xr:uid="{B05E044C-34B2-4CBB-A895-2ED292A94238}"/>
    <cellStyle name="Comma 2 2 147" xfId="17899" xr:uid="{401097B2-5E9F-4443-846A-1D4073BC5200}"/>
    <cellStyle name="Comma 2 2 148" xfId="17903" xr:uid="{9CF55CC1-FA96-407E-AC53-BF81191B9A0D}"/>
    <cellStyle name="Comma 2 2 149" xfId="17907" xr:uid="{E53FE336-6D46-44AE-9ABE-85763F999CD9}"/>
    <cellStyle name="Comma 2 2 15" xfId="16932" xr:uid="{5416B858-E5A7-41EE-ABCE-F7D97A023B71}"/>
    <cellStyle name="Comma 2 2 15 2" xfId="17913" xr:uid="{FEA3ECD4-8D0B-4B41-AF41-39EB2E01360D}"/>
    <cellStyle name="Comma 2 2 15 3" xfId="4598" xr:uid="{BD8AB7D8-58D6-4EC7-9AFC-6265E5BCF4F7}"/>
    <cellStyle name="Comma 2 2 150" xfId="17892" xr:uid="{357E542C-1124-4E60-A4ED-3F2017AC66AC}"/>
    <cellStyle name="Comma 2 2 151" xfId="17896" xr:uid="{8354B5DF-35BA-4EB5-B320-6C938BF7F0E1}"/>
    <cellStyle name="Comma 2 2 152" xfId="17900" xr:uid="{47D7D0B4-FA43-4633-82AC-38B592BB2E55}"/>
    <cellStyle name="Comma 2 2 153" xfId="17904" xr:uid="{EF05AF11-B48F-43EE-8A3F-0DD4E61F1E79}"/>
    <cellStyle name="Comma 2 2 154" xfId="17908" xr:uid="{3761EA90-D8D5-4A37-9F91-EB557A5450DA}"/>
    <cellStyle name="Comma 2 2 155" xfId="17915" xr:uid="{70A4A3A4-1ED8-4C7C-A0D2-6B9A4B8276E0}"/>
    <cellStyle name="Comma 2 2 156" xfId="17919" xr:uid="{FE7E2131-8C4B-4F4D-80FA-8C5E7DAF528B}"/>
    <cellStyle name="Comma 2 2 157" xfId="2121" xr:uid="{7C1E66A9-7A8A-4ACE-9086-07F13F5A9EBD}"/>
    <cellStyle name="Comma 2 2 158" xfId="17924" xr:uid="{23C6090E-AA55-4720-98B2-167131878079}"/>
    <cellStyle name="Comma 2 2 159" xfId="17928" xr:uid="{E44DD445-16AE-465F-B057-937B8C221731}"/>
    <cellStyle name="Comma 2 2 16" xfId="17354" xr:uid="{E4C0D812-15EB-4646-9788-211629BC3C15}"/>
    <cellStyle name="Comma 2 2 16 2" xfId="17932" xr:uid="{0F890CFA-2AF0-4BF2-9475-4F7AC29F147E}"/>
    <cellStyle name="Comma 2 2 16 3" xfId="17935" xr:uid="{B02785C2-3437-445F-B237-160730132E0E}"/>
    <cellStyle name="Comma 2 2 160" xfId="17916" xr:uid="{94FCC56E-A803-4B33-8A54-086D1F3092C1}"/>
    <cellStyle name="Comma 2 2 161" xfId="17920" xr:uid="{2E26F8D3-4A2B-4440-9DE3-6097E919F2BF}"/>
    <cellStyle name="Comma 2 2 162" xfId="2122" xr:uid="{8B6093D5-5063-425C-866C-AE1A8D189D4D}"/>
    <cellStyle name="Comma 2 2 163" xfId="17925" xr:uid="{26B9C4AB-F217-4FBA-BBBA-797B2486D8ED}"/>
    <cellStyle name="Comma 2 2 164" xfId="17929" xr:uid="{7C76D73E-34FB-4B91-A426-5DB38B290DFD}"/>
    <cellStyle name="Comma 2 2 165" xfId="17937" xr:uid="{F79112D5-AD63-4368-AC0F-7926AC539C93}"/>
    <cellStyle name="Comma 2 2 166" xfId="17941" xr:uid="{02D7914B-1A1F-4803-9F29-C8735951C162}"/>
    <cellStyle name="Comma 2 2 167" xfId="17945" xr:uid="{2E8B5A73-0A8F-437E-B1CA-344271EDBF37}"/>
    <cellStyle name="Comma 2 2 168" xfId="17950" xr:uid="{94A895D8-BB0A-4EB3-A8C4-AA7B7E7EA175}"/>
    <cellStyle name="Comma 2 2 169" xfId="17954" xr:uid="{B5FCAD48-34C5-4169-8C82-35DB838AD1DC}"/>
    <cellStyle name="Comma 2 2 17" xfId="17358" xr:uid="{1547736A-28A3-4AB6-BB5D-38C7C4FCD844}"/>
    <cellStyle name="Comma 2 2 17 2" xfId="17958" xr:uid="{08DCE06E-AE77-4BD6-8449-F504797E1D33}"/>
    <cellStyle name="Comma 2 2 17 3" xfId="17961" xr:uid="{6ECF57CC-3DBD-4CBF-913C-980201954BFD}"/>
    <cellStyle name="Comma 2 2 170" xfId="17938" xr:uid="{060FF604-C4DD-46EC-8698-8721B7EB4B08}"/>
    <cellStyle name="Comma 2 2 171" xfId="17942" xr:uid="{3DBA1577-E939-49E7-9EB4-72238EB1DD5D}"/>
    <cellStyle name="Comma 2 2 172" xfId="17946" xr:uid="{AF39DEEE-0C2B-4304-9D2E-C9C199A675CC}"/>
    <cellStyle name="Comma 2 2 173" xfId="17951" xr:uid="{CE729C11-CEE9-4341-B2EE-1F972AEB9DB3}"/>
    <cellStyle name="Comma 2 2 174" xfId="17955" xr:uid="{21575E61-FCE1-4E15-B979-A54757DBB6EC}"/>
    <cellStyle name="Comma 2 2 175" xfId="8004" xr:uid="{0162187E-1462-41D5-B018-553C2239059D}"/>
    <cellStyle name="Comma 2 2 176" xfId="17964" xr:uid="{D04FA65A-4BAB-4AFA-8D90-3000990A6F53}"/>
    <cellStyle name="Comma 2 2 177" xfId="17968" xr:uid="{69569D8C-634D-4D19-B29D-489F95AABBA9}"/>
    <cellStyle name="Comma 2 2 178" xfId="17972" xr:uid="{25AC551F-D6CE-4743-AF3A-F6FEBCB7CD66}"/>
    <cellStyle name="Comma 2 2 179" xfId="17976" xr:uid="{990BFACB-34E6-48F8-99B0-EED77D0C9158}"/>
    <cellStyle name="Comma 2 2 18" xfId="17980" xr:uid="{97A2566D-716A-4EA7-B145-6DBCDA34665B}"/>
    <cellStyle name="Comma 2 2 18 2" xfId="17982" xr:uid="{FF6B9425-1201-41B9-ACCD-473DC9031502}"/>
    <cellStyle name="Comma 2 2 18 3" xfId="17986" xr:uid="{D55AA130-45A6-4043-A9B9-0840F629C918}"/>
    <cellStyle name="Comma 2 2 180" xfId="8005" xr:uid="{73BE5062-78DA-4140-8D9C-EA24E6E5622A}"/>
    <cellStyle name="Comma 2 2 181" xfId="17965" xr:uid="{06C08E51-74F3-4FAD-AEC4-486BCE4E1F81}"/>
    <cellStyle name="Comma 2 2 182" xfId="17969" xr:uid="{729F4827-6422-4E5E-98BC-BC5CA86C8ECB}"/>
    <cellStyle name="Comma 2 2 183" xfId="17973" xr:uid="{8F2DB757-31A2-4DF8-9B90-BBADB3763E9D}"/>
    <cellStyle name="Comma 2 2 184" xfId="17977" xr:uid="{C51968D8-B2A1-4382-93AC-9C022F7759C0}"/>
    <cellStyle name="Comma 2 2 185" xfId="9792" xr:uid="{30D94142-09C5-42B9-926E-91CEF142F3AF}"/>
    <cellStyle name="Comma 2 2 186" xfId="17990" xr:uid="{2D5D0DB2-C296-4C3E-ADF3-0B0CED75B20A}"/>
    <cellStyle name="Comma 2 2 187" xfId="17994" xr:uid="{3CE8D955-3DB8-46A1-ABF4-AFA17AF60843}"/>
    <cellStyle name="Comma 2 2 188" xfId="12426" xr:uid="{8BAE1582-2A5A-4B58-BA20-04FAEF141A86}"/>
    <cellStyle name="Comma 2 2 189" xfId="17999" xr:uid="{B3CB3A14-8963-437D-A102-0EE51189D054}"/>
    <cellStyle name="Comma 2 2 19" xfId="18004" xr:uid="{0616A309-D244-445B-9EC0-70C3866131E0}"/>
    <cellStyle name="Comma 2 2 19 2" xfId="18006" xr:uid="{A082D51D-BFE9-4976-9A84-0C80298E8620}"/>
    <cellStyle name="Comma 2 2 19 3" xfId="18010" xr:uid="{B321D4B3-1CF0-4FB4-803C-3AEF1972E991}"/>
    <cellStyle name="Comma 2 2 190" xfId="9793" xr:uid="{6D299D8C-0C29-4EFF-8C16-A9B4CB467DA4}"/>
    <cellStyle name="Comma 2 2 191" xfId="17991" xr:uid="{40F8269A-7A5E-4C3D-B18F-34A8D8520820}"/>
    <cellStyle name="Comma 2 2 192" xfId="17995" xr:uid="{4EEB03CD-17C0-4D52-A0E0-D3C97A31F9E5}"/>
    <cellStyle name="Comma 2 2 193" xfId="12427" xr:uid="{4F38CF7F-DEC8-46E3-94CC-51B18C5E339A}"/>
    <cellStyle name="Comma 2 2 194" xfId="18000" xr:uid="{77BB3C73-9003-4065-A755-044F8B801275}"/>
    <cellStyle name="Comma 2 2 195" xfId="18014" xr:uid="{11ECC3D8-AEA3-4CAE-986C-E41D7A1CF3BF}"/>
    <cellStyle name="Comma 2 2 196" xfId="18018" xr:uid="{9AB0C591-643E-412D-8F15-0931C54F65B3}"/>
    <cellStyle name="Comma 2 2 197" xfId="18022" xr:uid="{A15D2D4A-4A1E-4684-A0D5-F596B40067BF}"/>
    <cellStyle name="Comma 2 2 198" xfId="18026" xr:uid="{F0C58584-030D-4989-826E-614B54E14732}"/>
    <cellStyle name="Comma 2 2 199" xfId="18030" xr:uid="{CB708846-5C97-4E8F-93C9-001F0C297889}"/>
    <cellStyle name="Comma 2 2 2" xfId="18034" xr:uid="{E7EEC39C-1DF8-4A8F-BD91-E829C7501B6D}"/>
    <cellStyle name="Comma 2 2 2 10" xfId="691" xr:uid="{E82328AC-C2F4-4B46-8A6A-74B36729D6B6}"/>
    <cellStyle name="Comma 2 2 2 100" xfId="18036" xr:uid="{89106CF8-DABB-4A01-9AAD-337FFCF61C80}"/>
    <cellStyle name="Comma 2 2 2 101" xfId="18037" xr:uid="{889C2B87-F16C-46F1-9C65-41B2B139738E}"/>
    <cellStyle name="Comma 2 2 2 102" xfId="18040" xr:uid="{E3C30CC4-E104-412D-A26E-7DE13DC2AA67}"/>
    <cellStyle name="Comma 2 2 2 103" xfId="18041" xr:uid="{7D62BE15-D306-4273-AD4A-0E990E56C59C}"/>
    <cellStyle name="Comma 2 2 2 104" xfId="18042" xr:uid="{C78F3B8D-842B-454E-AA0A-5B35E144594D}"/>
    <cellStyle name="Comma 2 2 2 105" xfId="18043" xr:uid="{956EDF1A-A409-4606-BA10-1E3DA0D3D06F}"/>
    <cellStyle name="Comma 2 2 2 106" xfId="18045" xr:uid="{11A2335F-4A64-4516-9990-9B493EE6AE8A}"/>
    <cellStyle name="Comma 2 2 2 107" xfId="14894" xr:uid="{E45DDF77-B848-4CD0-89E8-66F062E9571F}"/>
    <cellStyle name="Comma 2 2 2 108" xfId="18047" xr:uid="{204A9089-D42E-49F0-96B1-71AD7014FE25}"/>
    <cellStyle name="Comma 2 2 2 109" xfId="18049" xr:uid="{772CE1FD-00B4-4D92-B6EF-7FDFCF945FF9}"/>
    <cellStyle name="Comma 2 2 2 11" xfId="1425" xr:uid="{378B742B-2787-4C00-BFEA-522E21F0DFB8}"/>
    <cellStyle name="Comma 2 2 2 110" xfId="18044" xr:uid="{4636A6DF-FB4A-4752-8815-12F45F95A1E8}"/>
    <cellStyle name="Comma 2 2 2 111" xfId="18046" xr:uid="{7B58BB90-263C-4A8A-A137-FEF1DE5DD9EE}"/>
    <cellStyle name="Comma 2 2 2 112" xfId="14895" xr:uid="{E7929DD6-94E1-4436-8C2F-9ED7D1B388A1}"/>
    <cellStyle name="Comma 2 2 2 113" xfId="18048" xr:uid="{34A5CD1B-EAB2-475E-8C2C-89D97052C6AE}"/>
    <cellStyle name="Comma 2 2 2 114" xfId="18050" xr:uid="{4FBC1616-1D4B-4E0D-A853-FDF242F5C161}"/>
    <cellStyle name="Comma 2 2 2 115" xfId="18051" xr:uid="{3A89FF1B-81FD-4878-BFDC-66BA8C80B3AC}"/>
    <cellStyle name="Comma 2 2 2 116" xfId="18053" xr:uid="{951E23A2-8DBE-4570-9413-3CAF05687A45}"/>
    <cellStyle name="Comma 2 2 2 117" xfId="18055" xr:uid="{95616242-912C-4EF7-932B-2DE62C01403B}"/>
    <cellStyle name="Comma 2 2 2 118" xfId="18057" xr:uid="{B1B8F1B3-F79B-41B6-B082-587FD8230572}"/>
    <cellStyle name="Comma 2 2 2 119" xfId="7638" xr:uid="{CB4F83AF-E432-4F47-B037-7B51FBFAFB70}"/>
    <cellStyle name="Comma 2 2 2 12" xfId="1325" xr:uid="{8AD6C445-4103-45B1-B9AD-65A450B2FFCD}"/>
    <cellStyle name="Comma 2 2 2 120" xfId="18052" xr:uid="{A580B723-3D4D-42F4-9291-DB03BB6C0D58}"/>
    <cellStyle name="Comma 2 2 2 121" xfId="18054" xr:uid="{37908B30-CC00-4821-AF98-63C1BD8C318B}"/>
    <cellStyle name="Comma 2 2 2 122" xfId="18056" xr:uid="{211F8728-883B-4DB5-B0A9-A798B6F1FA79}"/>
    <cellStyle name="Comma 2 2 2 123" xfId="18058" xr:uid="{8DB6B1E6-BFB1-49BF-A921-BABD110C8984}"/>
    <cellStyle name="Comma 2 2 2 124" xfId="7639" xr:uid="{C53F66F3-7AB6-430D-BD0C-0CC939BD3162}"/>
    <cellStyle name="Comma 2 2 2 125" xfId="5505" xr:uid="{3C61AF18-94D2-4190-ABCB-840354ACE080}"/>
    <cellStyle name="Comma 2 2 2 126" xfId="7688" xr:uid="{6E0B9ACF-EE2D-4321-9C52-A6FA6F082DB7}"/>
    <cellStyle name="Comma 2 2 2 127" xfId="7706" xr:uid="{55ADE8BB-5E1C-47A4-B232-7CABC44302F1}"/>
    <cellStyle name="Comma 2 2 2 128" xfId="7722" xr:uid="{A9550C74-AE13-4772-96B0-84FE7D0FF025}"/>
    <cellStyle name="Comma 2 2 2 129" xfId="45" xr:uid="{E2F72562-CA27-496C-8EC4-F04D146DC59B}"/>
    <cellStyle name="Comma 2 2 2 13" xfId="1450" xr:uid="{1FD7F603-0E85-463E-999C-A0B207F10050}"/>
    <cellStyle name="Comma 2 2 2 130" xfId="5506" xr:uid="{7D8F7BC4-7014-421E-8B8A-6A1B54A7097D}"/>
    <cellStyle name="Comma 2 2 2 131" xfId="7689" xr:uid="{E5EA87C5-1DC7-4CA9-86F7-8E0A61577E37}"/>
    <cellStyle name="Comma 2 2 2 132" xfId="7707" xr:uid="{C012BD9F-2287-45DD-9418-3D8181B28681}"/>
    <cellStyle name="Comma 2 2 2 133" xfId="7723" xr:uid="{FCE33B3B-8724-4E37-B80D-221A5BA96812}"/>
    <cellStyle name="Comma 2 2 2 134" xfId="46" xr:uid="{78B3EB90-D7F4-4652-9AA8-6B12B73435C5}"/>
    <cellStyle name="Comma 2 2 2 135" xfId="7740" xr:uid="{F3B9603C-BD97-4101-9A72-0B541919FC3A}"/>
    <cellStyle name="Comma 2 2 2 136" xfId="18064" xr:uid="{501EA821-6404-4798-8310-BD4A4CA4D9A4}"/>
    <cellStyle name="Comma 2 2 2 137" xfId="18068" xr:uid="{2AA8F844-7958-4D6D-9458-FC6805A02E03}"/>
    <cellStyle name="Comma 2 2 2 138" xfId="18072" xr:uid="{5DEBF599-40C3-4D35-AEE0-9648A88897A9}"/>
    <cellStyle name="Comma 2 2 2 139" xfId="18076" xr:uid="{AFB6C924-D8ED-45FF-AD98-755D2F823437}"/>
    <cellStyle name="Comma 2 2 2 14" xfId="1461" xr:uid="{714B6433-C3CB-4100-A1FE-0D8EA614E005}"/>
    <cellStyle name="Comma 2 2 2 140" xfId="7741" xr:uid="{0284270D-D586-493D-A2D3-30D7CF563852}"/>
    <cellStyle name="Comma 2 2 2 141" xfId="18065" xr:uid="{DE40CCCF-C9CC-4396-B8AA-A09464062273}"/>
    <cellStyle name="Comma 2 2 2 142" xfId="18069" xr:uid="{93A0505A-4B19-4972-A58A-EFCD5B54CB38}"/>
    <cellStyle name="Comma 2 2 2 143" xfId="18073" xr:uid="{78C2429F-CF5B-4594-9F24-DFE789B5D7A4}"/>
    <cellStyle name="Comma 2 2 2 144" xfId="18077" xr:uid="{2797D58C-AB39-40B4-81B7-C649F3934E97}"/>
    <cellStyle name="Comma 2 2 2 145" xfId="18080" xr:uid="{E47927F9-19E2-4E5D-8FAC-7665EDF731A8}"/>
    <cellStyle name="Comma 2 2 2 146" xfId="18085" xr:uid="{621F1FAA-D411-42FB-89D1-DEF2A6456D04}"/>
    <cellStyle name="Comma 2 2 2 147" xfId="18089" xr:uid="{53B5FB5A-0B29-40DF-B2D2-198FE629329A}"/>
    <cellStyle name="Comma 2 2 2 148" xfId="18092" xr:uid="{F1D1B683-2F18-4C66-ABF2-72E044A630F8}"/>
    <cellStyle name="Comma 2 2 2 149" xfId="18095" xr:uid="{717E47BE-4A03-4C50-A998-D9D07CC57949}"/>
    <cellStyle name="Comma 2 2 2 15" xfId="18098" xr:uid="{44CCB641-84D3-47F8-89BB-827B2ADD6FF8}"/>
    <cellStyle name="Comma 2 2 2 150" xfId="18081" xr:uid="{ABEB6E8D-C6B3-412B-A161-F180204C4B6D}"/>
    <cellStyle name="Comma 2 2 2 151" xfId="18086" xr:uid="{5536928F-D0F9-4375-9D91-28AFE5CD5846}"/>
    <cellStyle name="Comma 2 2 2 152" xfId="18090" xr:uid="{88A1A6D5-BBA2-4354-8C85-33CEB506E2FB}"/>
    <cellStyle name="Comma 2 2 2 153" xfId="18093" xr:uid="{767251A4-C464-40C3-8BAE-F7C75EFA8639}"/>
    <cellStyle name="Comma 2 2 2 154" xfId="18096" xr:uid="{9971808C-DB9A-49C5-8D23-49C860074260}"/>
    <cellStyle name="Comma 2 2 2 155" xfId="18102" xr:uid="{D32B81D4-B798-4AE5-9847-927A2BA957F4}"/>
    <cellStyle name="Comma 2 2 2 156" xfId="18108" xr:uid="{515AE616-B941-4C0D-B040-E85F80859097}"/>
    <cellStyle name="Comma 2 2 2 157" xfId="18113" xr:uid="{71C9E01A-7333-4BF7-AA58-FDEF07A1FAEC}"/>
    <cellStyle name="Comma 2 2 2 158" xfId="18118" xr:uid="{ABC2BDE9-4031-472D-8DEA-E62376E7CDDB}"/>
    <cellStyle name="Comma 2 2 2 159" xfId="18122" xr:uid="{1A275D0E-419F-4554-875C-246F34316621}"/>
    <cellStyle name="Comma 2 2 2 16" xfId="18126" xr:uid="{4A591204-33C4-4D36-AAB3-7ED0561D6B6D}"/>
    <cellStyle name="Comma 2 2 2 160" xfId="18103" xr:uid="{AF3818A2-AF26-41F6-B698-8F802572C83E}"/>
    <cellStyle name="Comma 2 2 2 161" xfId="18109" xr:uid="{F595C7D6-0244-4BDF-8BA2-495B8A22C7DC}"/>
    <cellStyle name="Comma 2 2 2 162" xfId="18114" xr:uid="{81D8A62B-2D04-4467-85E5-7771CE1BD932}"/>
    <cellStyle name="Comma 2 2 2 163" xfId="18119" xr:uid="{0AA8EE77-B134-40A5-A129-AC4D32CA13B5}"/>
    <cellStyle name="Comma 2 2 2 164" xfId="18123" xr:uid="{C45C15FE-0385-42D4-99D4-61973E5190C4}"/>
    <cellStyle name="Comma 2 2 2 165" xfId="18128" xr:uid="{33026222-5078-4B30-9035-41A81C5C4D5F}"/>
    <cellStyle name="Comma 2 2 2 166" xfId="18132" xr:uid="{0DF04B9B-C0D3-4C60-AF7E-05CCD70B6703}"/>
    <cellStyle name="Comma 2 2 2 167" xfId="5763" xr:uid="{DC8B89AA-4FCC-4B53-A264-B8523AE4920A}"/>
    <cellStyle name="Comma 2 2 2 168" xfId="14664" xr:uid="{C8A50A4C-B3CE-4BFB-BC8D-E07067E93F47}"/>
    <cellStyle name="Comma 2 2 2 169" xfId="7746" xr:uid="{3702581F-FA1B-4B4F-BCB1-127EA884AFE8}"/>
    <cellStyle name="Comma 2 2 2 17" xfId="18137" xr:uid="{DE292D01-A0CE-415A-9910-BE8BBB8BBD45}"/>
    <cellStyle name="Comma 2 2 2 170" xfId="18129" xr:uid="{7401E4AB-6B25-40BE-B4EE-EB398BD07A07}"/>
    <cellStyle name="Comma 2 2 2 171" xfId="18133" xr:uid="{E8D6AF20-9D87-427B-B1DF-D65445607349}"/>
    <cellStyle name="Comma 2 2 2 172" xfId="5764" xr:uid="{889FD1D1-43D1-4006-AD06-4D7DD950FF0A}"/>
    <cellStyle name="Comma 2 2 2 173" xfId="14665" xr:uid="{7B63E743-B2BF-4624-B703-B2D2D0C1F0D9}"/>
    <cellStyle name="Comma 2 2 2 174" xfId="7747" xr:uid="{6A04FA45-6753-4C9E-89F3-F44BB4EA1617}"/>
    <cellStyle name="Comma 2 2 2 175" xfId="7766" xr:uid="{22526E33-9500-461D-BE54-A7676716B207}"/>
    <cellStyle name="Comma 2 2 2 176" xfId="6521" xr:uid="{D285F16B-2842-465F-858C-BE728E90A4C7}"/>
    <cellStyle name="Comma 2 2 2 177" xfId="6541" xr:uid="{C0D6E01F-8AE2-4C26-9867-86512DB52202}"/>
    <cellStyle name="Comma 2 2 2 178" xfId="7790" xr:uid="{AD736154-EBE6-4643-9571-82598C65976D}"/>
    <cellStyle name="Comma 2 2 2 179" xfId="7798" xr:uid="{55A3122F-5D44-4B98-A607-F696633995A2}"/>
    <cellStyle name="Comma 2 2 2 18" xfId="18140" xr:uid="{70B00AA7-200E-4894-B33B-70A351E4C981}"/>
    <cellStyle name="Comma 2 2 2 180" xfId="7767" xr:uid="{F9119999-A1C8-471A-BBE9-7CB4AED17D86}"/>
    <cellStyle name="Comma 2 2 2 181" xfId="6522" xr:uid="{9B8851D5-304D-4066-BC75-A74EB59E7E5B}"/>
    <cellStyle name="Comma 2 2 2 182" xfId="6542" xr:uid="{E03284D0-C5BC-4F00-9D47-154F3DD675AD}"/>
    <cellStyle name="Comma 2 2 2 183" xfId="7791" xr:uid="{52CB53C6-1C50-49F5-9F42-FD603D1B29F8}"/>
    <cellStyle name="Comma 2 2 2 184" xfId="7799" xr:uid="{2272D551-6962-430C-A16B-A31AEADFD5F1}"/>
    <cellStyle name="Comma 2 2 2 185" xfId="8582" xr:uid="{13D9A0EA-A54D-4ADC-B074-DDEC4E561986}"/>
    <cellStyle name="Comma 2 2 2 186" xfId="18144" xr:uid="{BB37C111-0EC7-4BAB-8499-3527327A9137}"/>
    <cellStyle name="Comma 2 2 2 187" xfId="18150" xr:uid="{5362A8EF-AF97-451F-958C-2533949B186B}"/>
    <cellStyle name="Comma 2 2 2 188" xfId="18158" xr:uid="{3135B3F5-08C5-43A8-B62A-C3A3D9F7BE98}"/>
    <cellStyle name="Comma 2 2 2 189" xfId="18166" xr:uid="{ABAA9B95-EB78-4CC5-A6DB-F7222614050C}"/>
    <cellStyle name="Comma 2 2 2 19" xfId="18170" xr:uid="{E7C87E3B-B80F-44F2-8E5A-4F42AD3910D7}"/>
    <cellStyle name="Comma 2 2 2 190" xfId="8583" xr:uid="{81116F13-14E5-4E8E-A631-1864EC88BD7E}"/>
    <cellStyle name="Comma 2 2 2 191" xfId="18145" xr:uid="{F4F679A1-8F2A-4FAA-8AF3-03A427506F22}"/>
    <cellStyle name="Comma 2 2 2 192" xfId="18151" xr:uid="{4EAB8A8B-71CC-45C6-A20A-02788BD495FA}"/>
    <cellStyle name="Comma 2 2 2 193" xfId="18159" xr:uid="{8B383ECC-C9FC-4097-AEAD-86B306056DA0}"/>
    <cellStyle name="Comma 2 2 2 194" xfId="18167" xr:uid="{790246AB-1937-4CE4-9A6A-9715ED68482D}"/>
    <cellStyle name="Comma 2 2 2 195" xfId="18177" xr:uid="{F5B5FC70-9699-46DE-961D-A77676C54644}"/>
    <cellStyle name="Comma 2 2 2 196" xfId="18180" xr:uid="{52ECECBE-3247-406F-999B-46C32813B7B0}"/>
    <cellStyle name="Comma 2 2 2 197" xfId="18183" xr:uid="{927EE02D-D0E1-49E7-ADCF-5F61C844FA53}"/>
    <cellStyle name="Comma 2 2 2 198" xfId="18186" xr:uid="{4027ECE3-4F6D-414C-A3C8-8581EADF795E}"/>
    <cellStyle name="Comma 2 2 2 199" xfId="18189" xr:uid="{584DF290-82A0-4018-AD5A-A42722BC8AD7}"/>
    <cellStyle name="Comma 2 2 2 2" xfId="10298" xr:uid="{61FA839D-2F09-4876-8E88-0BBB70BCF8AF}"/>
    <cellStyle name="Comma 2 2 2 2 2" xfId="18194" xr:uid="{30C9352E-4916-4B60-8C43-B1C74FA7F6AA}"/>
    <cellStyle name="Comma 2 2 2 2 3" xfId="18195" xr:uid="{D2832CB3-2239-4964-B1BC-DCD2BFA12903}"/>
    <cellStyle name="Comma 2 2 2 2 3 2" xfId="18196" xr:uid="{6C4683BC-3CAD-4562-94B9-380098B560C2}"/>
    <cellStyle name="Comma 2 2 2 2 3 2 2" xfId="18199" xr:uid="{560E96F0-352A-4200-AA01-6F19DBE2DFD9}"/>
    <cellStyle name="Comma 2 2 2 2 3 2 2 2" xfId="18201" xr:uid="{7AF03049-6FD9-43FF-9D45-84CE2416B37C}"/>
    <cellStyle name="Comma 2 2 2 2 3 2 2 2 2" xfId="18205" xr:uid="{121A3735-58D3-45E3-B089-BFF7C0989887}"/>
    <cellStyle name="Comma 2 2 2 2 3 2 2 3" xfId="18206" xr:uid="{A14381BE-FFB6-4FFA-8E9A-E9712904ABF7}"/>
    <cellStyle name="Comma 2 2 2 2 3 2 3" xfId="9884" xr:uid="{0C2B194A-5E54-4EF5-BF53-AF98262C6E03}"/>
    <cellStyle name="Comma 2 2 2 2 3 2 3 2" xfId="9887" xr:uid="{98B534C4-4FA5-4359-BE70-E68632EFFED9}"/>
    <cellStyle name="Comma 2 2 2 2 3 2 3 2 2" xfId="18208" xr:uid="{C88A579A-8D80-4B57-BBC5-D103B4BEFCA1}"/>
    <cellStyle name="Comma 2 2 2 2 3 2 3 3" xfId="18209" xr:uid="{2FBE632E-DBCB-4C82-9920-441D04E90326}"/>
    <cellStyle name="Comma 2 2 2 2 3 2 4" xfId="9889" xr:uid="{779B6161-51B9-4AAB-B3B3-0596A109E35A}"/>
    <cellStyle name="Comma 2 2 2 2 3 2 4 2" xfId="18210" xr:uid="{281E273C-DECC-46A8-97A2-76ED5F9CE28A}"/>
    <cellStyle name="Comma 2 2 2 2 3 2 5" xfId="18211" xr:uid="{25391A4A-419E-49D5-A88A-58F452297519}"/>
    <cellStyle name="Comma 2 2 2 2 3 3" xfId="18212" xr:uid="{FD8E695E-CA99-4B8E-81E3-68786DEFBE0A}"/>
    <cellStyle name="Comma 2 2 2 2 3 3 2" xfId="18214" xr:uid="{059B1F27-BE71-4CD3-AB27-73977AC41BDF}"/>
    <cellStyle name="Comma 2 2 2 2 3 3 2 2" xfId="18216" xr:uid="{FC8B5AEE-5666-409F-80F0-F0541772D3F0}"/>
    <cellStyle name="Comma 2 2 2 2 3 3 3" xfId="9891" xr:uid="{093FF10E-77F2-4694-80DA-9159BC427F39}"/>
    <cellStyle name="Comma 2 2 2 2 3 4" xfId="18217" xr:uid="{70F09957-DB44-4B29-A45A-C813A21DE442}"/>
    <cellStyle name="Comma 2 2 2 2 3 4 2" xfId="18219" xr:uid="{5347A135-AF87-4644-B59C-8A6400105A5B}"/>
    <cellStyle name="Comma 2 2 2 2 3 4 2 2" xfId="18220" xr:uid="{816FB56E-2F41-4BF9-B205-43F11014340F}"/>
    <cellStyle name="Comma 2 2 2 2 3 4 3" xfId="18221" xr:uid="{664630B6-4B4B-472B-A6F5-BB602188305C}"/>
    <cellStyle name="Comma 2 2 2 2 3 5" xfId="18222" xr:uid="{A57F36F8-01EE-4B70-8473-FD1250EBFEC6}"/>
    <cellStyle name="Comma 2 2 2 2 3 5 2" xfId="18224" xr:uid="{5596B79A-AA05-469E-A472-B7D60E6BA591}"/>
    <cellStyle name="Comma 2 2 2 2 3 6" xfId="18229" xr:uid="{6268F2D8-61E1-4029-8C76-BC5A830FC784}"/>
    <cellStyle name="Comma 2 2 2 2 4" xfId="18230" xr:uid="{4244DCE2-7E11-4DB9-B05A-10F411DEC5BC}"/>
    <cellStyle name="Comma 2 2 2 2 4 2" xfId="18231" xr:uid="{C874AB44-C91C-4077-AB88-2B3CFFACF64D}"/>
    <cellStyle name="Comma 2 2 2 2 4 2 2" xfId="18233" xr:uid="{85053771-29EF-48E6-9EC4-1398A921E312}"/>
    <cellStyle name="Comma 2 2 2 2 4 2 2 2" xfId="18235" xr:uid="{EB7DD1A3-40AA-4EAB-872A-0720DD4FEF5D}"/>
    <cellStyle name="Comma 2 2 2 2 4 2 3" xfId="9911" xr:uid="{5987FD12-EB73-4C21-8D3D-2214FAE99EC2}"/>
    <cellStyle name="Comma 2 2 2 2 4 3" xfId="18236" xr:uid="{61B09D26-E067-4E62-BA9F-CE3A6FCC6B13}"/>
    <cellStyle name="Comma 2 2 2 2 4 3 2" xfId="18238" xr:uid="{4105A693-DF96-4810-8661-3AC283210CD7}"/>
    <cellStyle name="Comma 2 2 2 2 4 3 2 2" xfId="18239" xr:uid="{656BE07B-2C85-4F74-8432-5F1D6C4BAF84}"/>
    <cellStyle name="Comma 2 2 2 2 4 3 3" xfId="18242" xr:uid="{B3F9FB27-ABAB-4B64-8529-740D22EAA17D}"/>
    <cellStyle name="Comma 2 2 2 2 4 4" xfId="18243" xr:uid="{5CC868F6-463E-4E4B-A342-3EC1E5B09519}"/>
    <cellStyle name="Comma 2 2 2 2 4 4 2" xfId="18245" xr:uid="{043A3E39-FB5C-447D-B1E5-9076B60C9D01}"/>
    <cellStyle name="Comma 2 2 2 2 4 5" xfId="18246" xr:uid="{8E9AF565-F816-41C7-AF36-1C916BA2A0E2}"/>
    <cellStyle name="Comma 2 2 2 2 5" xfId="18247" xr:uid="{884334FD-0B4A-4C44-B50C-AF2CA5C5EF7A}"/>
    <cellStyle name="Comma 2 2 2 2 5 2" xfId="18248" xr:uid="{51CA0EBA-8E4C-400A-86F6-8E426167256D}"/>
    <cellStyle name="Comma 2 2 2 2 5 2 2" xfId="18251" xr:uid="{D17FBF42-CBBC-4827-B40B-26C49B907758}"/>
    <cellStyle name="Comma 2 2 2 2 5 3" xfId="18252" xr:uid="{A11D9B73-8D51-41A1-A071-1142D76EBC54}"/>
    <cellStyle name="Comma 2 2 2 2 5 4" xfId="18253" xr:uid="{F88836CE-CB9D-458F-9F5C-F0DA5E295A44}"/>
    <cellStyle name="Comma 2 2 2 2 6" xfId="7433" xr:uid="{1C3CC8EE-71A9-4B97-B485-1D1B70AA38F5}"/>
    <cellStyle name="Comma 2 2 2 2 6 2" xfId="18254" xr:uid="{2A2F4442-B7DB-43DE-887B-5B2024D6BF00}"/>
    <cellStyle name="Comma 2 2 2 2 6 2 2" xfId="18255" xr:uid="{EC3D586B-103B-4542-AC2D-0B7F27996253}"/>
    <cellStyle name="Comma 2 2 2 2 6 3" xfId="18256" xr:uid="{937A210B-477B-4DF2-A098-02B0F10741A3}"/>
    <cellStyle name="Comma 2 2 2 2 7" xfId="18258" xr:uid="{3A149F9F-7C00-433B-ABD1-7BD023FBF5C6}"/>
    <cellStyle name="Comma 2 2 2 2 7 2" xfId="18260" xr:uid="{07FE7871-EDF6-4B71-A5B5-CBEA6A10D34F}"/>
    <cellStyle name="Comma 2 2 2 2 8" xfId="18262" xr:uid="{7ACE755F-9D50-46D0-B9E2-726A7944F4BB}"/>
    <cellStyle name="Comma 2 2 2 20" xfId="18099" xr:uid="{BF405CAC-515F-4BB9-9740-2AF56B9406C4}"/>
    <cellStyle name="Comma 2 2 2 200" xfId="18082" xr:uid="{4BEE2911-5C62-4560-BF29-68279E65BDC5}"/>
    <cellStyle name="Comma 2 2 2 201" xfId="18087" xr:uid="{587A567B-B8DB-4CBE-8E84-581715402C93}"/>
    <cellStyle name="Comma 2 2 2 202" xfId="18091" xr:uid="{F2DEF37B-023E-4F22-896E-C8367FF6DE9B}"/>
    <cellStyle name="Comma 2 2 2 203" xfId="18094" xr:uid="{BFE0EFD6-0841-42B0-8664-878B9CC89411}"/>
    <cellStyle name="Comma 2 2 2 204" xfId="18097" xr:uid="{75CCCD65-9F1F-4A42-982A-1584DA215E4C}"/>
    <cellStyle name="Comma 2 2 2 205" xfId="18104" xr:uid="{680E9F8B-7EB6-47F2-BCEE-0923D4BBD037}"/>
    <cellStyle name="Comma 2 2 2 206" xfId="18110" xr:uid="{946A8FF0-8F8B-4829-AB61-E1BBF575A771}"/>
    <cellStyle name="Comma 2 2 2 207" xfId="18115" xr:uid="{DAD781AF-A586-45AC-9C1F-31F0F3946088}"/>
    <cellStyle name="Comma 2 2 2 208" xfId="18120" xr:uid="{F123F1B4-FE25-4A61-B8A7-9C48D7A2BF57}"/>
    <cellStyle name="Comma 2 2 2 209" xfId="18124" xr:uid="{6C9B3212-C864-46BE-A9B9-F71D8C89320F}"/>
    <cellStyle name="Comma 2 2 2 21" xfId="18127" xr:uid="{A9E7AB15-795D-41C3-9A70-5F1B6BCD349A}"/>
    <cellStyle name="Comma 2 2 2 210" xfId="18105" xr:uid="{87E31E71-ECBF-4271-B5F7-06246CF868EA}"/>
    <cellStyle name="Comma 2 2 2 211" xfId="18111" xr:uid="{32D8DEAA-AD85-4792-8D13-0ABBF8DA0C3E}"/>
    <cellStyle name="Comma 2 2 2 212" xfId="18116" xr:uid="{93A03B10-316B-43B5-823F-6B9880277FBD}"/>
    <cellStyle name="Comma 2 2 2 213" xfId="18121" xr:uid="{B994E97B-EAFE-4228-B587-7479F97EED0C}"/>
    <cellStyle name="Comma 2 2 2 214" xfId="18125" xr:uid="{0DD69896-340A-4547-9E58-62E2A385344A}"/>
    <cellStyle name="Comma 2 2 2 215" xfId="18130" xr:uid="{EA9E56F2-B554-4F0E-B0CE-23394E33C246}"/>
    <cellStyle name="Comma 2 2 2 216" xfId="18134" xr:uid="{DDC9EBB3-128C-4EAD-814A-5A59C889FBF8}"/>
    <cellStyle name="Comma 2 2 2 217" xfId="5765" xr:uid="{91BC753C-6811-471A-AED9-56203FFC2BD1}"/>
    <cellStyle name="Comma 2 2 2 218" xfId="14666" xr:uid="{224E3808-2D31-4B5B-B788-D63C165369A0}"/>
    <cellStyle name="Comma 2 2 2 219" xfId="7748" xr:uid="{62D41B0B-A0B5-4626-9928-61DE4B918CC3}"/>
    <cellStyle name="Comma 2 2 2 22" xfId="18138" xr:uid="{76897380-11E8-4417-A8E8-7A1F8E0D7ADC}"/>
    <cellStyle name="Comma 2 2 2 220" xfId="18131" xr:uid="{A44F85CB-280C-4B7A-B178-AFA9B66ACD74}"/>
    <cellStyle name="Comma 2 2 2 221" xfId="18135" xr:uid="{ECA08C29-7178-438F-88D4-C323EA170ED5}"/>
    <cellStyle name="Comma 2 2 2 222" xfId="5766" xr:uid="{ABF7DC25-9808-4AAF-AB39-9314020D0CF3}"/>
    <cellStyle name="Comma 2 2 2 223" xfId="14667" xr:uid="{62E31EB7-1A59-4933-A698-6C0A884D5619}"/>
    <cellStyle name="Comma 2 2 2 224" xfId="7749" xr:uid="{FF848149-29F6-4E22-9118-DF23454581D3}"/>
    <cellStyle name="Comma 2 2 2 225" xfId="7768" xr:uid="{037B42D2-A535-41DE-BF93-CC0D0893593D}"/>
    <cellStyle name="Comma 2 2 2 226" xfId="6523" xr:uid="{A50ABC2F-6828-4980-B4B4-554FE6377A28}"/>
    <cellStyle name="Comma 2 2 2 227" xfId="6543" xr:uid="{D1EEB436-948D-4316-AEE8-4B41CE9EE9DD}"/>
    <cellStyle name="Comma 2 2 2 228" xfId="7792" xr:uid="{6BF9757B-03CD-4758-91D3-48ACAD7388A5}"/>
    <cellStyle name="Comma 2 2 2 229" xfId="7800" xr:uid="{140A5022-8488-4928-AD35-2C49080A008E}"/>
    <cellStyle name="Comma 2 2 2 23" xfId="18141" xr:uid="{51D6864F-AF5B-45B3-AFCF-D1B9374D0036}"/>
    <cellStyle name="Comma 2 2 2 230" xfId="7769" xr:uid="{3611C543-E0FA-441C-A122-728E2FBA6779}"/>
    <cellStyle name="Comma 2 2 2 231" xfId="6524" xr:uid="{240B36C2-51E0-499D-8EDD-17489EA3D10C}"/>
    <cellStyle name="Comma 2 2 2 232" xfId="6544" xr:uid="{8C197474-CF22-4082-BDCF-05A72FABFA4D}"/>
    <cellStyle name="Comma 2 2 2 233" xfId="7793" xr:uid="{D6E6FB54-9549-4355-8577-415864774B26}"/>
    <cellStyle name="Comma 2 2 2 234" xfId="7801" xr:uid="{371F2DB9-4B4A-4156-A32D-FDF8C56731C4}"/>
    <cellStyle name="Comma 2 2 2 235" xfId="8584" xr:uid="{5FBC9635-37C8-4AC5-AF5D-EACAB24014E5}"/>
    <cellStyle name="Comma 2 2 2 236" xfId="18146" xr:uid="{E15ABCC6-E0AB-4BDF-977B-96FA64B6155A}"/>
    <cellStyle name="Comma 2 2 2 237" xfId="18152" xr:uid="{C290B8C6-1398-4045-B717-C09F13E80D66}"/>
    <cellStyle name="Comma 2 2 2 238" xfId="18160" xr:uid="{0C0364E3-61A4-4D28-B28B-AA926A78ABB4}"/>
    <cellStyle name="Comma 2 2 2 239" xfId="18168" xr:uid="{883CC9E0-41A6-4284-930C-8062BDF89F48}"/>
    <cellStyle name="Comma 2 2 2 24" xfId="18171" xr:uid="{98B1858E-8553-440A-BB45-950F2B763FE0}"/>
    <cellStyle name="Comma 2 2 2 240" xfId="8585" xr:uid="{44410D73-3CDE-4ED1-B7DA-C9A9E131F368}"/>
    <cellStyle name="Comma 2 2 2 241" xfId="18147" xr:uid="{7F0317D5-0729-46E5-AC51-5EAD5A069318}"/>
    <cellStyle name="Comma 2 2 2 242" xfId="18153" xr:uid="{29159BF2-BA5E-4221-B54A-9A0C5C375590}"/>
    <cellStyle name="Comma 2 2 2 243" xfId="18161" xr:uid="{DCEBD8F2-3F31-4BA0-9C57-A88E343051F6}"/>
    <cellStyle name="Comma 2 2 2 244" xfId="18169" xr:uid="{73405974-6245-46B0-8937-3C4C81F2D43A}"/>
    <cellStyle name="Comma 2 2 2 245" xfId="18178" xr:uid="{9E34CF27-97B2-42D7-9C26-B6D851C05189}"/>
    <cellStyle name="Comma 2 2 2 246" xfId="18181" xr:uid="{838B3FE0-3720-477A-AB6F-9965D6D024F8}"/>
    <cellStyle name="Comma 2 2 2 247" xfId="18184" xr:uid="{B5E7A311-860E-4C15-A046-8A2B8F1672E8}"/>
    <cellStyle name="Comma 2 2 2 248" xfId="18187" xr:uid="{A1CA82FD-B0EE-4F96-B6CA-43CA8DEF440A}"/>
    <cellStyle name="Comma 2 2 2 249" xfId="18190" xr:uid="{B1947B29-AC3E-4667-98EA-BCCAC07B00B7}"/>
    <cellStyle name="Comma 2 2 2 25" xfId="18263" xr:uid="{D36F1F7C-2BAE-4633-AC1C-E53AD2CF22E6}"/>
    <cellStyle name="Comma 2 2 2 250" xfId="18179" xr:uid="{5C2779E1-0E29-43B8-BF5B-7AAECCE2FA75}"/>
    <cellStyle name="Comma 2 2 2 251" xfId="18182" xr:uid="{EBAE18C6-9106-486E-8D1E-B27F91C56CAF}"/>
    <cellStyle name="Comma 2 2 2 252" xfId="18185" xr:uid="{6F17A73B-0DEB-453B-9088-ED9DDBC5A8E4}"/>
    <cellStyle name="Comma 2 2 2 253" xfId="18188" xr:uid="{A6E67676-85D5-4824-8E06-ACFCDDE55EA2}"/>
    <cellStyle name="Comma 2 2 2 254" xfId="18191" xr:uid="{774A76F8-1FFF-4267-84D3-CF9845966C7C}"/>
    <cellStyle name="Comma 2 2 2 255" xfId="18267" xr:uid="{5CEADD36-E0F7-4223-B8B9-29248D272240}"/>
    <cellStyle name="Comma 2 2 2 256" xfId="18271" xr:uid="{F2E738C6-8E01-4443-8AC9-C5E72E82DCBF}"/>
    <cellStyle name="Comma 2 2 2 257" xfId="18275" xr:uid="{CF7F7BDC-2077-4D5F-814C-02D7CC627BFD}"/>
    <cellStyle name="Comma 2 2 2 257 2" xfId="18278" xr:uid="{547639A7-3830-4EDD-A8FA-91E5C1B92997}"/>
    <cellStyle name="Comma 2 2 2 257 2 2" xfId="18279" xr:uid="{807D9363-FC4B-4B4C-892B-639A12D8F872}"/>
    <cellStyle name="Comma 2 2 2 257 2 2 2" xfId="18281" xr:uid="{339D6B9D-5D76-4FD6-AEF9-94326E0C88B0}"/>
    <cellStyle name="Comma 2 2 2 257 2 2 2 2" xfId="18282" xr:uid="{E28FD515-CAD5-4F9B-9603-184592020434}"/>
    <cellStyle name="Comma 2 2 2 257 2 2 3" xfId="18283" xr:uid="{7929C918-9A6A-4277-8E51-1BE2DB45AC9E}"/>
    <cellStyle name="Comma 2 2 2 257 2 3" xfId="18284" xr:uid="{F18B48DC-45E6-4E9C-B8D1-E299E7770581}"/>
    <cellStyle name="Comma 2 2 2 257 2 3 2" xfId="18287" xr:uid="{2FA4803C-45FD-43B4-A032-915072D9B014}"/>
    <cellStyle name="Comma 2 2 2 257 2 3 2 2" xfId="18289" xr:uid="{5346BDA6-7B18-4DF8-AAF2-4D35165166C5}"/>
    <cellStyle name="Comma 2 2 2 257 2 3 3" xfId="18292" xr:uid="{5705CD13-739E-455C-A472-14F1DAB34A36}"/>
    <cellStyle name="Comma 2 2 2 257 2 4" xfId="18293" xr:uid="{91424B06-9E91-425A-8835-77FC1EA5F2D7}"/>
    <cellStyle name="Comma 2 2 2 257 2 4 2" xfId="18295" xr:uid="{5A0E41FE-0F55-4F24-94DF-AD3C0A8D4820}"/>
    <cellStyle name="Comma 2 2 2 257 2 5" xfId="18296" xr:uid="{C003C6A1-8160-4E22-B0B8-2FC690D49423}"/>
    <cellStyle name="Comma 2 2 2 257 3" xfId="18298" xr:uid="{04525CB9-9457-468F-9F52-1083F748AEF3}"/>
    <cellStyle name="Comma 2 2 2 257 3 2" xfId="7043" xr:uid="{8356946F-BB72-4800-8C0B-165B7C1AAA80}"/>
    <cellStyle name="Comma 2 2 2 257 3 2 2" xfId="8421" xr:uid="{8D00A33A-231C-4990-9045-2FA6617B1590}"/>
    <cellStyle name="Comma 2 2 2 257 3 3" xfId="9404" xr:uid="{7589993D-449A-4BEA-BB33-BD018C8DCB25}"/>
    <cellStyle name="Comma 2 2 2 257 4" xfId="18299" xr:uid="{D1B85AF2-4ADC-4B01-A4DE-CDAA6C7E20ED}"/>
    <cellStyle name="Comma 2 2 2 257 4 2" xfId="12119" xr:uid="{80260C04-AA98-4576-8BFC-F5EEE4C392B1}"/>
    <cellStyle name="Comma 2 2 2 257 4 2 2" xfId="12128" xr:uid="{860EEC6B-F5A7-4A53-B9A1-3CC03F3A8DEF}"/>
    <cellStyle name="Comma 2 2 2 257 4 3" xfId="12957" xr:uid="{1946C303-82BB-49B4-B584-C6546CB7B83E}"/>
    <cellStyle name="Comma 2 2 2 257 5" xfId="18300" xr:uid="{C58F7133-943E-41A6-A0B5-8B68A973D14E}"/>
    <cellStyle name="Comma 2 2 2 257 5 2" xfId="14876" xr:uid="{2F6DB3BF-3DEA-43FB-A032-040763432C87}"/>
    <cellStyle name="Comma 2 2 2 257 6" xfId="18301" xr:uid="{99A562C5-994C-4D90-9FF3-73866C20B69E}"/>
    <cellStyle name="Comma 2 2 2 258" xfId="18303" xr:uid="{84224EDD-38C4-4051-9E7C-B8C8302FF292}"/>
    <cellStyle name="Comma 2 2 2 258 2" xfId="18305" xr:uid="{C2B24DB2-4773-4D79-9770-1D8D8D8014E7}"/>
    <cellStyle name="Comma 2 2 2 258 2 2" xfId="18306" xr:uid="{6A4B5C75-4BCC-4F76-B6AA-D799C76D1278}"/>
    <cellStyle name="Comma 2 2 2 258 2 2 2" xfId="18307" xr:uid="{46E4FAF6-6B74-4691-BDC2-8C1EB1B66D6D}"/>
    <cellStyle name="Comma 2 2 2 258 2 3" xfId="18308" xr:uid="{1C99B303-E7A2-4056-B6BF-57B72D0BDEA2}"/>
    <cellStyle name="Comma 2 2 2 258 3" xfId="18310" xr:uid="{6147BF0F-6233-449C-9E19-5BF90BDFD6A7}"/>
    <cellStyle name="Comma 2 2 2 258 3 2" xfId="17107" xr:uid="{81398A36-9B03-48C0-9AAB-671191D7548E}"/>
    <cellStyle name="Comma 2 2 2 258 3 2 2" xfId="18311" xr:uid="{72053226-6D50-4002-A1E1-70F5D5F41585}"/>
    <cellStyle name="Comma 2 2 2 258 3 3" xfId="18312" xr:uid="{89C683AB-6748-4B5C-BC6E-DE5BA3E19DF5}"/>
    <cellStyle name="Comma 2 2 2 258 4" xfId="18313" xr:uid="{C5171D35-A3CD-434D-A6B3-9D54F86AF454}"/>
    <cellStyle name="Comma 2 2 2 258 4 2" xfId="18314" xr:uid="{E113757D-358D-45BB-87F4-9E1FDE0C31E2}"/>
    <cellStyle name="Comma 2 2 2 258 5" xfId="18315" xr:uid="{FFF6D2D9-2905-4C29-AE7E-50A94411C80B}"/>
    <cellStyle name="Comma 2 2 2 259" xfId="12470" xr:uid="{03D67FBA-3192-4879-A641-8850A88BD87B}"/>
    <cellStyle name="Comma 2 2 2 259 2" xfId="12473" xr:uid="{E9405E98-5969-4116-9A55-E5F0B06F3F3D}"/>
    <cellStyle name="Comma 2 2 2 259 2 2" xfId="18316" xr:uid="{ABBB25FD-2050-4FA0-9AD0-869B22AB31A9}"/>
    <cellStyle name="Comma 2 2 2 259 3" xfId="18317" xr:uid="{E9BDE873-3B1D-4C8C-8A26-978BDE8C816B}"/>
    <cellStyle name="Comma 2 2 2 26" xfId="18318" xr:uid="{41A4FA1A-D151-478E-88F7-3DD9568C3425}"/>
    <cellStyle name="Comma 2 2 2 260" xfId="18268" xr:uid="{2F5E1D6B-0F5B-473D-A9D1-ABD0879170E9}"/>
    <cellStyle name="Comma 2 2 2 260 2" xfId="18321" xr:uid="{1E62057E-D494-4F05-B1C4-C6B0923A5D29}"/>
    <cellStyle name="Comma 2 2 2 260 2 2" xfId="18324" xr:uid="{7638FBAA-11D3-44F7-A710-6FDE97DE8BEE}"/>
    <cellStyle name="Comma 2 2 2 260 3" xfId="18326" xr:uid="{204DC8A7-77ED-4C58-9793-B6CDC57D0518}"/>
    <cellStyle name="Comma 2 2 2 261" xfId="18272" xr:uid="{226377DF-C677-4E28-98DA-3CA00A376780}"/>
    <cellStyle name="Comma 2 2 2 261 2" xfId="18328" xr:uid="{D063349B-EAC1-436B-B95B-6A05D3C5FA53}"/>
    <cellStyle name="Comma 2 2 2 262" xfId="18276" xr:uid="{1DA923CF-D07B-4E9D-822F-57CFDF376C56}"/>
    <cellStyle name="Comma 2 2 2 263" xfId="18304" xr:uid="{A83F0433-5709-4FB5-A30B-D24487E472B6}"/>
    <cellStyle name="Comma 2 2 2 264" xfId="12471" xr:uid="{75B9332A-DCFA-4E0B-A755-30138CDD6664}"/>
    <cellStyle name="Comma 2 2 2 27" xfId="18329" xr:uid="{1B245925-9A68-4AC8-8734-11B6D638904E}"/>
    <cellStyle name="Comma 2 2 2 28" xfId="11460" xr:uid="{E9902E77-E0CE-4F30-A6D1-A90DE219C3D9}"/>
    <cellStyle name="Comma 2 2 2 29" xfId="18332" xr:uid="{88879428-A7B1-48C7-A9C6-3C2E8D589437}"/>
    <cellStyle name="Comma 2 2 2 3" xfId="18334" xr:uid="{400E724E-37B8-44AD-BD0F-BC7E3D872C97}"/>
    <cellStyle name="Comma 2 2 2 30" xfId="18264" xr:uid="{FAFC497B-A638-49F2-8248-8BA0E6C60BBF}"/>
    <cellStyle name="Comma 2 2 2 31" xfId="18319" xr:uid="{DBEC0278-188C-4C9B-8170-ECCFA422B7BF}"/>
    <cellStyle name="Comma 2 2 2 32" xfId="18330" xr:uid="{E41F9180-F230-4673-AC28-D155CCCA2321}"/>
    <cellStyle name="Comma 2 2 2 33" xfId="11461" xr:uid="{51DE4097-F229-46F7-A29B-117EE7351B1D}"/>
    <cellStyle name="Comma 2 2 2 34" xfId="18333" xr:uid="{7BEA76E8-5167-4635-92CB-70761CA1C76F}"/>
    <cellStyle name="Comma 2 2 2 35" xfId="11329" xr:uid="{E5E74EF5-5D0B-4D08-9596-D774ABEBE281}"/>
    <cellStyle name="Comma 2 2 2 36" xfId="18335" xr:uid="{853E5D98-EE6D-47BF-9BCC-D13A69C242C2}"/>
    <cellStyle name="Comma 2 2 2 37" xfId="18338" xr:uid="{354033D1-6885-422E-A1F9-A640572023B2}"/>
    <cellStyle name="Comma 2 2 2 38" xfId="18342" xr:uid="{8EA4A031-BC79-4E7C-8F67-03A9872EEDF7}"/>
    <cellStyle name="Comma 2 2 2 39" xfId="18345" xr:uid="{B159C609-E433-4B2D-9629-BA8A0641F2A9}"/>
    <cellStyle name="Comma 2 2 2 4" xfId="18347" xr:uid="{42C998FC-3228-4661-9A16-5E408D41BD2D}"/>
    <cellStyle name="Comma 2 2 2 40" xfId="11330" xr:uid="{95F0BB28-4749-4D85-8B51-E266C170420E}"/>
    <cellStyle name="Comma 2 2 2 41" xfId="18336" xr:uid="{740F80F2-06BA-43FA-8537-43E4B184BE2C}"/>
    <cellStyle name="Comma 2 2 2 42" xfId="18339" xr:uid="{60DAD395-62AC-4DD6-9CE2-99197E5D062D}"/>
    <cellStyle name="Comma 2 2 2 43" xfId="18343" xr:uid="{EB50C239-807A-441A-990C-F1C2711BEB19}"/>
    <cellStyle name="Comma 2 2 2 44" xfId="18346" xr:uid="{190DDB87-D404-4FB4-8413-1973231D1CA8}"/>
    <cellStyle name="Comma 2 2 2 45" xfId="18349" xr:uid="{FA30F233-19E2-421E-83CB-02779BBF01EB}"/>
    <cellStyle name="Comma 2 2 2 46" xfId="15862" xr:uid="{0951F199-BCB2-44F6-84C9-39BD3C2F6816}"/>
    <cellStyle name="Comma 2 2 2 47" xfId="18351" xr:uid="{4B22798D-144C-431C-9AB5-532A50874CB0}"/>
    <cellStyle name="Comma 2 2 2 48" xfId="18353" xr:uid="{7C1D42AB-A3EC-42CB-B565-B7D1823E3B14}"/>
    <cellStyle name="Comma 2 2 2 49" xfId="18357" xr:uid="{24AE6DB4-7598-4E93-A94A-982CC15A371C}"/>
    <cellStyle name="Comma 2 2 2 5" xfId="16029" xr:uid="{700D6148-28A5-4A06-9A61-C17D34C259E5}"/>
    <cellStyle name="Comma 2 2 2 50" xfId="18350" xr:uid="{BB62D368-4CD0-42FA-9317-E14EF30378A0}"/>
    <cellStyle name="Comma 2 2 2 51" xfId="15863" xr:uid="{DC4962C5-FBDA-4272-81F8-18DC84326508}"/>
    <cellStyle name="Comma 2 2 2 52" xfId="18352" xr:uid="{BA56D6D1-EB67-4096-8C41-6DBB3940BD4C}"/>
    <cellStyle name="Comma 2 2 2 53" xfId="18354" xr:uid="{4100E5AA-8CD8-49EE-9039-0F68A879A44F}"/>
    <cellStyle name="Comma 2 2 2 54" xfId="18358" xr:uid="{FA295395-9849-4340-9901-C25140398606}"/>
    <cellStyle name="Comma 2 2 2 55" xfId="18361" xr:uid="{D70CF0E2-578D-41AE-8D45-3FAD5823549A}"/>
    <cellStyle name="Comma 2 2 2 56" xfId="18366" xr:uid="{50ED981A-EB70-4762-817A-4C1E509F8A85}"/>
    <cellStyle name="Comma 2 2 2 57" xfId="18370" xr:uid="{726D3E52-4EB9-49BF-AF5B-19CC3A12A743}"/>
    <cellStyle name="Comma 2 2 2 58" xfId="18372" xr:uid="{C84BCB30-45FF-4AE2-B6C2-0EA3E1F45A93}"/>
    <cellStyle name="Comma 2 2 2 59" xfId="18375" xr:uid="{150B3930-81A3-4B67-BA23-60190A070DC2}"/>
    <cellStyle name="Comma 2 2 2 6" xfId="18377" xr:uid="{B9FB7EAE-5DAD-4C24-B27B-74B45B95B4BA}"/>
    <cellStyle name="Comma 2 2 2 60" xfId="18362" xr:uid="{3882AA4F-D343-437E-A725-06FFB4C71486}"/>
    <cellStyle name="Comma 2 2 2 61" xfId="18367" xr:uid="{6899F0FE-6B68-4ADF-974C-036B2785D9B1}"/>
    <cellStyle name="Comma 2 2 2 62" xfId="18371" xr:uid="{8C466ECF-4CA6-44C1-8751-179141D4501E}"/>
    <cellStyle name="Comma 2 2 2 63" xfId="18373" xr:uid="{15EF251E-8A88-4E9B-9B22-66EAF63F755A}"/>
    <cellStyle name="Comma 2 2 2 64" xfId="18376" xr:uid="{13D45CA3-36B6-4C0C-87F7-EFC7E3F4DF44}"/>
    <cellStyle name="Comma 2 2 2 65" xfId="18378" xr:uid="{021FAA11-B880-4D1E-BD9F-06E271DBDB47}"/>
    <cellStyle name="Comma 2 2 2 66" xfId="18380" xr:uid="{9F874182-D8DE-44F7-9434-A2CC1BC25CEE}"/>
    <cellStyle name="Comma 2 2 2 67" xfId="18382" xr:uid="{0086BE96-A4EA-433D-95E3-6D60F248BE14}"/>
    <cellStyle name="Comma 2 2 2 68" xfId="18384" xr:uid="{6F30EB3E-50BB-443D-8A24-0291F65B8A81}"/>
    <cellStyle name="Comma 2 2 2 69" xfId="18386" xr:uid="{9E9D7413-3705-4EEA-99CC-B4235598B374}"/>
    <cellStyle name="Comma 2 2 2 7" xfId="18388" xr:uid="{B9FA23D8-8CBA-4882-9067-9953B6E35F95}"/>
    <cellStyle name="Comma 2 2 2 70" xfId="18379" xr:uid="{38690FF5-A87F-4587-9510-04D38C13B35E}"/>
    <cellStyle name="Comma 2 2 2 71" xfId="18381" xr:uid="{A31BC66D-5004-4121-9A26-B47A7B1572A2}"/>
    <cellStyle name="Comma 2 2 2 72" xfId="18383" xr:uid="{5A0198DB-5DCE-436B-B083-89CDEEDBEF8E}"/>
    <cellStyle name="Comma 2 2 2 73" xfId="18385" xr:uid="{F15AE572-7449-4DAA-A8EB-7F1A4AF85538}"/>
    <cellStyle name="Comma 2 2 2 74" xfId="18387" xr:uid="{F2D47CE8-FDAE-49DE-99D5-076C6DCDD641}"/>
    <cellStyle name="Comma 2 2 2 75" xfId="18389" xr:uid="{59716F41-EC61-4AB1-A505-B50C1FB4A3D6}"/>
    <cellStyle name="Comma 2 2 2 76" xfId="18392" xr:uid="{625F053E-AB78-44CE-BDCA-A9E2BB95D81B}"/>
    <cellStyle name="Comma 2 2 2 77" xfId="18394" xr:uid="{D9BD57A3-2EF2-4799-8E44-0D4D96DEE209}"/>
    <cellStyle name="Comma 2 2 2 78" xfId="18400" xr:uid="{E927293D-9B07-43CC-B9C0-DDF7BEF11510}"/>
    <cellStyle name="Comma 2 2 2 79" xfId="18403" xr:uid="{6D817E83-31F8-4313-BD96-4B20C4FD1A62}"/>
    <cellStyle name="Comma 2 2 2 8" xfId="18407" xr:uid="{BD88B956-FDCC-45A6-9621-6205FC132A5D}"/>
    <cellStyle name="Comma 2 2 2 80" xfId="18390" xr:uid="{3B755334-B47C-49F9-B034-F0BD1897EEF8}"/>
    <cellStyle name="Comma 2 2 2 81" xfId="18393" xr:uid="{8D68AE3F-2E02-498D-81E1-FB9FA220F85A}"/>
    <cellStyle name="Comma 2 2 2 82" xfId="18395" xr:uid="{DCDE77E4-D228-48E1-9AF1-70AFBC8D1B71}"/>
    <cellStyle name="Comma 2 2 2 83" xfId="18401" xr:uid="{68F1DD65-8210-4587-859B-C46CDBCBBA76}"/>
    <cellStyle name="Comma 2 2 2 84" xfId="18404" xr:uid="{71FA43A6-3FBB-46FE-9F75-B8869083C9A8}"/>
    <cellStyle name="Comma 2 2 2 85" xfId="18409" xr:uid="{5AAEF768-5107-418B-AEE9-5BFABF546AAA}"/>
    <cellStyle name="Comma 2 2 2 86" xfId="18412" xr:uid="{19F850A3-42FD-4FF5-B3F9-BC28667D7A81}"/>
    <cellStyle name="Comma 2 2 2 87" xfId="18414" xr:uid="{19A23C5D-2450-487E-BD73-29FAC6B63F2B}"/>
    <cellStyle name="Comma 2 2 2 88" xfId="18418" xr:uid="{F764FAEC-F6B3-4594-9973-C20B2A711670}"/>
    <cellStyle name="Comma 2 2 2 89" xfId="18421" xr:uid="{A422699A-93AE-4D23-887C-D1783519B858}"/>
    <cellStyle name="Comma 2 2 2 9" xfId="18423" xr:uid="{C49AA17C-9C85-4E88-9C8E-B6F8F9D16A80}"/>
    <cellStyle name="Comma 2 2 2 90" xfId="18410" xr:uid="{1A58B675-1889-4BB1-843B-059AEDB9AD36}"/>
    <cellStyle name="Comma 2 2 2 91" xfId="18413" xr:uid="{657CE2FD-0BAE-4D20-9646-7561B2CFF632}"/>
    <cellStyle name="Comma 2 2 2 92" xfId="18415" xr:uid="{FCD39D44-ADC6-455F-B3AC-BC07456AC332}"/>
    <cellStyle name="Comma 2 2 2 93" xfId="18419" xr:uid="{4C5E4E9C-0FBD-4391-9626-248FEA5D65B9}"/>
    <cellStyle name="Comma 2 2 2 94" xfId="18422" xr:uid="{597C3460-5D9C-4665-BF6A-BB2680818983}"/>
    <cellStyle name="Comma 2 2 2 95" xfId="5292" xr:uid="{45E75CF9-1488-40AA-BE62-0481CB31AE02}"/>
    <cellStyle name="Comma 2 2 2 96" xfId="18424" xr:uid="{410C0A9C-B377-453C-AC7E-02DD3C061BB6}"/>
    <cellStyle name="Comma 2 2 2 97" xfId="18426" xr:uid="{E2F38EE0-2FAA-4D3E-BF8A-74A7A5EE3A23}"/>
    <cellStyle name="Comma 2 2 2 98" xfId="18427" xr:uid="{B5B2F644-0E43-46A0-88A3-D2D903895EEE}"/>
    <cellStyle name="Comma 2 2 2 99" xfId="18430" xr:uid="{BD3EA205-F37C-422E-A9E3-6BCEBB7D974D}"/>
    <cellStyle name="Comma 2 2 20" xfId="16933" xr:uid="{D01506D9-5007-4066-B30F-2CDC49A824FC}"/>
    <cellStyle name="Comma 2 2 20 2" xfId="17914" xr:uid="{DA8FE47B-17BD-4A14-AB03-C5D84C0FCA38}"/>
    <cellStyle name="Comma 2 2 20 3" xfId="4599" xr:uid="{32C22F2B-377E-4AD1-A6CB-91DD06DD3932}"/>
    <cellStyle name="Comma 2 2 200" xfId="17893" xr:uid="{9925683D-63AA-47E3-A761-BCC85F0E75BB}"/>
    <cellStyle name="Comma 2 2 201" xfId="17897" xr:uid="{720DBD47-3E21-4F97-9F50-354307134A3B}"/>
    <cellStyle name="Comma 2 2 202" xfId="17901" xr:uid="{926B8004-3548-4740-99BF-26516A13152C}"/>
    <cellStyle name="Comma 2 2 203" xfId="17905" xr:uid="{B8D69886-5E37-4D56-BDD4-1B1FB2540B17}"/>
    <cellStyle name="Comma 2 2 204" xfId="17909" xr:uid="{DFCDCF31-845F-46D8-B754-FA088BD5FC62}"/>
    <cellStyle name="Comma 2 2 205" xfId="17917" xr:uid="{789F6E79-DE20-4E96-B991-AF2A92B2F8AE}"/>
    <cellStyle name="Comma 2 2 206" xfId="17921" xr:uid="{72D3748B-9456-40B7-9E63-5F01A7932A33}"/>
    <cellStyle name="Comma 2 2 207" xfId="2123" xr:uid="{45BD32F0-34B6-4748-B06C-B25CE6F8750C}"/>
    <cellStyle name="Comma 2 2 208" xfId="17926" xr:uid="{59E9BDC7-A479-4803-8EB2-A937F03BBB09}"/>
    <cellStyle name="Comma 2 2 209" xfId="17930" xr:uid="{49B316B9-0A6C-4EFC-BF60-04A51803BF60}"/>
    <cellStyle name="Comma 2 2 21" xfId="17355" xr:uid="{245B5EB2-56FD-4A86-BEB3-4A8D25C671C3}"/>
    <cellStyle name="Comma 2 2 21 2" xfId="17933" xr:uid="{FA2D404F-4688-45F2-9831-FF82A6376C70}"/>
    <cellStyle name="Comma 2 2 21 3" xfId="17936" xr:uid="{2576D8CC-142B-4AD6-BAAE-675BD0DAE6E2}"/>
    <cellStyle name="Comma 2 2 210" xfId="17918" xr:uid="{DD030208-0F1C-45E3-967D-FBCE10A4CC8B}"/>
    <cellStyle name="Comma 2 2 211" xfId="17922" xr:uid="{052C3BC4-792F-4E99-8283-346F2336550A}"/>
    <cellStyle name="Comma 2 2 212" xfId="2124" xr:uid="{6E6DFD5F-D0D3-4241-80F6-C76EAB6F561C}"/>
    <cellStyle name="Comma 2 2 213" xfId="17927" xr:uid="{7F842EF4-7841-4649-82D4-EA7CF59AF061}"/>
    <cellStyle name="Comma 2 2 214" xfId="17931" xr:uid="{89CE3849-5E64-4A62-8D60-67A2581BAEFE}"/>
    <cellStyle name="Comma 2 2 215" xfId="17939" xr:uid="{4DA5E386-1E10-4E5B-BA00-92C828784594}"/>
    <cellStyle name="Comma 2 2 216" xfId="17943" xr:uid="{64CCDA59-AE3D-4AE8-857D-0B464C71E447}"/>
    <cellStyle name="Comma 2 2 217" xfId="17947" xr:uid="{FADD75C1-CF8B-41DC-9A73-C7F85E8B4E6A}"/>
    <cellStyle name="Comma 2 2 218" xfId="17952" xr:uid="{CBE47EFD-484D-4400-82F7-89784C1F9605}"/>
    <cellStyle name="Comma 2 2 219" xfId="17956" xr:uid="{573FD51D-BE5D-413D-92E7-5C59CD21980A}"/>
    <cellStyle name="Comma 2 2 22" xfId="17359" xr:uid="{287D22B6-4B0C-44D1-9334-1235A38F3B1A}"/>
    <cellStyle name="Comma 2 2 22 2" xfId="17959" xr:uid="{065DB286-6E9A-40BB-A637-4434A0DBB234}"/>
    <cellStyle name="Comma 2 2 22 3" xfId="17962" xr:uid="{E4A18FE6-64D3-45E9-AD6E-78F97E6C0719}"/>
    <cellStyle name="Comma 2 2 220" xfId="17940" xr:uid="{B76C2884-E56A-4C62-A468-F888ACA0F41F}"/>
    <cellStyle name="Comma 2 2 221" xfId="17944" xr:uid="{497BCBDC-8A40-4F58-B6B8-A6F3E154E4F0}"/>
    <cellStyle name="Comma 2 2 222" xfId="17948" xr:uid="{A5CEF859-923E-4AC7-A0D4-9C56FF1C22C9}"/>
    <cellStyle name="Comma 2 2 223" xfId="17953" xr:uid="{C491CC2C-B119-4ABC-9648-FEC58BABBA8B}"/>
    <cellStyle name="Comma 2 2 224" xfId="17957" xr:uid="{31F38DCF-5D87-4BAA-A6C6-04113C4C245B}"/>
    <cellStyle name="Comma 2 2 225" xfId="8006" xr:uid="{5511837F-4471-4C35-9A2A-749D506E41DF}"/>
    <cellStyle name="Comma 2 2 226" xfId="17966" xr:uid="{5D2014BB-4E04-43DD-8799-74DA6A7F1A75}"/>
    <cellStyle name="Comma 2 2 227" xfId="17970" xr:uid="{64BCF2C6-2FBD-44E2-9EC4-5FFA0F07F93B}"/>
    <cellStyle name="Comma 2 2 228" xfId="17974" xr:uid="{E389CAF5-7893-4E6F-8F16-0221FC9BE27C}"/>
    <cellStyle name="Comma 2 2 229" xfId="17978" xr:uid="{10A99557-B356-4920-9A96-432643E93CA4}"/>
    <cellStyle name="Comma 2 2 23" xfId="17981" xr:uid="{F0F0938B-08B8-4DAA-B9D3-9AEA0D9E15B4}"/>
    <cellStyle name="Comma 2 2 23 2" xfId="17983" xr:uid="{80C3A4A3-CF73-46A3-91A5-D138B360656E}"/>
    <cellStyle name="Comma 2 2 23 3" xfId="17987" xr:uid="{E94AE4C8-FA80-4228-A113-E794D50E84B7}"/>
    <cellStyle name="Comma 2 2 230" xfId="8007" xr:uid="{BC1AD4F7-E10C-4913-9299-466115E75F59}"/>
    <cellStyle name="Comma 2 2 231" xfId="17967" xr:uid="{A5B6630F-F9A3-4BC5-BA5C-DBA747224823}"/>
    <cellStyle name="Comma 2 2 232" xfId="17971" xr:uid="{AD159CD4-E011-45B1-8169-8956382A2A4D}"/>
    <cellStyle name="Comma 2 2 233" xfId="17975" xr:uid="{B19F4F71-FD64-414B-964B-A8C916191269}"/>
    <cellStyle name="Comma 2 2 234" xfId="17979" xr:uid="{384811E3-FBAC-485A-A3AE-DAAE4B63A1FE}"/>
    <cellStyle name="Comma 2 2 235" xfId="9794" xr:uid="{02087866-FB46-46E6-A3A6-2320AE4074BB}"/>
    <cellStyle name="Comma 2 2 236" xfId="17992" xr:uid="{3BEC5D8C-D823-44DB-BC07-482221CE0A67}"/>
    <cellStyle name="Comma 2 2 237" xfId="17996" xr:uid="{3928899A-A9C0-4A6F-808A-F167775FD9CF}"/>
    <cellStyle name="Comma 2 2 238" xfId="12428" xr:uid="{91C0E966-1F77-4605-A0A8-E51E3BC29DEF}"/>
    <cellStyle name="Comma 2 2 239" xfId="18001" xr:uid="{0A85590D-63D2-417B-A84F-11107A61C815}"/>
    <cellStyle name="Comma 2 2 24" xfId="18005" xr:uid="{8E6D9A2B-8022-4E6B-8DF5-277924070BED}"/>
    <cellStyle name="Comma 2 2 24 2" xfId="18007" xr:uid="{F595FA86-B4B1-4D55-B9CD-57EBDAA8C753}"/>
    <cellStyle name="Comma 2 2 24 3" xfId="18011" xr:uid="{32901D04-3846-43A3-9BB6-6B37D006FF78}"/>
    <cellStyle name="Comma 2 2 240" xfId="9795" xr:uid="{F873693A-FFAE-4C02-BDDC-113D86A9AA8D}"/>
    <cellStyle name="Comma 2 2 241" xfId="17993" xr:uid="{FACEA589-2F94-49E7-9F4C-B0CCF9CB6578}"/>
    <cellStyle name="Comma 2 2 242" xfId="17997" xr:uid="{6E522681-C592-4C01-8B08-7FF52E1C3642}"/>
    <cellStyle name="Comma 2 2 243" xfId="12429" xr:uid="{09D934CC-CB92-4023-B8EE-482750E51D9E}"/>
    <cellStyle name="Comma 2 2 244" xfId="18002" xr:uid="{0C3958F3-5C00-428B-9F6E-5FB2B7B3837B}"/>
    <cellStyle name="Comma 2 2 245" xfId="18015" xr:uid="{0068AE93-6C95-4A2D-8D50-8EF0C50D3F86}"/>
    <cellStyle name="Comma 2 2 246" xfId="18019" xr:uid="{5684E5D9-30EA-4CCF-8E5C-BCF6E49802E5}"/>
    <cellStyle name="Comma 2 2 247" xfId="18023" xr:uid="{33C03578-2103-4820-83B5-4D445DD631E7}"/>
    <cellStyle name="Comma 2 2 248" xfId="18027" xr:uid="{BE650C7F-4255-4B9D-8444-B1E732265BCA}"/>
    <cellStyle name="Comma 2 2 249" xfId="18031" xr:uid="{78F3B940-DBAB-4D0B-9F27-45CE6D38055C}"/>
    <cellStyle name="Comma 2 2 25" xfId="6357" xr:uid="{933D9CD9-C254-46C7-AF68-5C23E4DEFE67}"/>
    <cellStyle name="Comma 2 2 25 2" xfId="6360" xr:uid="{E0C77FA1-3C19-4D75-9524-E430F04DB479}"/>
    <cellStyle name="Comma 2 2 25 3" xfId="6363" xr:uid="{38BAA619-1423-4A03-8C05-D31CA4004EB0}"/>
    <cellStyle name="Comma 2 2 250" xfId="18016" xr:uid="{17C2B9BD-C459-418C-BA86-6D8B2BFDB36A}"/>
    <cellStyle name="Comma 2 2 251" xfId="18020" xr:uid="{B0C7A87D-D1D2-4EF8-B357-71FD2881A90D}"/>
    <cellStyle name="Comma 2 2 252" xfId="18024" xr:uid="{9CB9B233-9DFB-42E8-B962-A2A80E5C218F}"/>
    <cellStyle name="Comma 2 2 253" xfId="18028" xr:uid="{A6FF79FD-095F-4B58-AE2E-CBCC6949D48C}"/>
    <cellStyle name="Comma 2 2 254" xfId="18032" xr:uid="{DFC0D800-48F4-43A2-B6AB-7FA6636E6E04}"/>
    <cellStyle name="Comma 2 2 255" xfId="18431" xr:uid="{D9CADF71-6EC7-495A-8D1B-81D7DEB29C54}"/>
    <cellStyle name="Comma 2 2 256" xfId="18432" xr:uid="{4B36E510-3AA2-4913-A323-55C84CB07181}"/>
    <cellStyle name="Comma 2 2 256 2" xfId="18433" xr:uid="{FDB36888-F5E0-4BB0-A1E1-54D5458D56A3}"/>
    <cellStyle name="Comma 2 2 256 3" xfId="18434" xr:uid="{3A4109C2-DEA3-48F7-9811-CC3DBE925C85}"/>
    <cellStyle name="Comma 2 2 257" xfId="18437" xr:uid="{B2A335F4-525A-4902-A7AF-9C8CED03027C}"/>
    <cellStyle name="Comma 2 2 257 2" xfId="18438" xr:uid="{132D087C-3B97-4B5D-8060-27D575C1DAB3}"/>
    <cellStyle name="Comma 2 2 258" xfId="18439" xr:uid="{29259694-60CE-479F-938F-5B106398F586}"/>
    <cellStyle name="Comma 2 2 259" xfId="15838" xr:uid="{49C542DC-EC5D-40EB-8EA8-56FE0FFCCE9A}"/>
    <cellStyle name="Comma 2 2 26" xfId="6368" xr:uid="{890E4461-701D-4AAE-8759-1B21F7FE1B0F}"/>
    <cellStyle name="Comma 2 2 26 2" xfId="6372" xr:uid="{49CAB64C-A0C7-4713-869B-821EEA34282D}"/>
    <cellStyle name="Comma 2 2 26 3" xfId="18440" xr:uid="{BF3BEC52-9E04-4BCA-A664-402F2FFC6A40}"/>
    <cellStyle name="Comma 2 2 27" xfId="6376" xr:uid="{966AD973-6665-4605-A592-3DD89DC79BC9}"/>
    <cellStyle name="Comma 2 2 27 2" xfId="18443" xr:uid="{DD61602F-0516-43A1-81CC-B256E5A3DD98}"/>
    <cellStyle name="Comma 2 2 27 3" xfId="9716" xr:uid="{86451CB2-4F6B-4727-9978-D97E7A8F7BB3}"/>
    <cellStyle name="Comma 2 2 28" xfId="18445" xr:uid="{C8F9F272-23AA-4552-9ABE-2529B401568C}"/>
    <cellStyle name="Comma 2 2 28 2" xfId="18447" xr:uid="{9C6DDF30-2A54-4F22-973D-028F6D912AFD}"/>
    <cellStyle name="Comma 2 2 28 3" xfId="18451" xr:uid="{762900CD-0F73-428F-9557-FFCEFB4532A8}"/>
    <cellStyle name="Comma 2 2 29" xfId="18455" xr:uid="{271DDF2A-90CC-4892-A019-87A28D7A831A}"/>
    <cellStyle name="Comma 2 2 29 2" xfId="18457" xr:uid="{F7FEE206-92E3-4281-81A4-F6D2810D7FD3}"/>
    <cellStyle name="Comma 2 2 29 3" xfId="18461" xr:uid="{F094307F-1CEA-4FF7-AFA0-1473FEE3EF4B}"/>
    <cellStyle name="Comma 2 2 3" xfId="536" xr:uid="{5A72C79A-E2D9-406B-BDFE-7CAE3BFB69FC}"/>
    <cellStyle name="Comma 2 2 3 10" xfId="18466" xr:uid="{D4A33578-35AC-4F3B-9623-0E64DA864D8F}"/>
    <cellStyle name="Comma 2 2 3 100" xfId="18467" xr:uid="{2C1BFC82-4CC2-4E1A-B238-B58B327CC575}"/>
    <cellStyle name="Comma 2 2 3 101" xfId="18470" xr:uid="{C13EFA29-ACF9-40C5-957D-6A08EF6E0020}"/>
    <cellStyle name="Comma 2 2 3 102" xfId="18473" xr:uid="{A438AD7B-15B6-4CC6-988C-773F80A142DA}"/>
    <cellStyle name="Comma 2 2 3 103" xfId="16521" xr:uid="{F2B24BBE-FE67-4ACA-88E3-FAE1D1E91CC3}"/>
    <cellStyle name="Comma 2 2 3 104" xfId="16525" xr:uid="{7F6C3DBE-8426-4B85-994E-0565517B5989}"/>
    <cellStyle name="Comma 2 2 3 105" xfId="18474" xr:uid="{B35B6926-420B-4293-8C1E-1B81789514B4}"/>
    <cellStyle name="Comma 2 2 3 106" xfId="18478" xr:uid="{D97B3929-B5D6-4D3B-8B8A-0E6CBF7387F4}"/>
    <cellStyle name="Comma 2 2 3 107" xfId="18480" xr:uid="{1CBE9066-8756-4D48-93A7-AADC4A72F395}"/>
    <cellStyle name="Comma 2 2 3 108" xfId="18482" xr:uid="{61E7C0F3-74F1-4760-9C33-59ACEE0E1AC2}"/>
    <cellStyle name="Comma 2 2 3 109" xfId="18484" xr:uid="{01900A0D-8CEB-4AAA-BC8A-C04D95ECB36F}"/>
    <cellStyle name="Comma 2 2 3 11" xfId="18487" xr:uid="{1F7B0A77-701C-4E9A-8AF4-6AAC2DB78770}"/>
    <cellStyle name="Comma 2 2 3 110" xfId="18475" xr:uid="{B6541CF4-E3BC-4EBF-86BF-7662433AD5CB}"/>
    <cellStyle name="Comma 2 2 3 111" xfId="18479" xr:uid="{9840890C-8F31-41E0-82E9-FAECFF850C01}"/>
    <cellStyle name="Comma 2 2 3 112" xfId="18481" xr:uid="{6B1AA25C-A836-44A9-8E41-38DFCC78864A}"/>
    <cellStyle name="Comma 2 2 3 113" xfId="18483" xr:uid="{80D7D411-9D57-4487-B28E-3A3FC70EA0AC}"/>
    <cellStyle name="Comma 2 2 3 114" xfId="18485" xr:uid="{B71A3B50-11AA-4E9D-B410-D03DB6572FD4}"/>
    <cellStyle name="Comma 2 2 3 115" xfId="18488" xr:uid="{44525973-9E85-486D-A831-860FB0BD960C}"/>
    <cellStyle name="Comma 2 2 3 116" xfId="18490" xr:uid="{28CFF906-2BE3-40F8-BD92-621570DEA1D8}"/>
    <cellStyle name="Comma 2 2 3 117" xfId="18492" xr:uid="{A0E0A6D6-9EA7-40A0-A4DA-0AC872B538E5}"/>
    <cellStyle name="Comma 2 2 3 118" xfId="18494" xr:uid="{61B951C3-513C-4309-B86D-F4FE165C6277}"/>
    <cellStyle name="Comma 2 2 3 119" xfId="7834" xr:uid="{72FD4243-18F2-4A80-BEB5-3066C9CA1D24}"/>
    <cellStyle name="Comma 2 2 3 12" xfId="18498" xr:uid="{C6B41A79-56C2-4624-9557-C543B9A059B2}"/>
    <cellStyle name="Comma 2 2 3 120" xfId="18489" xr:uid="{8B35C066-9F44-458C-87BA-84E0320087F8}"/>
    <cellStyle name="Comma 2 2 3 121" xfId="18491" xr:uid="{0A4C9AFD-7329-426F-9C9D-00BC7CAE9328}"/>
    <cellStyle name="Comma 2 2 3 122" xfId="18493" xr:uid="{71EEBF04-3FF5-4026-9343-6F512647D468}"/>
    <cellStyle name="Comma 2 2 3 123" xfId="18495" xr:uid="{D9A2740D-B8A6-4195-B8DF-BF9DEA2A3377}"/>
    <cellStyle name="Comma 2 2 3 124" xfId="7835" xr:uid="{3086E60C-1A90-4984-AC81-0D9B8E0B2119}"/>
    <cellStyle name="Comma 2 2 3 125" xfId="694" xr:uid="{95745650-5345-404B-A553-FD913749461C}"/>
    <cellStyle name="Comma 2 2 3 126" xfId="1430" xr:uid="{FF351151-2C8D-4EE0-85C0-16FFA1FB1F73}"/>
    <cellStyle name="Comma 2 2 3 127" xfId="1330" xr:uid="{19A80020-13E8-48BC-A5ED-9C7878F9AAF0}"/>
    <cellStyle name="Comma 2 2 3 128" xfId="1456" xr:uid="{A5A63515-2FF8-42A7-BF72-22A5DE4E7993}"/>
    <cellStyle name="Comma 2 2 3 129" xfId="1467" xr:uid="{E10A9485-6CF7-4185-97A0-17AB7E7C68C1}"/>
    <cellStyle name="Comma 2 2 3 13" xfId="18500" xr:uid="{BC099746-456B-49AB-B66D-66EFCF477540}"/>
    <cellStyle name="Comma 2 2 3 130" xfId="695" xr:uid="{094B1D8A-597C-4602-BB99-E465EA878DC5}"/>
    <cellStyle name="Comma 2 2 3 131" xfId="1431" xr:uid="{4179F262-ABB7-41DD-B0AD-2E83CDA43906}"/>
    <cellStyle name="Comma 2 2 3 132" xfId="1331" xr:uid="{15215CAB-8E8D-4DE7-8F57-500AEC8190A0}"/>
    <cellStyle name="Comma 2 2 3 133" xfId="1457" xr:uid="{0DC54EE2-9FBC-479F-8ECD-41B90EDBD7F5}"/>
    <cellStyle name="Comma 2 2 3 134" xfId="1468" xr:uid="{D803F596-9552-4931-808C-9D4CA9EC118F}"/>
    <cellStyle name="Comma 2 2 3 135" xfId="18504" xr:uid="{F0A5C47B-87C7-4564-BD67-3CEF3AA79AB4}"/>
    <cellStyle name="Comma 2 2 3 136" xfId="18508" xr:uid="{4B290889-C2A7-4010-BD8A-6E793CD24320}"/>
    <cellStyle name="Comma 2 2 3 137" xfId="18512" xr:uid="{401D737E-6CD3-46E0-B8DE-3E07242FE64D}"/>
    <cellStyle name="Comma 2 2 3 138" xfId="18516" xr:uid="{8F9C1F81-BFB4-4C11-BECD-4A702DD05660}"/>
    <cellStyle name="Comma 2 2 3 139" xfId="18520" xr:uid="{EECD9FEC-DE12-45BD-9B0A-2A0DAE8975E7}"/>
    <cellStyle name="Comma 2 2 3 14" xfId="18523" xr:uid="{F893E447-AA93-493D-B127-3CBF541FE0F0}"/>
    <cellStyle name="Comma 2 2 3 140" xfId="18505" xr:uid="{7990E2CD-454A-46E3-B8E6-9C125E67D318}"/>
    <cellStyle name="Comma 2 2 3 141" xfId="18509" xr:uid="{E49B0880-AADF-4C7D-A2B3-F945D6D270D9}"/>
    <cellStyle name="Comma 2 2 3 142" xfId="18513" xr:uid="{814018F7-3458-4404-93D7-3289693D4114}"/>
    <cellStyle name="Comma 2 2 3 143" xfId="18517" xr:uid="{25810FBA-899F-4D12-86DC-E5C1C05AF823}"/>
    <cellStyle name="Comma 2 2 3 144" xfId="18521" xr:uid="{F42A4B77-BD1D-4DE2-A0B1-18AA73976207}"/>
    <cellStyle name="Comma 2 2 3 145" xfId="18529" xr:uid="{D9D6B00A-A2E2-43AD-BC9B-951ABD989896}"/>
    <cellStyle name="Comma 2 2 3 146" xfId="18533" xr:uid="{85BCCDF7-D539-47CF-B2D7-ECDC8E8B0BF5}"/>
    <cellStyle name="Comma 2 2 3 147" xfId="18535" xr:uid="{810CB119-AC67-4032-8B2A-F54D2BB53C55}"/>
    <cellStyle name="Comma 2 2 3 148" xfId="16528" xr:uid="{51DADB1F-8EA1-472A-B6D8-B27B493D2236}"/>
    <cellStyle name="Comma 2 2 3 149" xfId="18537" xr:uid="{BAC2501E-53DE-440F-9BCC-E04B38241C09}"/>
    <cellStyle name="Comma 2 2 3 15" xfId="18540" xr:uid="{7059531B-D1DE-4BD2-AF59-C86C8F5CFDDE}"/>
    <cellStyle name="Comma 2 2 3 150" xfId="18530" xr:uid="{09C7DB01-C584-46E6-94E0-22090038D773}"/>
    <cellStyle name="Comma 2 2 3 151" xfId="18534" xr:uid="{1A681C8C-9CB5-4DA1-A66F-2D20A021B544}"/>
    <cellStyle name="Comma 2 2 3 152" xfId="18536" xr:uid="{05A27423-0DFF-41A5-90F6-37E9BA1755B6}"/>
    <cellStyle name="Comma 2 2 3 153" xfId="16529" xr:uid="{7C619714-DCAB-482B-A005-10DB9DB97AE9}"/>
    <cellStyle name="Comma 2 2 3 154" xfId="18538" xr:uid="{37F89C0C-D248-4DCD-9955-424B065F2A91}"/>
    <cellStyle name="Comma 2 2 3 155" xfId="18544" xr:uid="{ABAF0931-DACA-4296-A7D8-D920CC0EB004}"/>
    <cellStyle name="Comma 2 2 3 156" xfId="18547" xr:uid="{0AB6980A-F84C-4051-BD53-99538103E7A2}"/>
    <cellStyle name="Comma 2 2 3 157" xfId="18550" xr:uid="{92EF25A8-5FC4-48C2-BA7C-C57AA925EF72}"/>
    <cellStyle name="Comma 2 2 3 158" xfId="18552" xr:uid="{F81A63EE-C02E-4947-9D2F-343F54E59189}"/>
    <cellStyle name="Comma 2 2 3 159" xfId="18554" xr:uid="{34FFCF43-9921-4E9C-9B66-2485D7C552EE}"/>
    <cellStyle name="Comma 2 2 3 16" xfId="18556" xr:uid="{064DD839-E905-4013-B719-B4B3FD18EBDA}"/>
    <cellStyle name="Comma 2 2 3 160" xfId="18545" xr:uid="{74ECD141-AC21-422D-AB87-E4821127AEF1}"/>
    <cellStyle name="Comma 2 2 3 161" xfId="18548" xr:uid="{C3CC562B-87A0-4781-A69C-C3ACE3F51D06}"/>
    <cellStyle name="Comma 2 2 3 162" xfId="18551" xr:uid="{B4C0A745-3856-46FC-B42B-856F2F7C96C5}"/>
    <cellStyle name="Comma 2 2 3 163" xfId="18553" xr:uid="{39167C25-1D73-44AD-B325-19AAD8FF0786}"/>
    <cellStyle name="Comma 2 2 3 164" xfId="18555" xr:uid="{8B699CC9-5A72-4E07-904F-6F7379C043B7}"/>
    <cellStyle name="Comma 2 2 3 165" xfId="18558" xr:uid="{A5C801C3-5C98-4D07-A84B-E214A46EA837}"/>
    <cellStyle name="Comma 2 2 3 166" xfId="18560" xr:uid="{0C0A74E0-FC25-46A8-A6F6-DE9E1AB5014F}"/>
    <cellStyle name="Comma 2 2 3 167" xfId="14671" xr:uid="{9DA2C79B-1DCA-4972-9B98-DF164BEEA180}"/>
    <cellStyle name="Comma 2 2 3 168" xfId="18562" xr:uid="{6F88C30D-3D21-457C-8377-B7CED61ADD14}"/>
    <cellStyle name="Comma 2 2 3 169" xfId="7849" xr:uid="{8F01899A-EF04-4BCC-B915-08C2CC54D161}"/>
    <cellStyle name="Comma 2 2 3 17" xfId="16370" xr:uid="{42C0BE1C-22DC-4BD5-BD9E-098F26183DEA}"/>
    <cellStyle name="Comma 2 2 3 170" xfId="18559" xr:uid="{34D94145-2626-4435-BB35-22CC6CB59F21}"/>
    <cellStyle name="Comma 2 2 3 171" xfId="18561" xr:uid="{02C47ABD-99FF-42BA-B5D1-0227B3BFAD47}"/>
    <cellStyle name="Comma 2 2 3 172" xfId="14672" xr:uid="{8DD82342-4811-4DD7-B4B0-E7EA0EDD8B17}"/>
    <cellStyle name="Comma 2 2 3 173" xfId="18563" xr:uid="{FCB4FC04-6C66-46E6-A55F-CDE2B6D43B3A}"/>
    <cellStyle name="Comma 2 2 3 174" xfId="7850" xr:uid="{3C72C15C-2D83-451D-8C53-D5F1CEADAAC2}"/>
    <cellStyle name="Comma 2 2 3 175" xfId="7857" xr:uid="{8B68B289-DF5D-4DCA-B7FF-46AD07B8A88D}"/>
    <cellStyle name="Comma 2 2 3 176" xfId="6563" xr:uid="{6F689C7A-E6B9-46DA-B184-30B624CEB883}"/>
    <cellStyle name="Comma 2 2 3 177" xfId="3206" xr:uid="{5B92C4D2-27C2-42D3-8BA5-664649F434ED}"/>
    <cellStyle name="Comma 2 2 3 178" xfId="12149" xr:uid="{490D50E5-E793-4299-B4F2-7855E09E8D39}"/>
    <cellStyle name="Comma 2 2 3 179" xfId="8592" xr:uid="{A908D4F2-ED33-4B18-977E-85F51E5CC208}"/>
    <cellStyle name="Comma 2 2 3 18" xfId="16374" xr:uid="{B0D8C2F9-225A-4891-84B9-06E78C647B49}"/>
    <cellStyle name="Comma 2 2 3 180" xfId="7858" xr:uid="{615EEF8C-D211-492A-A69D-C519DDD41E1F}"/>
    <cellStyle name="Comma 2 2 3 181" xfId="6564" xr:uid="{A93ABEB3-021E-42FA-9149-D1A60439C512}"/>
    <cellStyle name="Comma 2 2 3 182" xfId="3207" xr:uid="{9C6B4307-0BD3-4699-BC2E-3F635E5ED184}"/>
    <cellStyle name="Comma 2 2 3 183" xfId="12150" xr:uid="{F43384CB-5F6B-49A7-B3D0-0E93560CB63F}"/>
    <cellStyle name="Comma 2 2 3 184" xfId="8593" xr:uid="{6D1CF543-B01E-4C3D-871A-97E4A741A230}"/>
    <cellStyle name="Comma 2 2 3 185" xfId="12159" xr:uid="{A1809EAA-E51D-454A-9B13-142C17E4621F}"/>
    <cellStyle name="Comma 2 2 3 186" xfId="18566" xr:uid="{C7D4DA9A-FCB5-49C3-AC21-3F0065AF4DAF}"/>
    <cellStyle name="Comma 2 2 3 187" xfId="18570" xr:uid="{3B2107E1-B5D9-4290-BC58-F2652F39FE64}"/>
    <cellStyle name="Comma 2 2 3 188" xfId="18576" xr:uid="{5D6A9381-D3F3-460B-AF71-B22BC19B7295}"/>
    <cellStyle name="Comma 2 2 3 189" xfId="18579" xr:uid="{4C1ECFED-8612-4ED3-B343-201B2FE06F6A}"/>
    <cellStyle name="Comma 2 2 3 19" xfId="18581" xr:uid="{D53EE481-7D8C-4DA7-91CD-1567A1000BFE}"/>
    <cellStyle name="Comma 2 2 3 190" xfId="12160" xr:uid="{7E54E6A9-E2AE-497C-8E5E-C471D18B3E54}"/>
    <cellStyle name="Comma 2 2 3 191" xfId="18567" xr:uid="{20678512-349C-4481-B277-0CBCFAADB037}"/>
    <cellStyle name="Comma 2 2 3 192" xfId="18571" xr:uid="{8641723C-9FB9-4DD4-8786-D00239833C13}"/>
    <cellStyle name="Comma 2 2 3 193" xfId="18577" xr:uid="{26D742B5-C77C-41E9-AB39-1030C08B45B7}"/>
    <cellStyle name="Comma 2 2 3 194" xfId="18580" xr:uid="{A0A81A97-778D-4A85-A31B-9F5C40440AE1}"/>
    <cellStyle name="Comma 2 2 3 195" xfId="18583" xr:uid="{E07C0B94-61FE-4070-B588-B2CE21A44447}"/>
    <cellStyle name="Comma 2 2 3 2" xfId="5327" xr:uid="{DBB54D0D-19EF-455D-8E03-8DF324919171}"/>
    <cellStyle name="Comma 2 2 3 20" xfId="18541" xr:uid="{89553311-2E10-4608-A402-3325C7C700F7}"/>
    <cellStyle name="Comma 2 2 3 21" xfId="18557" xr:uid="{CECCF861-082A-4D25-BBCD-5235B43DD8D5}"/>
    <cellStyle name="Comma 2 2 3 22" xfId="16371" xr:uid="{BCC54D70-6182-4132-955F-5932D1E8D2E7}"/>
    <cellStyle name="Comma 2 2 3 23" xfId="16375" xr:uid="{23F19383-6385-4B21-854F-AB7AF54DFDEF}"/>
    <cellStyle name="Comma 2 2 3 24" xfId="18582" xr:uid="{71C559F6-A424-4F45-85C9-B3ECE041F258}"/>
    <cellStyle name="Comma 2 2 3 25" xfId="18584" xr:uid="{774D2379-A957-42A0-A581-3A1CDBFDC7C4}"/>
    <cellStyle name="Comma 2 2 3 26" xfId="18587" xr:uid="{4BA6BB34-DD20-499C-8332-8198441B5A74}"/>
    <cellStyle name="Comma 2 2 3 27" xfId="18589" xr:uid="{6FAAD942-AA51-4A89-A5E7-A1C6CE059255}"/>
    <cellStyle name="Comma 2 2 3 28" xfId="18592" xr:uid="{5AA9D1BB-39AA-4822-9F80-694B828921AC}"/>
    <cellStyle name="Comma 2 2 3 29" xfId="18594" xr:uid="{75D52A36-520D-4A49-A98C-C63FAEF94E96}"/>
    <cellStyle name="Comma 2 2 3 3" xfId="5340" xr:uid="{E0A201B7-9EE6-4999-B374-4C81DDD28B8E}"/>
    <cellStyle name="Comma 2 2 3 30" xfId="18585" xr:uid="{08A2F2D1-8B7B-417C-B4E7-9F7A6FFBA242}"/>
    <cellStyle name="Comma 2 2 3 31" xfId="18588" xr:uid="{EB8FCD3A-F5F5-4F5F-B50F-4663DD44C2C5}"/>
    <cellStyle name="Comma 2 2 3 32" xfId="18590" xr:uid="{AEC11178-0D1C-4655-9079-333FD2614341}"/>
    <cellStyle name="Comma 2 2 3 33" xfId="18593" xr:uid="{443D08AA-CDC3-4CA2-AEDF-B194967F6DE7}"/>
    <cellStyle name="Comma 2 2 3 34" xfId="18595" xr:uid="{D3F28A4A-42B0-4A03-93F6-1702BD4A9065}"/>
    <cellStyle name="Comma 2 2 3 35" xfId="18596" xr:uid="{559065CC-F701-4162-98DE-C7058FBE7B0F}"/>
    <cellStyle name="Comma 2 2 3 36" xfId="18598" xr:uid="{A4965185-4691-4673-9115-1A7C0EFDEAC5}"/>
    <cellStyle name="Comma 2 2 3 37" xfId="18600" xr:uid="{1689F12F-3347-4B91-B51A-5EB776767903}"/>
    <cellStyle name="Comma 2 2 3 38" xfId="18604" xr:uid="{E0B42E51-F973-47E0-AD9F-C35700F1B7AD}"/>
    <cellStyle name="Comma 2 2 3 39" xfId="18606" xr:uid="{1E74F695-BD5F-4DF3-9625-0928C7ABE774}"/>
    <cellStyle name="Comma 2 2 3 4" xfId="18608" xr:uid="{B055C2CE-532D-42AE-8A4D-C8C040A9B6A3}"/>
    <cellStyle name="Comma 2 2 3 40" xfId="18597" xr:uid="{DA6D3E20-3B7D-42CC-9ED3-A4FF66BBE36D}"/>
    <cellStyle name="Comma 2 2 3 41" xfId="18599" xr:uid="{1415EE91-0F64-4BB4-AAC2-5DDEDA61EF9F}"/>
    <cellStyle name="Comma 2 2 3 42" xfId="18601" xr:uid="{EE113AF6-B6F2-44E4-AD74-4FD68C23D54F}"/>
    <cellStyle name="Comma 2 2 3 43" xfId="18605" xr:uid="{8866D0EF-9005-4A3A-89FE-2DC59ABDB111}"/>
    <cellStyle name="Comma 2 2 3 44" xfId="18607" xr:uid="{4B610B37-2C7D-475A-803E-4409C63840D5}"/>
    <cellStyle name="Comma 2 2 3 45" xfId="18609" xr:uid="{EFEA62F2-75C8-40DF-9B8B-20FC5988A54A}"/>
    <cellStyle name="Comma 2 2 3 46" xfId="18611" xr:uid="{C62B84EF-B7D3-45D8-8B98-0346A3E2A94E}"/>
    <cellStyle name="Comma 2 2 3 47" xfId="18613" xr:uid="{09332D31-E2E6-4CBB-AA04-222CFE918B92}"/>
    <cellStyle name="Comma 2 2 3 48" xfId="18615" xr:uid="{7181DC2F-5DF4-4D81-88FF-606CB7460BEE}"/>
    <cellStyle name="Comma 2 2 3 49" xfId="3788" xr:uid="{F9E1E92C-9508-478B-AC05-DE63705F42DE}"/>
    <cellStyle name="Comma 2 2 3 5" xfId="18617" xr:uid="{2668BF87-10DB-44BB-9825-036C20041B96}"/>
    <cellStyle name="Comma 2 2 3 50" xfId="18610" xr:uid="{E0AFD27C-5334-4DCB-9F88-A330DB11385B}"/>
    <cellStyle name="Comma 2 2 3 51" xfId="18612" xr:uid="{B41DEFDF-57C9-4DFF-ADCD-180D527FF38D}"/>
    <cellStyle name="Comma 2 2 3 52" xfId="18614" xr:uid="{48DF0D0E-77BF-4C4A-A953-E69030D50DAF}"/>
    <cellStyle name="Comma 2 2 3 53" xfId="18616" xr:uid="{DCD479DA-CB08-4BD6-B84D-D8656E94A6D2}"/>
    <cellStyle name="Comma 2 2 3 54" xfId="3789" xr:uid="{5599116B-508C-4410-AE98-D39C3A693A99}"/>
    <cellStyle name="Comma 2 2 3 55" xfId="994" xr:uid="{D089A9CD-5627-490E-91AB-FA618314D33A}"/>
    <cellStyle name="Comma 2 2 3 56" xfId="11477" xr:uid="{1B669A22-628C-4279-8685-B325C8A5307E}"/>
    <cellStyle name="Comma 2 2 3 57" xfId="18619" xr:uid="{038C3C30-733A-4200-B95F-AADF4F087A92}"/>
    <cellStyle name="Comma 2 2 3 58" xfId="12140" xr:uid="{1C3D9AC7-4F79-4316-80E5-839A4E621142}"/>
    <cellStyle name="Comma 2 2 3 59" xfId="18623" xr:uid="{BDD16367-FE0D-4C50-9B40-A41A72703A39}"/>
    <cellStyle name="Comma 2 2 3 6" xfId="18625" xr:uid="{EDFCD3D7-CA95-481F-B038-867E1ACC9E69}"/>
    <cellStyle name="Comma 2 2 3 60" xfId="995" xr:uid="{3CD2686B-D4DB-4F17-BC37-274836913B3C}"/>
    <cellStyle name="Comma 2 2 3 61" xfId="11478" xr:uid="{F9FC07D5-4D8F-4108-A39F-0EAAE7377BA8}"/>
    <cellStyle name="Comma 2 2 3 62" xfId="18620" xr:uid="{E425B97F-A65A-4D9D-BEBB-5C9177DD19BE}"/>
    <cellStyle name="Comma 2 2 3 63" xfId="12141" xr:uid="{B9E0B74A-3C09-4F0E-BE49-A76E5A70B832}"/>
    <cellStyle name="Comma 2 2 3 64" xfId="18624" xr:uid="{B271DA17-EFDF-4618-8A45-E24BA0F7897C}"/>
    <cellStyle name="Comma 2 2 3 65" xfId="18626" xr:uid="{86552A3D-2815-4E93-8E2E-DDA234A9BC2A}"/>
    <cellStyle name="Comma 2 2 3 66" xfId="18628" xr:uid="{E5ECB039-8E8D-4EBD-BA8B-F3D6C76E5431}"/>
    <cellStyle name="Comma 2 2 3 67" xfId="16378" xr:uid="{A53C0C4A-2E07-4FB7-857A-9A727EE56A09}"/>
    <cellStyle name="Comma 2 2 3 68" xfId="18630" xr:uid="{AC2C0FAA-0ACC-4129-93E4-D298D41A94ED}"/>
    <cellStyle name="Comma 2 2 3 69" xfId="18633" xr:uid="{65D0644A-2FCD-423C-B6D2-BF2E27F83D68}"/>
    <cellStyle name="Comma 2 2 3 7" xfId="18635" xr:uid="{CFE0CAFD-50EF-4F3E-8212-9D489D95BBA0}"/>
    <cellStyle name="Comma 2 2 3 70" xfId="18627" xr:uid="{D06B5D00-C8A0-4D4A-8620-B323C4C6ECE6}"/>
    <cellStyle name="Comma 2 2 3 71" xfId="18629" xr:uid="{B8FFAEE9-2718-440E-91E2-139C697ADFF1}"/>
    <cellStyle name="Comma 2 2 3 72" xfId="16379" xr:uid="{3B0A2CBF-A724-4026-A11C-8442CF34A85F}"/>
    <cellStyle name="Comma 2 2 3 73" xfId="18631" xr:uid="{61CAD6C8-907B-497B-840F-BAC344799448}"/>
    <cellStyle name="Comma 2 2 3 74" xfId="18634" xr:uid="{EE11A82F-E134-429A-BB25-98BFEF3B7AF4}"/>
    <cellStyle name="Comma 2 2 3 75" xfId="18636" xr:uid="{672404FB-D186-4F6B-A3ED-90388C484263}"/>
    <cellStyle name="Comma 2 2 3 76" xfId="18638" xr:uid="{ECCACAF5-8F6E-4F62-9D9B-E5A1B4CD13F4}"/>
    <cellStyle name="Comma 2 2 3 77" xfId="18640" xr:uid="{3973128E-B7D5-4A7C-B550-2B1B626F2D5A}"/>
    <cellStyle name="Comma 2 2 3 78" xfId="18643" xr:uid="{C4ECF35E-64BB-4B7B-A047-B995EB9A561E}"/>
    <cellStyle name="Comma 2 2 3 79" xfId="18645" xr:uid="{A2A6109C-99B2-4D4B-941E-59957B32010B}"/>
    <cellStyle name="Comma 2 2 3 8" xfId="18647" xr:uid="{D375FCAD-9316-4100-9F46-43A8396A36BD}"/>
    <cellStyle name="Comma 2 2 3 80" xfId="18637" xr:uid="{10C20A30-8099-4A2C-B9CF-5F2CB3CB4801}"/>
    <cellStyle name="Comma 2 2 3 81" xfId="18639" xr:uid="{D741B539-EDB2-4AF7-9B89-91E0C831F8C1}"/>
    <cellStyle name="Comma 2 2 3 82" xfId="18641" xr:uid="{01C2B5C4-3923-411B-8E63-6AC6B95A43A7}"/>
    <cellStyle name="Comma 2 2 3 83" xfId="18644" xr:uid="{9CF78A1B-D161-4F60-8C54-8D3CAA035209}"/>
    <cellStyle name="Comma 2 2 3 84" xfId="18646" xr:uid="{CEAA9C25-75AC-403C-AF22-A5466A3AE337}"/>
    <cellStyle name="Comma 2 2 3 85" xfId="18648" xr:uid="{7DAAA58E-9EF0-4FF1-8C8E-E87177772C5C}"/>
    <cellStyle name="Comma 2 2 3 86" xfId="18650" xr:uid="{3EF09DBE-F469-4BCA-B3AA-B91AD37AD133}"/>
    <cellStyle name="Comma 2 2 3 87" xfId="18652" xr:uid="{44F3B489-6457-4B6C-A2C5-176BFCCA9056}"/>
    <cellStyle name="Comma 2 2 3 88" xfId="18656" xr:uid="{6EA2D1BE-EE44-410D-8C0A-AC2EF5B42680}"/>
    <cellStyle name="Comma 2 2 3 89" xfId="18658" xr:uid="{002E54B9-A0E4-4E70-9E85-220B756E9C1B}"/>
    <cellStyle name="Comma 2 2 3 9" xfId="18660" xr:uid="{4BB2917F-FDD9-4DA1-8BB0-5E540C73FD86}"/>
    <cellStyle name="Comma 2 2 3 90" xfId="18649" xr:uid="{CDBC87EB-1F4D-4A18-B5C0-5707694C06D7}"/>
    <cellStyle name="Comma 2 2 3 91" xfId="18651" xr:uid="{2E2993F4-23EF-46A7-8942-4F9D85B747CD}"/>
    <cellStyle name="Comma 2 2 3 92" xfId="18653" xr:uid="{C5DD8A1C-4182-4265-B720-7567987E4C9C}"/>
    <cellStyle name="Comma 2 2 3 93" xfId="18657" xr:uid="{2F5B96C5-1016-48DB-8AC2-50BAF2B1AF40}"/>
    <cellStyle name="Comma 2 2 3 94" xfId="18659" xr:uid="{3EC11FD5-677A-46E0-8323-DBEC27162542}"/>
    <cellStyle name="Comma 2 2 3 95" xfId="18662" xr:uid="{66EDEB23-93BF-4E7C-9689-93B90FE94984}"/>
    <cellStyle name="Comma 2 2 3 96" xfId="18664" xr:uid="{7379962E-72E2-4A90-88BC-1AC1C9F6F3B7}"/>
    <cellStyle name="Comma 2 2 3 97" xfId="18665" xr:uid="{8FA67752-C13C-4BDB-9957-791D0E128AA0}"/>
    <cellStyle name="Comma 2 2 3 98" xfId="18666" xr:uid="{42A8374F-2F8D-4006-AF5A-2E89DDB47BFE}"/>
    <cellStyle name="Comma 2 2 3 99" xfId="3929" xr:uid="{43850B23-CC35-4654-A7D6-F02B9261DD4B}"/>
    <cellStyle name="Comma 2 2 30" xfId="6358" xr:uid="{6AAC32FE-A094-4DC4-BD99-F20F65AB41F2}"/>
    <cellStyle name="Comma 2 2 30 2" xfId="6361" xr:uid="{A99A0BD5-83F5-4F3B-850C-28E8BEF10914}"/>
    <cellStyle name="Comma 2 2 30 3" xfId="6364" xr:uid="{950FC6AF-EEB7-4316-B85F-E5555479A532}"/>
    <cellStyle name="Comma 2 2 31" xfId="6369" xr:uid="{D75F69AE-963B-42B2-932B-793B963D2EC1}"/>
    <cellStyle name="Comma 2 2 31 2" xfId="6373" xr:uid="{D755F2FC-6D7E-4CE1-AE8C-CEA442ED7B48}"/>
    <cellStyle name="Comma 2 2 31 3" xfId="18441" xr:uid="{DAC563D1-3A7D-41C9-A376-755DD6ED9E84}"/>
    <cellStyle name="Comma 2 2 32" xfId="6377" xr:uid="{2A933920-BBED-484C-A5E9-F0D4F489317C}"/>
    <cellStyle name="Comma 2 2 32 2" xfId="18444" xr:uid="{C37A3240-D0C6-4ADD-9932-7EE998380188}"/>
    <cellStyle name="Comma 2 2 32 3" xfId="9717" xr:uid="{A5BB8BA0-1314-4F47-976E-D712D24457FC}"/>
    <cellStyle name="Comma 2 2 33" xfId="18446" xr:uid="{2B5B34FA-DD71-4A61-938B-8B94E48B08D1}"/>
    <cellStyle name="Comma 2 2 33 2" xfId="18448" xr:uid="{253A43D8-8762-4726-A154-1EAB0795D548}"/>
    <cellStyle name="Comma 2 2 33 3" xfId="18452" xr:uid="{20242396-0E1C-4FDF-A234-7EE6B7A49C52}"/>
    <cellStyle name="Comma 2 2 34" xfId="18456" xr:uid="{6B2FE15A-011A-475F-98BD-1F54590357FD}"/>
    <cellStyle name="Comma 2 2 34 2" xfId="18458" xr:uid="{F586C31C-1261-4D80-9F2E-8E867EF34B1A}"/>
    <cellStyle name="Comma 2 2 34 3" xfId="18462" xr:uid="{7156CEE4-EF1D-4CE2-B5F8-C2777C1E5EE1}"/>
    <cellStyle name="Comma 2 2 35" xfId="18667" xr:uid="{8F41155E-143F-43AB-B689-28B46C73B90E}"/>
    <cellStyle name="Comma 2 2 35 2" xfId="18669" xr:uid="{8FBD9529-CD00-4E98-947E-6173B7D5CEE1}"/>
    <cellStyle name="Comma 2 2 35 3" xfId="18671" xr:uid="{01E37CB2-DD52-44C0-B530-18E43E6D177C}"/>
    <cellStyle name="Comma 2 2 36" xfId="10886" xr:uid="{49DA43E2-A0AC-47D0-85D5-FF9C60BFA279}"/>
    <cellStyle name="Comma 2 2 36 2" xfId="18673" xr:uid="{67E3780F-27AB-44FE-BA9C-9A3ED8D4EF0D}"/>
    <cellStyle name="Comma 2 2 36 3" xfId="18675" xr:uid="{F8BA9852-222C-4922-979A-0EE4F77ADE9F}"/>
    <cellStyle name="Comma 2 2 37" xfId="18678" xr:uid="{CACBA742-0709-4A25-BE44-0711D619C5E8}"/>
    <cellStyle name="Comma 2 2 37 2" xfId="18681" xr:uid="{E881A491-AFBE-4267-AF43-B0A67B9276FB}"/>
    <cellStyle name="Comma 2 2 37 3" xfId="18683" xr:uid="{54BB5EF7-6B1E-4FCD-919C-7F04E940175C}"/>
    <cellStyle name="Comma 2 2 38" xfId="10476" xr:uid="{8A902428-47BB-469A-A1D1-50F77E7E0CBB}"/>
    <cellStyle name="Comma 2 2 38 2" xfId="18685" xr:uid="{12203089-EDFB-4D12-8598-7E081A0AA825}"/>
    <cellStyle name="Comma 2 2 38 3" xfId="18689" xr:uid="{537C0F80-C041-417B-AFBA-2F5A1CD44CB5}"/>
    <cellStyle name="Comma 2 2 39" xfId="18693" xr:uid="{E6E6809A-7000-40F7-BAE7-65C14229F2DA}"/>
    <cellStyle name="Comma 2 2 39 2" xfId="16602" xr:uid="{6D80C1C1-DA57-4BA0-9897-D115C14E88B1}"/>
    <cellStyle name="Comma 2 2 39 3" xfId="16608" xr:uid="{5AFB0162-7CE4-4FC9-8C75-ACBA75A3A5C2}"/>
    <cellStyle name="Comma 2 2 4" xfId="1049" xr:uid="{E24DC2B9-8858-4303-8171-A7F021E0FCF4}"/>
    <cellStyle name="Comma 2 2 4 10" xfId="18695" xr:uid="{4C917032-E9E9-4260-BDC5-30CD9C076086}"/>
    <cellStyle name="Comma 2 2 4 100" xfId="18696" xr:uid="{93D6AEE4-0457-4FB4-9026-98390D4CC1DF}"/>
    <cellStyle name="Comma 2 2 4 101" xfId="18699" xr:uid="{F08F18A9-3381-4B4F-B2EA-B9F7774E778D}"/>
    <cellStyle name="Comma 2 2 4 102" xfId="18700" xr:uid="{039E638F-6F49-4C61-8F87-0E2B85B89257}"/>
    <cellStyle name="Comma 2 2 4 103" xfId="16538" xr:uid="{5CA3F52A-564A-44E0-83FC-111FB4505D1D}"/>
    <cellStyle name="Comma 2 2 4 104" xfId="18701" xr:uid="{505AA38E-B1D7-4E3C-BDEA-3E47FAB9C926}"/>
    <cellStyle name="Comma 2 2 4 105" xfId="248" xr:uid="{4B2CE204-8DFF-44F0-BC12-945F0EA41F4C}"/>
    <cellStyle name="Comma 2 2 4 106" xfId="18703" xr:uid="{89DDB397-F4EB-40EE-8D03-7011670AA8C2}"/>
    <cellStyle name="Comma 2 2 4 107" xfId="18706" xr:uid="{2FBD2E71-1CA3-4FBA-84FE-DBFA454C69FE}"/>
    <cellStyle name="Comma 2 2 4 108" xfId="18709" xr:uid="{5956CBAC-5C8A-4DE8-9EA6-3DB8F1ADAD1A}"/>
    <cellStyle name="Comma 2 2 4 109" xfId="18712" xr:uid="{643BE422-C63D-45B7-A9A9-3D78CCD40652}"/>
    <cellStyle name="Comma 2 2 4 11" xfId="18715" xr:uid="{9F7A0930-24F3-48A9-B5F4-04AD47A74F1F}"/>
    <cellStyle name="Comma 2 2 4 110" xfId="249" xr:uid="{57E37134-4552-4D9D-8934-8C51D70EB349}"/>
    <cellStyle name="Comma 2 2 4 111" xfId="18704" xr:uid="{1186FF31-8C30-45E4-8A30-2B085C9B2935}"/>
    <cellStyle name="Comma 2 2 4 112" xfId="18707" xr:uid="{0C64DE7E-62F9-42EE-BB22-E19F2EDF66CF}"/>
    <cellStyle name="Comma 2 2 4 113" xfId="18710" xr:uid="{3208A45D-4553-4DBC-A51C-DD3AC0F6CBC2}"/>
    <cellStyle name="Comma 2 2 4 114" xfId="18713" xr:uid="{F9EB6696-7D1C-4144-ACBB-373CD430AFB3}"/>
    <cellStyle name="Comma 2 2 4 115" xfId="18716" xr:uid="{35E29165-E31C-4CD6-BB33-F6F8B7A22209}"/>
    <cellStyle name="Comma 2 2 4 116" xfId="18718" xr:uid="{21DD0DA6-B3F7-4C99-808C-ABDBEFF614F5}"/>
    <cellStyle name="Comma 2 2 4 117" xfId="18720" xr:uid="{A91DA075-32CC-41D2-95B5-F1895298CF53}"/>
    <cellStyle name="Comma 2 2 4 118" xfId="18724" xr:uid="{E345CDEC-A66E-4C5D-9125-A3000287A87B}"/>
    <cellStyle name="Comma 2 2 4 119" xfId="7359" xr:uid="{950C0A87-C637-4CD7-854F-2B3C4652CFFC}"/>
    <cellStyle name="Comma 2 2 4 12" xfId="18726" xr:uid="{D925BCDF-7E7F-4916-BB3B-81B5C416E9F9}"/>
    <cellStyle name="Comma 2 2 4 120" xfId="18717" xr:uid="{97AC4BEB-5B8D-4BB2-BF80-B23C4079226C}"/>
    <cellStyle name="Comma 2 2 4 121" xfId="18719" xr:uid="{399777B5-094A-44EC-A741-B7468B1241DC}"/>
    <cellStyle name="Comma 2 2 4 122" xfId="18721" xr:uid="{CC7CF587-DE9D-4600-B4A6-F4D527704C5E}"/>
    <cellStyle name="Comma 2 2 4 123" xfId="18725" xr:uid="{0BC89BE0-B5C8-4E50-90B5-D5FC0652A472}"/>
    <cellStyle name="Comma 2 2 4 124" xfId="7360" xr:uid="{CFCDDDA8-6A00-495F-AA60-B2D0D3C8A53B}"/>
    <cellStyle name="Comma 2 2 4 125" xfId="6170" xr:uid="{3B575CA8-AE6E-4D49-956E-82155DE6C5BD}"/>
    <cellStyle name="Comma 2 2 4 126" xfId="6182" xr:uid="{A3138677-5765-4AD9-AE8E-72CAB647612C}"/>
    <cellStyle name="Comma 2 2 4 127" xfId="6194" xr:uid="{2D9882F9-00FD-4206-9CE5-C794F48B8435}"/>
    <cellStyle name="Comma 2 2 4 128" xfId="14740" xr:uid="{D1DE1503-51CA-46F0-AC0C-E78658434E21}"/>
    <cellStyle name="Comma 2 2 4 129" xfId="18727" xr:uid="{D78C5688-72B5-4CDC-9A25-484FFB874565}"/>
    <cellStyle name="Comma 2 2 4 13" xfId="18729" xr:uid="{DA618CEE-D67D-44FC-94D8-F63B9065E519}"/>
    <cellStyle name="Comma 2 2 4 130" xfId="6171" xr:uid="{2AB8F4A1-7BEF-4293-830D-6DE27F17CB37}"/>
    <cellStyle name="Comma 2 2 4 131" xfId="6183" xr:uid="{B175410B-7F77-45AD-BDA9-57F287E75A82}"/>
    <cellStyle name="Comma 2 2 4 132" xfId="6195" xr:uid="{1213B935-F35C-4B09-AAE1-0F56988E1FF9}"/>
    <cellStyle name="Comma 2 2 4 133" xfId="14741" xr:uid="{0E6CC2EE-7F39-431A-9382-CC3640803134}"/>
    <cellStyle name="Comma 2 2 4 134" xfId="18728" xr:uid="{800B3E6B-54C5-42CF-9CB4-B238BDF4A37C}"/>
    <cellStyle name="Comma 2 2 4 135" xfId="2785" xr:uid="{944953B5-EE1B-429F-B533-02C9AEC37541}"/>
    <cellStyle name="Comma 2 2 4 136" xfId="18732" xr:uid="{41EC58CE-B7BB-4A55-80B4-DBCE2625042E}"/>
    <cellStyle name="Comma 2 2 4 137" xfId="17791" xr:uid="{314C7F2B-20FB-48CA-BE25-3F22A1D736CB}"/>
    <cellStyle name="Comma 2 2 4 138" xfId="17796" xr:uid="{8B052ED4-1AD4-4502-9FE1-CED7B11624A9}"/>
    <cellStyle name="Comma 2 2 4 139" xfId="18734" xr:uid="{28D5BFDA-19F2-4226-A7B0-6FC2841FC75D}"/>
    <cellStyle name="Comma 2 2 4 14" xfId="18736" xr:uid="{237B6EFF-283A-4821-B472-401D9815441D}"/>
    <cellStyle name="Comma 2 2 4 140" xfId="2786" xr:uid="{2C32A5A7-EAFF-4400-BDAD-7BB01261B0D4}"/>
    <cellStyle name="Comma 2 2 4 141" xfId="18733" xr:uid="{6B2D02C9-3BD2-46E2-9186-8F37E7BCE2C6}"/>
    <cellStyle name="Comma 2 2 4 142" xfId="17792" xr:uid="{3B78F846-43D1-4F75-A6B8-CEB8C1E16D5F}"/>
    <cellStyle name="Comma 2 2 4 143" xfId="17797" xr:uid="{017D98A2-87FD-4E81-B9EF-672F0BF67819}"/>
    <cellStyle name="Comma 2 2 4 144" xfId="18735" xr:uid="{AE53E07C-D3DB-499B-8B84-938556DBAFCA}"/>
    <cellStyle name="Comma 2 2 4 145" xfId="18737" xr:uid="{03905BD7-8D61-483C-9526-57542FED6751}"/>
    <cellStyle name="Comma 2 2 4 146" xfId="18739" xr:uid="{9818F87F-17EA-4516-9381-689C1D8A8DAF}"/>
    <cellStyle name="Comma 2 2 4 147" xfId="18741" xr:uid="{7C4E4974-088C-4743-AAD1-3556D039684D}"/>
    <cellStyle name="Comma 2 2 4 148" xfId="18743" xr:uid="{0B0A5552-A454-496C-85DE-4D25D9356024}"/>
    <cellStyle name="Comma 2 2 4 149" xfId="18745" xr:uid="{654CEB5D-44AD-45AF-9853-55E99F676879}"/>
    <cellStyle name="Comma 2 2 4 15" xfId="18748" xr:uid="{8C164FB7-E207-4FE2-A1C1-374210313308}"/>
    <cellStyle name="Comma 2 2 4 150" xfId="18738" xr:uid="{36FAA3E7-4E1A-4C90-954A-4C745CE679B0}"/>
    <cellStyle name="Comma 2 2 4 151" xfId="18740" xr:uid="{138DF0DA-0B00-4217-8109-A4574AD2F764}"/>
    <cellStyle name="Comma 2 2 4 152" xfId="18742" xr:uid="{B52F90BA-2823-4D49-875A-14A4D2C09F72}"/>
    <cellStyle name="Comma 2 2 4 153" xfId="18744" xr:uid="{F18330D5-BECC-4820-962E-A17D8843A30A}"/>
    <cellStyle name="Comma 2 2 4 154" xfId="18746" xr:uid="{60A0EEED-BCA1-4A27-9671-64A1352C4861}"/>
    <cellStyle name="Comma 2 2 4 155" xfId="2299" xr:uid="{17D4AB14-575D-4C6F-97D7-70DCD58B30E3}"/>
    <cellStyle name="Comma 2 2 4 156" xfId="18752" xr:uid="{C6B34D12-4EAF-4FAE-AFAF-A0129BD5E32B}"/>
    <cellStyle name="Comma 2 2 4 157" xfId="18755" xr:uid="{39C80AB0-6A43-4DB9-A5ED-9B3FFB374D73}"/>
    <cellStyle name="Comma 2 2 4 158" xfId="18758" xr:uid="{524F6902-6F5C-4833-BB30-F29D523E32E8}"/>
    <cellStyle name="Comma 2 2 4 159" xfId="18760" xr:uid="{9804B906-E0DC-4973-AAC8-B101596CF8A6}"/>
    <cellStyle name="Comma 2 2 4 16" xfId="18763" xr:uid="{84A02A17-2DD2-4903-A2D9-0C420FB4E8EA}"/>
    <cellStyle name="Comma 2 2 4 160" xfId="2300" xr:uid="{66BF6907-792C-438C-A2C8-0051987C63E8}"/>
    <cellStyle name="Comma 2 2 4 161" xfId="18753" xr:uid="{0DA724B6-97B4-4F94-A8D5-5B1CCD0EEE2D}"/>
    <cellStyle name="Comma 2 2 4 162" xfId="18756" xr:uid="{09FA8C41-B0B3-4066-8AED-0A4357224171}"/>
    <cellStyle name="Comma 2 2 4 163" xfId="18759" xr:uid="{C9E0A513-554D-48F0-8163-6FF66A60F780}"/>
    <cellStyle name="Comma 2 2 4 164" xfId="18761" xr:uid="{302B63C4-0C24-48F2-8305-1C293D6426A7}"/>
    <cellStyle name="Comma 2 2 4 165" xfId="18765" xr:uid="{39B65AD4-EE27-4050-A50D-82456621CBE5}"/>
    <cellStyle name="Comma 2 2 4 166" xfId="18767" xr:uid="{64E3D230-AA17-4664-AFDB-1E9D132B81DA}"/>
    <cellStyle name="Comma 2 2 4 167" xfId="18771" xr:uid="{97751E62-70DE-4754-A4A1-F6A0624E0DAF}"/>
    <cellStyle name="Comma 2 2 4 168" xfId="18778" xr:uid="{B8BD8132-2595-4297-8EB5-9E798DFE4E98}"/>
    <cellStyle name="Comma 2 2 4 169" xfId="7883" xr:uid="{A2A92B18-76CB-4D25-9DED-6222E1A50610}"/>
    <cellStyle name="Comma 2 2 4 17" xfId="18781" xr:uid="{C55CB5FD-D0AA-4A5C-B7D3-AFD7346DB8C7}"/>
    <cellStyle name="Comma 2 2 4 170" xfId="18766" xr:uid="{E05E01D4-98CE-473B-AB17-D180A540A8BB}"/>
    <cellStyle name="Comma 2 2 4 171" xfId="18768" xr:uid="{5BA2561F-820E-4C78-ADC8-C9009054DE47}"/>
    <cellStyle name="Comma 2 2 4 172" xfId="18772" xr:uid="{35D82484-1D27-4BD0-9BF4-C3282B08CE44}"/>
    <cellStyle name="Comma 2 2 4 173" xfId="18779" xr:uid="{F2554B9C-29D1-4892-852C-5306E2DF0DDE}"/>
    <cellStyle name="Comma 2 2 4 174" xfId="7884" xr:uid="{E0C068E7-B631-49BD-8716-E2B8F8F4C7F9}"/>
    <cellStyle name="Comma 2 2 4 175" xfId="6204" xr:uid="{9A3004FD-E7C6-4AF7-9722-738F53439F75}"/>
    <cellStyle name="Comma 2 2 4 176" xfId="6222" xr:uid="{20EDA9F7-509D-4237-809C-3773297E61C6}"/>
    <cellStyle name="Comma 2 2 4 177" xfId="12189" xr:uid="{EF7CD0AB-0992-423C-A716-D229236F0F0F}"/>
    <cellStyle name="Comma 2 2 4 178" xfId="12197" xr:uid="{E41B12EF-3799-4BB8-A0EB-96161A1F0ABA}"/>
    <cellStyle name="Comma 2 2 4 179" xfId="12204" xr:uid="{340DFA88-3F51-4284-B927-54C377DAEA1A}"/>
    <cellStyle name="Comma 2 2 4 18" xfId="300" xr:uid="{F2DDCCF5-20B7-42A6-91BB-CD59C3EA40C0}"/>
    <cellStyle name="Comma 2 2 4 180" xfId="6205" xr:uid="{4A071CBC-21A2-4258-8EB8-914FD04B70FF}"/>
    <cellStyle name="Comma 2 2 4 181" xfId="6223" xr:uid="{9B56002A-0A8C-48F1-A9C7-85088C4E71FF}"/>
    <cellStyle name="Comma 2 2 4 182" xfId="12190" xr:uid="{29E85A50-4970-4792-97C6-EB6C92892C3C}"/>
    <cellStyle name="Comma 2 2 4 183" xfId="12198" xr:uid="{92E473D0-F5F3-41B2-879B-1183D31266AB}"/>
    <cellStyle name="Comma 2 2 4 184" xfId="12205" xr:uid="{D424CBC2-0DCC-4CF0-A939-FBBF47AC07E4}"/>
    <cellStyle name="Comma 2 2 4 185" xfId="18787" xr:uid="{0E876380-21E3-481E-8B27-55DE8B0A4808}"/>
    <cellStyle name="Comma 2 2 4 186" xfId="18793" xr:uid="{65376E71-569D-484E-8011-93A5330E6E70}"/>
    <cellStyle name="Comma 2 2 4 187" xfId="17805" xr:uid="{C7F7EB99-97F2-410D-A711-834BB1751FA7}"/>
    <cellStyle name="Comma 2 2 4 188" xfId="17812" xr:uid="{2C358554-D8F1-4AF5-B69C-40F21A2FEAB7}"/>
    <cellStyle name="Comma 2 2 4 189" xfId="18798" xr:uid="{8EE98C4D-B2FE-46BB-AC3A-708EC69EA4F2}"/>
    <cellStyle name="Comma 2 2 4 19" xfId="3669" xr:uid="{4BF3F9C9-CF50-486F-8EC6-372060CFA472}"/>
    <cellStyle name="Comma 2 2 4 190" xfId="18788" xr:uid="{B9875E7E-AA0B-4AFB-821A-9C38CA0253F0}"/>
    <cellStyle name="Comma 2 2 4 191" xfId="18794" xr:uid="{C047BE7C-C1A8-4B34-B0B9-0B59C606B7CC}"/>
    <cellStyle name="Comma 2 2 4 192" xfId="17806" xr:uid="{568A73C4-06BC-47E1-97BF-08498D5B8511}"/>
    <cellStyle name="Comma 2 2 4 193" xfId="17813" xr:uid="{026C800B-5222-48ED-8240-8B1AB97FB6E9}"/>
    <cellStyle name="Comma 2 2 4 194" xfId="18799" xr:uid="{FE60F557-7FAA-4462-9832-2C374BB114EC}"/>
    <cellStyle name="Comma 2 2 4 195" xfId="18802" xr:uid="{CE2E65CF-5C6E-4B67-80A3-BCA0A561E60B}"/>
    <cellStyle name="Comma 2 2 4 2" xfId="1405" xr:uid="{982A1DC1-2B43-46E2-B4FD-B4DCFFED3A1F}"/>
    <cellStyle name="Comma 2 2 4 20" xfId="18749" xr:uid="{8EBB5C9A-9C69-4780-8BA4-FA47B8F59E12}"/>
    <cellStyle name="Comma 2 2 4 21" xfId="18764" xr:uid="{1FCCBD06-AED1-4876-A4D0-96F217C9EA0B}"/>
    <cellStyle name="Comma 2 2 4 22" xfId="18782" xr:uid="{8183D062-D7C3-4D2B-8172-E33D76E29735}"/>
    <cellStyle name="Comma 2 2 4 23" xfId="301" xr:uid="{A2E74479-C525-4910-AF3A-0A0BD21C650E}"/>
    <cellStyle name="Comma 2 2 4 24" xfId="3670" xr:uid="{0D6134EC-4A4F-4A05-9B05-4E79E7121244}"/>
    <cellStyle name="Comma 2 2 4 25" xfId="18804" xr:uid="{72E5EB0A-E209-4FE4-8436-DDF713CA90BF}"/>
    <cellStyle name="Comma 2 2 4 26" xfId="18806" xr:uid="{1CA9F63C-3E26-4BD8-A442-74D279C17813}"/>
    <cellStyle name="Comma 2 2 4 27" xfId="18808" xr:uid="{283B5330-E397-454F-BAB0-3B9D14A17D12}"/>
    <cellStyle name="Comma 2 2 4 28" xfId="18810" xr:uid="{5847D61C-8126-4817-908C-6889731294E4}"/>
    <cellStyle name="Comma 2 2 4 29" xfId="18812" xr:uid="{C093AE56-88C0-48EA-A54A-F92B031F87A2}"/>
    <cellStyle name="Comma 2 2 4 3" xfId="18815" xr:uid="{B003E4E9-146E-4C63-BBDB-7C10E079E9B9}"/>
    <cellStyle name="Comma 2 2 4 30" xfId="18805" xr:uid="{E8400E83-0D5C-46C7-AE30-8E95A6479F55}"/>
    <cellStyle name="Comma 2 2 4 31" xfId="18807" xr:uid="{AE4A17FA-58BA-4629-BC0C-5B782DD9E53F}"/>
    <cellStyle name="Comma 2 2 4 32" xfId="18809" xr:uid="{8AB03CC3-2671-4E2C-994B-0D1DA2BB3282}"/>
    <cellStyle name="Comma 2 2 4 33" xfId="18811" xr:uid="{DE2E09CD-A112-4C34-A4A1-E469BC702CDA}"/>
    <cellStyle name="Comma 2 2 4 34" xfId="18813" xr:uid="{2EF36841-909D-40AB-B0F4-C9CD58260B1C}"/>
    <cellStyle name="Comma 2 2 4 35" xfId="18816" xr:uid="{652B653C-006F-4212-9FDA-968954A8E95E}"/>
    <cellStyle name="Comma 2 2 4 36" xfId="18818" xr:uid="{32CDB6FF-B7DB-4B90-9619-5EB4FCD2794B}"/>
    <cellStyle name="Comma 2 2 4 37" xfId="16925" xr:uid="{821F0407-3C81-4415-9DA9-C0FC2484F372}"/>
    <cellStyle name="Comma 2 2 4 38" xfId="16693" xr:uid="{457CB2CC-A0F3-455A-9EB0-E89E27206278}"/>
    <cellStyle name="Comma 2 2 4 39" xfId="16697" xr:uid="{D8D9E62C-55CB-4716-9BC9-CE2BAB49F8DB}"/>
    <cellStyle name="Comma 2 2 4 4" xfId="18820" xr:uid="{65E3F9E6-4679-4DD4-BF77-6702926FF3F0}"/>
    <cellStyle name="Comma 2 2 4 40" xfId="18817" xr:uid="{02A73FF1-7EB4-4443-896E-FF0E52BF995A}"/>
    <cellStyle name="Comma 2 2 4 41" xfId="18819" xr:uid="{AE840A15-4D96-422B-B576-601D5966ECDB}"/>
    <cellStyle name="Comma 2 2 4 42" xfId="16926" xr:uid="{2915167C-B7C7-441C-A00C-617951891700}"/>
    <cellStyle name="Comma 2 2 4 43" xfId="16694" xr:uid="{DF079A45-6410-4160-8474-7B3F97A85391}"/>
    <cellStyle name="Comma 2 2 4 44" xfId="16698" xr:uid="{1130F561-3F01-414B-ADAB-B4DD7C50941F}"/>
    <cellStyle name="Comma 2 2 4 45" xfId="18821" xr:uid="{9C01EFE3-C842-4DB5-A4D4-682E77864AD7}"/>
    <cellStyle name="Comma 2 2 4 46" xfId="18823" xr:uid="{162DDCA4-B018-416E-8E4F-ECD1F318E87A}"/>
    <cellStyle name="Comma 2 2 4 47" xfId="18825" xr:uid="{825561AA-CCC3-43FB-AC99-71B819472488}"/>
    <cellStyle name="Comma 2 2 4 48" xfId="18827" xr:uid="{3BAF97D0-8988-4A73-B82D-7AAE1D260BF6}"/>
    <cellStyle name="Comma 2 2 4 49" xfId="18829" xr:uid="{9F0574ED-71E2-4DAF-916C-5826D10C4BC1}"/>
    <cellStyle name="Comma 2 2 4 5" xfId="11511" xr:uid="{24F1EF6C-E7BB-4D80-A078-35B1C6557D2D}"/>
    <cellStyle name="Comma 2 2 4 50" xfId="18822" xr:uid="{884673A8-9400-44B0-BCF9-66CFC7B91179}"/>
    <cellStyle name="Comma 2 2 4 51" xfId="18824" xr:uid="{C86380E7-5ADE-431F-902B-AD7BB9ABB564}"/>
    <cellStyle name="Comma 2 2 4 52" xfId="18826" xr:uid="{F0116455-20D5-4210-AF18-1692C1AF138E}"/>
    <cellStyle name="Comma 2 2 4 53" xfId="18828" xr:uid="{5EF3F8BC-009D-4F00-A3A2-4E4C0F3658D2}"/>
    <cellStyle name="Comma 2 2 4 54" xfId="18830" xr:uid="{52CE2273-9F96-47CD-AB38-77553D9F3D0C}"/>
    <cellStyle name="Comma 2 2 4 55" xfId="18831" xr:uid="{3AC7BCDC-A1B6-4222-960D-911454768B33}"/>
    <cellStyle name="Comma 2 2 4 56" xfId="18833" xr:uid="{022672F3-6A3A-4436-A8A9-051039F61AF1}"/>
    <cellStyle name="Comma 2 2 4 57" xfId="18835" xr:uid="{02902E42-2250-4C60-A123-05C20590FD01}"/>
    <cellStyle name="Comma 2 2 4 58" xfId="18837" xr:uid="{B2B75F67-1A3B-49AA-B91A-72CAC5827F02}"/>
    <cellStyle name="Comma 2 2 4 59" xfId="18839" xr:uid="{AB8CB3F4-872B-4841-815E-63B160252DE3}"/>
    <cellStyle name="Comma 2 2 4 6" xfId="17799" xr:uid="{9E10FE1F-E99F-4C5B-A7B1-1E617B4D5D91}"/>
    <cellStyle name="Comma 2 2 4 60" xfId="18832" xr:uid="{CB0A112F-5AEA-4158-B919-C785F6014B26}"/>
    <cellStyle name="Comma 2 2 4 61" xfId="18834" xr:uid="{C0A8B1A0-484A-4D64-8CF5-166F3F877D7D}"/>
    <cellStyle name="Comma 2 2 4 62" xfId="18836" xr:uid="{48E2E1BF-7D2C-4229-83B9-57DC2D762FDE}"/>
    <cellStyle name="Comma 2 2 4 63" xfId="18838" xr:uid="{5C56F8C3-C9E1-4FF2-8E8B-A9B6CB5C7A2F}"/>
    <cellStyle name="Comma 2 2 4 64" xfId="18840" xr:uid="{44BEDF99-050F-44E9-B675-61E7F3DD8CC2}"/>
    <cellStyle name="Comma 2 2 4 65" xfId="18841" xr:uid="{247731AD-09C6-4310-BD9E-EB15C74C1C48}"/>
    <cellStyle name="Comma 2 2 4 66" xfId="18844" xr:uid="{A9268DC8-7BDB-4525-8A2D-47C2F5A387E3}"/>
    <cellStyle name="Comma 2 2 4 67" xfId="18846" xr:uid="{500232EA-1C89-4BCA-8F06-690DEBB68149}"/>
    <cellStyle name="Comma 2 2 4 68" xfId="3680" xr:uid="{F6E39AC5-CC16-4DE8-AE71-88275535E9B3}"/>
    <cellStyle name="Comma 2 2 4 69" xfId="18848" xr:uid="{CB8ED908-6E98-41A8-919D-54E9C4B56D69}"/>
    <cellStyle name="Comma 2 2 4 7" xfId="17815" xr:uid="{92D6E439-8130-4278-93AB-6B26D0204E5B}"/>
    <cellStyle name="Comma 2 2 4 70" xfId="18842" xr:uid="{2065A0F5-D1A8-4D7C-9EC9-AF0826FF3DBC}"/>
    <cellStyle name="Comma 2 2 4 71" xfId="18845" xr:uid="{D5C5F4F3-3EC3-4184-A871-67A04A06F3CC}"/>
    <cellStyle name="Comma 2 2 4 72" xfId="18847" xr:uid="{5A327BA2-01CB-4D3A-A05A-12998C7AD11A}"/>
    <cellStyle name="Comma 2 2 4 73" xfId="3681" xr:uid="{C64D98AB-E9D6-4CB5-94A6-42822C681EEA}"/>
    <cellStyle name="Comma 2 2 4 74" xfId="18849" xr:uid="{D51E919D-91FD-4045-BA15-8A5E2F4E28DB}"/>
    <cellStyle name="Comma 2 2 4 75" xfId="18850" xr:uid="{6281E29A-40B9-4837-90A0-C837B3B1E954}"/>
    <cellStyle name="Comma 2 2 4 76" xfId="18852" xr:uid="{500995DD-0FFE-477E-87F1-CA66F3FFF0BD}"/>
    <cellStyle name="Comma 2 2 4 77" xfId="18854" xr:uid="{92DEF832-0390-45D9-A077-8041921FD80C}"/>
    <cellStyle name="Comma 2 2 4 78" xfId="18857" xr:uid="{38DCF1CF-6125-44D8-AEAB-354757C80CDE}"/>
    <cellStyle name="Comma 2 2 4 79" xfId="18860" xr:uid="{A052D4BE-FE6A-4E8B-B915-BC7CB5B0494C}"/>
    <cellStyle name="Comma 2 2 4 8" xfId="17818" xr:uid="{FF4FE3F8-338B-4437-B1E3-7EEA03C0C1D6}"/>
    <cellStyle name="Comma 2 2 4 80" xfId="18851" xr:uid="{ED45A3FF-A506-4AAA-A980-2C1C323D0E89}"/>
    <cellStyle name="Comma 2 2 4 81" xfId="18853" xr:uid="{EB995013-C9CC-493B-86AF-37426BF955CF}"/>
    <cellStyle name="Comma 2 2 4 82" xfId="18855" xr:uid="{193577CB-0BCE-4593-84B4-AE1FBA2AAE9F}"/>
    <cellStyle name="Comma 2 2 4 83" xfId="18858" xr:uid="{67267330-25B9-40D6-B8A9-F101937FB411}"/>
    <cellStyle name="Comma 2 2 4 84" xfId="18861" xr:uid="{FCFCC54D-4183-490C-BD9A-10F71CC949A0}"/>
    <cellStyle name="Comma 2 2 4 85" xfId="18864" xr:uid="{D8A7B58D-4761-40EA-AB25-E0232E7A2D68}"/>
    <cellStyle name="Comma 2 2 4 86" xfId="18866" xr:uid="{D9F64314-FAFE-47F1-957F-FD2EE7484C1F}"/>
    <cellStyle name="Comma 2 2 4 87" xfId="17889" xr:uid="{DB21D7D8-EBB0-44E7-B878-214B16754A04}"/>
    <cellStyle name="Comma 2 2 4 88" xfId="16710" xr:uid="{41002C34-4E49-4D6E-9513-6C3038B68BE3}"/>
    <cellStyle name="Comma 2 2 4 89" xfId="18868" xr:uid="{D021A183-EE9D-459B-A62D-4008D96191F8}"/>
    <cellStyle name="Comma 2 2 4 9" xfId="17821" xr:uid="{CF9E45F0-6AB0-4823-8ECD-7649C0DE3A7B}"/>
    <cellStyle name="Comma 2 2 4 90" xfId="18865" xr:uid="{1FA388BB-BB8B-4965-8590-1370CEB4A55A}"/>
    <cellStyle name="Comma 2 2 4 91" xfId="18867" xr:uid="{C5EA1AF8-D17F-4EEA-9702-BFE46AF8A49E}"/>
    <cellStyle name="Comma 2 2 4 92" xfId="17890" xr:uid="{BA711BEA-241A-40E5-8748-5275B4E1762B}"/>
    <cellStyle name="Comma 2 2 4 93" xfId="16711" xr:uid="{58314F17-A1D5-4F78-9F04-A5690AEB297B}"/>
    <cellStyle name="Comma 2 2 4 94" xfId="18869" xr:uid="{94D3F0B6-29E4-408A-A7C4-33EE8BCCE035}"/>
    <cellStyle name="Comma 2 2 4 95" xfId="18870" xr:uid="{09B3A0B6-DEE2-4F60-8BBD-CDE75D75A676}"/>
    <cellStyle name="Comma 2 2 4 96" xfId="18871" xr:uid="{4E1D124A-5993-40A8-85D8-EBEBED0C93E5}"/>
    <cellStyle name="Comma 2 2 4 97" xfId="18872" xr:uid="{075102AB-9864-4767-A484-D676B16A055B}"/>
    <cellStyle name="Comma 2 2 4 98" xfId="18873" xr:uid="{C2472A2E-3BC6-42EF-A084-B684C745EB4E}"/>
    <cellStyle name="Comma 2 2 4 99" xfId="18874" xr:uid="{424D93DE-0BAF-49D8-ACBD-FA6426F20742}"/>
    <cellStyle name="Comma 2 2 40" xfId="18668" xr:uid="{A06DCD2F-9E37-40BD-A99A-39DB02285C2A}"/>
    <cellStyle name="Comma 2 2 40 2" xfId="18670" xr:uid="{A590FEB2-63C8-480B-842C-2DC6C22CF4FC}"/>
    <cellStyle name="Comma 2 2 40 3" xfId="18672" xr:uid="{3A7B1053-461F-49A4-B366-11A0468EB018}"/>
    <cellStyle name="Comma 2 2 41" xfId="10887" xr:uid="{18EA3BDB-7A8E-4E35-B130-CCF2A7514AB4}"/>
    <cellStyle name="Comma 2 2 41 2" xfId="18674" xr:uid="{E3EEA45C-7A7A-4246-80DA-057029948AEC}"/>
    <cellStyle name="Comma 2 2 41 3" xfId="18676" xr:uid="{E5390A32-FA80-4B15-8EDB-C50534D3E2F7}"/>
    <cellStyle name="Comma 2 2 42" xfId="18679" xr:uid="{95224583-1240-437C-B71E-852A30B92395}"/>
    <cellStyle name="Comma 2 2 42 2" xfId="18682" xr:uid="{7C6D5011-BE38-4BE8-AF92-9E4325E3E4DB}"/>
    <cellStyle name="Comma 2 2 42 3" xfId="18684" xr:uid="{D0A9ED92-215F-4688-84E5-AC39B438A4BE}"/>
    <cellStyle name="Comma 2 2 43" xfId="10477" xr:uid="{13691C3C-ABA4-4BD9-A78F-2124E1074752}"/>
    <cellStyle name="Comma 2 2 43 2" xfId="18686" xr:uid="{91A2BDA2-B6FD-4992-9631-99F8C17D6CFA}"/>
    <cellStyle name="Comma 2 2 43 3" xfId="18690" xr:uid="{CD3242E2-483D-4B3D-8D4C-4EC3FF3C0422}"/>
    <cellStyle name="Comma 2 2 44" xfId="18694" xr:uid="{7873E4D5-70D7-453F-A80F-CBA54844FBB8}"/>
    <cellStyle name="Comma 2 2 44 2" xfId="16603" xr:uid="{0BE54BFB-D853-4EB0-AA78-46C2DE5408FA}"/>
    <cellStyle name="Comma 2 2 44 3" xfId="16609" xr:uid="{9F514456-854E-4896-AF3D-DCA8AB563320}"/>
    <cellStyle name="Comma 2 2 45" xfId="9037" xr:uid="{490930B7-B37B-426E-820E-F88D66A9719B}"/>
    <cellStyle name="Comma 2 2 45 2" xfId="9040" xr:uid="{21DD7B5A-3255-4364-9C42-B08D4C20AB20}"/>
    <cellStyle name="Comma 2 2 45 3" xfId="18875" xr:uid="{8DED05CA-2D28-4ABB-A83A-83859EFC5105}"/>
    <cellStyle name="Comma 2 2 46" xfId="9044" xr:uid="{45B92E68-A02D-4745-8C3D-ECAA8B65B081}"/>
    <cellStyle name="Comma 2 2 46 2" xfId="18877" xr:uid="{C4DE090B-6394-4858-8730-B15789DE920C}"/>
    <cellStyle name="Comma 2 2 46 3" xfId="18879" xr:uid="{E856337B-25EC-4391-8ABA-D9078D5591E5}"/>
    <cellStyle name="Comma 2 2 47" xfId="18881" xr:uid="{9FB5E52D-4F5A-497C-9F4C-D8796EB15159}"/>
    <cellStyle name="Comma 2 2 47 2" xfId="18883" xr:uid="{B9F10FA4-D058-4D7E-A436-DA124FF7CFF8}"/>
    <cellStyle name="Comma 2 2 47 3" xfId="18885" xr:uid="{0D8802A5-119B-44FE-B617-6697881482C9}"/>
    <cellStyle name="Comma 2 2 48" xfId="18887" xr:uid="{2EFF0397-F1AB-488D-9C74-A883C3FB67F7}"/>
    <cellStyle name="Comma 2 2 48 2" xfId="18889" xr:uid="{03359B29-FC9F-41A4-B6FB-8EE5A32E6FFC}"/>
    <cellStyle name="Comma 2 2 48 3" xfId="18891" xr:uid="{71907684-9CC7-4B71-8050-8B73BED36D04}"/>
    <cellStyle name="Comma 2 2 49" xfId="18893" xr:uid="{49E222A2-B324-4613-B247-B4D3F3C9A491}"/>
    <cellStyle name="Comma 2 2 49 2" xfId="18895" xr:uid="{63C89E9E-E76E-427B-89C9-E78EC82826E0}"/>
    <cellStyle name="Comma 2 2 49 3" xfId="18897" xr:uid="{4C7F442D-B585-4EC6-8DA6-06D40CB16BBC}"/>
    <cellStyle name="Comma 2 2 5" xfId="1058" xr:uid="{B7E6AB10-71F0-449C-8375-842F5A085885}"/>
    <cellStyle name="Comma 2 2 5 10" xfId="18900" xr:uid="{318744C1-DAF7-4C7A-B55E-3DD1E5A5160F}"/>
    <cellStyle name="Comma 2 2 5 100" xfId="18902" xr:uid="{476F52A8-E582-4CD6-A4BE-BA27CC9BAABC}"/>
    <cellStyle name="Comma 2 2 5 101" xfId="18904" xr:uid="{4ADF1AAC-B09F-43AB-901F-58ADFC2551B6}"/>
    <cellStyle name="Comma 2 2 5 102" xfId="18906" xr:uid="{3C8D632D-8858-4C18-B99F-48058CB89D04}"/>
    <cellStyle name="Comma 2 2 5 103" xfId="18908" xr:uid="{650BAF60-6222-4B3E-8972-98043A2B4CCF}"/>
    <cellStyle name="Comma 2 2 5 104" xfId="18910" xr:uid="{C38C6FE8-7F66-47AB-966C-6526E7A2E2F3}"/>
    <cellStyle name="Comma 2 2 5 105" xfId="7274" xr:uid="{1D8F5B3A-18CB-4611-833A-128D244F4FBE}"/>
    <cellStyle name="Comma 2 2 5 106" xfId="18912" xr:uid="{F7321619-91B6-4B03-9611-CF07D85CC51D}"/>
    <cellStyle name="Comma 2 2 5 107" xfId="18916" xr:uid="{78D7BF58-8ABE-456D-BD71-8D1D76388AD3}"/>
    <cellStyle name="Comma 2 2 5 108" xfId="18918" xr:uid="{3D0D7990-7894-4C28-8BA2-B4C9D1D61712}"/>
    <cellStyle name="Comma 2 2 5 109" xfId="18920" xr:uid="{8070DC8E-702A-4979-BC12-498E9C94ABF1}"/>
    <cellStyle name="Comma 2 2 5 11" xfId="18922" xr:uid="{CE7B1B84-BBE6-461A-91C5-120D7E22B8CA}"/>
    <cellStyle name="Comma 2 2 5 110" xfId="7275" xr:uid="{ABC347F1-D9AA-4955-8C66-51B76D5A56F0}"/>
    <cellStyle name="Comma 2 2 5 111" xfId="18913" xr:uid="{639EEAC8-48E9-47EC-A733-267BB6EE744C}"/>
    <cellStyle name="Comma 2 2 5 112" xfId="18917" xr:uid="{A9ED456A-70F2-4C39-9075-762E869BF7DB}"/>
    <cellStyle name="Comma 2 2 5 113" xfId="18919" xr:uid="{3FC23D76-3659-42A7-B035-1EB790FC306E}"/>
    <cellStyle name="Comma 2 2 5 114" xfId="18921" xr:uid="{B5AE2466-0FB7-468A-89E7-36B16B56D9C7}"/>
    <cellStyle name="Comma 2 2 5 115" xfId="18923" xr:uid="{73520D71-60AE-447F-BED4-565B7BC89C3A}"/>
    <cellStyle name="Comma 2 2 5 116" xfId="18925" xr:uid="{8E571F74-9F8B-41C0-8D72-012600D7F29E}"/>
    <cellStyle name="Comma 2 2 5 117" xfId="18927" xr:uid="{7F13B434-CE05-435B-981F-A0838AFFDDF9}"/>
    <cellStyle name="Comma 2 2 5 118" xfId="18931" xr:uid="{134FCAA3-9AB0-482B-A98E-8B3638AB519F}"/>
    <cellStyle name="Comma 2 2 5 119" xfId="7902" xr:uid="{04384DDF-8477-4AC5-9F1A-0653A12AB23E}"/>
    <cellStyle name="Comma 2 2 5 12" xfId="18935" xr:uid="{4DE9E870-91D4-41C2-A751-8360C5354EAC}"/>
    <cellStyle name="Comma 2 2 5 120" xfId="18924" xr:uid="{95835623-E6BA-4A1F-ABE4-679BD2CDE9F8}"/>
    <cellStyle name="Comma 2 2 5 121" xfId="18926" xr:uid="{3A2631CD-6D96-4893-884A-DA3A92AAA8E6}"/>
    <cellStyle name="Comma 2 2 5 122" xfId="18928" xr:uid="{922AB4F7-CB86-41BE-A064-63BCC0B19917}"/>
    <cellStyle name="Comma 2 2 5 123" xfId="18932" xr:uid="{D26F6A03-5331-4973-9CE4-C8D13DC79CB3}"/>
    <cellStyle name="Comma 2 2 5 124" xfId="7903" xr:uid="{E43255A8-BE22-4F44-9FFF-EAB908EB7FFE}"/>
    <cellStyle name="Comma 2 2 5 125" xfId="6239" xr:uid="{B7343C2E-9709-489C-A754-177AD3670530}"/>
    <cellStyle name="Comma 2 2 5 126" xfId="6247" xr:uid="{5D9BBD18-49E6-47F2-A819-DE3ABC7AA59A}"/>
    <cellStyle name="Comma 2 2 5 127" xfId="18939" xr:uid="{DB7BEA5E-3C85-4E35-9AD0-3023879D3B6B}"/>
    <cellStyle name="Comma 2 2 5 128" xfId="14762" xr:uid="{A4162BAC-05B2-4CDB-8D8B-67E6ED10C43E}"/>
    <cellStyle name="Comma 2 2 5 129" xfId="18941" xr:uid="{F9611415-6DF3-4C70-B22C-02EA49588E35}"/>
    <cellStyle name="Comma 2 2 5 13" xfId="18945" xr:uid="{A82CEECD-96F3-4ADC-B07D-61D1DA027A24}"/>
    <cellStyle name="Comma 2 2 5 130" xfId="6240" xr:uid="{6C9D7B18-ECCA-4405-8787-546F05060CF5}"/>
    <cellStyle name="Comma 2 2 5 131" xfId="6248" xr:uid="{E0E00B97-18FB-4364-B4FF-DB2F2F42CBDC}"/>
    <cellStyle name="Comma 2 2 5 132" xfId="18940" xr:uid="{0410286C-3B27-4A6B-BC76-EC852AC5B1C2}"/>
    <cellStyle name="Comma 2 2 5 133" xfId="14763" xr:uid="{234258E1-8EBF-4C65-B66A-21C365A0F98E}"/>
    <cellStyle name="Comma 2 2 5 134" xfId="18942" xr:uid="{5C049919-6B83-46E2-9C36-CB54FB631F95}"/>
    <cellStyle name="Comma 2 2 5 135" xfId="18948" xr:uid="{FCA457E6-1D4F-4AE1-AA8B-545253E98F76}"/>
    <cellStyle name="Comma 2 2 5 136" xfId="18952" xr:uid="{CBB81D6B-6029-46AF-B466-4295EC7A057D}"/>
    <cellStyle name="Comma 2 2 5 137" xfId="18956" xr:uid="{68C50BDF-D83B-49A4-B4DD-1C5322DA71C1}"/>
    <cellStyle name="Comma 2 2 5 138" xfId="18961" xr:uid="{DEAD4828-9599-4272-A2C4-8245AA0156EB}"/>
    <cellStyle name="Comma 2 2 5 139" xfId="18966" xr:uid="{EC682E8C-E011-4161-96E3-495BCDE49897}"/>
    <cellStyle name="Comma 2 2 5 14" xfId="7864" xr:uid="{8FBEF5C1-D2C9-467B-B5CE-7D5B0E5831B3}"/>
    <cellStyle name="Comma 2 2 5 140" xfId="18949" xr:uid="{0428C274-079B-4256-BD44-E9DBF571E1EA}"/>
    <cellStyle name="Comma 2 2 5 141" xfId="18953" xr:uid="{0C03E18D-0767-48F6-B31B-C86E3C5C12D8}"/>
    <cellStyle name="Comma 2 2 5 142" xfId="18957" xr:uid="{3D21AAFB-C74D-483C-92E9-4015CEB394BB}"/>
    <cellStyle name="Comma 2 2 5 143" xfId="18962" xr:uid="{5E0E075F-C084-4C27-A44C-7FB754E6E597}"/>
    <cellStyle name="Comma 2 2 5 144" xfId="18967" xr:uid="{E61B4EE9-A137-469F-B779-B2DD4D3D4777}"/>
    <cellStyle name="Comma 2 2 5 145" xfId="18971" xr:uid="{DBBB91BE-ABE6-40A0-95C2-AEBBDFFCBC91}"/>
    <cellStyle name="Comma 2 2 5 146" xfId="18974" xr:uid="{C684D747-C9FC-4923-8F1C-6766DCAD7C50}"/>
    <cellStyle name="Comma 2 2 5 147" xfId="18977" xr:uid="{082D58BA-3D4F-489E-9448-FCAAB8EBC463}"/>
    <cellStyle name="Comma 2 2 5 148" xfId="18980" xr:uid="{2ED37487-9B17-4F7F-BEF3-1D449BBFE27B}"/>
    <cellStyle name="Comma 2 2 5 149" xfId="18983" xr:uid="{A46FB49E-E6D0-4717-A0CE-6BD2A155913D}"/>
    <cellStyle name="Comma 2 2 5 15" xfId="4498" xr:uid="{35FCBBED-E183-49DE-ACA3-0CBD6E9209A8}"/>
    <cellStyle name="Comma 2 2 5 150" xfId="18972" xr:uid="{7B31219B-8CCE-438B-9B15-31459CBA8E53}"/>
    <cellStyle name="Comma 2 2 5 151" xfId="18975" xr:uid="{4CFE1BA5-A9C0-45E2-9FA2-0B4066558759}"/>
    <cellStyle name="Comma 2 2 5 152" xfId="18978" xr:uid="{86CEEE70-0855-4E7E-A98B-7B6B113FB928}"/>
    <cellStyle name="Comma 2 2 5 153" xfId="18981" xr:uid="{406D06C5-6ED4-4FEF-B943-85C0167116DF}"/>
    <cellStyle name="Comma 2 2 5 154" xfId="18984" xr:uid="{F57F3744-0101-45E7-BDF7-7D5CBA8F6FDD}"/>
    <cellStyle name="Comma 2 2 5 155" xfId="7099" xr:uid="{28454A47-737E-401F-A8F6-728E2BAEB4CE}"/>
    <cellStyle name="Comma 2 2 5 156" xfId="18986" xr:uid="{E8892E11-C08C-4B79-93DB-9344AA3F44DE}"/>
    <cellStyle name="Comma 2 2 5 157" xfId="18990" xr:uid="{9FBF63A0-31DC-4FF8-8B5F-E3BC0F3B7215}"/>
    <cellStyle name="Comma 2 2 5 158" xfId="18993" xr:uid="{E6AB48E1-FFAD-4566-9CCB-944CE22DB1C1}"/>
    <cellStyle name="Comma 2 2 5 159" xfId="18995" xr:uid="{E1BD3FBA-8BEC-4947-AF34-34581A9E4A91}"/>
    <cellStyle name="Comma 2 2 5 16" xfId="18997" xr:uid="{15B1B10A-E0CC-47B4-88D5-21E2A8017524}"/>
    <cellStyle name="Comma 2 2 5 160" xfId="7100" xr:uid="{DB531910-A786-4D63-BE1B-CC19BD3A094A}"/>
    <cellStyle name="Comma 2 2 5 161" xfId="18987" xr:uid="{C4538630-696C-4090-A01D-55746A8B15B4}"/>
    <cellStyle name="Comma 2 2 5 162" xfId="18991" xr:uid="{9DB785CE-1F93-4EBC-816F-DD4A4E25FD3D}"/>
    <cellStyle name="Comma 2 2 5 163" xfId="18994" xr:uid="{C5FF2B3C-D13D-422A-A794-FFB4E58E7B70}"/>
    <cellStyle name="Comma 2 2 5 164" xfId="18996" xr:uid="{B8D96A7B-6730-41D3-B3B2-554A1B6FBFA1}"/>
    <cellStyle name="Comma 2 2 5 165" xfId="19000" xr:uid="{D51B903F-8AB2-4322-9BCF-9D6631933694}"/>
    <cellStyle name="Comma 2 2 5 166" xfId="19003" xr:uid="{2964E49C-0275-4922-8AB4-FB6B78C20EE1}"/>
    <cellStyle name="Comma 2 2 5 167" xfId="19008" xr:uid="{0A43B272-D7B8-4F26-9AE0-5DD0D98C0035}"/>
    <cellStyle name="Comma 2 2 5 168" xfId="19016" xr:uid="{28C95A22-DED8-4D0A-B583-6B8FCEBC32EF}"/>
    <cellStyle name="Comma 2 2 5 169" xfId="7916" xr:uid="{CDD90D18-0A9D-4514-87A3-D648D360CD36}"/>
    <cellStyle name="Comma 2 2 5 17" xfId="19018" xr:uid="{A6572425-C20D-477A-8622-3856605CC533}"/>
    <cellStyle name="Comma 2 2 5 170" xfId="19001" xr:uid="{2E0C0D06-A1D1-4746-93AB-FB4852B5DBBC}"/>
    <cellStyle name="Comma 2 2 5 171" xfId="19004" xr:uid="{B8415BD6-0031-40F3-ABBF-928F699B744A}"/>
    <cellStyle name="Comma 2 2 5 172" xfId="19009" xr:uid="{F6278114-BD9A-48F6-B7E8-72FE38F22964}"/>
    <cellStyle name="Comma 2 2 5 173" xfId="19017" xr:uid="{129DE199-E33E-4C0E-AE10-70477DE3898B}"/>
    <cellStyle name="Comma 2 2 5 174" xfId="7917" xr:uid="{6A3FCAD8-DCAC-4FDF-BDAC-CB6C80C761D3}"/>
    <cellStyle name="Comma 2 2 5 175" xfId="6260" xr:uid="{8139EFAB-0B27-4335-A3FB-C90C7C8A1563}"/>
    <cellStyle name="Comma 2 2 5 176" xfId="19024" xr:uid="{452DABEC-D58A-4BF8-9A8F-8D8259437F26}"/>
    <cellStyle name="Comma 2 2 5 177" xfId="12217" xr:uid="{D6B76BA3-36F3-49A0-A4B1-6F0EE8612754}"/>
    <cellStyle name="Comma 2 2 5 178" xfId="12225" xr:uid="{CE80B815-EC53-4FCC-8496-59390A922D86}"/>
    <cellStyle name="Comma 2 2 5 179" xfId="19028" xr:uid="{E93EF7D2-75BF-403E-8FED-F20C6F8A2011}"/>
    <cellStyle name="Comma 2 2 5 18" xfId="19030" xr:uid="{9422FE47-6E50-4FC2-BAD7-EFCDDB85AEB2}"/>
    <cellStyle name="Comma 2 2 5 180" xfId="6261" xr:uid="{ED6E0846-F47D-4E4B-B876-7FA67543504D}"/>
    <cellStyle name="Comma 2 2 5 181" xfId="19025" xr:uid="{10354809-0658-43C7-80F0-DE95F2021766}"/>
    <cellStyle name="Comma 2 2 5 182" xfId="12218" xr:uid="{543F7D9C-B495-4F24-929E-6AD409537F22}"/>
    <cellStyle name="Comma 2 2 5 183" xfId="12226" xr:uid="{392772FA-A0EB-4899-A978-DE2F8C1F60D5}"/>
    <cellStyle name="Comma 2 2 5 184" xfId="19029" xr:uid="{7AA5CD8D-0ABC-4E92-A81D-87351493E4E4}"/>
    <cellStyle name="Comma 2 2 5 185" xfId="19036" xr:uid="{36AC3BFC-322C-4B90-9821-A56D43DC9898}"/>
    <cellStyle name="Comma 2 2 5 186" xfId="19042" xr:uid="{7E7C61C7-BA99-40F1-84CA-9987F8915CBD}"/>
    <cellStyle name="Comma 2 2 5 187" xfId="19046" xr:uid="{64DEA834-647B-459F-8AA9-DD90856510D7}"/>
    <cellStyle name="Comma 2 2 5 188" xfId="19054" xr:uid="{54135B73-74A1-46E8-91B5-94D3EFF9F7AE}"/>
    <cellStyle name="Comma 2 2 5 189" xfId="19061" xr:uid="{B472DD47-7F12-4B15-BCA9-EC33A3727DD4}"/>
    <cellStyle name="Comma 2 2 5 19" xfId="19063" xr:uid="{7077AE89-7BCD-4176-A26F-5582B12DEA71}"/>
    <cellStyle name="Comma 2 2 5 190" xfId="19037" xr:uid="{03473E27-24AD-45FF-BA63-56A2A1E4E9A6}"/>
    <cellStyle name="Comma 2 2 5 191" xfId="19043" xr:uid="{435495B5-1C8C-43DC-8E39-725D18E70EF2}"/>
    <cellStyle name="Comma 2 2 5 192" xfId="19047" xr:uid="{7F881144-457C-4D9C-9CA7-2021CF97CD4C}"/>
    <cellStyle name="Comma 2 2 5 193" xfId="19055" xr:uid="{C0383211-77A7-4C3C-BADD-17490C201245}"/>
    <cellStyle name="Comma 2 2 5 194" xfId="19062" xr:uid="{2DC92C12-7052-4459-82BE-F9FCDAD6389A}"/>
    <cellStyle name="Comma 2 2 5 195" xfId="19068" xr:uid="{D0FC6BD5-B65B-4130-ABA4-ACB41D6490D7}"/>
    <cellStyle name="Comma 2 2 5 2" xfId="17881" xr:uid="{6EB9933E-092B-4894-BD0F-33FFC8AD9D51}"/>
    <cellStyle name="Comma 2 2 5 20" xfId="4499" xr:uid="{C95A7E86-02E6-46D2-BB44-C669262B67FD}"/>
    <cellStyle name="Comma 2 2 5 21" xfId="18998" xr:uid="{C0C70475-09EB-43AF-A7E0-F6D61EDE41E1}"/>
    <cellStyle name="Comma 2 2 5 22" xfId="19019" xr:uid="{E47322B9-6050-458F-A165-2E604AA3B12D}"/>
    <cellStyle name="Comma 2 2 5 23" xfId="19031" xr:uid="{06088978-8EC2-4B15-8C50-2DA856D7ACBE}"/>
    <cellStyle name="Comma 2 2 5 24" xfId="19064" xr:uid="{D87D0C27-63DC-4C20-8026-1AB6F16BE43D}"/>
    <cellStyle name="Comma 2 2 5 25" xfId="19069" xr:uid="{59C1F1AD-5D21-48B2-8DE2-91C6A1957471}"/>
    <cellStyle name="Comma 2 2 5 26" xfId="19071" xr:uid="{E1E7695F-B5E3-4BD3-B8C8-AD5E7F302EC0}"/>
    <cellStyle name="Comma 2 2 5 27" xfId="19076" xr:uid="{D4D144E8-EF94-4E11-8552-137CFC14B414}"/>
    <cellStyle name="Comma 2 2 5 28" xfId="19079" xr:uid="{7E632A92-24CD-4E4B-9A9E-0A1598CEC579}"/>
    <cellStyle name="Comma 2 2 5 29" xfId="19081" xr:uid="{29782661-7016-495A-89BA-C12897863125}"/>
    <cellStyle name="Comma 2 2 5 3" xfId="17884" xr:uid="{C6E07B72-75DD-41C9-914D-4C2115C43F1A}"/>
    <cellStyle name="Comma 2 2 5 30" xfId="19070" xr:uid="{7A537D91-B8B3-4C47-88D6-98A74C3FEE85}"/>
    <cellStyle name="Comma 2 2 5 31" xfId="19072" xr:uid="{B98FC26E-AC83-4947-9B44-17C6328C484C}"/>
    <cellStyle name="Comma 2 2 5 32" xfId="19077" xr:uid="{3A1283A0-CD25-4154-AFF0-1466741FB85C}"/>
    <cellStyle name="Comma 2 2 5 33" xfId="19080" xr:uid="{B2BBD882-1C0F-4B0D-99F0-572C16BE05A2}"/>
    <cellStyle name="Comma 2 2 5 34" xfId="19082" xr:uid="{B11B0794-165B-4A07-BEDD-095783D81DA1}"/>
    <cellStyle name="Comma 2 2 5 35" xfId="19083" xr:uid="{D85A7F8D-C3DC-4C70-85D4-8F87673245B0}"/>
    <cellStyle name="Comma 2 2 5 36" xfId="19085" xr:uid="{B9BFE5BC-CD89-4D61-AE1C-C21399C672D5}"/>
    <cellStyle name="Comma 2 2 5 37" xfId="17984" xr:uid="{BAD90995-2F69-4A0C-9C49-5F60A52ED80F}"/>
    <cellStyle name="Comma 2 2 5 38" xfId="17988" xr:uid="{A30BA8FF-D829-4D91-B300-5A67BA830DF8}"/>
    <cellStyle name="Comma 2 2 5 39" xfId="19087" xr:uid="{655CA19E-494E-482F-A5A8-1DF8624B9A03}"/>
    <cellStyle name="Comma 2 2 5 4" xfId="17887" xr:uid="{0FFE020E-FAE1-4565-A7F2-2AB1E4D68241}"/>
    <cellStyle name="Comma 2 2 5 40" xfId="19084" xr:uid="{166C0585-60E3-49BC-B74D-C1D38C54D3D5}"/>
    <cellStyle name="Comma 2 2 5 41" xfId="19086" xr:uid="{4C8330BA-5852-415B-9754-0416416D8417}"/>
    <cellStyle name="Comma 2 2 5 42" xfId="17985" xr:uid="{522A1A2A-CCC2-4EC3-BFFA-7FE5D5E17FF8}"/>
    <cellStyle name="Comma 2 2 5 43" xfId="17989" xr:uid="{0D15B77C-FC75-4B46-912E-25E358A84842}"/>
    <cellStyle name="Comma 2 2 5 44" xfId="19088" xr:uid="{C9D5F757-2883-40E9-B681-27B503489A59}"/>
    <cellStyle name="Comma 2 2 5 45" xfId="19089" xr:uid="{B3195354-7175-41B1-B877-A707159D3754}"/>
    <cellStyle name="Comma 2 2 5 46" xfId="19091" xr:uid="{C71FE3E8-B672-412F-BB53-00067C1DF4C0}"/>
    <cellStyle name="Comma 2 2 5 47" xfId="19093" xr:uid="{12DC51F8-2C58-4A52-ABE9-1D9ED65ECEEB}"/>
    <cellStyle name="Comma 2 2 5 48" xfId="19095" xr:uid="{AEC9272D-5213-4C0D-845A-C3DF71B3479E}"/>
    <cellStyle name="Comma 2 2 5 49" xfId="19097" xr:uid="{367F3F47-F75F-4E01-8914-264BADA044A3}"/>
    <cellStyle name="Comma 2 2 5 5" xfId="17894" xr:uid="{74CACAB5-25A9-4D57-8409-2E0947BC5F69}"/>
    <cellStyle name="Comma 2 2 5 50" xfId="19090" xr:uid="{08955D28-28B0-42D2-95EE-467FBB3702D2}"/>
    <cellStyle name="Comma 2 2 5 51" xfId="19092" xr:uid="{D43595BC-563C-47D7-97A0-FFA5D9069FD4}"/>
    <cellStyle name="Comma 2 2 5 52" xfId="19094" xr:uid="{A2EFC948-4D8F-40CA-89C3-CC7405857DCE}"/>
    <cellStyle name="Comma 2 2 5 53" xfId="19096" xr:uid="{706EA41D-266F-444F-8639-0CEF01197770}"/>
    <cellStyle name="Comma 2 2 5 54" xfId="19098" xr:uid="{91C55EAC-94CD-401E-8773-CCCB122BD3F1}"/>
    <cellStyle name="Comma 2 2 5 55" xfId="19099" xr:uid="{96482DBC-9FD0-4DE8-99D7-9906CFB0FD8F}"/>
    <cellStyle name="Comma 2 2 5 56" xfId="19102" xr:uid="{50951B00-3272-488F-A823-95140491AFD1}"/>
    <cellStyle name="Comma 2 2 5 57" xfId="19106" xr:uid="{F6E307C6-5E56-451B-92F6-DEEABCD180D5}"/>
    <cellStyle name="Comma 2 2 5 58" xfId="19109" xr:uid="{81D0A4A2-7573-4563-9A19-C894465A46A4}"/>
    <cellStyle name="Comma 2 2 5 59" xfId="7730" xr:uid="{7780EAA9-4F9B-414D-81B1-E5F4397EAF92}"/>
    <cellStyle name="Comma 2 2 5 6" xfId="17898" xr:uid="{9A5EBDF7-268E-41D8-AA76-966E424FFA50}"/>
    <cellStyle name="Comma 2 2 5 60" xfId="19100" xr:uid="{284F47C7-E16E-46FA-BD0B-031E198D485B}"/>
    <cellStyle name="Comma 2 2 5 61" xfId="19103" xr:uid="{798A8E23-519F-4DB4-BF97-BD97C48C59F0}"/>
    <cellStyle name="Comma 2 2 5 62" xfId="19107" xr:uid="{94DA6123-4BF0-445C-A6BA-9F5906700EE9}"/>
    <cellStyle name="Comma 2 2 5 63" xfId="19110" xr:uid="{B208E563-7C47-464F-B82A-1E4E0BDD083A}"/>
    <cellStyle name="Comma 2 2 5 64" xfId="7731" xr:uid="{27E4A6A3-640E-4DD0-9143-FE2E22339A89}"/>
    <cellStyle name="Comma 2 2 5 65" xfId="4515" xr:uid="{28660C65-DEDB-47FF-977C-C931D73499A0}"/>
    <cellStyle name="Comma 2 2 5 66" xfId="19111" xr:uid="{B636FDA2-D48E-4AA7-86D6-0A36ED9688F5}"/>
    <cellStyle name="Comma 2 2 5 67" xfId="19113" xr:uid="{1EA38AD5-6579-4399-A1EC-0486B2C7DAF7}"/>
    <cellStyle name="Comma 2 2 5 68" xfId="19115" xr:uid="{8447D9C9-E737-40AB-B87E-03BA8FA9ACA0}"/>
    <cellStyle name="Comma 2 2 5 69" xfId="19117" xr:uid="{1B9F10F3-BFA5-441A-9B75-BBDC52CE2D25}"/>
    <cellStyle name="Comma 2 2 5 7" xfId="17902" xr:uid="{2F9FB3F4-1FBB-43BA-A83E-DBA8F269B1C0}"/>
    <cellStyle name="Comma 2 2 5 70" xfId="4516" xr:uid="{4E953832-4064-4094-B72C-EA46F7D335ED}"/>
    <cellStyle name="Comma 2 2 5 71" xfId="19112" xr:uid="{6B6C1E26-D5A0-4A84-9BAA-C16795935217}"/>
    <cellStyle name="Comma 2 2 5 72" xfId="19114" xr:uid="{91CD5C9C-F023-4BE3-9031-087E91FF38B0}"/>
    <cellStyle name="Comma 2 2 5 73" xfId="19116" xr:uid="{0AE5ECE1-3B33-41D9-BAA1-6BBDF9DDF23C}"/>
    <cellStyle name="Comma 2 2 5 74" xfId="19118" xr:uid="{870B456C-1ACF-4FC7-BB2A-1C7B7E357D5D}"/>
    <cellStyle name="Comma 2 2 5 75" xfId="19119" xr:uid="{F3AF64F9-32E5-4B96-A7BF-D898E0EBCF03}"/>
    <cellStyle name="Comma 2 2 5 76" xfId="19122" xr:uid="{4F9704DB-D16B-45DF-B59E-B74233B3FE8D}"/>
    <cellStyle name="Comma 2 2 5 77" xfId="19125" xr:uid="{9751DC50-5CDA-4AB1-B7E5-00652F65297F}"/>
    <cellStyle name="Comma 2 2 5 78" xfId="19127" xr:uid="{F47F2C49-9093-46C9-AA31-97561DA69C12}"/>
    <cellStyle name="Comma 2 2 5 79" xfId="19129" xr:uid="{B8E579D7-C29C-4385-8E17-0BA9E094B51F}"/>
    <cellStyle name="Comma 2 2 5 8" xfId="17906" xr:uid="{D5F3C5C3-B62C-495D-B6CA-661BABDABA7F}"/>
    <cellStyle name="Comma 2 2 5 80" xfId="19120" xr:uid="{711853FC-389E-4505-80C6-268DB81CACB4}"/>
    <cellStyle name="Comma 2 2 5 81" xfId="19123" xr:uid="{D1F96190-140A-44DB-AD83-C37D60DC5248}"/>
    <cellStyle name="Comma 2 2 5 82" xfId="19126" xr:uid="{F382963B-9708-404E-81DE-3B41FA3E3B3A}"/>
    <cellStyle name="Comma 2 2 5 83" xfId="19128" xr:uid="{CD325A87-3D33-4F20-8911-ECBCD14C2A97}"/>
    <cellStyle name="Comma 2 2 5 84" xfId="19130" xr:uid="{966AE520-5F9C-4459-850E-5FE39C49D255}"/>
    <cellStyle name="Comma 2 2 5 85" xfId="19131" xr:uid="{07CC0D50-B827-475C-90FB-159FB6654D4E}"/>
    <cellStyle name="Comma 2 2 5 86" xfId="19134" xr:uid="{BDB9D66A-4DAD-40FC-8F03-B89B3BF76282}"/>
    <cellStyle name="Comma 2 2 5 87" xfId="18008" xr:uid="{9A7F138D-1054-4C98-990F-CB4E697BD3C7}"/>
    <cellStyle name="Comma 2 2 5 88" xfId="18012" xr:uid="{0EE275A4-13FC-44F5-9813-5331D298C4B8}"/>
    <cellStyle name="Comma 2 2 5 89" xfId="19136" xr:uid="{780D28B3-8EED-4407-8E3A-F7D590030604}"/>
    <cellStyle name="Comma 2 2 5 9" xfId="17910" xr:uid="{FEF23FDA-C23B-4F8A-A21A-A5FDAD0AD0E3}"/>
    <cellStyle name="Comma 2 2 5 90" xfId="19132" xr:uid="{70BE09EC-3A00-4F7E-BC12-24D574F44E75}"/>
    <cellStyle name="Comma 2 2 5 91" xfId="19135" xr:uid="{26483532-CB81-48E0-9A3D-9DD2F5AAD565}"/>
    <cellStyle name="Comma 2 2 5 92" xfId="18009" xr:uid="{B908085F-3F9A-45FF-BC41-9F05CE7801F6}"/>
    <cellStyle name="Comma 2 2 5 93" xfId="18013" xr:uid="{29FBA2C4-DBF6-44C0-9CA1-82EB475E43BB}"/>
    <cellStyle name="Comma 2 2 5 94" xfId="19137" xr:uid="{7D88FDA3-F567-4D19-8991-6BECC24A282D}"/>
    <cellStyle name="Comma 2 2 5 95" xfId="19138" xr:uid="{34BE0ABB-BF09-4CBB-9243-5E4DC314CDD3}"/>
    <cellStyle name="Comma 2 2 5 96" xfId="19139" xr:uid="{8DBEAD0A-7581-4998-8837-D08B1244DF25}"/>
    <cellStyle name="Comma 2 2 5 97" xfId="19140" xr:uid="{7EFECCC2-20D3-4A8B-9C14-09C191A5DEC0}"/>
    <cellStyle name="Comma 2 2 5 98" xfId="19141" xr:uid="{DAB379B2-9780-4C2E-99D7-A9D4079B4BA3}"/>
    <cellStyle name="Comma 2 2 5 99" xfId="19144" xr:uid="{015DFB26-DED3-4B5C-93C3-30F022ECD480}"/>
    <cellStyle name="Comma 2 2 50" xfId="9038" xr:uid="{BFEBC3A8-DFAF-4590-9BAD-5D15A75F337D}"/>
    <cellStyle name="Comma 2 2 50 2" xfId="9041" xr:uid="{7A6003E7-A902-4A38-86D5-B7D7434C45E8}"/>
    <cellStyle name="Comma 2 2 50 3" xfId="18876" xr:uid="{61B3577F-08AF-495B-8A88-AE1E0AB62665}"/>
    <cellStyle name="Comma 2 2 51" xfId="9045" xr:uid="{9A7B6932-B082-46EC-AE47-B7CC54E526A5}"/>
    <cellStyle name="Comma 2 2 51 2" xfId="18878" xr:uid="{F93809E2-18C9-48F4-A14E-2D225ECF0340}"/>
    <cellStyle name="Comma 2 2 51 3" xfId="18880" xr:uid="{83B7982D-8223-4611-8177-F6233F5BEB1A}"/>
    <cellStyle name="Comma 2 2 52" xfId="18882" xr:uid="{84330C1C-47A6-4CC9-94B6-AC0240000C19}"/>
    <cellStyle name="Comma 2 2 52 2" xfId="18884" xr:uid="{6CF63C16-F779-4663-80AB-02E0531A540C}"/>
    <cellStyle name="Comma 2 2 52 3" xfId="18886" xr:uid="{BE1E8AD9-E83E-4BB3-AAF5-82F5D722F205}"/>
    <cellStyle name="Comma 2 2 53" xfId="18888" xr:uid="{BA69895D-DEFE-40F0-BC9E-44FBE0BD58F6}"/>
    <cellStyle name="Comma 2 2 53 2" xfId="18890" xr:uid="{DC5F5B60-4FD5-4AD3-AAB9-BA06D95E5FFF}"/>
    <cellStyle name="Comma 2 2 53 3" xfId="18892" xr:uid="{B792DDC5-B449-4784-B3FC-2E0FA0504B28}"/>
    <cellStyle name="Comma 2 2 54" xfId="18894" xr:uid="{965E1F29-6248-49A2-BF7D-432FE7ADE63E}"/>
    <cellStyle name="Comma 2 2 54 2" xfId="18896" xr:uid="{4444162C-07A1-4A5F-BDA4-9CA1BC7257C0}"/>
    <cellStyle name="Comma 2 2 54 3" xfId="18898" xr:uid="{265E0354-69A9-4623-9BE9-FF9AEEB9D483}"/>
    <cellStyle name="Comma 2 2 55" xfId="16936" xr:uid="{495375B0-A1B9-4DD0-81C8-67F6E259D8FF}"/>
    <cellStyle name="Comma 2 2 55 2" xfId="16939" xr:uid="{48BCF9F9-2542-4533-90B9-1D311861CD5D}"/>
    <cellStyle name="Comma 2 2 55 3" xfId="16952" xr:uid="{4C477279-F093-4BC0-A79B-1A893753459E}"/>
    <cellStyle name="Comma 2 2 56" xfId="16960" xr:uid="{9CAC59EA-D321-49FE-BD8C-2B1AD484437B}"/>
    <cellStyle name="Comma 2 2 56 2" xfId="16963" xr:uid="{FBD9BA28-9BE0-4A2B-9EE8-EDADC5321BBE}"/>
    <cellStyle name="Comma 2 2 56 3" xfId="16842" xr:uid="{8D67ADE1-4D60-4B4C-B5E1-284BAF5ED593}"/>
    <cellStyle name="Comma 2 2 57" xfId="16968" xr:uid="{47F87851-493D-41BA-9CB5-9D99F529C441}"/>
    <cellStyle name="Comma 2 2 57 2" xfId="16971" xr:uid="{9604227B-503C-4562-91A6-7B0BB8F8FDD8}"/>
    <cellStyle name="Comma 2 2 57 3" xfId="16734" xr:uid="{6B92585D-FFC8-4CEC-8C6E-C3CC11965295}"/>
    <cellStyle name="Comma 2 2 58" xfId="16974" xr:uid="{4DB4C43B-D1B9-427D-882F-ED155C052200}"/>
    <cellStyle name="Comma 2 2 58 2" xfId="19145" xr:uid="{DBE4FF90-90DB-4825-B0B2-924A0ABB6E8F}"/>
    <cellStyle name="Comma 2 2 58 3" xfId="16749" xr:uid="{070C7812-86B6-4C21-B4C8-9138648F8B27}"/>
    <cellStyle name="Comma 2 2 59" xfId="19147" xr:uid="{F2556830-020E-4216-95BA-DE235943CDFE}"/>
    <cellStyle name="Comma 2 2 59 2" xfId="19149" xr:uid="{3DEB4CB2-0459-4FE7-ACF5-17FAEAA72EBF}"/>
    <cellStyle name="Comma 2 2 59 3" xfId="19151" xr:uid="{41A83A12-0135-4901-A012-3F2C168A746E}"/>
    <cellStyle name="Comma 2 2 6" xfId="19155" xr:uid="{6CB486FF-3DBB-4919-A431-21EBEEE37D05}"/>
    <cellStyle name="Comma 2 2 6 10" xfId="19156" xr:uid="{9F284E5C-0AEC-4780-B68D-3103566C1921}"/>
    <cellStyle name="Comma 2 2 6 100" xfId="19158" xr:uid="{550E15FC-5D15-4445-BEF6-A89C2D169DA9}"/>
    <cellStyle name="Comma 2 2 6 101" xfId="19160" xr:uid="{5B00B879-A04A-4A3C-B430-A4023C117936}"/>
    <cellStyle name="Comma 2 2 6 102" xfId="19162" xr:uid="{ACCA3C51-7E45-4785-9250-A6D71BF333EA}"/>
    <cellStyle name="Comma 2 2 6 103" xfId="19164" xr:uid="{EACC6237-D900-4FB0-8EAD-E80D8EC89F0D}"/>
    <cellStyle name="Comma 2 2 6 104" xfId="19166" xr:uid="{1B8B971B-DFCA-4148-85B8-47A85ADC7E42}"/>
    <cellStyle name="Comma 2 2 6 105" xfId="19172" xr:uid="{44F23DFB-9894-443D-A760-56B116D18036}"/>
    <cellStyle name="Comma 2 2 6 106" xfId="19175" xr:uid="{665ECB03-07FA-4A19-BDBF-DACA2243691A}"/>
    <cellStyle name="Comma 2 2 6 107" xfId="19178" xr:uid="{4DDA46E7-7CCC-4640-8CB5-FDFBE7E75215}"/>
    <cellStyle name="Comma 2 2 6 108" xfId="15788" xr:uid="{FB5B49F3-EBD6-482A-AF14-D9E231FEBE91}"/>
    <cellStyle name="Comma 2 2 6 109" xfId="15792" xr:uid="{9398E584-4337-45DB-A905-362F847BFA29}"/>
    <cellStyle name="Comma 2 2 6 11" xfId="19180" xr:uid="{388CFD87-A547-42A9-AB2E-D2365EFA64C5}"/>
    <cellStyle name="Comma 2 2 6 110" xfId="19173" xr:uid="{9B8D4B4C-35B6-4BA4-9BC4-2722E1AAA092}"/>
    <cellStyle name="Comma 2 2 6 111" xfId="19176" xr:uid="{B85914AE-22A8-44C2-9206-80A66CADFA8C}"/>
    <cellStyle name="Comma 2 2 6 112" xfId="19179" xr:uid="{D40E5EA9-FD0C-4EA2-9CE5-E376937A8DAD}"/>
    <cellStyle name="Comma 2 2 6 113" xfId="15789" xr:uid="{E872B8C1-64DD-4C52-B61C-34748D3DE78D}"/>
    <cellStyle name="Comma 2 2 6 114" xfId="15793" xr:uid="{E92A44DD-0E9C-478D-B6CE-E4558AB9527C}"/>
    <cellStyle name="Comma 2 2 6 115" xfId="19182" xr:uid="{4A91552E-ABE5-438D-966D-046758BE5D55}"/>
    <cellStyle name="Comma 2 2 6 116" xfId="19184" xr:uid="{049ED892-8648-4941-8288-4832F7F62899}"/>
    <cellStyle name="Comma 2 2 6 117" xfId="19186" xr:uid="{AD891873-E627-4E54-8FFC-3A237BADFB21}"/>
    <cellStyle name="Comma 2 2 6 118" xfId="19190" xr:uid="{ABFE07FA-1286-4F62-97C9-7C9B5F5F8E57}"/>
    <cellStyle name="Comma 2 2 6 119" xfId="7927" xr:uid="{21BDAF57-67BB-4CA6-90DA-685EE777C5E3}"/>
    <cellStyle name="Comma 2 2 6 12" xfId="19192" xr:uid="{3B0F1A15-E9E1-41C5-A823-21A9A92278F4}"/>
    <cellStyle name="Comma 2 2 6 120" xfId="19183" xr:uid="{FAA8B942-EF0D-42A4-9644-A9AFE14BC9B0}"/>
    <cellStyle name="Comma 2 2 6 121" xfId="19185" xr:uid="{FF5D3372-3F10-4A17-B321-FEF4440B64D8}"/>
    <cellStyle name="Comma 2 2 6 122" xfId="19187" xr:uid="{C5791A14-3F0D-480C-AE79-F03BEF89C4BB}"/>
    <cellStyle name="Comma 2 2 6 123" xfId="19191" xr:uid="{DF01AD5A-0DAA-4D3B-A79B-695882E357AA}"/>
    <cellStyle name="Comma 2 2 6 124" xfId="7928" xr:uid="{5131EF06-A470-4739-8921-E787CBFF4FAC}"/>
    <cellStyle name="Comma 2 2 6 125" xfId="3071" xr:uid="{F5DEB365-29B9-479A-82DF-E8042DE0674C}"/>
    <cellStyle name="Comma 2 2 6 126" xfId="19195" xr:uid="{B1C4B1BE-9C0C-4372-ACB1-A54CCD6099FE}"/>
    <cellStyle name="Comma 2 2 6 127" xfId="19197" xr:uid="{0A0EA0F1-B560-4F44-8C3D-F28CB4C7F631}"/>
    <cellStyle name="Comma 2 2 6 128" xfId="8615" xr:uid="{4B833711-7F8F-4555-982C-61213792DF66}"/>
    <cellStyle name="Comma 2 2 6 129" xfId="19198" xr:uid="{ED9CA520-6744-4FA1-ABEE-6FF513B0B426}"/>
    <cellStyle name="Comma 2 2 6 13" xfId="19199" xr:uid="{24A9DB78-DA3C-49C1-96A4-49244AE15C66}"/>
    <cellStyle name="Comma 2 2 6 130" xfId="3072" xr:uid="{746711FB-D4DE-416C-A2A6-D6031FFC1A21}"/>
    <cellStyle name="Comma 2 2 6 14" xfId="19200" xr:uid="{E9B36DBB-25DF-4500-BFEE-43597A6C4C56}"/>
    <cellStyle name="Comma 2 2 6 15" xfId="19201" xr:uid="{394E6001-01D0-41CA-8A2E-F5C118168D9A}"/>
    <cellStyle name="Comma 2 2 6 16" xfId="19203" xr:uid="{3A75FB37-F2EA-4582-9280-442F47F80DF8}"/>
    <cellStyle name="Comma 2 2 6 17" xfId="19205" xr:uid="{BA2A754F-8F4B-48F5-A180-013A11F20CD9}"/>
    <cellStyle name="Comma 2 2 6 18" xfId="19208" xr:uid="{260C2AEA-9CE1-4E75-9A50-9A4B43DFA6B2}"/>
    <cellStyle name="Comma 2 2 6 19" xfId="19210" xr:uid="{665C4FF5-26BF-4F76-A4B8-EC57CF10F978}"/>
    <cellStyle name="Comma 2 2 6 2" xfId="17998" xr:uid="{164C5751-24EC-4882-80AB-171640F7E061}"/>
    <cellStyle name="Comma 2 2 6 20" xfId="19202" xr:uid="{DBCAD9F9-BAC4-4066-8634-416FBF17D803}"/>
    <cellStyle name="Comma 2 2 6 21" xfId="19204" xr:uid="{DAFC5F02-9B88-46FF-993F-601D8D681926}"/>
    <cellStyle name="Comma 2 2 6 22" xfId="19206" xr:uid="{A6C24CC0-0166-470C-AAA1-ADFFB1C977CC}"/>
    <cellStyle name="Comma 2 2 6 23" xfId="19209" xr:uid="{8186C98B-C3FF-4816-A1F1-F87BA63AFDFA}"/>
    <cellStyle name="Comma 2 2 6 24" xfId="19211" xr:uid="{B760EA94-11E0-41AA-8F76-12360FBB764F}"/>
    <cellStyle name="Comma 2 2 6 25" xfId="19212" xr:uid="{A92BBCDE-F097-4922-9E26-A53B0CEBD55E}"/>
    <cellStyle name="Comma 2 2 6 26" xfId="19214" xr:uid="{459A2D32-AD04-4C16-B172-BA970FF3800D}"/>
    <cellStyle name="Comma 2 2 6 27" xfId="19216" xr:uid="{BA243AFC-EF02-4092-9BC2-CB7C36E4E9B6}"/>
    <cellStyle name="Comma 2 2 6 28" xfId="19218" xr:uid="{AFBED083-2979-4DB2-8751-3013C9DAC205}"/>
    <cellStyle name="Comma 2 2 6 29" xfId="19220" xr:uid="{7EC92ACE-6F7C-4B79-853F-BEBFFB6E9D0E}"/>
    <cellStyle name="Comma 2 2 6 3" xfId="12430" xr:uid="{38E1B54B-06F3-4C6F-B6BC-A10EB214167A}"/>
    <cellStyle name="Comma 2 2 6 30" xfId="19213" xr:uid="{F915098C-DFD6-4B09-8C16-C38049EC5ABC}"/>
    <cellStyle name="Comma 2 2 6 31" xfId="19215" xr:uid="{BE5FC8D3-32E7-4909-8159-3EC69AEDAD37}"/>
    <cellStyle name="Comma 2 2 6 32" xfId="19217" xr:uid="{9FE03E78-FB16-4E81-9949-27D0AEC71D40}"/>
    <cellStyle name="Comma 2 2 6 33" xfId="19219" xr:uid="{FF4FB8E5-0935-469B-B09F-A5FA5EA33FCC}"/>
    <cellStyle name="Comma 2 2 6 34" xfId="19221" xr:uid="{9BAD22D4-BF32-4E6A-9165-C58E01D5A3CA}"/>
    <cellStyle name="Comma 2 2 6 35" xfId="8843" xr:uid="{CC43492E-5F41-4C43-AE2B-ACE15BE07D01}"/>
    <cellStyle name="Comma 2 2 6 36" xfId="8848" xr:uid="{178E1BBE-F268-4524-B526-1F3C57ECEF28}"/>
    <cellStyle name="Comma 2 2 6 37" xfId="18449" xr:uid="{A4CC10EA-C987-4C4E-9209-9F2FE49526E2}"/>
    <cellStyle name="Comma 2 2 6 38" xfId="18453" xr:uid="{15DC6DD6-A766-400B-9D86-0C4C3BA96D2A}"/>
    <cellStyle name="Comma 2 2 6 39" xfId="19222" xr:uid="{7EAFF082-4C0C-472D-931C-99DDC50C1E9D}"/>
    <cellStyle name="Comma 2 2 6 4" xfId="18003" xr:uid="{88BC1508-6E91-4883-B583-AB3624BC27F3}"/>
    <cellStyle name="Comma 2 2 6 40" xfId="8844" xr:uid="{8715BEE3-C9E2-47DE-8537-83CD7F8EA006}"/>
    <cellStyle name="Comma 2 2 6 41" xfId="8849" xr:uid="{46B56B54-14C4-47E8-A278-A180D6C956DF}"/>
    <cellStyle name="Comma 2 2 6 42" xfId="18450" xr:uid="{79CBB8F0-58F0-4ACB-B483-8F1667EBD20E}"/>
    <cellStyle name="Comma 2 2 6 43" xfId="18454" xr:uid="{9614C4B2-5227-4107-97A7-D2FB900DF963}"/>
    <cellStyle name="Comma 2 2 6 44" xfId="19223" xr:uid="{F15369CA-64DC-4AA8-ADEA-D7511976C752}"/>
    <cellStyle name="Comma 2 2 6 45" xfId="19224" xr:uid="{6C7D92D4-B5ED-4943-9072-4E361ECD6419}"/>
    <cellStyle name="Comma 2 2 6 46" xfId="9359" xr:uid="{B09E8A3B-BB59-4298-9B0B-4E22091CE5FB}"/>
    <cellStyle name="Comma 2 2 6 47" xfId="9365" xr:uid="{E7FDCAF2-7968-4351-8461-1141A61A690D}"/>
    <cellStyle name="Comma 2 2 6 48" xfId="19230" xr:uid="{FF8C0B65-74B9-42A5-9F33-D8A0CC9E573F}"/>
    <cellStyle name="Comma 2 2 6 49" xfId="2643" xr:uid="{736DE93F-3CEA-4456-97F6-BDE6687E517E}"/>
    <cellStyle name="Comma 2 2 6 5" xfId="18017" xr:uid="{EA89D8B4-7111-4E8C-A98A-A0F030D2B294}"/>
    <cellStyle name="Comma 2 2 6 50" xfId="19225" xr:uid="{19EA7DF2-B23D-442A-B588-B102EF04421C}"/>
    <cellStyle name="Comma 2 2 6 51" xfId="9360" xr:uid="{8E469322-A77F-4594-9B8B-9C654F848448}"/>
    <cellStyle name="Comma 2 2 6 52" xfId="9366" xr:uid="{D9132A47-7110-4C04-BF4F-EA8D4035C7D3}"/>
    <cellStyle name="Comma 2 2 6 53" xfId="19231" xr:uid="{9E5095A9-EE3B-4646-85F4-ACC897E69401}"/>
    <cellStyle name="Comma 2 2 6 54" xfId="2644" xr:uid="{254EBFE6-230B-426A-9053-5C1F4C087D46}"/>
    <cellStyle name="Comma 2 2 6 55" xfId="19233" xr:uid="{82A2401F-CD00-46CA-9E80-336C800BE984}"/>
    <cellStyle name="Comma 2 2 6 56" xfId="19237" xr:uid="{E476C803-B575-4CE6-8574-119BA82758A5}"/>
    <cellStyle name="Comma 2 2 6 57" xfId="19241" xr:uid="{6C0DB2D6-699C-4E73-ABEF-C9D0C8597EA7}"/>
    <cellStyle name="Comma 2 2 6 58" xfId="19245" xr:uid="{86C4E558-5F76-4B33-93F6-A15F10A0948A}"/>
    <cellStyle name="Comma 2 2 6 59" xfId="19250" xr:uid="{CF08F5B9-31E7-4D18-9348-18224F6971B1}"/>
    <cellStyle name="Comma 2 2 6 6" xfId="18021" xr:uid="{2F01267B-D2D5-4955-BD50-F273E42D4CEE}"/>
    <cellStyle name="Comma 2 2 6 60" xfId="19234" xr:uid="{D7A0E2A7-9566-4A4F-9EBA-842EA6B77B6A}"/>
    <cellStyle name="Comma 2 2 6 61" xfId="19238" xr:uid="{B41FC850-DF81-45E0-9459-D5271800B12F}"/>
    <cellStyle name="Comma 2 2 6 62" xfId="19242" xr:uid="{7838B8B5-3738-4764-967C-D79CF4324E30}"/>
    <cellStyle name="Comma 2 2 6 63" xfId="19246" xr:uid="{38B90AD5-CC97-48B1-B253-E2CB33516D5A}"/>
    <cellStyle name="Comma 2 2 6 64" xfId="19251" xr:uid="{A8EB0DF2-D0FB-43BC-85F4-DB60DEB8214F}"/>
    <cellStyle name="Comma 2 2 6 65" xfId="19254" xr:uid="{F476BBB1-2199-43C2-BBE8-78A47C8521CB}"/>
    <cellStyle name="Comma 2 2 6 66" xfId="19256" xr:uid="{69435176-0783-4452-BA1F-51951D9C243D}"/>
    <cellStyle name="Comma 2 2 6 67" xfId="19258" xr:uid="{065E0180-0515-4DC7-BBD0-1B00115D3D94}"/>
    <cellStyle name="Comma 2 2 6 68" xfId="19260" xr:uid="{5EB79C34-E526-44F0-9A9F-8B399392EE94}"/>
    <cellStyle name="Comma 2 2 6 69" xfId="19262" xr:uid="{18123E7E-3681-4716-BBD7-5CD5F961D17F}"/>
    <cellStyle name="Comma 2 2 6 7" xfId="18025" xr:uid="{AC146B09-C866-4186-B760-C56C79157187}"/>
    <cellStyle name="Comma 2 2 6 70" xfId="19255" xr:uid="{D734E62A-1693-4197-B7BA-454A94876AE9}"/>
    <cellStyle name="Comma 2 2 6 71" xfId="19257" xr:uid="{FF562339-EC73-4EBA-B414-68DAB2FDEB8B}"/>
    <cellStyle name="Comma 2 2 6 72" xfId="19259" xr:uid="{1BC93A59-A892-4024-AA2C-1EDB4576D454}"/>
    <cellStyle name="Comma 2 2 6 73" xfId="19261" xr:uid="{E7CB0FBE-0F75-4BC7-B7F4-AB131B4B7D37}"/>
    <cellStyle name="Comma 2 2 6 74" xfId="19263" xr:uid="{59D28EE3-1ED8-462B-AE93-1683C43EDCCC}"/>
    <cellStyle name="Comma 2 2 6 75" xfId="19264" xr:uid="{8EFE262D-B43D-4D2B-BBE9-B57E3FC911BB}"/>
    <cellStyle name="Comma 2 2 6 76" xfId="19266" xr:uid="{C0BD8AF6-90AA-4997-8D36-F2C993011ADF}"/>
    <cellStyle name="Comma 2 2 6 77" xfId="19268" xr:uid="{01C2F592-2C8B-4A25-B5C9-303DB4A76B46}"/>
    <cellStyle name="Comma 2 2 6 78" xfId="19270" xr:uid="{2F55F480-BD31-4021-A27A-2BB3889C70FC}"/>
    <cellStyle name="Comma 2 2 6 79" xfId="19272" xr:uid="{4B5A3BBF-0AF6-4858-BDC0-FCECC8599027}"/>
    <cellStyle name="Comma 2 2 6 8" xfId="18029" xr:uid="{F6E2A6DF-2BCC-4B09-8DB5-19EB33125B82}"/>
    <cellStyle name="Comma 2 2 6 80" xfId="19265" xr:uid="{6C4EF231-5793-4AC0-A56F-8A26F5EDB317}"/>
    <cellStyle name="Comma 2 2 6 81" xfId="19267" xr:uid="{A4BD02F0-290B-4D21-A128-329531E5B691}"/>
    <cellStyle name="Comma 2 2 6 82" xfId="19269" xr:uid="{C15CC5A8-14D7-4C1B-B667-F85D41DF7644}"/>
    <cellStyle name="Comma 2 2 6 83" xfId="19271" xr:uid="{DB7EB4F3-2716-406F-A1BB-26CC9048DD2D}"/>
    <cellStyle name="Comma 2 2 6 84" xfId="19273" xr:uid="{DEDFE4B3-CD3E-400E-8079-293149144822}"/>
    <cellStyle name="Comma 2 2 6 85" xfId="8852" xr:uid="{D26C0493-6E27-4A1A-B479-612B8B90B2DC}"/>
    <cellStyle name="Comma 2 2 6 86" xfId="19274" xr:uid="{39DC4DB9-BD0A-4FCE-9D5A-D75892CB85DD}"/>
    <cellStyle name="Comma 2 2 6 87" xfId="18459" xr:uid="{F769CDE7-7EC4-42D8-9183-71FB417CC4B2}"/>
    <cellStyle name="Comma 2 2 6 88" xfId="18463" xr:uid="{CA74740E-B3AE-4ECE-BE82-90035ABC32FE}"/>
    <cellStyle name="Comma 2 2 6 89" xfId="19276" xr:uid="{4549F5CC-5F87-419B-B817-050654B0287A}"/>
    <cellStyle name="Comma 2 2 6 9" xfId="18033" xr:uid="{649B75F3-2CD3-41A0-80B9-0D81C02DB6FF}"/>
    <cellStyle name="Comma 2 2 6 90" xfId="8853" xr:uid="{599D0C09-B37D-47CB-B534-06356C08630A}"/>
    <cellStyle name="Comma 2 2 6 91" xfId="19275" xr:uid="{518B4BF8-4208-4887-B342-781B6C7314C8}"/>
    <cellStyle name="Comma 2 2 6 92" xfId="18460" xr:uid="{86D3E5DD-4809-452A-A8D7-13625398BCD6}"/>
    <cellStyle name="Comma 2 2 6 93" xfId="18464" xr:uid="{2612E17F-3D88-4969-9F79-D04D7AEE0631}"/>
    <cellStyle name="Comma 2 2 6 94" xfId="19277" xr:uid="{69FF61DC-74E7-4A4D-A5EA-9FF82D59C6AF}"/>
    <cellStyle name="Comma 2 2 6 95" xfId="19278" xr:uid="{FFB979DD-D114-496A-930C-05BE44AA581D}"/>
    <cellStyle name="Comma 2 2 6 96" xfId="9371" xr:uid="{DAA4309A-C03C-496C-B8CA-5A7B70298664}"/>
    <cellStyle name="Comma 2 2 6 97" xfId="19280" xr:uid="{7FFFB8D1-34A0-4CBD-9C54-1FE60573B0B8}"/>
    <cellStyle name="Comma 2 2 6 98" xfId="19282" xr:uid="{0579D7BC-BB54-42CB-A9C1-FB257835DE42}"/>
    <cellStyle name="Comma 2 2 6 99" xfId="19284" xr:uid="{4E1B766C-87FE-4EFC-A30D-DBFB2AC9782D}"/>
    <cellStyle name="Comma 2 2 60" xfId="16937" xr:uid="{5BCFB54F-2322-49A8-A8B8-0762CF9373B0}"/>
    <cellStyle name="Comma 2 2 60 2" xfId="16940" xr:uid="{AC5932D0-E645-45B6-B7CF-7FB563888D9D}"/>
    <cellStyle name="Comma 2 2 60 3" xfId="16953" xr:uid="{0A02ECB9-A5D8-4A9C-AAB0-0A8F6A8E1716}"/>
    <cellStyle name="Comma 2 2 61" xfId="16961" xr:uid="{16F43828-48B3-430E-B2D3-04F55C919807}"/>
    <cellStyle name="Comma 2 2 61 2" xfId="16964" xr:uid="{72298C09-5443-4D36-B4A4-72F35AA88486}"/>
    <cellStyle name="Comma 2 2 61 3" xfId="16843" xr:uid="{B3F87040-9F99-492A-8187-F847DFF21045}"/>
    <cellStyle name="Comma 2 2 62" xfId="16969" xr:uid="{3521D06D-0B20-462E-A206-2CA085F14FE1}"/>
    <cellStyle name="Comma 2 2 62 2" xfId="16972" xr:uid="{AC2EE07F-CCD1-4CDD-8D33-14104F100CE7}"/>
    <cellStyle name="Comma 2 2 62 3" xfId="16735" xr:uid="{0AC088C4-A879-46F2-894D-E4A7563BF51D}"/>
    <cellStyle name="Comma 2 2 63" xfId="16975" xr:uid="{7B2CE3BD-EB7F-4936-B14C-836B20C80EDC}"/>
    <cellStyle name="Comma 2 2 63 2" xfId="19146" xr:uid="{1639B349-A4E0-4BAC-A585-BA271A4DBA25}"/>
    <cellStyle name="Comma 2 2 63 3" xfId="16750" xr:uid="{99CA1E08-0262-4D65-A69B-957439AA2E3D}"/>
    <cellStyle name="Comma 2 2 64" xfId="19148" xr:uid="{59E527F4-B8D3-4152-B3EB-2BC1717C0668}"/>
    <cellStyle name="Comma 2 2 64 2" xfId="19150" xr:uid="{5102D922-8B4A-463C-93CF-C4F4A2FE15C8}"/>
    <cellStyle name="Comma 2 2 64 3" xfId="19152" xr:uid="{1FBE56A7-84BE-4FF1-8319-D89D089178FA}"/>
    <cellStyle name="Comma 2 2 65" xfId="19287" xr:uid="{16C5C763-8BE7-4E4A-96B9-7C48D7B1152F}"/>
    <cellStyle name="Comma 2 2 65 2" xfId="19291" xr:uid="{36AD794B-6AB5-4DD7-B140-DD10FB3B443E}"/>
    <cellStyle name="Comma 2 2 65 3" xfId="19293" xr:uid="{4DDCDE01-DB14-4589-AB0A-384A42A64EAC}"/>
    <cellStyle name="Comma 2 2 66" xfId="17366" xr:uid="{2AE35ADA-CBDF-468B-977C-39CEDEC2FF8C}"/>
    <cellStyle name="Comma 2 2 66 2" xfId="19295" xr:uid="{DBF0450F-E692-4776-BAF3-453D033E6244}"/>
    <cellStyle name="Comma 2 2 66 3" xfId="19297" xr:uid="{0F791347-D244-4E30-9A66-26391B6CE372}"/>
    <cellStyle name="Comma 2 2 67" xfId="17370" xr:uid="{4AC5B72D-59F1-41AF-A1B5-CD2CBD5BBB69}"/>
    <cellStyle name="Comma 2 2 67 2" xfId="19299" xr:uid="{72741088-CB77-4F5F-8AAD-C99FBE486899}"/>
    <cellStyle name="Comma 2 2 67 3" xfId="19301" xr:uid="{FDA2CE6E-E7E6-4FAA-87C7-38E1A799E562}"/>
    <cellStyle name="Comma 2 2 68" xfId="19303" xr:uid="{2CA4F661-8499-4B6D-8540-A9863AD12AE2}"/>
    <cellStyle name="Comma 2 2 68 2" xfId="19305" xr:uid="{569102D0-B7F2-495B-A294-39F2BA3877FE}"/>
    <cellStyle name="Comma 2 2 68 3" xfId="19307" xr:uid="{DF833BF4-7C7A-4EBB-A6DD-5A35868F25C4}"/>
    <cellStyle name="Comma 2 2 69" xfId="19309" xr:uid="{324440D1-32FA-4D8E-8FF9-76095E672CFF}"/>
    <cellStyle name="Comma 2 2 69 2" xfId="19311" xr:uid="{1BB332AC-C6DC-4EFC-BB83-184EF3048A6A}"/>
    <cellStyle name="Comma 2 2 69 3" xfId="19313" xr:uid="{7571A8F0-930D-4A2B-AB87-D476A5D1E8A1}"/>
    <cellStyle name="Comma 2 2 7" xfId="19315" xr:uid="{72FD9BE8-0D21-4B82-838A-D8CBD0F924CD}"/>
    <cellStyle name="Comma 2 2 7 10" xfId="1513" xr:uid="{FDDFAED3-6B1F-4F0D-AD9A-3205D4C50FC3}"/>
    <cellStyle name="Comma 2 2 7 100" xfId="19317" xr:uid="{D83ADAC6-D27A-4BD6-93FA-16C4FC5EEDCE}"/>
    <cellStyle name="Comma 2 2 7 101" xfId="19319" xr:uid="{B3C46C98-5260-4DAE-A79E-B641FBC3B473}"/>
    <cellStyle name="Comma 2 2 7 102" xfId="11324" xr:uid="{0CCEB39C-988E-422E-86C1-126842DA2BA6}"/>
    <cellStyle name="Comma 2 2 7 103" xfId="19321" xr:uid="{B4047C2A-E146-4084-9F12-850F8F4E707D}"/>
    <cellStyle name="Comma 2 2 7 104" xfId="19323" xr:uid="{9599FC21-D5A5-45E8-B1EE-7EEF74ECC2D0}"/>
    <cellStyle name="Comma 2 2 7 105" xfId="19328" xr:uid="{857617E1-7D0D-4319-BDF4-A0CF096A09D2}"/>
    <cellStyle name="Comma 2 2 7 106" xfId="19332" xr:uid="{F6E6D594-47E8-4A66-A52C-D2FD22025414}"/>
    <cellStyle name="Comma 2 2 7 107" xfId="19333" xr:uid="{F816B2C0-0768-4EF9-8CEA-C855D92AFF4A}"/>
    <cellStyle name="Comma 2 2 7 108" xfId="15837" xr:uid="{2BBC7B3A-0E6C-49BF-A099-6397336EFC46}"/>
    <cellStyle name="Comma 2 2 7 109" xfId="19335" xr:uid="{EB140106-D495-4552-A6C6-FF01AD6FC847}"/>
    <cellStyle name="Comma 2 2 7 11" xfId="1517" xr:uid="{976D6E34-0ABF-41E9-9998-30F740D85ECC}"/>
    <cellStyle name="Comma 2 2 7 12" xfId="37" xr:uid="{9AC5F81A-073F-4792-800D-B048D2E72779}"/>
    <cellStyle name="Comma 2 2 7 13" xfId="1523" xr:uid="{66351C92-2C61-4723-93F9-92A963F34EBB}"/>
    <cellStyle name="Comma 2 2 7 14" xfId="1529" xr:uid="{232FA0DF-3F66-432C-9CDA-B5D1E49E91C7}"/>
    <cellStyle name="Comma 2 2 7 15" xfId="19337" xr:uid="{5271DC13-BCBF-4483-9869-71D39653B178}"/>
    <cellStyle name="Comma 2 2 7 16" xfId="19339" xr:uid="{8D1A75C2-F735-43E3-ABF0-6CC6BE567017}"/>
    <cellStyle name="Comma 2 2 7 17" xfId="7645" xr:uid="{27DDF8C7-04C1-45B7-9A27-EEDCA2D31DA0}"/>
    <cellStyle name="Comma 2 2 7 18" xfId="19341" xr:uid="{C3020823-ED32-4CDF-81BA-E68362BC8741}"/>
    <cellStyle name="Comma 2 2 7 19" xfId="19343" xr:uid="{D72670AA-0208-48BF-A035-18B5C8443054}"/>
    <cellStyle name="Comma 2 2 7 2" xfId="19345" xr:uid="{1099DA5E-7CFB-4962-8E3C-34ECCA9D6709}"/>
    <cellStyle name="Comma 2 2 7 20" xfId="19338" xr:uid="{2C6C9515-2812-483B-B689-C46CDA321F9E}"/>
    <cellStyle name="Comma 2 2 7 21" xfId="19340" xr:uid="{33A12D10-1423-418B-A90B-CE677B1D844D}"/>
    <cellStyle name="Comma 2 2 7 22" xfId="7646" xr:uid="{60344433-F01D-4875-8A6A-BA344989C7FD}"/>
    <cellStyle name="Comma 2 2 7 23" xfId="19342" xr:uid="{AE5D9EF7-503D-41F0-90E9-E9593822D3AB}"/>
    <cellStyle name="Comma 2 2 7 24" xfId="19344" xr:uid="{FECF3B81-59F7-48F4-B821-349301CDBB6F}"/>
    <cellStyle name="Comma 2 2 7 25" xfId="19346" xr:uid="{C8133709-E3B1-40A2-A7E7-5B6215FF4BC9}"/>
    <cellStyle name="Comma 2 2 7 26" xfId="19348" xr:uid="{B189E1F6-1773-44B1-AD75-2D4CB1B93537}"/>
    <cellStyle name="Comma 2 2 7 27" xfId="19350" xr:uid="{E668E2EA-B2C3-40E8-A00D-1C052DE447E8}"/>
    <cellStyle name="Comma 2 2 7 28" xfId="19353" xr:uid="{F532E72E-E5EF-462A-B835-ECA01ED35EBE}"/>
    <cellStyle name="Comma 2 2 7 29" xfId="19355" xr:uid="{68006FE6-06A0-473E-947A-A50A1F3DB8FE}"/>
    <cellStyle name="Comma 2 2 7 3" xfId="19357" xr:uid="{E68185E4-FB43-4A59-A320-9419F801FFEB}"/>
    <cellStyle name="Comma 2 2 7 30" xfId="19347" xr:uid="{422FA0CF-3CCE-4481-9695-79B7C2D6C1B7}"/>
    <cellStyle name="Comma 2 2 7 31" xfId="19349" xr:uid="{4D45C646-3E2C-4315-BA47-02D05417FD90}"/>
    <cellStyle name="Comma 2 2 7 32" xfId="19351" xr:uid="{C27B72E6-899F-408F-8276-2B0F838893C2}"/>
    <cellStyle name="Comma 2 2 7 33" xfId="19354" xr:uid="{BA7D98DB-DBF0-4BE3-8723-1354774A6996}"/>
    <cellStyle name="Comma 2 2 7 34" xfId="19356" xr:uid="{4107940D-CEAA-40C0-986E-E07B55513FD2}"/>
    <cellStyle name="Comma 2 2 7 35" xfId="19358" xr:uid="{C76CCEC8-98DC-43B8-894B-756706A1A860}"/>
    <cellStyle name="Comma 2 2 7 36" xfId="19360" xr:uid="{099DD960-BEB4-4FDC-A636-482071C69358}"/>
    <cellStyle name="Comma 2 2 7 37" xfId="18687" xr:uid="{637A1ADF-682C-4781-A2A7-187E34671976}"/>
    <cellStyle name="Comma 2 2 7 38" xfId="18691" xr:uid="{E0067EF3-D023-4FB7-AAC5-A4DDF4152A3B}"/>
    <cellStyle name="Comma 2 2 7 39" xfId="19364" xr:uid="{862D5C3C-D908-4DEB-A67B-675CC884DFBE}"/>
    <cellStyle name="Comma 2 2 7 4" xfId="19366" xr:uid="{D34366A2-1A62-4889-AB3E-056A25D70B62}"/>
    <cellStyle name="Comma 2 2 7 40" xfId="19359" xr:uid="{4DD2D0E1-FEA5-4004-A010-D3338B3826D7}"/>
    <cellStyle name="Comma 2 2 7 41" xfId="19361" xr:uid="{D33ECC55-E8BF-4307-B045-B27C733971FD}"/>
    <cellStyle name="Comma 2 2 7 42" xfId="18688" xr:uid="{C259356C-4E2F-4A75-8A2A-6CF431EB7333}"/>
    <cellStyle name="Comma 2 2 7 43" xfId="18692" xr:uid="{502734A3-DB05-4AC6-99D7-C5F122F0D241}"/>
    <cellStyle name="Comma 2 2 7 44" xfId="19365" xr:uid="{DE2ADCAE-6999-4130-A4FD-8F9417E78E77}"/>
    <cellStyle name="Comma 2 2 7 45" xfId="19367" xr:uid="{D762D131-ADCE-454C-914F-70325AA58594}"/>
    <cellStyle name="Comma 2 2 7 46" xfId="19369" xr:uid="{D593A055-71BE-4012-867E-6EA6DA3A8193}"/>
    <cellStyle name="Comma 2 2 7 47" xfId="7299" xr:uid="{12BB4732-4722-4370-9794-8CDB12A3D1D3}"/>
    <cellStyle name="Comma 2 2 7 48" xfId="4739" xr:uid="{293873E2-BADF-4C89-8B6D-C50BFE9E5BFF}"/>
    <cellStyle name="Comma 2 2 7 49" xfId="4772" xr:uid="{DECF32C0-110A-4DE4-891A-5A74AD99E470}"/>
    <cellStyle name="Comma 2 2 7 5" xfId="19371" xr:uid="{2AA77A05-4DEF-401E-9275-2972D1BDE191}"/>
    <cellStyle name="Comma 2 2 7 50" xfId="19368" xr:uid="{7F5E13AF-7455-47F0-9142-1F986CC4FA41}"/>
    <cellStyle name="Comma 2 2 7 51" xfId="19370" xr:uid="{6EC8FF24-DEC5-46F2-916B-DBB8B867D524}"/>
    <cellStyle name="Comma 2 2 7 52" xfId="7300" xr:uid="{7B7C88FE-605E-4F2F-A0EF-363858524EDB}"/>
    <cellStyle name="Comma 2 2 7 53" xfId="4740" xr:uid="{1632E96D-3374-4B35-BE1B-82A4E1CCDD9C}"/>
    <cellStyle name="Comma 2 2 7 54" xfId="4773" xr:uid="{3CEE4514-22A1-4CEA-82B1-CCD5782A9177}"/>
    <cellStyle name="Comma 2 2 7 55" xfId="4796" xr:uid="{924D13F1-D839-4A41-B11D-7B02970357A0}"/>
    <cellStyle name="Comma 2 2 7 56" xfId="4807" xr:uid="{D90F1F11-98E1-4B81-B011-A4A5F12D4BFF}"/>
    <cellStyle name="Comma 2 2 7 57" xfId="7408" xr:uid="{88EA2C5B-DF6A-4434-807F-B903EABC23EF}"/>
    <cellStyle name="Comma 2 2 7 58" xfId="4780" xr:uid="{0078E911-5BD9-4655-95F7-23940E79E147}"/>
    <cellStyle name="Comma 2 2 7 59" xfId="19374" xr:uid="{CC043D5B-AD39-4E53-BF17-184661504DE7}"/>
    <cellStyle name="Comma 2 2 7 6" xfId="19376" xr:uid="{06040967-88BA-4FEF-9664-2BE35625A138}"/>
    <cellStyle name="Comma 2 2 7 60" xfId="4797" xr:uid="{B0E778AE-6C1A-470D-8DFB-375119FABDDB}"/>
    <cellStyle name="Comma 2 2 7 61" xfId="4808" xr:uid="{44536F2E-ACC5-476C-A1DD-147522D7460D}"/>
    <cellStyle name="Comma 2 2 7 62" xfId="7409" xr:uid="{F35EB482-F086-49B6-8DA4-CBFC524A3373}"/>
    <cellStyle name="Comma 2 2 7 63" xfId="4781" xr:uid="{9DB15D0E-FBF9-4E6D-AB2C-F5C118D70678}"/>
    <cellStyle name="Comma 2 2 7 64" xfId="19375" xr:uid="{B9A66749-E55F-40A2-89EE-5B9DB24EE8F3}"/>
    <cellStyle name="Comma 2 2 7 65" xfId="19378" xr:uid="{0B21A67F-4A45-411C-B7C1-C15C2EA21E85}"/>
    <cellStyle name="Comma 2 2 7 66" xfId="15765" xr:uid="{2A3DB3B5-A88E-411A-8A6D-79146D97B610}"/>
    <cellStyle name="Comma 2 2 7 67" xfId="19380" xr:uid="{6A3ECABD-F1DD-4979-9C2F-6C646588FF4C}"/>
    <cellStyle name="Comma 2 2 7 68" xfId="19382" xr:uid="{DB738727-A661-424A-8ECB-1826733C21D3}"/>
    <cellStyle name="Comma 2 2 7 69" xfId="19384" xr:uid="{F768E01C-2814-4BCF-9136-2C93092F078E}"/>
    <cellStyle name="Comma 2 2 7 7" xfId="19386" xr:uid="{73BB1232-2D81-4B7B-A880-50F4D40057C2}"/>
    <cellStyle name="Comma 2 2 7 70" xfId="19379" xr:uid="{E113C283-0F90-4080-9649-A11C939DA350}"/>
    <cellStyle name="Comma 2 2 7 71" xfId="15766" xr:uid="{BC42348F-3B2F-49C7-A7E3-158C9905D995}"/>
    <cellStyle name="Comma 2 2 7 72" xfId="19381" xr:uid="{7EDB05E7-EEE5-4C4D-BF78-65219A849E86}"/>
    <cellStyle name="Comma 2 2 7 73" xfId="19383" xr:uid="{FAC4B7DB-18C1-4359-AF46-C57629642FC6}"/>
    <cellStyle name="Comma 2 2 7 74" xfId="19385" xr:uid="{08FA0B41-0485-4A23-AE45-23A281D3E33E}"/>
    <cellStyle name="Comma 2 2 7 75" xfId="19387" xr:uid="{704A195A-4232-4694-8E25-E3139C6377CC}"/>
    <cellStyle name="Comma 2 2 7 76" xfId="19390" xr:uid="{D4E2FD2B-732D-4E19-A0D1-D3CAB80346F1}"/>
    <cellStyle name="Comma 2 2 7 77" xfId="19393" xr:uid="{36D9A424-EDD3-41FC-9A69-EF5436BD506E}"/>
    <cellStyle name="Comma 2 2 7 78" xfId="19396" xr:uid="{63A6C677-60B3-474C-9B02-1ABF03C6322B}"/>
    <cellStyle name="Comma 2 2 7 79" xfId="19399" xr:uid="{D849163C-ACE4-4676-993D-693F38B5E759}"/>
    <cellStyle name="Comma 2 2 7 8" xfId="19401" xr:uid="{D48A475C-9CBD-465D-8AE7-352D7B9A9B6E}"/>
    <cellStyle name="Comma 2 2 7 80" xfId="19388" xr:uid="{58FFCD88-F630-4327-A60D-7EAC83A1ED0C}"/>
    <cellStyle name="Comma 2 2 7 81" xfId="19391" xr:uid="{EFEA9122-8D98-467D-BAAD-003184A42EFF}"/>
    <cellStyle name="Comma 2 2 7 82" xfId="19394" xr:uid="{C038B48B-D758-4ED2-BF09-728930D6623A}"/>
    <cellStyle name="Comma 2 2 7 83" xfId="19397" xr:uid="{F16580AD-AAB6-45B7-B9A8-73320556F836}"/>
    <cellStyle name="Comma 2 2 7 84" xfId="19400" xr:uid="{3E8C3ABA-BD2A-4201-80A8-BD3E3D1919DF}"/>
    <cellStyle name="Comma 2 2 7 85" xfId="19402" xr:uid="{84F5ECC1-64A0-46B3-8D9C-AD1CDAF6AF6C}"/>
    <cellStyle name="Comma 2 2 7 86" xfId="16594" xr:uid="{08EC8AAE-1689-4EC8-B8C8-D44B8A755508}"/>
    <cellStyle name="Comma 2 2 7 87" xfId="16604" xr:uid="{3611BEFF-1D50-4F4A-B158-FF472E618B6E}"/>
    <cellStyle name="Comma 2 2 7 88" xfId="16610" xr:uid="{1993F01E-94AA-4FB3-8AD2-A6F94361B184}"/>
    <cellStyle name="Comma 2 2 7 89" xfId="19404" xr:uid="{0D31DBEC-E488-4607-8F4F-E2E4988EFD81}"/>
    <cellStyle name="Comma 2 2 7 9" xfId="19406" xr:uid="{1E43BD9B-B053-42C2-8454-652D2AFE50B3}"/>
    <cellStyle name="Comma 2 2 7 90" xfId="19403" xr:uid="{FC2A6061-07F1-496C-815E-5CF39DBC5E51}"/>
    <cellStyle name="Comma 2 2 7 91" xfId="16595" xr:uid="{8651A009-F240-4583-9436-94A5E7D1C9CD}"/>
    <cellStyle name="Comma 2 2 7 92" xfId="16605" xr:uid="{60259AC9-56FB-4766-8C68-E4E279DE3AAB}"/>
    <cellStyle name="Comma 2 2 7 93" xfId="16611" xr:uid="{DC85CD1F-70C7-449E-94A1-7324F55DA076}"/>
    <cellStyle name="Comma 2 2 7 94" xfId="19405" xr:uid="{056225E9-9A77-4871-81EE-3EE2493961B0}"/>
    <cellStyle name="Comma 2 2 7 95" xfId="19407" xr:uid="{D252E91B-D8FE-4303-9899-E0D8499B8122}"/>
    <cellStyle name="Comma 2 2 7 96" xfId="19408" xr:uid="{F0630017-5782-49FE-8052-8126F44E6B41}"/>
    <cellStyle name="Comma 2 2 7 97" xfId="379" xr:uid="{3012814B-1D0A-42C1-894B-CE3EF14C269C}"/>
    <cellStyle name="Comma 2 2 7 98" xfId="4813" xr:uid="{2AC0D8A8-9368-4D0A-B423-D43DEAAC589C}"/>
    <cellStyle name="Comma 2 2 7 99" xfId="4831" xr:uid="{FF9E73B5-085B-4B58-A903-95C69280C58A}"/>
    <cellStyle name="Comma 2 2 70" xfId="19288" xr:uid="{B089BEA5-88BA-42A0-8DD8-5FFFDC036BEA}"/>
    <cellStyle name="Comma 2 2 70 2" xfId="19292" xr:uid="{AB88FBD7-C622-4823-B9AD-28A9AD1F1263}"/>
    <cellStyle name="Comma 2 2 70 3" xfId="19294" xr:uid="{15B90B0B-B31E-4162-9628-E33D1D56354A}"/>
    <cellStyle name="Comma 2 2 71" xfId="17367" xr:uid="{E970C953-BA6E-43EE-8727-A66B7DF7995B}"/>
    <cellStyle name="Comma 2 2 71 2" xfId="19296" xr:uid="{DE5A8B11-F0C7-4DBC-BAD3-D8CA5FE81997}"/>
    <cellStyle name="Comma 2 2 71 3" xfId="19298" xr:uid="{92E3574F-E84A-4288-8878-2F4F25F500A2}"/>
    <cellStyle name="Comma 2 2 72" xfId="17371" xr:uid="{10C184C3-3559-45BB-8DEF-91F00CF8B6DF}"/>
    <cellStyle name="Comma 2 2 72 2" xfId="19300" xr:uid="{1C64D30E-8155-4A70-BDF0-70DDD7DE5618}"/>
    <cellStyle name="Comma 2 2 72 3" xfId="19302" xr:uid="{EDB85366-0B50-4B57-B37A-BEA322F20700}"/>
    <cellStyle name="Comma 2 2 73" xfId="19304" xr:uid="{8A1B4862-CD15-4045-8845-164008D7BE15}"/>
    <cellStyle name="Comma 2 2 73 2" xfId="19306" xr:uid="{CCBD1CE2-B6CA-419E-A626-039DAB086708}"/>
    <cellStyle name="Comma 2 2 73 3" xfId="19308" xr:uid="{B1F76DF6-9C1E-48D3-88A9-15ABBFF3E051}"/>
    <cellStyle name="Comma 2 2 74" xfId="19310" xr:uid="{EAD147C6-EAD4-41DD-8C00-7600360AAD5B}"/>
    <cellStyle name="Comma 2 2 74 2" xfId="19312" xr:uid="{DDE8CC24-7AE6-4EF9-B13C-3E5417AB4F7C}"/>
    <cellStyle name="Comma 2 2 74 3" xfId="19314" xr:uid="{474FFB7F-0D58-43E6-A12F-0C0B7EE91717}"/>
    <cellStyle name="Comma 2 2 75" xfId="6380" xr:uid="{BE6C0B2D-08C5-4DDA-A561-6B1384F666E1}"/>
    <cellStyle name="Comma 2 2 75 2" xfId="6388" xr:uid="{1924E19C-0CE2-4BFB-A91C-622B4A00160F}"/>
    <cellStyle name="Comma 2 2 75 3" xfId="19409" xr:uid="{0F38DD36-4410-41A7-9A10-918DE5441A79}"/>
    <cellStyle name="Comma 2 2 76" xfId="6392" xr:uid="{0F32A0E3-43BF-402E-930A-04F99C277C94}"/>
    <cellStyle name="Comma 2 2 76 2" xfId="15886" xr:uid="{45EE3ED1-F92C-4BFA-963B-9CFFAE41A9E4}"/>
    <cellStyle name="Comma 2 2 76 3" xfId="19411" xr:uid="{C1FB998D-5805-4722-8BCB-841A0947CB66}"/>
    <cellStyle name="Comma 2 2 77" xfId="19413" xr:uid="{66DA1248-8170-4C4C-9FB5-C00B69FC3E87}"/>
    <cellStyle name="Comma 2 2 77 2" xfId="4348" xr:uid="{C4113D94-3502-4785-A937-603404FBEA4C}"/>
    <cellStyle name="Comma 2 2 77 3" xfId="19415" xr:uid="{6C56AF65-C0C2-4641-A14C-C752561BB9BC}"/>
    <cellStyle name="Comma 2 2 78" xfId="19417" xr:uid="{A87AB9D7-F5C2-4F2E-833E-0FA97D8D5867}"/>
    <cellStyle name="Comma 2 2 78 2" xfId="19419" xr:uid="{E5D57B1F-3C54-4C38-A5F8-9CD9C2684EE6}"/>
    <cellStyle name="Comma 2 2 78 3" xfId="19421" xr:uid="{48EE173F-434C-4C13-B90C-2FC45A021DB8}"/>
    <cellStyle name="Comma 2 2 79" xfId="19424" xr:uid="{72BB676E-E11A-45B0-BB8E-BFCD79D938CE}"/>
    <cellStyle name="Comma 2 2 79 2" xfId="19426" xr:uid="{DC15FE94-E3DC-4608-8F2A-6BC668DB8C1B}"/>
    <cellStyle name="Comma 2 2 79 3" xfId="19428" xr:uid="{079234D3-544D-434D-BC28-FE3261B2BB10}"/>
    <cellStyle name="Comma 2 2 8" xfId="19430" xr:uid="{8B7D0F74-D47C-4732-B2D4-A11A355975FE}"/>
    <cellStyle name="Comma 2 2 8 2" xfId="19431" xr:uid="{6FEBB0ED-2B29-4E4A-BD8C-5A8E68CD75DB}"/>
    <cellStyle name="Comma 2 2 8 3" xfId="19433" xr:uid="{44AC6AB0-AB03-4FAA-A3FD-EE71B2F2E4B4}"/>
    <cellStyle name="Comma 2 2 80" xfId="6381" xr:uid="{8932EFA4-1861-4629-84F0-63163D105861}"/>
    <cellStyle name="Comma 2 2 80 2" xfId="6389" xr:uid="{EC794A8B-9820-4A8C-985C-3C04AE5A9C68}"/>
    <cellStyle name="Comma 2 2 80 3" xfId="19410" xr:uid="{33AD7E43-7B3B-4678-B31D-B7C08777123E}"/>
    <cellStyle name="Comma 2 2 81" xfId="6393" xr:uid="{0CCE0916-2797-4C08-86E1-AA32CA70FED0}"/>
    <cellStyle name="Comma 2 2 81 2" xfId="15887" xr:uid="{3B7519A9-3CB6-4296-83C6-70BBF70AF5FB}"/>
    <cellStyle name="Comma 2 2 81 3" xfId="19412" xr:uid="{C13011D3-9CC8-4E03-81F4-86BDBB2E0F08}"/>
    <cellStyle name="Comma 2 2 82" xfId="19414" xr:uid="{F5607BC3-97E0-41E1-9DBA-7D8B1E4B50B2}"/>
    <cellStyle name="Comma 2 2 82 2" xfId="4349" xr:uid="{94E5602C-951F-4CD7-B27F-A70E41BD652A}"/>
    <cellStyle name="Comma 2 2 82 3" xfId="19416" xr:uid="{6695658E-36F8-4AD4-9489-52AB0CD4D72A}"/>
    <cellStyle name="Comma 2 2 83" xfId="19418" xr:uid="{8BA7FCAA-7571-45B2-A71B-5708819A9AC5}"/>
    <cellStyle name="Comma 2 2 83 2" xfId="19420" xr:uid="{8E0754C7-362E-4B81-889A-2D0261F42154}"/>
    <cellStyle name="Comma 2 2 83 3" xfId="19422" xr:uid="{F6E24ECA-5ADD-466B-8F74-2E787AF826A5}"/>
    <cellStyle name="Comma 2 2 84" xfId="19425" xr:uid="{35142931-76EF-4443-849C-DF658962DCDE}"/>
    <cellStyle name="Comma 2 2 84 2" xfId="19427" xr:uid="{A48AA7E8-C011-4FC0-B49D-A7AEAB4DBAFD}"/>
    <cellStyle name="Comma 2 2 84 3" xfId="19429" xr:uid="{9FD87257-6652-49C2-8A49-78FB47362934}"/>
    <cellStyle name="Comma 2 2 85" xfId="19434" xr:uid="{4AC3CB51-68FE-4C81-BE94-B7C4858775C6}"/>
    <cellStyle name="Comma 2 2 85 2" xfId="19436" xr:uid="{634A9CFA-6AB2-4029-9EBF-8075F7C67F35}"/>
    <cellStyle name="Comma 2 2 85 3" xfId="19438" xr:uid="{6EE04637-04A5-456C-B616-FF821F1FA0BF}"/>
    <cellStyle name="Comma 2 2 86" xfId="19440" xr:uid="{2C352732-F342-448C-9B36-FAC9423A81C8}"/>
    <cellStyle name="Comma 2 2 86 2" xfId="19442" xr:uid="{3A87A96C-3492-4003-B430-34A0879867C0}"/>
    <cellStyle name="Comma 2 2 86 3" xfId="19444" xr:uid="{7B28EC04-94BE-4A03-94F1-E6E106CB37F7}"/>
    <cellStyle name="Comma 2 2 87" xfId="19447" xr:uid="{B0845C02-74A7-45D5-A8C5-A9D05FEE2312}"/>
    <cellStyle name="Comma 2 2 87 2" xfId="19449" xr:uid="{2722E294-A985-43EE-AA43-48E3F32F897F}"/>
    <cellStyle name="Comma 2 2 87 3" xfId="19451" xr:uid="{EF39B23A-9D53-49CE-AE25-4D9AAF4800A1}"/>
    <cellStyle name="Comma 2 2 88" xfId="19453" xr:uid="{DFF46792-944A-4393-881C-4E1F543754E9}"/>
    <cellStyle name="Comma 2 2 88 2" xfId="19455" xr:uid="{6618CF84-00D3-4D5B-B9F8-4394F73D8E6D}"/>
    <cellStyle name="Comma 2 2 88 3" xfId="19457" xr:uid="{C439CF8B-9CE8-4783-A3D6-D160B2CFF364}"/>
    <cellStyle name="Comma 2 2 89" xfId="19459" xr:uid="{C743FF1C-F5AB-4E6C-9F08-A2D275641FF0}"/>
    <cellStyle name="Comma 2 2 89 2" xfId="16623" xr:uid="{21D84643-A738-4224-8F13-F92D39BE4680}"/>
    <cellStyle name="Comma 2 2 89 3" xfId="19461" xr:uid="{07D430CF-EE87-41D0-9FAD-6AE5496B8C4E}"/>
    <cellStyle name="Comma 2 2 9" xfId="16386" xr:uid="{1447B439-78F3-4F90-AAC7-FF4D6BA22BC7}"/>
    <cellStyle name="Comma 2 2 9 2" xfId="19463" xr:uid="{C464A029-6FA8-42F7-8885-4A4B1EADC48C}"/>
    <cellStyle name="Comma 2 2 9 3" xfId="19464" xr:uid="{A29EE987-257F-4542-A6D1-AC854875A205}"/>
    <cellStyle name="Comma 2 2 90" xfId="19435" xr:uid="{0B3A87E1-F038-459C-9D37-694FB95AAEB7}"/>
    <cellStyle name="Comma 2 2 90 2" xfId="19437" xr:uid="{459FE3B0-0B4E-4765-AD6F-6CBFCB849E61}"/>
    <cellStyle name="Comma 2 2 90 3" xfId="19439" xr:uid="{0ECBFBB4-665F-4959-A492-11E133E03EEB}"/>
    <cellStyle name="Comma 2 2 91" xfId="19441" xr:uid="{2A81DA84-AC63-4B99-B4AA-F98E1D53248C}"/>
    <cellStyle name="Comma 2 2 91 2" xfId="19443" xr:uid="{2278A857-2E4E-4EBE-A574-B25671EE0728}"/>
    <cellStyle name="Comma 2 2 91 3" xfId="19445" xr:uid="{CDFA72F8-F542-4D7C-97B8-090F5354349A}"/>
    <cellStyle name="Comma 2 2 92" xfId="19448" xr:uid="{35D3B244-F6F0-41ED-A45D-0265B6284516}"/>
    <cellStyle name="Comma 2 2 92 2" xfId="19450" xr:uid="{ABC2892B-1E94-4A2F-A1FA-07263A9B26A9}"/>
    <cellStyle name="Comma 2 2 92 3" xfId="19452" xr:uid="{7BCF048C-DC9E-409F-9729-6250058CFC90}"/>
    <cellStyle name="Comma 2 2 93" xfId="19454" xr:uid="{D6CD161B-FB40-4839-B019-8DB0DA110791}"/>
    <cellStyle name="Comma 2 2 93 2" xfId="19456" xr:uid="{D429A946-2A98-45C7-BE90-EE7E6EE4E352}"/>
    <cellStyle name="Comma 2 2 93 3" xfId="19458" xr:uid="{F51A733D-1912-423D-BC37-827DF441315E}"/>
    <cellStyle name="Comma 2 2 94" xfId="19460" xr:uid="{CB91228D-07C9-4BF4-9D3E-F6A448E4587F}"/>
    <cellStyle name="Comma 2 2 94 2" xfId="16624" xr:uid="{6F9C8CE7-DC35-4BBA-A0C8-708E65F5B88B}"/>
    <cellStyle name="Comma 2 2 94 3" xfId="19462" xr:uid="{38DF43AF-929D-4B8A-BC81-85C1B1B61275}"/>
    <cellStyle name="Comma 2 2 95" xfId="9048" xr:uid="{94007BC5-9285-4F37-A88E-16FAB74A0154}"/>
    <cellStyle name="Comma 2 2 95 2" xfId="19465" xr:uid="{18BED4BD-8ECD-43C6-97D0-6F2014D4F388}"/>
    <cellStyle name="Comma 2 2 95 3" xfId="19466" xr:uid="{3E8F3B64-EFD6-4E6D-99BF-7EA3FF14A0BE}"/>
    <cellStyle name="Comma 2 2 96" xfId="19468" xr:uid="{83DC4E65-4FF2-4743-9809-A40BF14E6859}"/>
    <cellStyle name="Comma 2 2 96 2" xfId="19470" xr:uid="{385BB02D-EBC3-43B6-9EC4-E64EEC03B8E0}"/>
    <cellStyle name="Comma 2 2 96 3" xfId="19471" xr:uid="{FB251245-DE2A-4E9A-90C9-77E105956AC3}"/>
    <cellStyle name="Comma 2 2 97" xfId="19473" xr:uid="{33CC9B6C-8DF9-4E9F-82A9-B1FEAEB4D6CA}"/>
    <cellStyle name="Comma 2 2 97 2" xfId="19474" xr:uid="{42F45B23-6B70-45A2-976D-92673EBDBF27}"/>
    <cellStyle name="Comma 2 2 97 3" xfId="19475" xr:uid="{07C88AD7-F2C5-4B66-BCD7-77D11B86652A}"/>
    <cellStyle name="Comma 2 2 98" xfId="19476" xr:uid="{7F6E9C15-2819-4286-9216-D91F2299C8D8}"/>
    <cellStyle name="Comma 2 2 98 2" xfId="19478" xr:uid="{90DB2B09-9950-4038-934B-FC07E7EE6CF5}"/>
    <cellStyle name="Comma 2 2 98 3" xfId="19480" xr:uid="{1E1A410D-A5B4-48F8-A156-EC1420443470}"/>
    <cellStyle name="Comma 2 2 99" xfId="15823" xr:uid="{91C524D7-2A4A-4A9B-82D9-E5E0B21E4638}"/>
    <cellStyle name="Comma 2 2 99 2" xfId="19482" xr:uid="{4C3A9157-E873-4F13-9D19-F56A9F2EF134}"/>
    <cellStyle name="Comma 2 2 99 3" xfId="19483" xr:uid="{529BA5A6-6F42-4B3A-92A4-D90FA3083D44}"/>
    <cellStyle name="Comma 2 20" xfId="17607" xr:uid="{8222B3E8-12C0-41B9-8EC9-51C54CCBA21D}"/>
    <cellStyle name="Comma 2 20 2" xfId="17609" xr:uid="{6F0DADEF-7BEA-4340-A569-83F1E40CD99C}"/>
    <cellStyle name="Comma 2 20 3" xfId="17611" xr:uid="{21BB9FDD-D8D4-4076-9761-491A191F5268}"/>
    <cellStyle name="Comma 2 200" xfId="17559" xr:uid="{A2F9B4F1-D9C9-438E-B69B-C915A7AE0156}"/>
    <cellStyle name="Comma 2 200 2" xfId="6740" xr:uid="{6637CC2A-5B6B-4BAA-9EE3-9D8C6123E760}"/>
    <cellStyle name="Comma 2 201" xfId="17563" xr:uid="{945359DE-A60C-4504-8F4A-32AA4F679308}"/>
    <cellStyle name="Comma 2 201 2" xfId="6769" xr:uid="{CA3338FF-2E4F-45FC-A99B-71CE00B333B6}"/>
    <cellStyle name="Comma 2 202" xfId="17567" xr:uid="{E652F50F-DE02-405B-8C4B-D05CE0763F3B}"/>
    <cellStyle name="Comma 2 202 2" xfId="6799" xr:uid="{A6AE54E1-21E1-4226-8CA6-34D3C2848D8A}"/>
    <cellStyle name="Comma 2 203" xfId="17581" xr:uid="{C98D29A3-E7D4-4791-9563-3AFB4528E235}"/>
    <cellStyle name="Comma 2 203 2" xfId="17586" xr:uid="{44E2C93E-AA4A-477C-AEBA-0D98D2B7F6EC}"/>
    <cellStyle name="Comma 2 204" xfId="17592" xr:uid="{9F7B9D47-6C72-4975-9DCF-654E522716CF}"/>
    <cellStyle name="Comma 2 204 2" xfId="17596" xr:uid="{BEFE6E7F-8490-4BB8-867A-6C412F8DB940}"/>
    <cellStyle name="Comma 2 205" xfId="17614" xr:uid="{AE6A7725-D0B8-4786-A3E3-340B7DFA7B08}"/>
    <cellStyle name="Comma 2 205 2" xfId="17618" xr:uid="{45C047D0-820B-4BD4-8697-2E7BE02D73F0}"/>
    <cellStyle name="Comma 2 206" xfId="17625" xr:uid="{E0AA397A-08DA-4614-97C6-9CD5D4CAF0CD}"/>
    <cellStyle name="Comma 2 206 2" xfId="17631" xr:uid="{65FB634D-4050-43BA-BCD7-F9987AF243F8}"/>
    <cellStyle name="Comma 2 207" xfId="17639" xr:uid="{4723EC4B-B3E4-479F-9B34-2E34FA0E1ACE}"/>
    <cellStyle name="Comma 2 207 2" xfId="17645" xr:uid="{4E35E757-614A-4C2A-AD97-8F9155ABC3ED}"/>
    <cellStyle name="Comma 2 208" xfId="17653" xr:uid="{A0925124-DC77-4060-B710-691E35F06123}"/>
    <cellStyle name="Comma 2 208 2" xfId="17657" xr:uid="{7F616E7A-093C-47E4-8AC5-B5DEE39BB89E}"/>
    <cellStyle name="Comma 2 209" xfId="12498" xr:uid="{7A3A928C-4346-4D2B-AFDB-414431619E2E}"/>
    <cellStyle name="Comma 2 209 2" xfId="12503" xr:uid="{CA0E08B6-777D-4587-BE79-165C7CD8B685}"/>
    <cellStyle name="Comma 2 21" xfId="17664" xr:uid="{DA2F17CC-54E2-4DC2-8544-16C93564780D}"/>
    <cellStyle name="Comma 2 21 2" xfId="17666" xr:uid="{74DB6675-4453-49E4-8198-FBCF96BBF5F6}"/>
    <cellStyle name="Comma 2 21 3" xfId="17668" xr:uid="{A671B348-029F-4281-83BC-36BB5CE7F9FA}"/>
    <cellStyle name="Comma 2 210" xfId="17615" xr:uid="{6F1EE266-9984-47E5-8EA9-471436B1807F}"/>
    <cellStyle name="Comma 2 210 2" xfId="17619" xr:uid="{542663D4-570D-49FC-8EFD-3715E1CA0A0D}"/>
    <cellStyle name="Comma 2 211" xfId="17626" xr:uid="{891A021A-4A69-43B7-83EC-1387EE5ECF51}"/>
    <cellStyle name="Comma 2 211 2" xfId="17632" xr:uid="{1D7AE5BC-FFEC-4440-84A8-1AAB1887FDAC}"/>
    <cellStyle name="Comma 2 212" xfId="17640" xr:uid="{EE43718A-FB81-4A41-8DE9-8F3C9266831F}"/>
    <cellStyle name="Comma 2 212 2" xfId="17646" xr:uid="{8342EB9C-492E-4770-A016-B0D93A4C051B}"/>
    <cellStyle name="Comma 2 213" xfId="17654" xr:uid="{42AA7504-6DB6-41E5-A165-143358799C57}"/>
    <cellStyle name="Comma 2 213 2" xfId="17658" xr:uid="{1E12E8EA-909D-40A1-8C38-E02F75A0194B}"/>
    <cellStyle name="Comma 2 214" xfId="12499" xr:uid="{EECB0508-83CE-43AE-A93A-3F779424419B}"/>
    <cellStyle name="Comma 2 214 2" xfId="12504" xr:uid="{216C9EB4-7402-4934-94AC-449797089EA0}"/>
    <cellStyle name="Comma 2 215" xfId="12544" xr:uid="{F40FA9BE-7307-43FA-8383-6FA83F37D6C7}"/>
    <cellStyle name="Comma 2 215 2" xfId="12549" xr:uid="{C89E5560-DA39-421B-86E1-A642DE0FFAF5}"/>
    <cellStyle name="Comma 2 216" xfId="12571" xr:uid="{62F3164A-63AA-486B-B125-3C4424CE1170}"/>
    <cellStyle name="Comma 2 216 2" xfId="12577" xr:uid="{4E93011D-A50E-4D5A-9256-E673F742EC5E}"/>
    <cellStyle name="Comma 2 217" xfId="12588" xr:uid="{BFEC6FBA-03BE-4F20-A97D-0D1603344CD4}"/>
    <cellStyle name="Comma 2 217 2" xfId="2144" xr:uid="{18A60059-F9CB-414F-BF53-72E47A2908FF}"/>
    <cellStyle name="Comma 2 218" xfId="965" xr:uid="{1D1F8E65-7B8B-4E2A-AFE3-70B0C97149A7}"/>
    <cellStyle name="Comma 2 218 2" xfId="1168" xr:uid="{650FAB12-4E6A-4A70-9AE7-8808FBEE8BDE}"/>
    <cellStyle name="Comma 2 219" xfId="975" xr:uid="{B05E2BFB-D001-4ECE-9169-B87726E66039}"/>
    <cellStyle name="Comma 2 219 2" xfId="2207" xr:uid="{F13B0999-83C0-4F24-8C00-31B30687D2A8}"/>
    <cellStyle name="Comma 2 22" xfId="17672" xr:uid="{8A61D220-13C9-4AC4-9E8B-D2B683B461DD}"/>
    <cellStyle name="Comma 2 22 2" xfId="17674" xr:uid="{9B344ABD-AD06-43CD-9C46-23FC2C14EFEE}"/>
    <cellStyle name="Comma 2 22 3" xfId="17676" xr:uid="{834441DE-9865-49EB-A12A-2512E5C43177}"/>
    <cellStyle name="Comma 2 220" xfId="12545" xr:uid="{A30EA339-AC12-4992-BF81-359B55C1F46B}"/>
    <cellStyle name="Comma 2 220 2" xfId="12550" xr:uid="{9D8A6767-8410-4C28-B8A2-F5C559C5CFF1}"/>
    <cellStyle name="Comma 2 221" xfId="12572" xr:uid="{A1A8A31B-4EB7-4571-BC9B-A15DDD230CB8}"/>
    <cellStyle name="Comma 2 222" xfId="12589" xr:uid="{47F80F29-9554-449C-A86C-4BC8874D9C06}"/>
    <cellStyle name="Comma 2 223" xfId="966" xr:uid="{EF7FFA3C-93E0-42FC-884D-4CEEDE5B5025}"/>
    <cellStyle name="Comma 2 224" xfId="976" xr:uid="{B011BAE3-A961-45EC-92E0-5FD0E0F2FF46}"/>
    <cellStyle name="Comma 2 225" xfId="12594" xr:uid="{7F046F02-A996-48D2-8E7D-87FF756A3EE0}"/>
    <cellStyle name="Comma 2 226" xfId="17682" xr:uid="{2CF90B3A-8BF6-4611-81E7-9DACFA4E338C}"/>
    <cellStyle name="Comma 2 227" xfId="17688" xr:uid="{01A6FDEB-3EB5-4FC3-B5FC-E07C5CE2F346}"/>
    <cellStyle name="Comma 2 228" xfId="17694" xr:uid="{C7B57B95-CE1D-424E-BF75-E8D2623BFEF7}"/>
    <cellStyle name="Comma 2 229" xfId="17701" xr:uid="{BA73F995-3EA2-4F3A-8675-E6C3EE7E18F5}"/>
    <cellStyle name="Comma 2 23" xfId="17709" xr:uid="{994A453C-B608-4FF3-BE5F-04521267500B}"/>
    <cellStyle name="Comma 2 23 2" xfId="17711" xr:uid="{0197714D-F13B-4C06-824E-3F5DFE9E9B35}"/>
    <cellStyle name="Comma 2 23 3" xfId="17715" xr:uid="{1E97280F-B084-485F-B5B6-8AD652DCE2F3}"/>
    <cellStyle name="Comma 2 230" xfId="12595" xr:uid="{6BE2BEE1-A062-43F6-A7DE-E14693CABC4A}"/>
    <cellStyle name="Comma 2 231" xfId="17683" xr:uid="{67A19901-F23D-40AF-AFA0-CEB131E8C207}"/>
    <cellStyle name="Comma 2 232" xfId="17689" xr:uid="{20E91A73-53E7-42CE-BD11-623DF8B200B2}"/>
    <cellStyle name="Comma 2 233" xfId="17695" xr:uid="{0FAE0C0E-E607-4ACC-B03D-567E287553E9}"/>
    <cellStyle name="Comma 2 234" xfId="17702" xr:uid="{18A43B12-C633-4929-997D-DD6EAB8CA7FC}"/>
    <cellStyle name="Comma 2 235" xfId="17720" xr:uid="{43DBFFAE-8243-4036-9597-814C3D3E7D2F}"/>
    <cellStyle name="Comma 2 236" xfId="17726" xr:uid="{79C80003-8D77-4F55-8E51-373EE804B638}"/>
    <cellStyle name="Comma 2 237" xfId="17732" xr:uid="{C3AC3A04-56A9-4A50-B7AD-F40A0787A768}"/>
    <cellStyle name="Comma 2 238" xfId="17739" xr:uid="{9B18D783-7C85-46B0-965F-A7D3DD181DED}"/>
    <cellStyle name="Comma 2 239" xfId="17744" xr:uid="{F084B223-4BF0-499A-903E-556E03D0F0A4}"/>
    <cellStyle name="Comma 2 24" xfId="17752" xr:uid="{E090E814-570A-4C0A-A532-739E92099FAB}"/>
    <cellStyle name="Comma 2 24 2" xfId="17754" xr:uid="{1E1CBB84-956B-41CA-AC28-42269082DCFC}"/>
    <cellStyle name="Comma 2 24 3" xfId="17759" xr:uid="{25865ECE-4EF2-451A-A90C-C0B47CEBD738}"/>
    <cellStyle name="Comma 2 240" xfId="17721" xr:uid="{960E86D9-DDE0-4671-8F9A-D4EDB421923F}"/>
    <cellStyle name="Comma 2 241" xfId="17727" xr:uid="{67DA67A6-19C8-47B6-9764-6044A323F2B2}"/>
    <cellStyle name="Comma 2 242" xfId="17733" xr:uid="{B3C4E031-CC60-44E9-84DB-3484C3C773E9}"/>
    <cellStyle name="Comma 2 243" xfId="17740" xr:uid="{5FE8A834-0340-4F7B-AE89-DD6B03939197}"/>
    <cellStyle name="Comma 2 244" xfId="17745" xr:uid="{FB72D437-A6ED-4D98-BB25-ACF7CA271E56}"/>
    <cellStyle name="Comma 2 245" xfId="17763" xr:uid="{ECE8F34B-A449-4430-ADB8-E5C9BBE0E102}"/>
    <cellStyle name="Comma 2 246" xfId="17767" xr:uid="{EE9A5048-3285-48CC-92DA-BA2468A8F780}"/>
    <cellStyle name="Comma 2 247" xfId="17771" xr:uid="{56790A2E-FBFB-4562-AD2B-AC93A70D3A20}"/>
    <cellStyle name="Comma 2 248" xfId="17776" xr:uid="{F715D488-1DCA-4634-938E-0E8711D7CCA2}"/>
    <cellStyle name="Comma 2 249" xfId="17782" xr:uid="{545DC436-C58F-4433-B416-C3D588F21574}"/>
    <cellStyle name="Comma 2 25" xfId="19486" xr:uid="{44066686-718F-45E1-86F2-3C3114DD9454}"/>
    <cellStyle name="Comma 2 25 2" xfId="19489" xr:uid="{6687D117-ED88-4A78-BE18-6568615AF64E}"/>
    <cellStyle name="Comma 2 25 3" xfId="19493" xr:uid="{8C8E1D75-07F4-45CE-AAF2-A1B8272A8D4C}"/>
    <cellStyle name="Comma 2 250" xfId="17764" xr:uid="{A69C3320-7366-47E2-B2CD-FA4C551D86AD}"/>
    <cellStyle name="Comma 2 251" xfId="17768" xr:uid="{969FF595-CBDB-4008-A12F-6F44015E8148}"/>
    <cellStyle name="Comma 2 252" xfId="17772" xr:uid="{F5B29818-D73E-44A6-B5C4-1CA4AE6AD3A5}"/>
    <cellStyle name="Comma 2 253" xfId="17777" xr:uid="{693DD6CD-CA5A-4866-9502-AC10B1976D7E}"/>
    <cellStyle name="Comma 2 254" xfId="17783" xr:uid="{FE829D43-E624-4335-AA3F-05DFC2FB8E59}"/>
    <cellStyle name="Comma 2 255" xfId="19496" xr:uid="{9AED2D18-CA46-40BF-8E34-5FE2224AD5B6}"/>
    <cellStyle name="Comma 2 256" xfId="19498" xr:uid="{46E1F664-FE26-4468-8AE7-C1BC6CE3B86F}"/>
    <cellStyle name="Comma 2 257" xfId="14158" xr:uid="{64D5E1F7-12F0-465F-851F-2E2BCE2A1692}"/>
    <cellStyle name="Comma 2 257 2" xfId="14161" xr:uid="{6A108D82-BA38-4ABD-A343-4C2A091FBB40}"/>
    <cellStyle name="Comma 2 258" xfId="14164" xr:uid="{D76DAF75-26EE-4DB8-9A2D-AE1A6DAEEF14}"/>
    <cellStyle name="Comma 2 258 2" xfId="1497" xr:uid="{7EB78E94-62E2-42EC-B132-A4C459D149B0}"/>
    <cellStyle name="Comma 2 258 3" xfId="1508" xr:uid="{363BE482-2956-4BAD-A06C-45BF1A5C847F}"/>
    <cellStyle name="Comma 2 259" xfId="12599" xr:uid="{8668F1D6-A943-4F97-A9A1-6B258509F477}"/>
    <cellStyle name="Comma 2 259 10" xfId="19500" xr:uid="{72DD2704-B526-41A7-802C-44EEC2BB4BBF}"/>
    <cellStyle name="Comma 2 259 10 2" xfId="19501" xr:uid="{44783C4F-16F4-4B1B-9F04-208FF10A6624}"/>
    <cellStyle name="Comma 2 259 10 2 2" xfId="19502" xr:uid="{2A527884-6B52-40F4-9C08-0A7572876A63}"/>
    <cellStyle name="Comma 2 259 10 3" xfId="15846" xr:uid="{AB64A34D-D0EC-4AF5-814D-987BDB7456A8}"/>
    <cellStyle name="Comma 2 259 11" xfId="19503" xr:uid="{DC8C838B-183B-4341-A26A-2926091D955A}"/>
    <cellStyle name="Comma 2 259 11 2" xfId="19507" xr:uid="{F0C39F97-A5D5-49C8-8F2C-3C2A3EB29E2A}"/>
    <cellStyle name="Comma 2 259 12" xfId="19510" xr:uid="{4FD4EC68-8D1B-4143-9C05-6AEC332E9507}"/>
    <cellStyle name="Comma 2 259 13" xfId="4047" xr:uid="{0A5B093F-5C46-4A8B-B4DF-4A612DBA774B}"/>
    <cellStyle name="Comma 2 259 14" xfId="5302" xr:uid="{1EE95F7A-8B8F-463C-947C-657F639B2D8A}"/>
    <cellStyle name="Comma 2 259 2" xfId="425" xr:uid="{06A32EBD-6DD5-4E23-8D6F-7E6315B20B58}"/>
    <cellStyle name="Comma 2 259 2 10" xfId="19513" xr:uid="{03EBD750-B5F9-464E-8F8C-6339296FA51C}"/>
    <cellStyle name="Comma 2 259 2 10 2" xfId="19514" xr:uid="{ACC459E2-282E-417D-94AD-8774EC855B93}"/>
    <cellStyle name="Comma 2 259 2 11" xfId="7496" xr:uid="{E42FDF63-71AE-47EB-AA17-B4CFD69D26D5}"/>
    <cellStyle name="Comma 2 259 2 12" xfId="7503" xr:uid="{96C99889-ED52-424C-8D38-EECF7CCE6F5F}"/>
    <cellStyle name="Comma 2 259 2 2" xfId="3888" xr:uid="{4DD9596C-4983-42AC-B192-AF5275FF1F54}"/>
    <cellStyle name="Comma 2 259 2 2 10" xfId="13132" xr:uid="{EBC73EC7-82AD-4283-8F4B-D26E17132D72}"/>
    <cellStyle name="Comma 2 259 2 2 11" xfId="13136" xr:uid="{B7D824F9-A2F9-46D0-9BFD-DCA33FE466AE}"/>
    <cellStyle name="Comma 2 259 2 2 2" xfId="7469" xr:uid="{D51777F6-D1A0-40A5-B644-5C10617B7E0D}"/>
    <cellStyle name="Comma 2 259 2 2 2 10" xfId="14166" xr:uid="{24FE5EF4-E601-4C72-948D-0DD9472686B7}"/>
    <cellStyle name="Comma 2 259 2 2 2 2" xfId="12602" xr:uid="{AA322168-4E93-47D6-BBB9-40FDCE5D4B62}"/>
    <cellStyle name="Comma 2 259 2 2 2 2 2" xfId="6780" xr:uid="{5542877F-508C-42A6-9281-64CA61D645BD}"/>
    <cellStyle name="Comma 2 259 2 2 2 2 2 2" xfId="19515" xr:uid="{57E9320A-C8E7-4A04-A7A3-C200307CC59B}"/>
    <cellStyle name="Comma 2 259 2 2 2 2 2 2 2" xfId="14349" xr:uid="{1608FFB7-5601-4AB4-8A97-D69726B17117}"/>
    <cellStyle name="Comma 2 259 2 2 2 2 2 2 2 2" xfId="4268" xr:uid="{06558F82-CF40-4B69-8DDE-F8399B99FB48}"/>
    <cellStyle name="Comma 2 259 2 2 2 2 2 2 2 2 2" xfId="4271" xr:uid="{51DDB65E-C87B-4848-B93B-D93A0C6C5FB3}"/>
    <cellStyle name="Comma 2 259 2 2 2 2 2 2 2 2 2 2" xfId="19518" xr:uid="{EC8983BE-EE9A-4969-9EFE-147B16AA4873}"/>
    <cellStyle name="Comma 2 259 2 2 2 2 2 2 2 2 2 2 2" xfId="19520" xr:uid="{069F381A-B758-4272-A61C-30A4A1FB9546}"/>
    <cellStyle name="Comma 2 259 2 2 2 2 2 2 2 2 2 3" xfId="19521" xr:uid="{41CDCF2C-7CE8-4BEF-AFBA-E6ACF3472A9F}"/>
    <cellStyle name="Comma 2 259 2 2 2 2 2 2 2 2 3" xfId="19522" xr:uid="{35D11E22-A8C0-4855-AB48-D24C55A9C54D}"/>
    <cellStyle name="Comma 2 259 2 2 2 2 2 2 2 2 3 2" xfId="19523" xr:uid="{229294F6-56EB-46C2-A30C-140E0FEC0C1B}"/>
    <cellStyle name="Comma 2 259 2 2 2 2 2 2 2 2 4" xfId="19530" xr:uid="{C1FF82E6-719A-4C03-A96C-4DBCC3599FAB}"/>
    <cellStyle name="Comma 2 259 2 2 2 2 2 2 2 3" xfId="4274" xr:uid="{5C96FBA6-4A67-4DAA-968E-3639786FE4FA}"/>
    <cellStyle name="Comma 2 259 2 2 2 2 2 2 2 3 2" xfId="19533" xr:uid="{24FE09AB-27FA-47D4-84FC-9DE337510F22}"/>
    <cellStyle name="Comma 2 259 2 2 2 2 2 2 2 3 2 2" xfId="19536" xr:uid="{CFDB1A0C-A09E-49B1-85B9-0882D41421A6}"/>
    <cellStyle name="Comma 2 259 2 2 2 2 2 2 2 3 3" xfId="19539" xr:uid="{4AB96D17-5A9C-4CD5-B941-7D1201FA1D86}"/>
    <cellStyle name="Comma 2 259 2 2 2 2 2 2 2 4" xfId="19542" xr:uid="{2B2ACED9-7B99-4354-BBD4-686F1C43DCA8}"/>
    <cellStyle name="Comma 2 259 2 2 2 2 2 2 2 4 2" xfId="2221" xr:uid="{3B830B4A-6158-4406-A06C-D9E7596C85D2}"/>
    <cellStyle name="Comma 2 259 2 2 2 2 2 2 2 5" xfId="19545" xr:uid="{B104B66A-0EBB-4946-B975-7CF2EEA1BEB4}"/>
    <cellStyle name="Comma 2 259 2 2 2 2 2 2 3" xfId="19546" xr:uid="{95CE4E02-D0F7-4BC4-8980-27D7045F8E06}"/>
    <cellStyle name="Comma 2 259 2 2 2 2 2 2 3 2" xfId="4286" xr:uid="{0C602973-93E6-4A82-963B-DD886D9D4D29}"/>
    <cellStyle name="Comma 2 259 2 2 2 2 2 2 3 2 2" xfId="19547" xr:uid="{E3018EE1-728D-4494-8811-C94B83080192}"/>
    <cellStyle name="Comma 2 259 2 2 2 2 2 2 3 2 2 2" xfId="19548" xr:uid="{94169AED-AB62-47B3-A577-98E463AAB778}"/>
    <cellStyle name="Comma 2 259 2 2 2 2 2 2 3 2 3" xfId="19549" xr:uid="{94DB4DCC-DDBE-4194-860F-79FC3CFE73C1}"/>
    <cellStyle name="Comma 2 259 2 2 2 2 2 2 3 3" xfId="19551" xr:uid="{C9048532-4F79-4DC1-9586-A5371E596019}"/>
    <cellStyle name="Comma 2 259 2 2 2 2 2 2 3 3 2" xfId="19553" xr:uid="{3AFBB176-9E13-472B-9AD5-5B3DE17E5B92}"/>
    <cellStyle name="Comma 2 259 2 2 2 2 2 2 3 4" xfId="19556" xr:uid="{49DF49F3-6783-451E-96C4-EEF15279AA92}"/>
    <cellStyle name="Comma 2 259 2 2 2 2 2 2 4" xfId="19557" xr:uid="{C51C058C-AE8B-46A1-9E43-DE2277012D48}"/>
    <cellStyle name="Comma 2 259 2 2 2 2 2 2 4 2" xfId="19558" xr:uid="{5D390703-19A4-494C-9C01-34B3B2E7435B}"/>
    <cellStyle name="Comma 2 259 2 2 2 2 2 2 4 2 2" xfId="19559" xr:uid="{800ABD31-3AB9-49DD-89EA-8A8DABFCE124}"/>
    <cellStyle name="Comma 2 259 2 2 2 2 2 2 4 3" xfId="19561" xr:uid="{B72EE6A7-F79E-49F3-BE27-9C93B470D2E0}"/>
    <cellStyle name="Comma 2 259 2 2 2 2 2 2 5" xfId="18286" xr:uid="{D83B8E90-9CE2-4DD3-B09B-9BDDF40A22F7}"/>
    <cellStyle name="Comma 2 259 2 2 2 2 2 2 5 2" xfId="18288" xr:uid="{B079EED7-C81D-4730-BB31-23247956E5CF}"/>
    <cellStyle name="Comma 2 259 2 2 2 2 2 2 6" xfId="18291" xr:uid="{C83BB3D0-1597-497B-8B99-175A023774DB}"/>
    <cellStyle name="Comma 2 259 2 2 2 2 2 2 7" xfId="19562" xr:uid="{13909C7A-C0D5-421E-BF17-5FA95B398F84}"/>
    <cellStyle name="Comma 2 259 2 2 2 2 2 3" xfId="19563" xr:uid="{DC3CCB15-7835-450E-92D8-4DBBC77E7732}"/>
    <cellStyle name="Comma 2 259 2 2 2 2 2 3 2" xfId="19564" xr:uid="{3717E674-298B-4EE8-B752-9F3BCBB3BEF1}"/>
    <cellStyle name="Comma 2 259 2 2 2 2 2 3 2 2" xfId="5462" xr:uid="{9C0F700D-BD7D-4E1C-BBE9-5E91C59A399A}"/>
    <cellStyle name="Comma 2 259 2 2 2 2 2 3 2 2 2" xfId="5466" xr:uid="{D99416ED-6579-47BF-B5E3-0D2BAD96A970}"/>
    <cellStyle name="Comma 2 259 2 2 2 2 2 3 2 2 2 2" xfId="19565" xr:uid="{9F21B527-1405-4AED-B7B2-F6E5B4A199C4}"/>
    <cellStyle name="Comma 2 259 2 2 2 2 2 3 2 2 3" xfId="19566" xr:uid="{6D071CBB-DD3A-4E94-A24D-551B4874516B}"/>
    <cellStyle name="Comma 2 259 2 2 2 2 2 3 2 3" xfId="5470" xr:uid="{39D08D83-B9B7-478C-87B7-540E5F2684EB}"/>
    <cellStyle name="Comma 2 259 2 2 2 2 2 3 2 3 2" xfId="19570" xr:uid="{EED4E62B-CC94-4DC7-A04D-9A90C50711F2}"/>
    <cellStyle name="Comma 2 259 2 2 2 2 2 3 2 4" xfId="19574" xr:uid="{3ADADBCF-5FE4-4B24-8085-06C099938C10}"/>
    <cellStyle name="Comma 2 259 2 2 2 2 2 3 3" xfId="19575" xr:uid="{8E1A49D6-D9B6-4BDC-AFB6-6B645D77D611}"/>
    <cellStyle name="Comma 2 259 2 2 2 2 2 3 3 2" xfId="5481" xr:uid="{5DDEF160-C024-422F-B00D-1BECB7D4A918}"/>
    <cellStyle name="Comma 2 259 2 2 2 2 2 3 3 2 2" xfId="19577" xr:uid="{206738E1-3DC5-4E1F-BE21-45650F1E9EFB}"/>
    <cellStyle name="Comma 2 259 2 2 2 2 2 3 3 3" xfId="19580" xr:uid="{595EDDCA-5E08-4CA5-9CEE-478EC91EE036}"/>
    <cellStyle name="Comma 2 259 2 2 2 2 2 3 4" xfId="19581" xr:uid="{A8DBE1C5-7B6B-471E-8D6C-BE70927F5209}"/>
    <cellStyle name="Comma 2 259 2 2 2 2 2 3 4 2" xfId="19582" xr:uid="{32DF1BF5-71FD-419E-91CC-EE4CD8BF93AF}"/>
    <cellStyle name="Comma 2 259 2 2 2 2 2 3 5" xfId="18294" xr:uid="{DD36DFB1-A368-4181-BA92-0E2EA31E1EE0}"/>
    <cellStyle name="Comma 2 259 2 2 2 2 2 4" xfId="19584" xr:uid="{54D88A51-5FCA-4617-A6FB-96D19522E301}"/>
    <cellStyle name="Comma 2 259 2 2 2 2 2 4 2" xfId="19585" xr:uid="{D063A025-B9D9-4969-B73F-A6AD7E5EDC8A}"/>
    <cellStyle name="Comma 2 259 2 2 2 2 2 4 2 2" xfId="5988" xr:uid="{8502E9B3-D76B-4245-B5FA-A8439E2034A1}"/>
    <cellStyle name="Comma 2 259 2 2 2 2 2 4 2 2 2" xfId="19586" xr:uid="{D5C2B211-F4C2-45EC-AE81-5E622F286D81}"/>
    <cellStyle name="Comma 2 259 2 2 2 2 2 4 2 3" xfId="19588" xr:uid="{C62C0758-564B-4151-BFD8-6AFD04D2C128}"/>
    <cellStyle name="Comma 2 259 2 2 2 2 2 4 3" xfId="19589" xr:uid="{9166FC56-0861-4C42-9B95-F085A46B6C2E}"/>
    <cellStyle name="Comma 2 259 2 2 2 2 2 4 3 2" xfId="19590" xr:uid="{887446FD-C564-4BFD-9613-962BC54AE019}"/>
    <cellStyle name="Comma 2 259 2 2 2 2 2 4 4" xfId="19592" xr:uid="{2755F470-946D-4E7D-BF8D-99A56CF5A4B5}"/>
    <cellStyle name="Comma 2 259 2 2 2 2 2 5" xfId="11668" xr:uid="{2A47E007-C2FD-44E5-B3F8-5AB17C9741A9}"/>
    <cellStyle name="Comma 2 259 2 2 2 2 2 5 2" xfId="19593" xr:uid="{D297B6D5-3E52-4E55-8A87-D0E3D5DBE5ED}"/>
    <cellStyle name="Comma 2 259 2 2 2 2 2 5 2 2" xfId="4212" xr:uid="{461B46F5-6D39-4F80-8236-ED86B47E29F2}"/>
    <cellStyle name="Comma 2 259 2 2 2 2 2 5 3" xfId="19594" xr:uid="{711C50E9-884E-4BED-BE76-8B6B2AA3BF0A}"/>
    <cellStyle name="Comma 2 259 2 2 2 2 2 6" xfId="19596" xr:uid="{CD5BCC7E-0EB5-44F2-AE76-12E241A64212}"/>
    <cellStyle name="Comma 2 259 2 2 2 2 2 6 2" xfId="19598" xr:uid="{6DB3782F-52FC-4288-9E3E-7A5CC1F307F7}"/>
    <cellStyle name="Comma 2 259 2 2 2 2 2 7" xfId="19600" xr:uid="{DFB27EA3-CE0C-44FD-B50C-4F8FD3C317C9}"/>
    <cellStyle name="Comma 2 259 2 2 2 2 2 8" xfId="19601" xr:uid="{018C8167-73AB-45DE-A013-53766A1338C6}"/>
    <cellStyle name="Comma 2 259 2 2 2 2 3" xfId="19605" xr:uid="{2AA51090-3699-4419-8661-FA0F1B07E5AF}"/>
    <cellStyle name="Comma 2 259 2 2 2 2 3 2" xfId="3328" xr:uid="{54260E6B-3CBF-4487-9850-498A5228D042}"/>
    <cellStyle name="Comma 2 259 2 2 2 2 3 2 2" xfId="19609" xr:uid="{2ECCB282-369B-4FE8-AC6C-944345C1DA2E}"/>
    <cellStyle name="Comma 2 259 2 2 2 2 3 2 2 2" xfId="6940" xr:uid="{046BFD7E-A70D-4B8B-8F58-A69FB5F820D1}"/>
    <cellStyle name="Comma 2 259 2 2 2 2 3 2 2 2 2" xfId="19610" xr:uid="{BEFAE4D8-1078-4B33-87F5-2B789C7FD43E}"/>
    <cellStyle name="Comma 2 259 2 2 2 2 3 2 2 2 2 2" xfId="19613" xr:uid="{046AC3AD-ACBA-416A-8BC5-42EBCBB9277A}"/>
    <cellStyle name="Comma 2 259 2 2 2 2 3 2 2 2 3" xfId="19614" xr:uid="{D00E1774-D998-4624-AEF9-7F26AC056D8A}"/>
    <cellStyle name="Comma 2 259 2 2 2 2 3 2 2 3" xfId="19616" xr:uid="{5D48E5C8-1310-40B5-8C42-F4CC4070DD5B}"/>
    <cellStyle name="Comma 2 259 2 2 2 2 3 2 2 3 2" xfId="19618" xr:uid="{FD11C9C3-15D6-48F9-AE78-D50F7FD2EA34}"/>
    <cellStyle name="Comma 2 259 2 2 2 2 3 2 2 4" xfId="19621" xr:uid="{DBCF8020-2945-445A-9D35-935791467C19}"/>
    <cellStyle name="Comma 2 259 2 2 2 2 3 2 3" xfId="19622" xr:uid="{13299B96-D2F9-40AA-8161-1AE743B5F2D1}"/>
    <cellStyle name="Comma 2 259 2 2 2 2 3 2 3 2" xfId="19623" xr:uid="{30B76972-57B8-4038-8000-D7E57003E04B}"/>
    <cellStyle name="Comma 2 259 2 2 2 2 3 2 3 2 2" xfId="19624" xr:uid="{C102DFD1-F7FF-4CB6-88B3-4F1DCE932523}"/>
    <cellStyle name="Comma 2 259 2 2 2 2 3 2 3 3" xfId="19626" xr:uid="{5E0014E8-DDFF-4B85-B34A-8D81139518F4}"/>
    <cellStyle name="Comma 2 259 2 2 2 2 3 2 4" xfId="19627" xr:uid="{5E72FB4E-ACB4-4D7B-8A77-2F17D597DD47}"/>
    <cellStyle name="Comma 2 259 2 2 2 2 3 2 4 2" xfId="19629" xr:uid="{6195F886-4CB7-4CBF-9DC8-EF9E8767960C}"/>
    <cellStyle name="Comma 2 259 2 2 2 2 3 2 5" xfId="9408" xr:uid="{04B9C784-C237-40F0-8EA0-E24B2EB84574}"/>
    <cellStyle name="Comma 2 259 2 2 2 2 3 3" xfId="19631" xr:uid="{B5F4B123-D2F2-4452-8A46-69C58427C3DD}"/>
    <cellStyle name="Comma 2 259 2 2 2 2 3 3 2" xfId="19633" xr:uid="{572A0995-59C8-4CFD-9E22-17FBD7267FA8}"/>
    <cellStyle name="Comma 2 259 2 2 2 2 3 3 2 2" xfId="19636" xr:uid="{C8B941A0-8D41-42BA-B9ED-AE1CF9B9D6C5}"/>
    <cellStyle name="Comma 2 259 2 2 2 2 3 3 2 2 2" xfId="19638" xr:uid="{13D4A626-8DEE-4CCA-A173-EB3BBAD7226D}"/>
    <cellStyle name="Comma 2 259 2 2 2 2 3 3 2 3" xfId="19642" xr:uid="{F332075A-835A-4974-BB4A-837A0D4A8776}"/>
    <cellStyle name="Comma 2 259 2 2 2 2 3 3 3" xfId="19644" xr:uid="{9DC02C35-7145-4E9D-AECF-0A468466C3CC}"/>
    <cellStyle name="Comma 2 259 2 2 2 2 3 3 3 2" xfId="19647" xr:uid="{DD7A6893-7E3F-42F5-A6EA-984FBF1F00FD}"/>
    <cellStyle name="Comma 2 259 2 2 2 2 3 3 4" xfId="19649" xr:uid="{35D15370-3C12-4FAC-B01C-27B3A50F9BAD}"/>
    <cellStyle name="Comma 2 259 2 2 2 2 3 4" xfId="19651" xr:uid="{C4B7D240-F53B-466C-8CDE-C49C67BAA633}"/>
    <cellStyle name="Comma 2 259 2 2 2 2 3 4 2" xfId="19653" xr:uid="{A433943D-AD1F-4745-AFBE-74EA60AB0FD6}"/>
    <cellStyle name="Comma 2 259 2 2 2 2 3 4 2 2" xfId="19655" xr:uid="{2D3ECBCC-71E8-4A95-B3AF-C01AD703B95A}"/>
    <cellStyle name="Comma 2 259 2 2 2 2 3 4 3" xfId="19658" xr:uid="{B4DF0F94-C1FA-4232-ADC7-037BD2935421}"/>
    <cellStyle name="Comma 2 259 2 2 2 2 3 5" xfId="19660" xr:uid="{314BDA06-E075-4663-A293-CBFD48C5F0F5}"/>
    <cellStyle name="Comma 2 259 2 2 2 2 3 5 2" xfId="19662" xr:uid="{195709C9-331D-4BAF-A3D9-CA717FBBBA0B}"/>
    <cellStyle name="Comma 2 259 2 2 2 2 3 6" xfId="19665" xr:uid="{4C6A05A2-7D2A-4D80-B324-3D69C6FE8002}"/>
    <cellStyle name="Comma 2 259 2 2 2 2 3 7" xfId="19667" xr:uid="{D468C58A-4901-478B-8F04-EB274E6FF005}"/>
    <cellStyle name="Comma 2 259 2 2 2 2 4" xfId="19671" xr:uid="{8E02B1DF-88CC-4B53-ABBF-6F9FAF12C0C2}"/>
    <cellStyle name="Comma 2 259 2 2 2 2 4 2" xfId="19673" xr:uid="{3D8F5A2D-CE2D-41EB-BFD4-D91FF944214D}"/>
    <cellStyle name="Comma 2 259 2 2 2 2 4 2 2" xfId="19674" xr:uid="{A214FAB3-99F3-4F67-B64C-B599A7046261}"/>
    <cellStyle name="Comma 2 259 2 2 2 2 4 2 2 2" xfId="19675" xr:uid="{FDF3E4A9-CC28-436B-B5C1-6E0FF5A06757}"/>
    <cellStyle name="Comma 2 259 2 2 2 2 4 2 2 2 2" xfId="19678" xr:uid="{E70B7223-EEEF-474D-AB96-0544D1854FB3}"/>
    <cellStyle name="Comma 2 259 2 2 2 2 4 2 2 3" xfId="10745" xr:uid="{3D7F58BF-E70D-4B45-8B88-B734254682D7}"/>
    <cellStyle name="Comma 2 259 2 2 2 2 4 2 3" xfId="19679" xr:uid="{9F5FA401-DFCE-4BA0-8907-A95D256BEE65}"/>
    <cellStyle name="Comma 2 259 2 2 2 2 4 2 3 2" xfId="19680" xr:uid="{FC52E0FD-2C39-41CD-8002-D3F968E3CDE9}"/>
    <cellStyle name="Comma 2 259 2 2 2 2 4 2 4" xfId="19681" xr:uid="{3462629E-8226-4C24-843F-8FED5E5EA6F9}"/>
    <cellStyle name="Comma 2 259 2 2 2 2 4 3" xfId="19683" xr:uid="{CCB0B345-B4A8-45D1-9199-6D6BB7684BF7}"/>
    <cellStyle name="Comma 2 259 2 2 2 2 4 3 2" xfId="19685" xr:uid="{F890A119-7FEF-46A7-A54F-F61F27D634A1}"/>
    <cellStyle name="Comma 2 259 2 2 2 2 4 3 2 2" xfId="19687" xr:uid="{532A5842-6D37-4E8B-9A15-7F8F8F7DAD3C}"/>
    <cellStyle name="Comma 2 259 2 2 2 2 4 3 3" xfId="19689" xr:uid="{9087E019-DBA7-4F65-92B7-7AEAA9681A89}"/>
    <cellStyle name="Comma 2 259 2 2 2 2 4 4" xfId="19691" xr:uid="{2E0BC92B-BF6B-495D-AE39-BAB1128C3BEC}"/>
    <cellStyle name="Comma 2 259 2 2 2 2 4 4 2" xfId="19693" xr:uid="{E0555303-988A-42EA-A7BE-4F53BCE6FB8B}"/>
    <cellStyle name="Comma 2 259 2 2 2 2 4 5" xfId="19695" xr:uid="{85249D5A-E9AE-4434-A9A5-58C5DF1882FF}"/>
    <cellStyle name="Comma 2 259 2 2 2 2 5" xfId="19698" xr:uid="{C150EDBF-3C24-4498-8238-154EF2DB78EB}"/>
    <cellStyle name="Comma 2 259 2 2 2 2 5 2" xfId="19700" xr:uid="{043032AE-E49B-4687-AF42-9F465EAF6A81}"/>
    <cellStyle name="Comma 2 259 2 2 2 2 5 2 2" xfId="19701" xr:uid="{46D4506F-E81B-4787-9E3D-798DE6C211EE}"/>
    <cellStyle name="Comma 2 259 2 2 2 2 5 2 2 2" xfId="19702" xr:uid="{25A00288-3727-4AFD-A35A-5B0E1C72BEA0}"/>
    <cellStyle name="Comma 2 259 2 2 2 2 5 2 3" xfId="19703" xr:uid="{5E2B9C01-FDE8-483A-9338-E48CE25A187A}"/>
    <cellStyle name="Comma 2 259 2 2 2 2 5 3" xfId="19705" xr:uid="{F36EE044-2D8D-4F9E-B559-2C1C577BDB61}"/>
    <cellStyle name="Comma 2 259 2 2 2 2 5 3 2" xfId="19707" xr:uid="{94316699-C6C6-4FF0-B008-DB5231AF940C}"/>
    <cellStyle name="Comma 2 259 2 2 2 2 5 4" xfId="19709" xr:uid="{4801061B-B18C-431B-A631-7A87560F9FBF}"/>
    <cellStyle name="Comma 2 259 2 2 2 2 6" xfId="19712" xr:uid="{D63DB0F0-CADB-43EB-BF84-B79DD4046C40}"/>
    <cellStyle name="Comma 2 259 2 2 2 2 6 2" xfId="19713" xr:uid="{E3161B40-06D3-4107-99C5-0890F017F07A}"/>
    <cellStyle name="Comma 2 259 2 2 2 2 6 2 2" xfId="19714" xr:uid="{5F79982D-551B-4442-90EC-09EA97D8A654}"/>
    <cellStyle name="Comma 2 259 2 2 2 2 6 3" xfId="19716" xr:uid="{2C5DA2A6-D2F1-4607-85E8-95F272BABAAC}"/>
    <cellStyle name="Comma 2 259 2 2 2 2 7" xfId="19719" xr:uid="{C16CC6A0-7050-4189-80D9-D7324CBEBB3E}"/>
    <cellStyle name="Comma 2 259 2 2 2 2 7 2" xfId="19720" xr:uid="{6FC1F95B-FE84-43B0-A3F4-BB5961FC1A26}"/>
    <cellStyle name="Comma 2 259 2 2 2 2 8" xfId="19725" xr:uid="{76099B9E-0204-436C-A2D9-CE25E5846FAA}"/>
    <cellStyle name="Comma 2 259 2 2 2 2 9" xfId="19729" xr:uid="{DBC09150-4F82-4905-A0E3-A4B9F9887869}"/>
    <cellStyle name="Comma 2 259 2 2 2 3" xfId="19730" xr:uid="{74406E0A-E23C-42EF-944E-64207C1774A4}"/>
    <cellStyle name="Comma 2 259 2 2 2 3 2" xfId="14090" xr:uid="{7FFAECA5-ABB9-4FBE-BFD8-20E39805CE6B}"/>
    <cellStyle name="Comma 2 259 2 2 2 3 2 2" xfId="19734" xr:uid="{FCF3801B-4AC6-441E-A595-95E5D7CEF22F}"/>
    <cellStyle name="Comma 2 259 2 2 2 3 2 2 2" xfId="19735" xr:uid="{5E4E6199-0575-4502-ABA8-E005741803A4}"/>
    <cellStyle name="Comma 2 259 2 2 2 3 2 2 2 2" xfId="12050" xr:uid="{DC6CC6B8-204B-4BCB-8ACD-339B7DC8DE4A}"/>
    <cellStyle name="Comma 2 259 2 2 2 3 2 2 2 2 2" xfId="12052" xr:uid="{C5765C45-BADF-4C26-9204-94091EB72E61}"/>
    <cellStyle name="Comma 2 259 2 2 2 3 2 2 2 2 2 2" xfId="12054" xr:uid="{E45C8395-0481-42D8-9699-C5F88B190C2A}"/>
    <cellStyle name="Comma 2 259 2 2 2 3 2 2 2 2 3" xfId="12056" xr:uid="{FCA9B955-43CE-4839-BA6D-B2454BD37EA3}"/>
    <cellStyle name="Comma 2 259 2 2 2 3 2 2 2 3" xfId="12059" xr:uid="{745ECC89-6202-4149-BEE2-C2DA146226AC}"/>
    <cellStyle name="Comma 2 259 2 2 2 3 2 2 2 3 2" xfId="12062" xr:uid="{5B4C1C23-8CFB-43D9-9CA5-2FBC7440DED8}"/>
    <cellStyle name="Comma 2 259 2 2 2 3 2 2 2 4" xfId="12066" xr:uid="{3D32ADE7-1A4D-48E3-AF24-7CBB0C18E639}"/>
    <cellStyle name="Comma 2 259 2 2 2 3 2 2 3" xfId="19736" xr:uid="{FD58E5EF-EAD4-49B1-86B2-77B3812692B5}"/>
    <cellStyle name="Comma 2 259 2 2 2 3 2 2 3 2" xfId="12099" xr:uid="{42A60EAF-0C8F-4D4C-A2E9-C0284CC3418C}"/>
    <cellStyle name="Comma 2 259 2 2 2 3 2 2 3 2 2" xfId="12101" xr:uid="{931C761A-1476-4AC3-9BDE-501920CD442E}"/>
    <cellStyle name="Comma 2 259 2 2 2 3 2 2 3 3" xfId="12104" xr:uid="{8EDCBEA9-A3FF-4BF6-B187-C3E187A2906B}"/>
    <cellStyle name="Comma 2 259 2 2 2 3 2 2 4" xfId="19737" xr:uid="{319836A5-4CCA-4707-A0F4-99B5D9883964}"/>
    <cellStyle name="Comma 2 259 2 2 2 3 2 2 4 2" xfId="12114" xr:uid="{2AEB862E-6062-48D1-BC74-F7495D8FD2BF}"/>
    <cellStyle name="Comma 2 259 2 2 2 3 2 2 5" xfId="19738" xr:uid="{8DBDA614-A84D-4B74-BF47-E1C3902FCF52}"/>
    <cellStyle name="Comma 2 259 2 2 2 3 2 3" xfId="19741" xr:uid="{046971F2-8BE4-4B87-A495-ADDCD6879545}"/>
    <cellStyle name="Comma 2 259 2 2 2 3 2 3 2" xfId="19742" xr:uid="{D3E1E76D-866A-4CED-837E-9BDAA29D336A}"/>
    <cellStyle name="Comma 2 259 2 2 2 3 2 3 2 2" xfId="12916" xr:uid="{78D013CF-D69B-414E-9C13-908633A47AF9}"/>
    <cellStyle name="Comma 2 259 2 2 2 3 2 3 2 2 2" xfId="12920" xr:uid="{33867EA3-B9A9-4F51-8C78-B404F4A7543C}"/>
    <cellStyle name="Comma 2 259 2 2 2 3 2 3 2 3" xfId="12924" xr:uid="{F8ECD883-53D8-45CF-9C7E-E0F7FFB14203}"/>
    <cellStyle name="Comma 2 259 2 2 2 3 2 3 3" xfId="19743" xr:uid="{00723F50-1407-479A-B85C-90073F26B251}"/>
    <cellStyle name="Comma 2 259 2 2 2 3 2 3 3 2" xfId="12946" xr:uid="{A69D1F82-D332-4F4D-9B3A-A56DD18CC6DE}"/>
    <cellStyle name="Comma 2 259 2 2 2 3 2 3 4" xfId="19744" xr:uid="{4950EEFC-1DDC-4DBF-B865-BAFDC89A5756}"/>
    <cellStyle name="Comma 2 259 2 2 2 3 2 4" xfId="16268" xr:uid="{11CA015B-6322-4429-ADAD-FCE2F14A1361}"/>
    <cellStyle name="Comma 2 259 2 2 2 3 2 4 2" xfId="19745" xr:uid="{B47FA1EC-4232-4BD3-A026-5AFAB04020EB}"/>
    <cellStyle name="Comma 2 259 2 2 2 3 2 4 2 2" xfId="13490" xr:uid="{197F4D37-6413-44D9-B222-74273E9FB28B}"/>
    <cellStyle name="Comma 2 259 2 2 2 3 2 4 3" xfId="19746" xr:uid="{EB14073B-3C2A-497A-B1DE-FA53A2D2DDF5}"/>
    <cellStyle name="Comma 2 259 2 2 2 3 2 5" xfId="19749" xr:uid="{40A28650-2A09-4B57-89CC-6F341909C518}"/>
    <cellStyle name="Comma 2 259 2 2 2 3 2 5 2" xfId="19750" xr:uid="{64993F5D-9F15-42F9-B2A0-5D8AB50EB363}"/>
    <cellStyle name="Comma 2 259 2 2 2 3 2 6" xfId="19754" xr:uid="{58CB0245-1DBE-4FAC-88E2-46CE28F570ED}"/>
    <cellStyle name="Comma 2 259 2 2 2 3 2 7" xfId="19755" xr:uid="{E5D4740B-D9FA-4DA5-8E9E-7F4F5F1E7B25}"/>
    <cellStyle name="Comma 2 259 2 2 2 3 3" xfId="17574" xr:uid="{F9D9C4A7-9D92-4D3B-B2DD-5D1F879D7E2B}"/>
    <cellStyle name="Comma 2 259 2 2 2 3 3 2" xfId="19759" xr:uid="{BD5A4AF4-55C9-4761-B2CF-5C749AE9D157}"/>
    <cellStyle name="Comma 2 259 2 2 2 3 3 2 2" xfId="19760" xr:uid="{FC0A22FC-7A3C-488D-B2E8-FF09C500CF0F}"/>
    <cellStyle name="Comma 2 259 2 2 2 3 3 2 2 2" xfId="14843" xr:uid="{736510B3-124C-4C18-8B0F-08FF1BD0937C}"/>
    <cellStyle name="Comma 2 259 2 2 2 3 3 2 2 2 2" xfId="14848" xr:uid="{B202A3BA-8937-447C-8E6C-88A2886BF211}"/>
    <cellStyle name="Comma 2 259 2 2 2 3 3 2 2 3" xfId="14850" xr:uid="{6D61967F-550D-419F-8476-1F6A387599C7}"/>
    <cellStyle name="Comma 2 259 2 2 2 3 3 2 3" xfId="19761" xr:uid="{2CF751D8-FCCA-48E7-9CC7-A4AB8040AD6D}"/>
    <cellStyle name="Comma 2 259 2 2 2 3 3 2 3 2" xfId="14866" xr:uid="{B23D53A0-E5FB-44CD-BD27-D3C017D6143C}"/>
    <cellStyle name="Comma 2 259 2 2 2 3 3 2 4" xfId="19762" xr:uid="{C96F5748-449F-41F3-9D07-DEFC875F889A}"/>
    <cellStyle name="Comma 2 259 2 2 2 3 3 3" xfId="19764" xr:uid="{AA49E181-4723-4CA1-A97B-B5D0D1A29167}"/>
    <cellStyle name="Comma 2 259 2 2 2 3 3 3 2" xfId="19766" xr:uid="{638B1B0D-F925-42B1-82B0-41B8CFA3B486}"/>
    <cellStyle name="Comma 2 259 2 2 2 3 3 3 2 2" xfId="15284" xr:uid="{A10D1D39-C0FD-4301-AD99-76FD6A3C8026}"/>
    <cellStyle name="Comma 2 259 2 2 2 3 3 3 3" xfId="19768" xr:uid="{72BC89F6-A6C7-407C-AD3F-F632C6565C28}"/>
    <cellStyle name="Comma 2 259 2 2 2 3 3 4" xfId="19770" xr:uid="{E8800584-E646-43BD-93AC-42D4D2BD8751}"/>
    <cellStyle name="Comma 2 259 2 2 2 3 3 4 2" xfId="19772" xr:uid="{8C2844CD-BD60-4A27-87F5-9F49902EE657}"/>
    <cellStyle name="Comma 2 259 2 2 2 3 3 5" xfId="19774" xr:uid="{F7E19FBF-1EEE-49E7-BC8A-41BEEF0EDF92}"/>
    <cellStyle name="Comma 2 259 2 2 2 3 4" xfId="17578" xr:uid="{14DEAB35-5E96-4D8D-AF56-76827BA4F6F2}"/>
    <cellStyle name="Comma 2 259 2 2 2 3 4 2" xfId="19775" xr:uid="{E52355E1-6AF9-4241-B3B3-97B5C120F85A}"/>
    <cellStyle name="Comma 2 259 2 2 2 3 4 2 2" xfId="19776" xr:uid="{05300591-B55E-48D7-8CEF-F5BD4426E826}"/>
    <cellStyle name="Comma 2 259 2 2 2 3 4 2 2 2" xfId="19777" xr:uid="{6E5D6236-6B67-4681-AC89-9EC1F1B18B2B}"/>
    <cellStyle name="Comma 2 259 2 2 2 3 4 2 3" xfId="19778" xr:uid="{4DF2DF28-CE00-4748-BF95-EC0BE83EDCC0}"/>
    <cellStyle name="Comma 2 259 2 2 2 3 4 3" xfId="19780" xr:uid="{4B62E292-A8C2-4B85-9240-9D7C74FDBBF7}"/>
    <cellStyle name="Comma 2 259 2 2 2 3 4 3 2" xfId="19782" xr:uid="{F89F6CCB-181A-4708-A576-B2E44F892A79}"/>
    <cellStyle name="Comma 2 259 2 2 2 3 4 4" xfId="19784" xr:uid="{1A065161-BBE9-4DCB-8B32-13B5948EE5AA}"/>
    <cellStyle name="Comma 2 259 2 2 2 3 5" xfId="19785" xr:uid="{8DAF17B4-3C48-430A-9DD2-14BBC7FDA22C}"/>
    <cellStyle name="Comma 2 259 2 2 2 3 5 2" xfId="19789" xr:uid="{2BA1489E-2899-4BD3-8B8D-DE025DD2827C}"/>
    <cellStyle name="Comma 2 259 2 2 2 3 5 2 2" xfId="15719" xr:uid="{70CBBCDC-455C-47C3-8DBB-3631213386A1}"/>
    <cellStyle name="Comma 2 259 2 2 2 3 5 3" xfId="19791" xr:uid="{1FA5188C-7F31-425E-A80D-D692BB1419DC}"/>
    <cellStyle name="Comma 2 259 2 2 2 3 6" xfId="19794" xr:uid="{74567827-3B44-4997-B270-5B497533FC02}"/>
    <cellStyle name="Comma 2 259 2 2 2 3 6 2" xfId="19795" xr:uid="{7D673BAE-D552-460F-BB7B-285E05471474}"/>
    <cellStyle name="Comma 2 259 2 2 2 3 7" xfId="19798" xr:uid="{E12E5E9B-833F-4BEA-91C8-E3F7963FC7BE}"/>
    <cellStyle name="Comma 2 259 2 2 2 3 8" xfId="19802" xr:uid="{A2A81949-EC28-4622-BFC9-65224601AC19}"/>
    <cellStyle name="Comma 2 259 2 2 2 4" xfId="19803" xr:uid="{F245F953-0747-48E2-9104-21A29B0F9E74}"/>
    <cellStyle name="Comma 2 259 2 2 2 4 2" xfId="17589" xr:uid="{D04EB08C-20DA-48BC-9852-4321C448DF88}"/>
    <cellStyle name="Comma 2 259 2 2 2 4 2 2" xfId="19807" xr:uid="{C4B8B2E5-AB61-4CA5-82C7-C424FA825492}"/>
    <cellStyle name="Comma 2 259 2 2 2 4 2 2 2" xfId="19808" xr:uid="{376729B4-A525-4411-BD4B-B87BF2884CAF}"/>
    <cellStyle name="Comma 2 259 2 2 2 4 2 2 2 2" xfId="19809" xr:uid="{A51C15CD-A3E7-4A3A-8692-9451AFEA53F3}"/>
    <cellStyle name="Comma 2 259 2 2 2 4 2 2 2 2 2" xfId="1985" xr:uid="{4AFCED73-8012-4730-96EA-DF18DF3C3653}"/>
    <cellStyle name="Comma 2 259 2 2 2 4 2 2 2 3" xfId="19810" xr:uid="{C85A5DA7-BD58-45BA-AA51-480D24A2F37F}"/>
    <cellStyle name="Comma 2 259 2 2 2 4 2 2 3" xfId="19811" xr:uid="{712CE769-7DEE-4E7D-927C-174F21536136}"/>
    <cellStyle name="Comma 2 259 2 2 2 4 2 2 3 2" xfId="19812" xr:uid="{3B0C0A31-B352-44C4-86CE-3AC4F2CFE5BE}"/>
    <cellStyle name="Comma 2 259 2 2 2 4 2 2 4" xfId="19813" xr:uid="{19BB1A56-DFBC-46F0-B6D0-31D8D7E5D873}"/>
    <cellStyle name="Comma 2 259 2 2 2 4 2 3" xfId="19816" xr:uid="{67DBD4B6-D166-4379-837A-F130F880B2CC}"/>
    <cellStyle name="Comma 2 259 2 2 2 4 2 3 2" xfId="19817" xr:uid="{0DED3566-2005-4233-920F-8DA94713A0A8}"/>
    <cellStyle name="Comma 2 259 2 2 2 4 2 3 2 2" xfId="19819" xr:uid="{89D8EE1D-0262-4E84-9231-6FACBAD3E6D4}"/>
    <cellStyle name="Comma 2 259 2 2 2 4 2 3 3" xfId="19820" xr:uid="{D9EE91A6-065B-4E29-BEB4-55883761A576}"/>
    <cellStyle name="Comma 2 259 2 2 2 4 2 4" xfId="19822" xr:uid="{D6AD0B7C-B3B2-4BEC-A270-9FADE395F247}"/>
    <cellStyle name="Comma 2 259 2 2 2 4 2 4 2" xfId="19823" xr:uid="{D2E45D44-D106-42C6-B039-BB0EB6DD1EEB}"/>
    <cellStyle name="Comma 2 259 2 2 2 4 2 5" xfId="19825" xr:uid="{1439BD60-3C26-413C-A359-0253FFD08F12}"/>
    <cellStyle name="Comma 2 259 2 2 2 4 3" xfId="19826" xr:uid="{742442DA-5FC3-4854-A84C-F4026402CE21}"/>
    <cellStyle name="Comma 2 259 2 2 2 4 3 2" xfId="19827" xr:uid="{564E0E4D-20A1-40CF-BF1A-2581AA109C35}"/>
    <cellStyle name="Comma 2 259 2 2 2 4 3 2 2" xfId="19828" xr:uid="{9AA3ABCF-FC9F-4357-BCDB-D10719B074AE}"/>
    <cellStyle name="Comma 2 259 2 2 2 4 3 2 2 2" xfId="19829" xr:uid="{02ACA78B-F934-4BB6-9F05-F92F34B00275}"/>
    <cellStyle name="Comma 2 259 2 2 2 4 3 2 3" xfId="19830" xr:uid="{6010E177-E607-4ABE-A71E-26BE5A163FF1}"/>
    <cellStyle name="Comma 2 259 2 2 2 4 3 3" xfId="751" xr:uid="{B1CFF04F-D1D2-46A7-AC18-0C305D321BEB}"/>
    <cellStyle name="Comma 2 259 2 2 2 4 3 3 2" xfId="19832" xr:uid="{8DAC35A6-F4E9-4E69-A120-37E8B178145D}"/>
    <cellStyle name="Comma 2 259 2 2 2 4 3 4" xfId="19834" xr:uid="{C4C17856-923D-4ED6-812E-FEEBE558E2CD}"/>
    <cellStyle name="Comma 2 259 2 2 2 4 4" xfId="19835" xr:uid="{B1571B7B-B113-42F3-8DE7-82D14579852E}"/>
    <cellStyle name="Comma 2 259 2 2 2 4 4 2" xfId="19836" xr:uid="{9D4E5E6C-0A86-4464-B415-A8D99667FD80}"/>
    <cellStyle name="Comma 2 259 2 2 2 4 4 2 2" xfId="19837" xr:uid="{304785E2-F19B-4BBA-BA84-9AF5B87163E9}"/>
    <cellStyle name="Comma 2 259 2 2 2 4 4 3" xfId="19839" xr:uid="{FB4AD370-5CC5-4AF9-9772-6FB189629928}"/>
    <cellStyle name="Comma 2 259 2 2 2 4 5" xfId="19840" xr:uid="{78FA4DF0-9846-43AA-9BCF-5AA4FF8A5452}"/>
    <cellStyle name="Comma 2 259 2 2 2 4 5 2" xfId="19841" xr:uid="{EC65D9C9-99CE-44A8-9C17-9EC2C19A9F41}"/>
    <cellStyle name="Comma 2 259 2 2 2 4 6" xfId="19842" xr:uid="{58D5AE05-3D3F-4ECE-9A7D-3519774C15DE}"/>
    <cellStyle name="Comma 2 259 2 2 2 4 7" xfId="19843" xr:uid="{D0B555C4-ADD7-4105-8957-A95636FADFFB}"/>
    <cellStyle name="Comma 2 259 2 2 2 5" xfId="19844" xr:uid="{869864B9-22B4-4FDD-A85C-FAE26F458931}"/>
    <cellStyle name="Comma 2 259 2 2 2 5 2" xfId="17599" xr:uid="{3C036202-67C8-4C04-BD55-CABCC7A8BA50}"/>
    <cellStyle name="Comma 2 259 2 2 2 5 2 2" xfId="19845" xr:uid="{5D3CC43B-625A-419D-9C0B-CA9EAE561819}"/>
    <cellStyle name="Comma 2 259 2 2 2 5 2 2 2" xfId="19846" xr:uid="{8810C0B8-1DAB-47A1-B57B-2D525F60305D}"/>
    <cellStyle name="Comma 2 259 2 2 2 5 2 2 2 2" xfId="19847" xr:uid="{DB517600-5CAF-4CDB-8244-0BBA9F96A33E}"/>
    <cellStyle name="Comma 2 259 2 2 2 5 2 2 3" xfId="19848" xr:uid="{69BEB942-378D-4034-82B1-540B0BFE6F9A}"/>
    <cellStyle name="Comma 2 259 2 2 2 5 2 3" xfId="19849" xr:uid="{9FB8FB45-2724-4805-A53B-C726DB27B2D0}"/>
    <cellStyle name="Comma 2 259 2 2 2 5 2 3 2" xfId="19850" xr:uid="{D8910F1C-22AB-4042-8915-FF7F7DFA3CC6}"/>
    <cellStyle name="Comma 2 259 2 2 2 5 2 4" xfId="19851" xr:uid="{A7C26FD5-D439-47FA-A8AD-2520129407C9}"/>
    <cellStyle name="Comma 2 259 2 2 2 5 3" xfId="17601" xr:uid="{1D44B668-159B-4524-87A2-506DD958B2DD}"/>
    <cellStyle name="Comma 2 259 2 2 2 5 3 2" xfId="19852" xr:uid="{994225CD-77B6-4400-A954-DB225BADCF99}"/>
    <cellStyle name="Comma 2 259 2 2 2 5 3 2 2" xfId="19853" xr:uid="{F772EAEA-0645-42E5-B60F-D81D56C0C557}"/>
    <cellStyle name="Comma 2 259 2 2 2 5 3 3" xfId="19855" xr:uid="{CC8F2C41-5B49-4685-8FB0-A5FB941C639B}"/>
    <cellStyle name="Comma 2 259 2 2 2 5 4" xfId="19856" xr:uid="{36668A92-BC9D-4CF0-86E0-B9EE3AEA837E}"/>
    <cellStyle name="Comma 2 259 2 2 2 5 4 2" xfId="19857" xr:uid="{EA53F1B6-5CA2-4C2B-A681-D7F1CE8FA130}"/>
    <cellStyle name="Comma 2 259 2 2 2 5 5" xfId="19858" xr:uid="{66FD00EE-5F6A-4B56-B49D-B398F457F164}"/>
    <cellStyle name="Comma 2 259 2 2 2 6" xfId="19860" xr:uid="{91D6866A-0DF4-4B92-93E6-A48FD419740A}"/>
    <cellStyle name="Comma 2 259 2 2 2 6 2" xfId="17622" xr:uid="{E885496D-8A68-40B3-ABA2-8BAD240D4E6B}"/>
    <cellStyle name="Comma 2 259 2 2 2 6 2 2" xfId="19861" xr:uid="{139C149A-39B0-4DD3-ACEA-60051EA828EE}"/>
    <cellStyle name="Comma 2 259 2 2 2 6 2 2 2" xfId="19862" xr:uid="{2A00D045-E554-45E5-9D9F-291D55A548AB}"/>
    <cellStyle name="Comma 2 259 2 2 2 6 2 3" xfId="19863" xr:uid="{48B7A2E4-1BC6-44E7-8D3B-C1D937C845E7}"/>
    <cellStyle name="Comma 2 259 2 2 2 6 3" xfId="19864" xr:uid="{0E6B17DC-CCF1-478D-95F9-609516CC6FD0}"/>
    <cellStyle name="Comma 2 259 2 2 2 6 3 2" xfId="19865" xr:uid="{332CFCC0-F71C-4E23-A195-73594BBA033D}"/>
    <cellStyle name="Comma 2 259 2 2 2 6 4" xfId="19868" xr:uid="{874257BE-B70A-4EE9-9C69-7AFBB1D43D2A}"/>
    <cellStyle name="Comma 2 259 2 2 2 7" xfId="19869" xr:uid="{E538AFA1-B418-4ACD-9801-D582396AF106}"/>
    <cellStyle name="Comma 2 259 2 2 2 7 2" xfId="17636" xr:uid="{71C602FB-6995-48DA-880C-AB972FCE0408}"/>
    <cellStyle name="Comma 2 259 2 2 2 7 2 2" xfId="19870" xr:uid="{6968E0FF-7691-49C9-93DD-5FA3517E0D97}"/>
    <cellStyle name="Comma 2 259 2 2 2 7 3" xfId="19873" xr:uid="{7CA062C1-4CF7-456C-BFAB-D5EBDCE9846B}"/>
    <cellStyle name="Comma 2 259 2 2 2 8" xfId="19874" xr:uid="{CC53C344-828B-4EDD-B505-C0A63A7EDA7D}"/>
    <cellStyle name="Comma 2 259 2 2 2 8 2" xfId="17650" xr:uid="{C5C7E490-5C74-43E6-B347-E391D04944C4}"/>
    <cellStyle name="Comma 2 259 2 2 2 9" xfId="19875" xr:uid="{8B0D14E5-78D8-4469-A88D-2C755E7B40B4}"/>
    <cellStyle name="Comma 2 259 2 2 3" xfId="12606" xr:uid="{D580DD25-82B4-4D0D-B1E5-BC3C03F77179}"/>
    <cellStyle name="Comma 2 259 2 2 3 2" xfId="19878" xr:uid="{309F96F7-10EE-4B3F-90FC-50A5458F3019}"/>
    <cellStyle name="Comma 2 259 2 2 3 2 2" xfId="19882" xr:uid="{12631698-D626-499A-A28E-6121E87E5876}"/>
    <cellStyle name="Comma 2 259 2 2 3 2 2 2" xfId="12458" xr:uid="{FA01AD4E-8706-4FD5-A304-02CF6F18DAC3}"/>
    <cellStyle name="Comma 2 259 2 2 3 2 2 2 2" xfId="19886" xr:uid="{58FE2D30-D44B-44D2-9638-0E90C5096AE1}"/>
    <cellStyle name="Comma 2 259 2 2 3 2 2 2 2 2" xfId="19887" xr:uid="{AC05EB68-F142-4487-980C-6F88240CB875}"/>
    <cellStyle name="Comma 2 259 2 2 3 2 2 2 2 2 2" xfId="19888" xr:uid="{BCD4F244-1E1D-4795-9BD9-CAABCEBAC110}"/>
    <cellStyle name="Comma 2 259 2 2 3 2 2 2 2 2 2 2" xfId="19889" xr:uid="{CF2C3501-A1F6-41C9-9BA8-15533377345B}"/>
    <cellStyle name="Comma 2 259 2 2 3 2 2 2 2 2 3" xfId="19890" xr:uid="{AA4845EA-1F3D-4F32-9C62-C2B4621E2916}"/>
    <cellStyle name="Comma 2 259 2 2 3 2 2 2 2 3" xfId="19896" xr:uid="{5DCF0ADB-66A4-49C2-B846-38D0717B9734}"/>
    <cellStyle name="Comma 2 259 2 2 3 2 2 2 2 3 2" xfId="19902" xr:uid="{29D04EDC-7514-412F-ADDA-D5E16F635E17}"/>
    <cellStyle name="Comma 2 259 2 2 3 2 2 2 2 4" xfId="19908" xr:uid="{8A032265-C402-4FA0-A30F-260E8006F521}"/>
    <cellStyle name="Comma 2 259 2 2 3 2 2 2 3" xfId="19909" xr:uid="{D91CFE9F-D02A-432A-BC93-A97D30E09941}"/>
    <cellStyle name="Comma 2 259 2 2 3 2 2 2 3 2" xfId="19910" xr:uid="{7E593DB7-44CD-4899-B334-602ECD3042D0}"/>
    <cellStyle name="Comma 2 259 2 2 3 2 2 2 3 2 2" xfId="19911" xr:uid="{BCA319A9-7BC3-4485-BA68-B340B69F7BA4}"/>
    <cellStyle name="Comma 2 259 2 2 3 2 2 2 3 3" xfId="19917" xr:uid="{2CB07320-E8CE-43EB-A7E4-01298E467CC7}"/>
    <cellStyle name="Comma 2 259 2 2 3 2 2 2 4" xfId="19918" xr:uid="{311002D7-2B12-41E3-B731-4E129D450E86}"/>
    <cellStyle name="Comma 2 259 2 2 3 2 2 2 4 2" xfId="19919" xr:uid="{9B014464-A732-4101-838B-6299B339DCC9}"/>
    <cellStyle name="Comma 2 259 2 2 3 2 2 2 5" xfId="19920" xr:uid="{A5E83611-C18C-4813-87D8-4C05F0F939A3}"/>
    <cellStyle name="Comma 2 259 2 2 3 2 2 3" xfId="2411" xr:uid="{8D38F509-4513-45B9-9E7E-D8D29D7953F3}"/>
    <cellStyle name="Comma 2 259 2 2 3 2 2 3 2" xfId="19921" xr:uid="{E0FF778E-3C3B-4399-B1D9-323CE8832601}"/>
    <cellStyle name="Comma 2 259 2 2 3 2 2 3 2 2" xfId="19922" xr:uid="{999F5FF7-9567-40E4-BDA9-EDEF1FC8046E}"/>
    <cellStyle name="Comma 2 259 2 2 3 2 2 3 2 2 2" xfId="19923" xr:uid="{2CCE90C9-1683-4827-BB10-8BD2B0E8953C}"/>
    <cellStyle name="Comma 2 259 2 2 3 2 2 3 2 3" xfId="19925" xr:uid="{39EB4B75-BB24-4B76-B225-E898C10A5971}"/>
    <cellStyle name="Comma 2 259 2 2 3 2 2 3 3" xfId="19926" xr:uid="{0D333F2E-9062-4498-815C-F38BB2C07950}"/>
    <cellStyle name="Comma 2 259 2 2 3 2 2 3 3 2" xfId="19927" xr:uid="{BEF3424F-C21F-418D-A180-618E43C0B1E5}"/>
    <cellStyle name="Comma 2 259 2 2 3 2 2 3 4" xfId="19928" xr:uid="{32877B29-48F8-46EE-85C5-7A545ED276DB}"/>
    <cellStyle name="Comma 2 259 2 2 3 2 2 4" xfId="19929" xr:uid="{3F20F53E-F104-4D06-A031-F01090A5D256}"/>
    <cellStyle name="Comma 2 259 2 2 3 2 2 4 2" xfId="19932" xr:uid="{B49BAFBF-1DBA-4DAB-83B4-83FA774B36EA}"/>
    <cellStyle name="Comma 2 259 2 2 3 2 2 4 2 2" xfId="19935" xr:uid="{B3991A17-24A5-45D0-A386-3643C7F935AA}"/>
    <cellStyle name="Comma 2 259 2 2 3 2 2 4 3" xfId="19938" xr:uid="{ED81B005-9783-4CB2-AEAD-BF14A121109D}"/>
    <cellStyle name="Comma 2 259 2 2 3 2 2 5" xfId="2559" xr:uid="{9D300C72-A168-4421-923E-B0D9C64166E1}"/>
    <cellStyle name="Comma 2 259 2 2 3 2 2 5 2" xfId="2568" xr:uid="{0BBBBBCE-AE24-4786-A22E-BABC728F3B2A}"/>
    <cellStyle name="Comma 2 259 2 2 3 2 2 6" xfId="2754" xr:uid="{A318F91C-6F78-4816-AC36-4FEC24859D3B}"/>
    <cellStyle name="Comma 2 259 2 2 3 2 2 7" xfId="6481" xr:uid="{BEE6F434-161F-4E32-B059-1E9FE4E94F24}"/>
    <cellStyle name="Comma 2 259 2 2 3 2 3" xfId="19942" xr:uid="{C96CBE84-9DB7-400D-8A60-2DEC5FBDE6D6}"/>
    <cellStyle name="Comma 2 259 2 2 3 2 3 2" xfId="19944" xr:uid="{766092C0-21EA-4FC2-B4A5-20A6166F61AD}"/>
    <cellStyle name="Comma 2 259 2 2 3 2 3 2 2" xfId="19945" xr:uid="{6F626350-1332-4F2A-9C13-A98D6A6A28F8}"/>
    <cellStyle name="Comma 2 259 2 2 3 2 3 2 2 2" xfId="19946" xr:uid="{5A3814CE-4FBD-4D75-AA13-3DCB66A4D863}"/>
    <cellStyle name="Comma 2 259 2 2 3 2 3 2 2 2 2" xfId="8664" xr:uid="{5A804532-8807-48C7-9C01-B22FD45AE7F8}"/>
    <cellStyle name="Comma 2 259 2 2 3 2 3 2 2 3" xfId="19948" xr:uid="{1AE7B933-2134-4979-A313-098A8414FFB5}"/>
    <cellStyle name="Comma 2 259 2 2 3 2 3 2 3" xfId="19949" xr:uid="{94C1A2BF-E2A3-4700-AC69-85B162EA7B07}"/>
    <cellStyle name="Comma 2 259 2 2 3 2 3 2 3 2" xfId="19950" xr:uid="{545EBE9B-0317-4263-ABBA-60268E83FAB7}"/>
    <cellStyle name="Comma 2 259 2 2 3 2 3 2 4" xfId="19951" xr:uid="{9EF5E5D4-FBF9-48BC-9EA8-4909CCDA3D91}"/>
    <cellStyle name="Comma 2 259 2 2 3 2 3 3" xfId="12619" xr:uid="{6CC12F10-ADAD-4B88-AA14-5193A1DCEF8B}"/>
    <cellStyle name="Comma 2 259 2 2 3 2 3 3 2" xfId="19954" xr:uid="{4C7FDDAB-6BE3-4572-B244-EF9914935209}"/>
    <cellStyle name="Comma 2 259 2 2 3 2 3 3 2 2" xfId="19957" xr:uid="{6C35E9E5-19F7-4E8C-8E14-5FF35CC5B9FD}"/>
    <cellStyle name="Comma 2 259 2 2 3 2 3 3 3" xfId="19960" xr:uid="{5627A7D2-031A-430C-8203-D7F0E35EAF90}"/>
    <cellStyle name="Comma 2 259 2 2 3 2 3 4" xfId="19963" xr:uid="{CE056E84-C894-4021-9C29-31E2B89CBE6B}"/>
    <cellStyle name="Comma 2 259 2 2 3 2 3 4 2" xfId="19968" xr:uid="{372A3B99-4248-43AB-A066-818B46E05F41}"/>
    <cellStyle name="Comma 2 259 2 2 3 2 3 5" xfId="7594" xr:uid="{FE8A4AAD-4A36-497B-B501-966CF3F2AC74}"/>
    <cellStyle name="Comma 2 259 2 2 3 2 4" xfId="19970" xr:uid="{45F1DA60-2BD4-4CA8-BB9E-61235C2F6E51}"/>
    <cellStyle name="Comma 2 259 2 2 3 2 4 2" xfId="19971" xr:uid="{1C084FD2-5DD3-40B6-95F5-469BF748A9EA}"/>
    <cellStyle name="Comma 2 259 2 2 3 2 4 2 2" xfId="19972" xr:uid="{8A2735B3-4F61-4AA7-9D82-2375DB4628A9}"/>
    <cellStyle name="Comma 2 259 2 2 3 2 4 2 2 2" xfId="19973" xr:uid="{483602A9-675B-465F-9669-9CA072309796}"/>
    <cellStyle name="Comma 2 259 2 2 3 2 4 2 3" xfId="19974" xr:uid="{680777FC-5B08-4512-9142-80B229DE7C0C}"/>
    <cellStyle name="Comma 2 259 2 2 3 2 4 3" xfId="19977" xr:uid="{613E2377-395C-4F5F-9A96-EFC337EA87D2}"/>
    <cellStyle name="Comma 2 259 2 2 3 2 4 3 2" xfId="19980" xr:uid="{CC16CCCF-23A6-4F7D-A47D-6F0DC5EF11D6}"/>
    <cellStyle name="Comma 2 259 2 2 3 2 4 4" xfId="19983" xr:uid="{AEDF259A-093D-482C-9B0F-D0366644A2AB}"/>
    <cellStyle name="Comma 2 259 2 2 3 2 5" xfId="19984" xr:uid="{40E30EFC-0774-4152-9BA2-A406E004C9FB}"/>
    <cellStyle name="Comma 2 259 2 2 3 2 5 2" xfId="19986" xr:uid="{7A68FACE-094D-4900-B0E4-117E04D4212D}"/>
    <cellStyle name="Comma 2 259 2 2 3 2 5 2 2" xfId="19987" xr:uid="{455ABD94-12CF-428A-9D7E-FA6D700E3EA6}"/>
    <cellStyle name="Comma 2 259 2 2 3 2 5 3" xfId="19990" xr:uid="{01FA120A-3144-41B2-AD59-119696B4B3DA}"/>
    <cellStyle name="Comma 2 259 2 2 3 2 6" xfId="19991" xr:uid="{5FB58262-3C31-42A3-A4C5-1729F9307AD7}"/>
    <cellStyle name="Comma 2 259 2 2 3 2 6 2" xfId="19992" xr:uid="{3E66FC12-7E59-4336-A896-C0F963692144}"/>
    <cellStyle name="Comma 2 259 2 2 3 2 7" xfId="19993" xr:uid="{535560A4-2206-4EF2-9EE9-1B41481AA6D3}"/>
    <cellStyle name="Comma 2 259 2 2 3 2 8" xfId="19995" xr:uid="{12E82A01-469E-486D-94A3-97E512E712CE}"/>
    <cellStyle name="Comma 2 259 2 2 3 3" xfId="19998" xr:uid="{C3FB06C7-FAAB-4EFE-8513-486126CD880F}"/>
    <cellStyle name="Comma 2 259 2 2 3 3 2" xfId="20002" xr:uid="{FE59B9BD-F648-4C82-B48F-9A07B57938BC}"/>
    <cellStyle name="Comma 2 259 2 2 3 3 2 2" xfId="20005" xr:uid="{68745031-682F-49A1-BA19-C61D9040337E}"/>
    <cellStyle name="Comma 2 259 2 2 3 3 2 2 2" xfId="20006" xr:uid="{058BA097-4727-4336-B6D0-71B6E2E273A8}"/>
    <cellStyle name="Comma 2 259 2 2 3 3 2 2 2 2" xfId="20007" xr:uid="{C59C0407-FDC8-4E10-BE80-6B9537E91852}"/>
    <cellStyle name="Comma 2 259 2 2 3 3 2 2 2 2 2" xfId="20008" xr:uid="{BA4F8761-59E6-480A-BAB2-4BAB6AB6F1DC}"/>
    <cellStyle name="Comma 2 259 2 2 3 3 2 2 2 3" xfId="20010" xr:uid="{073D1FC2-ECB3-4943-A838-418AD245249B}"/>
    <cellStyle name="Comma 2 259 2 2 3 3 2 2 3" xfId="20011" xr:uid="{DEF21602-31A6-40CB-9E1C-A78DCA8A50B0}"/>
    <cellStyle name="Comma 2 259 2 2 3 3 2 2 3 2" xfId="20012" xr:uid="{50380F8E-365F-4747-8D08-551F9C7EEBDF}"/>
    <cellStyle name="Comma 2 259 2 2 3 3 2 2 4" xfId="20013" xr:uid="{F57BB848-E0BD-4AE8-89DE-C7E3B1E6D5EE}"/>
    <cellStyle name="Comma 2 259 2 2 3 3 2 3" xfId="14669" xr:uid="{99ACBFAA-55A9-48BC-AD5D-2BE673F7A99D}"/>
    <cellStyle name="Comma 2 259 2 2 3 3 2 3 2" xfId="20014" xr:uid="{EFB4A9C4-F8AF-4162-9CCC-83CA432B00FE}"/>
    <cellStyle name="Comma 2 259 2 2 3 3 2 3 2 2" xfId="20017" xr:uid="{BC875EB3-9A97-424D-B195-41853FADB77F}"/>
    <cellStyle name="Comma 2 259 2 2 3 3 2 3 3" xfId="20018" xr:uid="{1CFA0C47-C0A1-457A-B5CB-E0AD48CA7FF8}"/>
    <cellStyle name="Comma 2 259 2 2 3 3 2 4" xfId="20019" xr:uid="{2CCA5543-65D2-40C4-A96F-5E95ECC94790}"/>
    <cellStyle name="Comma 2 259 2 2 3 3 2 4 2" xfId="20022" xr:uid="{A63D1509-AE29-4E99-819D-4516A5A03B41}"/>
    <cellStyle name="Comma 2 259 2 2 3 3 2 5" xfId="7805" xr:uid="{300DDFCA-88F1-4D4E-B8E8-44122004B25E}"/>
    <cellStyle name="Comma 2 259 2 2 3 3 3" xfId="20024" xr:uid="{6FCB84EE-BB31-4307-A7F1-23ED76BCB2E8}"/>
    <cellStyle name="Comma 2 259 2 2 3 3 3 2" xfId="20025" xr:uid="{97CF01AE-90EE-4EF7-B15D-DE39B0F5C711}"/>
    <cellStyle name="Comma 2 259 2 2 3 3 3 2 2" xfId="20026" xr:uid="{4A5FC0E0-D985-45B5-BF57-C5014CF1316D}"/>
    <cellStyle name="Comma 2 259 2 2 3 3 3 2 2 2" xfId="20028" xr:uid="{5175B8DD-92A9-469F-B4D4-D1C7665A5011}"/>
    <cellStyle name="Comma 2 259 2 2 3 3 3 2 3" xfId="20030" xr:uid="{800D1F5F-DB14-49C3-AEB5-E0B7A4C631F1}"/>
    <cellStyle name="Comma 2 259 2 2 3 3 3 3" xfId="20034" xr:uid="{A372F83C-F45F-40C1-80D5-750C2025BE1D}"/>
    <cellStyle name="Comma 2 259 2 2 3 3 3 3 2" xfId="20037" xr:uid="{C1FA1A6F-CB89-43DB-87AB-77F01E816493}"/>
    <cellStyle name="Comma 2 259 2 2 3 3 3 4" xfId="20040" xr:uid="{B629B0A0-2CC0-4B46-9D81-A469D20A26F1}"/>
    <cellStyle name="Comma 2 259 2 2 3 3 4" xfId="16621" xr:uid="{B9DA8332-7565-4899-A956-FAF7CF2EF990}"/>
    <cellStyle name="Comma 2 259 2 2 3 3 4 2" xfId="20041" xr:uid="{DE3D9347-2F25-4861-A320-227458A9927F}"/>
    <cellStyle name="Comma 2 259 2 2 3 3 4 2 2" xfId="20042" xr:uid="{AC042CE2-25D7-44B8-BEE5-A5AF35370E10}"/>
    <cellStyle name="Comma 2 259 2 2 3 3 4 3" xfId="20045" xr:uid="{202E6178-F8FC-4505-B9A1-73500DAD8CEC}"/>
    <cellStyle name="Comma 2 259 2 2 3 3 5" xfId="20046" xr:uid="{594C9EE5-AEF4-4DFD-BFAA-31ADBEEAD410}"/>
    <cellStyle name="Comma 2 259 2 2 3 3 5 2" xfId="20047" xr:uid="{E1A0FB22-459D-4778-A082-96409EF078ED}"/>
    <cellStyle name="Comma 2 259 2 2 3 3 6" xfId="20048" xr:uid="{6C539E0A-8858-480E-9004-00FD67ACB88B}"/>
    <cellStyle name="Comma 2 259 2 2 3 3 7" xfId="20049" xr:uid="{8A5B3A35-2947-4ECA-974E-AFB5C1F4F2DC}"/>
    <cellStyle name="Comma 2 259 2 2 3 4" xfId="20052" xr:uid="{1DF6848E-6531-410D-B19C-AF0C1AA2C6F9}"/>
    <cellStyle name="Comma 2 259 2 2 3 4 2" xfId="20054" xr:uid="{E22930DB-58DF-46E1-A8E3-B8808CC58D6E}"/>
    <cellStyle name="Comma 2 259 2 2 3 4 2 2" xfId="20055" xr:uid="{C910B392-8974-4C09-8A7E-2CE3470A5713}"/>
    <cellStyle name="Comma 2 259 2 2 3 4 2 2 2" xfId="20056" xr:uid="{487B599A-AEDC-4569-BF25-74E8DDAB770C}"/>
    <cellStyle name="Comma 2 259 2 2 3 4 2 2 2 2" xfId="20057" xr:uid="{02A8C242-72C2-432D-8D60-AB85F2B07B1E}"/>
    <cellStyle name="Comma 2 259 2 2 3 4 2 2 3" xfId="20059" xr:uid="{9AFCACCE-8869-4A76-8743-C20578F3A300}"/>
    <cellStyle name="Comma 2 259 2 2 3 4 2 3" xfId="20060" xr:uid="{BB408A50-FB30-4CDB-B24B-C2A7339F3B96}"/>
    <cellStyle name="Comma 2 259 2 2 3 4 2 3 2" xfId="20061" xr:uid="{9B20DCDB-9258-40C2-BA2C-D19875A3281A}"/>
    <cellStyle name="Comma 2 259 2 2 3 4 2 4" xfId="20063" xr:uid="{37437051-8590-4932-AC79-D20B9434BB78}"/>
    <cellStyle name="Comma 2 259 2 2 3 4 3" xfId="20064" xr:uid="{A7FE7DA4-2DC9-44C2-B89E-94A232CB1886}"/>
    <cellStyle name="Comma 2 259 2 2 3 4 3 2" xfId="20065" xr:uid="{A3136A59-B9C5-44F1-A061-255A348574E3}"/>
    <cellStyle name="Comma 2 259 2 2 3 4 3 2 2" xfId="20066" xr:uid="{19026CD9-1696-48FA-8F45-FB2C5AE35B68}"/>
    <cellStyle name="Comma 2 259 2 2 3 4 3 3" xfId="20069" xr:uid="{26A5351D-1922-4116-BB62-24C19BC9DB5E}"/>
    <cellStyle name="Comma 2 259 2 2 3 4 4" xfId="20070" xr:uid="{A35A7BAA-62F2-4303-A1BA-F070243E2B0D}"/>
    <cellStyle name="Comma 2 259 2 2 3 4 4 2" xfId="20071" xr:uid="{8C58A568-05A3-4F76-8B6A-DB7F7A95B3B9}"/>
    <cellStyle name="Comma 2 259 2 2 3 4 5" xfId="20072" xr:uid="{7F78D473-6E4C-40C7-9172-1B313D32D541}"/>
    <cellStyle name="Comma 2 259 2 2 3 5" xfId="20075" xr:uid="{5B63F9ED-D44B-4B1C-B66D-DE35EDC42E70}"/>
    <cellStyle name="Comma 2 259 2 2 3 5 2" xfId="20076" xr:uid="{D310362C-1937-42F0-9202-48DD89D391DF}"/>
    <cellStyle name="Comma 2 259 2 2 3 5 2 2" xfId="20078" xr:uid="{44198C3F-EA7B-40AA-A6C3-0DF54CB11D3B}"/>
    <cellStyle name="Comma 2 259 2 2 3 5 2 2 2" xfId="20079" xr:uid="{AA8AD32C-64FF-4D1B-AC79-A13A43BA89B5}"/>
    <cellStyle name="Comma 2 259 2 2 3 5 2 3" xfId="20083" xr:uid="{BB4E747A-0467-43CB-B226-5182B84B6D1D}"/>
    <cellStyle name="Comma 2 259 2 2 3 5 3" xfId="20084" xr:uid="{17164B73-46BE-4C06-A336-952392CA72E2}"/>
    <cellStyle name="Comma 2 259 2 2 3 5 3 2" xfId="20085" xr:uid="{42DB54FC-FFA3-4F1B-B281-9E3352A8D3E5}"/>
    <cellStyle name="Comma 2 259 2 2 3 5 4" xfId="20086" xr:uid="{F524DA96-78E8-40B5-8521-96F09F6F5882}"/>
    <cellStyle name="Comma 2 259 2 2 3 6" xfId="20090" xr:uid="{B01167EC-40A6-4616-99A1-224993B2CCFF}"/>
    <cellStyle name="Comma 2 259 2 2 3 6 2" xfId="20092" xr:uid="{BB20CAD6-35DA-43C0-BF29-200D6C53CE86}"/>
    <cellStyle name="Comma 2 259 2 2 3 6 2 2" xfId="20094" xr:uid="{C0924C26-7427-4372-B2D0-874CD5BBC61B}"/>
    <cellStyle name="Comma 2 259 2 2 3 6 3" xfId="20096" xr:uid="{D9B7BE7C-000D-46A8-8C86-67F6A847F1BE}"/>
    <cellStyle name="Comma 2 259 2 2 3 7" xfId="20099" xr:uid="{FD8F3FAC-E51E-4122-9306-8B186A00B1A8}"/>
    <cellStyle name="Comma 2 259 2 2 3 7 2" xfId="20100" xr:uid="{D5B6D4EB-E27D-4C43-BE30-78E55585E449}"/>
    <cellStyle name="Comma 2 259 2 2 3 8" xfId="20103" xr:uid="{E3584090-1264-432B-BD44-B6371479C70C}"/>
    <cellStyle name="Comma 2 259 2 2 3 9" xfId="20104" xr:uid="{5EDC7A6F-B2E9-49F5-B34D-09CC31D90EB2}"/>
    <cellStyle name="Comma 2 259 2 2 4" xfId="20105" xr:uid="{C827EE5B-12A5-42A3-AB7B-FBB052869A50}"/>
    <cellStyle name="Comma 2 259 2 2 4 2" xfId="20109" xr:uid="{2F7680F7-D059-4726-89C7-E090E89D01E1}"/>
    <cellStyle name="Comma 2 259 2 2 4 2 2" xfId="20113" xr:uid="{F1C07376-9966-48BB-AD42-1E2C28044960}"/>
    <cellStyle name="Comma 2 259 2 2 4 2 2 2" xfId="10536" xr:uid="{42B65651-29C9-47CD-8938-6977CD5E734C}"/>
    <cellStyle name="Comma 2 259 2 2 4 2 2 2 2" xfId="10538" xr:uid="{2E9F0A64-50BB-4E60-92E6-6026C77BC054}"/>
    <cellStyle name="Comma 2 259 2 2 4 2 2 2 2 2" xfId="20114" xr:uid="{CFC6A19A-C49C-4C54-81C4-2C3A37EF658E}"/>
    <cellStyle name="Comma 2 259 2 2 4 2 2 2 2 2 2" xfId="19859" xr:uid="{9ABBE818-87F5-4D24-8FAD-2ECCA0841A06}"/>
    <cellStyle name="Comma 2 259 2 2 4 2 2 2 2 3" xfId="20117" xr:uid="{12446FC0-D669-49D3-840E-D148BA938DB2}"/>
    <cellStyle name="Comma 2 259 2 2 4 2 2 2 3" xfId="20118" xr:uid="{DFC4C21F-3D47-45F0-9068-8CCF755AE5B3}"/>
    <cellStyle name="Comma 2 259 2 2 4 2 2 2 3 2" xfId="20119" xr:uid="{A354245A-CD55-4071-BE92-7E689CCCD4D0}"/>
    <cellStyle name="Comma 2 259 2 2 4 2 2 2 4" xfId="20120" xr:uid="{F5BD3B99-5A2D-4D80-A1A0-E3707C8712C0}"/>
    <cellStyle name="Comma 2 259 2 2 4 2 2 3" xfId="1106" xr:uid="{5265B2B7-7E3E-4D24-9A76-533ABBCAE1CA}"/>
    <cellStyle name="Comma 2 259 2 2 4 2 2 3 2" xfId="20121" xr:uid="{3B512938-B9BF-407B-B470-CDA36A62A979}"/>
    <cellStyle name="Comma 2 259 2 2 4 2 2 3 2 2" xfId="20123" xr:uid="{55577C5F-AB81-4731-8F0B-4187E0A5D0C8}"/>
    <cellStyle name="Comma 2 259 2 2 4 2 2 3 3" xfId="20124" xr:uid="{98046100-C05C-4827-B2D9-8ACCE9BDE073}"/>
    <cellStyle name="Comma 2 259 2 2 4 2 2 4" xfId="151" xr:uid="{D9B4C1F0-2DB7-4658-8D4A-693217CE98BB}"/>
    <cellStyle name="Comma 2 259 2 2 4 2 2 4 2" xfId="20129" xr:uid="{449ABE0D-5DE8-4D3C-8830-430732688EF2}"/>
    <cellStyle name="Comma 2 259 2 2 4 2 2 5" xfId="1110" xr:uid="{A3E6A5B3-BA53-416D-A2FD-B81AE661DCD9}"/>
    <cellStyle name="Comma 2 259 2 2 4 2 3" xfId="20131" xr:uid="{98DE32F3-D7A9-40BC-A4E8-D4CD0EDDF4FB}"/>
    <cellStyle name="Comma 2 259 2 2 4 2 3 2" xfId="10543" xr:uid="{B12BFC3D-72D2-40CB-90FF-E6C77A684399}"/>
    <cellStyle name="Comma 2 259 2 2 4 2 3 2 2" xfId="20132" xr:uid="{6E80504A-A890-4BDB-9649-BCDCE66FE5E3}"/>
    <cellStyle name="Comma 2 259 2 2 4 2 3 2 2 2" xfId="20133" xr:uid="{DB74829C-C701-4D03-B80C-902D9E9AB191}"/>
    <cellStyle name="Comma 2 259 2 2 4 2 3 2 3" xfId="20134" xr:uid="{47C734B2-B476-416E-9CA1-46258A99886C}"/>
    <cellStyle name="Comma 2 259 2 2 4 2 3 3" xfId="20137" xr:uid="{792823C0-D305-4AEF-A7C9-DA37AAA03867}"/>
    <cellStyle name="Comma 2 259 2 2 4 2 3 3 2" xfId="20140" xr:uid="{F471F6D9-9019-45C0-9FF1-2A638A70072A}"/>
    <cellStyle name="Comma 2 259 2 2 4 2 3 4" xfId="20143" xr:uid="{1A89ACFB-FB62-4929-9144-608657BF594E}"/>
    <cellStyle name="Comma 2 259 2 2 4 2 4" xfId="20144" xr:uid="{3BFDD23A-1544-42A4-AE1A-29733F980494}"/>
    <cellStyle name="Comma 2 259 2 2 4 2 4 2" xfId="20145" xr:uid="{B75D47EC-DC9F-4901-B83D-60DF5D8E8B87}"/>
    <cellStyle name="Comma 2 259 2 2 4 2 4 2 2" xfId="20146" xr:uid="{8EC7F367-BB92-4E0F-B8D4-3E7E460E17D4}"/>
    <cellStyle name="Comma 2 259 2 2 4 2 4 3" xfId="20149" xr:uid="{CBA8231E-5B20-460A-99DF-4B72794DDD3C}"/>
    <cellStyle name="Comma 2 259 2 2 4 2 5" xfId="20150" xr:uid="{C06D6787-4C71-4BD0-A3BE-2061363FCB7C}"/>
    <cellStyle name="Comma 2 259 2 2 4 2 5 2" xfId="20151" xr:uid="{BC2922E5-5124-46C4-98A0-37A90864289F}"/>
    <cellStyle name="Comma 2 259 2 2 4 2 6" xfId="20152" xr:uid="{1917482B-63DC-4ACC-9C84-22DB262C1B0A}"/>
    <cellStyle name="Comma 2 259 2 2 4 2 7" xfId="20153" xr:uid="{2CEB8A40-290B-404A-8481-B784A3D4F6C5}"/>
    <cellStyle name="Comma 2 259 2 2 4 3" xfId="20156" xr:uid="{C60B90B2-FD70-49D5-B30B-37E3E5F75696}"/>
    <cellStyle name="Comma 2 259 2 2 4 3 2" xfId="11881" xr:uid="{A6D13853-D9C3-467C-A9BD-C50CCB14595A}"/>
    <cellStyle name="Comma 2 259 2 2 4 3 2 2" xfId="10570" xr:uid="{6227B11C-0380-4E29-814D-DAD810D92B80}"/>
    <cellStyle name="Comma 2 259 2 2 4 3 2 2 2" xfId="20157" xr:uid="{09A7B78B-67C3-45D4-B2D0-FB60CEADA84C}"/>
    <cellStyle name="Comma 2 259 2 2 4 3 2 2 2 2" xfId="20158" xr:uid="{0C67E101-73A4-444B-AC0F-F97239448CCD}"/>
    <cellStyle name="Comma 2 259 2 2 4 3 2 2 3" xfId="2877" xr:uid="{58299FA4-B3F1-4C9E-90BF-95558E239AFE}"/>
    <cellStyle name="Comma 2 259 2 2 4 3 2 3" xfId="20159" xr:uid="{FB85E991-3067-4C59-8295-B2B0693182CB}"/>
    <cellStyle name="Comma 2 259 2 2 4 3 2 3 2" xfId="20160" xr:uid="{9340FB31-6453-4514-B8CB-CE76DE8EE559}"/>
    <cellStyle name="Comma 2 259 2 2 4 3 2 4" xfId="20161" xr:uid="{C51F622C-1A33-4FC0-A47B-AF6A5B3C779D}"/>
    <cellStyle name="Comma 2 259 2 2 4 3 3" xfId="20162" xr:uid="{6D17ED40-1FDA-4859-8A56-9C0B73F1DFE7}"/>
    <cellStyle name="Comma 2 259 2 2 4 3 3 2" xfId="20163" xr:uid="{48096534-768D-484E-A4AC-5BC731CF97BE}"/>
    <cellStyle name="Comma 2 259 2 2 4 3 3 2 2" xfId="20164" xr:uid="{08BB00E6-B052-4056-BA8A-FCDBE19698B4}"/>
    <cellStyle name="Comma 2 259 2 2 4 3 3 3" xfId="20167" xr:uid="{4F075765-E167-4061-8319-6471ED80FC09}"/>
    <cellStyle name="Comma 2 259 2 2 4 3 4" xfId="20168" xr:uid="{485DC6DF-8EA7-484C-BB80-F5B707F76B2D}"/>
    <cellStyle name="Comma 2 259 2 2 4 3 4 2" xfId="5493" xr:uid="{CC0BF54C-7DBE-4504-A08F-671B7F21E460}"/>
    <cellStyle name="Comma 2 259 2 2 4 3 5" xfId="20169" xr:uid="{5B1BCF21-74EC-48FA-97EC-FA7FF447808A}"/>
    <cellStyle name="Comma 2 259 2 2 4 4" xfId="2074" xr:uid="{685ED6E6-B948-4021-AF88-E2D2CFCF1D07}"/>
    <cellStyle name="Comma 2 259 2 2 4 4 2" xfId="2076" xr:uid="{AF701514-7FEB-486D-9F67-6E4E204FD0AF}"/>
    <cellStyle name="Comma 2 259 2 2 4 4 2 2" xfId="2080" xr:uid="{66E51D49-F396-40F3-8ADB-C3A8D87078B7}"/>
    <cellStyle name="Comma 2 259 2 2 4 4 2 2 2" xfId="11091" xr:uid="{80A10BE0-E64F-449C-AA41-C9B0EB792A5D}"/>
    <cellStyle name="Comma 2 259 2 2 4 4 2 3" xfId="11104" xr:uid="{E8E4EA24-9AB2-4C8E-8022-79AE82DC948F}"/>
    <cellStyle name="Comma 2 259 2 2 4 4 3" xfId="2086" xr:uid="{3ADE226F-2C9E-4B05-9E17-7EF8DB615F2C}"/>
    <cellStyle name="Comma 2 259 2 2 4 4 3 2" xfId="11140" xr:uid="{CC9A5972-0835-42AD-965D-4854D2BE4425}"/>
    <cellStyle name="Comma 2 259 2 2 4 4 4" xfId="20170" xr:uid="{E2E30AA2-A88D-42D4-B565-E7FF96DEAB12}"/>
    <cellStyle name="Comma 2 259 2 2 4 5" xfId="2090" xr:uid="{649FE986-2886-4584-9804-B23B6D95E526}"/>
    <cellStyle name="Comma 2 259 2 2 4 5 2" xfId="2093" xr:uid="{3B207528-231D-499D-9CD2-5D942D098A57}"/>
    <cellStyle name="Comma 2 259 2 2 4 5 2 2" xfId="2099" xr:uid="{1C32C82F-E454-4FD7-BA27-65932FDDE513}"/>
    <cellStyle name="Comma 2 259 2 2 4 5 3" xfId="2104" xr:uid="{802B02C6-C4C6-43B9-8C3C-49125F028F00}"/>
    <cellStyle name="Comma 2 259 2 2 4 6" xfId="2112" xr:uid="{833FE36B-AFA1-424F-B9C2-DEB6C3CE6678}"/>
    <cellStyle name="Comma 2 259 2 2 4 6 2" xfId="2118" xr:uid="{1504CE50-33CF-4094-AECA-D6FACBF3DA57}"/>
    <cellStyle name="Comma 2 259 2 2 4 7" xfId="2128" xr:uid="{02841A75-524A-49D8-B56A-2D217A671030}"/>
    <cellStyle name="Comma 2 259 2 2 4 8" xfId="20172" xr:uid="{C3190E28-5361-4AD5-8841-0D6658A905A4}"/>
    <cellStyle name="Comma 2 259 2 2 5" xfId="20173" xr:uid="{84A24571-12C1-47E0-B22B-999D954C2D82}"/>
    <cellStyle name="Comma 2 259 2 2 5 2" xfId="20177" xr:uid="{D7C827A6-9039-4978-B5EB-A8A3B0AEBF53}"/>
    <cellStyle name="Comma 2 259 2 2 5 2 2" xfId="20179" xr:uid="{B5C63A40-5040-4CC7-8CF8-DBDB6DAD5DCC}"/>
    <cellStyle name="Comma 2 259 2 2 5 2 2 2" xfId="10698" xr:uid="{0DD37C6B-1624-446B-9A45-5B4F77B4F9AE}"/>
    <cellStyle name="Comma 2 259 2 2 5 2 2 2 2" xfId="20180" xr:uid="{210D09EA-62A6-4746-AFF3-27D2934EA24C}"/>
    <cellStyle name="Comma 2 259 2 2 5 2 2 2 2 2" xfId="20184" xr:uid="{3E01A4B5-1269-444F-9027-66BD01848A6D}"/>
    <cellStyle name="Comma 2 259 2 2 5 2 2 2 3" xfId="20186" xr:uid="{058996B9-6D1F-47AB-9941-D5B301BA2253}"/>
    <cellStyle name="Comma 2 259 2 2 5 2 2 3" xfId="20190" xr:uid="{10965846-FF20-43B8-B4CB-A1945F4598DD}"/>
    <cellStyle name="Comma 2 259 2 2 5 2 2 3 2" xfId="20193" xr:uid="{703B7D3B-853C-44DF-B9CB-BEEFF60CAF2C}"/>
    <cellStyle name="Comma 2 259 2 2 5 2 2 4" xfId="20197" xr:uid="{C8AC41F5-995C-4601-B258-E2A65414F7AF}"/>
    <cellStyle name="Comma 2 259 2 2 5 2 3" xfId="20199" xr:uid="{7377E8AD-40BE-4CF4-85F0-8C729DBF8702}"/>
    <cellStyle name="Comma 2 259 2 2 5 2 3 2" xfId="20200" xr:uid="{2E7F0F1C-9C1D-4BEE-9E4A-501C319AE697}"/>
    <cellStyle name="Comma 2 259 2 2 5 2 3 2 2" xfId="20204" xr:uid="{02BDDDA9-56AE-4A57-B7B5-3226FDEA50A4}"/>
    <cellStyle name="Comma 2 259 2 2 5 2 3 3" xfId="20205" xr:uid="{829A2042-5FD2-4B22-978E-D696371CF199}"/>
    <cellStyle name="Comma 2 259 2 2 5 2 4" xfId="20209" xr:uid="{19CEACB0-1AE7-477A-9EE8-2C76FB8DE965}"/>
    <cellStyle name="Comma 2 259 2 2 5 2 4 2" xfId="20210" xr:uid="{CA812A5A-6AA4-4A5C-9AEE-A2CA3DADBAB3}"/>
    <cellStyle name="Comma 2 259 2 2 5 2 5" xfId="20213" xr:uid="{976D8F33-89F0-4C6D-8F1C-9DC6F9115BA4}"/>
    <cellStyle name="Comma 2 259 2 2 5 3" xfId="20215" xr:uid="{FC9CAE52-8378-41CE-9C9F-938199E15147}"/>
    <cellStyle name="Comma 2 259 2 2 5 3 2" xfId="20216" xr:uid="{EF951B77-546C-4875-A879-076B464B0B4C}"/>
    <cellStyle name="Comma 2 259 2 2 5 3 2 2" xfId="20218" xr:uid="{647E3D1D-1CA9-4883-B379-6AA25A45AFE6}"/>
    <cellStyle name="Comma 2 259 2 2 5 3 2 2 2" xfId="20219" xr:uid="{8D945E77-9E98-40BA-A475-26CF0934447C}"/>
    <cellStyle name="Comma 2 259 2 2 5 3 2 3" xfId="20220" xr:uid="{AD4D5521-8FD6-4C23-8B54-9F4CECC226C9}"/>
    <cellStyle name="Comma 2 259 2 2 5 3 3" xfId="20221" xr:uid="{C46F1AE9-B701-432E-B810-0120D491BD9C}"/>
    <cellStyle name="Comma 2 259 2 2 5 3 3 2" xfId="20222" xr:uid="{9E129BEF-C9D2-4510-82B8-9328EF8ACCC7}"/>
    <cellStyle name="Comma 2 259 2 2 5 3 4" xfId="20223" xr:uid="{E13683C2-183C-4703-AF79-BE58AA1ED022}"/>
    <cellStyle name="Comma 2 259 2 2 5 4" xfId="2134" xr:uid="{7008447E-4C50-44F1-99EC-7F6CF9E782C2}"/>
    <cellStyle name="Comma 2 259 2 2 5 4 2" xfId="2138" xr:uid="{8B4D4DDD-5236-4AF3-A4F5-2FE4C80702E0}"/>
    <cellStyle name="Comma 2 259 2 2 5 4 2 2" xfId="12422" xr:uid="{1556AB61-9494-4291-8EA7-18130BA1D70E}"/>
    <cellStyle name="Comma 2 259 2 2 5 4 3" xfId="20224" xr:uid="{50610435-A977-4452-8718-C0D06A94599D}"/>
    <cellStyle name="Comma 2 259 2 2 5 5" xfId="2140" xr:uid="{597CB769-5551-47CD-BE52-5C3963BAC514}"/>
    <cellStyle name="Comma 2 259 2 2 5 5 2" xfId="20225" xr:uid="{3C983F29-3EF6-41CB-8AAB-47693044570B}"/>
    <cellStyle name="Comma 2 259 2 2 5 6" xfId="20227" xr:uid="{7109A40E-F06E-4CEB-BCDC-7426A8FC9371}"/>
    <cellStyle name="Comma 2 259 2 2 5 7" xfId="20229" xr:uid="{F7559088-48C7-48C5-8071-7E12FA462738}"/>
    <cellStyle name="Comma 2 259 2 2 6" xfId="20230" xr:uid="{7C38E365-F505-4EAE-8522-12741C03D690}"/>
    <cellStyle name="Comma 2 259 2 2 6 2" xfId="20233" xr:uid="{56A336C0-429E-439A-8352-8EE172992535}"/>
    <cellStyle name="Comma 2 259 2 2 6 2 2" xfId="20234" xr:uid="{204C3C8B-2900-44CD-88ED-F9E5F37E87F2}"/>
    <cellStyle name="Comma 2 259 2 2 6 2 2 2" xfId="20236" xr:uid="{CCBD85FD-4FB3-46E5-84C9-ED4DCF583DDB}"/>
    <cellStyle name="Comma 2 259 2 2 6 2 2 2 2" xfId="20238" xr:uid="{024B1DC0-66F6-47DF-BFA6-D5BBA1F7BED4}"/>
    <cellStyle name="Comma 2 259 2 2 6 2 2 3" xfId="20241" xr:uid="{35022914-8015-4C03-8DD1-5B650349E4D0}"/>
    <cellStyle name="Comma 2 259 2 2 6 2 3" xfId="2289" xr:uid="{6CEE4291-A662-4F1A-95B8-52DFDA22B316}"/>
    <cellStyle name="Comma 2 259 2 2 6 2 3 2" xfId="20245" xr:uid="{CE6E4C15-BC2C-42A9-A006-515B162F8B4B}"/>
    <cellStyle name="Comma 2 259 2 2 6 2 4" xfId="2304" xr:uid="{66A6AE99-1C79-491E-ABB1-E9943EDE4A3B}"/>
    <cellStyle name="Comma 2 259 2 2 6 3" xfId="20247" xr:uid="{922E970B-2531-4ED1-8673-C4604BB8DD34}"/>
    <cellStyle name="Comma 2 259 2 2 6 3 2" xfId="20249" xr:uid="{5ADA172A-CC54-499E-AF06-34125BA53344}"/>
    <cellStyle name="Comma 2 259 2 2 6 3 2 2" xfId="20252" xr:uid="{4F05597B-F44F-4723-B808-59E4E3DD5119}"/>
    <cellStyle name="Comma 2 259 2 2 6 3 3" xfId="20254" xr:uid="{0E0F05CE-C866-4F94-8DDC-542CBA609AD9}"/>
    <cellStyle name="Comma 2 259 2 2 6 4" xfId="2148" xr:uid="{6C13FEBC-DFF4-42BD-8266-D3265927D5F2}"/>
    <cellStyle name="Comma 2 259 2 2 6 4 2" xfId="2152" xr:uid="{E72009A7-0CD0-4B65-B724-C469B12E4F2D}"/>
    <cellStyle name="Comma 2 259 2 2 6 5" xfId="2155" xr:uid="{2BA558EF-DC41-4CF3-9DD9-909071D92C2A}"/>
    <cellStyle name="Comma 2 259 2 2 7" xfId="20255" xr:uid="{BF1FBEDE-B6CD-4371-8F8B-CE2F21753917}"/>
    <cellStyle name="Comma 2 259 2 2 7 2" xfId="20256" xr:uid="{CE69AED6-07BB-4C5E-8F4B-ABD93EE69FA6}"/>
    <cellStyle name="Comma 2 259 2 2 7 2 2" xfId="20257" xr:uid="{28F13020-6F47-4305-8C60-F7E2769DD282}"/>
    <cellStyle name="Comma 2 259 2 2 7 2 2 2" xfId="20260" xr:uid="{6AC589CA-AB1A-4B9C-87B9-E7EB4622970B}"/>
    <cellStyle name="Comma 2 259 2 2 7 2 3" xfId="20261" xr:uid="{DA2928E2-3E48-4DCD-9F5B-C573308CB390}"/>
    <cellStyle name="Comma 2 259 2 2 7 3" xfId="20263" xr:uid="{37736EE3-B555-48C4-AEB4-873E508863EA}"/>
    <cellStyle name="Comma 2 259 2 2 7 3 2" xfId="20268" xr:uid="{14D336B5-248F-4479-9A66-D043AE3BD38A}"/>
    <cellStyle name="Comma 2 259 2 2 7 4" xfId="2161" xr:uid="{722311AB-D345-4CE2-9395-EAF16F67B96E}"/>
    <cellStyle name="Comma 2 259 2 2 8" xfId="20270" xr:uid="{6DECDFCA-D7D2-4CE8-9BFB-26D90E08EF53}"/>
    <cellStyle name="Comma 2 259 2 2 8 2" xfId="862" xr:uid="{FA029446-F736-4674-8D7F-C385B4C8DEFE}"/>
    <cellStyle name="Comma 2 259 2 2 8 2 2" xfId="20271" xr:uid="{08BE77D1-E1B4-4425-9822-1098399D575E}"/>
    <cellStyle name="Comma 2 259 2 2 8 3" xfId="703" xr:uid="{F8EC33A6-B50A-4669-B1A7-1F73F554256F}"/>
    <cellStyle name="Comma 2 259 2 2 9" xfId="20272" xr:uid="{34ECB505-8BCF-4E89-ADB8-76416CDC011B}"/>
    <cellStyle name="Comma 2 259 2 2 9 2" xfId="20273" xr:uid="{06844DB3-5520-42DD-8AE2-20AB5FC791DB}"/>
    <cellStyle name="Comma 2 259 2 3" xfId="7474" xr:uid="{4DC99413-B7D1-4E15-9376-D57AB3B02A28}"/>
    <cellStyle name="Comma 2 259 2 3 10" xfId="9279" xr:uid="{9FBD2288-0AEA-4008-8817-91C71436A0C1}"/>
    <cellStyle name="Comma 2 259 2 3 2" xfId="12609" xr:uid="{A0465FFB-CB51-4F5A-A6F2-C2BABA5847FA}"/>
    <cellStyle name="Comma 2 259 2 3 2 2" xfId="20274" xr:uid="{DBF57D05-ED0F-449D-96FE-7190B7D3C20E}"/>
    <cellStyle name="Comma 2 259 2 3 2 2 2" xfId="20276" xr:uid="{E7B0CDCC-32F4-41A3-8EA7-D8399A882E8C}"/>
    <cellStyle name="Comma 2 259 2 3 2 2 2 2" xfId="20278" xr:uid="{9CA4AE23-E0D0-41DE-91B8-C16E454BE942}"/>
    <cellStyle name="Comma 2 259 2 3 2 2 2 2 2" xfId="20282" xr:uid="{668F7D75-5D74-42B8-9AA3-F569E605971F}"/>
    <cellStyle name="Comma 2 259 2 3 2 2 2 2 2 2" xfId="20285" xr:uid="{9DC856E3-DA1A-438A-8258-28162D9D5DB3}"/>
    <cellStyle name="Comma 2 259 2 3 2 2 2 2 2 2 2" xfId="20288" xr:uid="{8277FD16-8D0B-460F-B582-F9CFDD5E01F3}"/>
    <cellStyle name="Comma 2 259 2 3 2 2 2 2 2 2 2 2" xfId="4565" xr:uid="{409298CA-861C-4B5A-95D9-CE6034479D5F}"/>
    <cellStyle name="Comma 2 259 2 3 2 2 2 2 2 2 3" xfId="17151" xr:uid="{52692C5E-E49B-4C7E-A919-E556490A136B}"/>
    <cellStyle name="Comma 2 259 2 3 2 2 2 2 2 3" xfId="17335" xr:uid="{47185FB8-2DF3-4F5E-A48E-1DE3115DACA7}"/>
    <cellStyle name="Comma 2 259 2 3 2 2 2 2 2 3 2" xfId="20289" xr:uid="{95D848A5-36AE-452F-A2E7-6D3B2E0B5D7E}"/>
    <cellStyle name="Comma 2 259 2 3 2 2 2 2 2 4" xfId="17337" xr:uid="{B8A84C85-1BED-468C-9CD7-6DB033418A5D}"/>
    <cellStyle name="Comma 2 259 2 3 2 2 2 2 3" xfId="20292" xr:uid="{C2CB2F9F-6E91-4FB1-ABB5-B52BEDB59A30}"/>
    <cellStyle name="Comma 2 259 2 3 2 2 2 2 3 2" xfId="20295" xr:uid="{7A187E02-9D34-45C2-A561-471B12D6F847}"/>
    <cellStyle name="Comma 2 259 2 3 2 2 2 2 3 2 2" xfId="20298" xr:uid="{1852C273-D719-46EE-AD61-04D3FD28BC50}"/>
    <cellStyle name="Comma 2 259 2 3 2 2 2 2 3 3" xfId="17343" xr:uid="{122D8930-6C39-4315-BF29-835C3D28E4EC}"/>
    <cellStyle name="Comma 2 259 2 3 2 2 2 2 4" xfId="20301" xr:uid="{D8237E53-AE3B-4F9B-9121-C462DE6E5497}"/>
    <cellStyle name="Comma 2 259 2 3 2 2 2 2 4 2" xfId="16868" xr:uid="{399CB0D6-4FF3-42DE-984C-A0FE3C3927A6}"/>
    <cellStyle name="Comma 2 259 2 3 2 2 2 2 5" xfId="20305" xr:uid="{8BC888A3-998B-4330-919A-EA644711EA23}"/>
    <cellStyle name="Comma 2 259 2 3 2 2 2 3" xfId="20306" xr:uid="{9B280DC9-0BD9-43E4-A37A-CC1D04A42569}"/>
    <cellStyle name="Comma 2 259 2 3 2 2 2 3 2" xfId="6800" xr:uid="{999752DD-303C-437E-BA5B-9680510AD7E7}"/>
    <cellStyle name="Comma 2 259 2 3 2 2 2 3 2 2" xfId="6807" xr:uid="{B9E9F88C-FCCB-400B-A2A1-093B0CC68990}"/>
    <cellStyle name="Comma 2 259 2 3 2 2 2 3 2 2 2" xfId="20307" xr:uid="{6E2FFC77-8E5A-4804-8BE4-2585ACD6687B}"/>
    <cellStyle name="Comma 2 259 2 3 2 2 2 3 2 3" xfId="17583" xr:uid="{4F6A4460-93D7-44F8-8A14-23B856BAF48D}"/>
    <cellStyle name="Comma 2 259 2 3 2 2 2 3 3" xfId="6787" xr:uid="{9F1B2BD4-B377-4F14-A131-0F87413DA5BF}"/>
    <cellStyle name="Comma 2 259 2 3 2 2 2 3 3 2" xfId="20308" xr:uid="{3DBE90BA-9AC0-43A3-A7A9-36782EBF28E9}"/>
    <cellStyle name="Comma 2 259 2 3 2 2 2 3 4" xfId="6792" xr:uid="{77D0C780-81DB-44AA-83C9-186C216030FA}"/>
    <cellStyle name="Comma 2 259 2 3 2 2 2 4" xfId="20309" xr:uid="{B8BB4A34-1B4C-4409-A0A7-D85DCCBF93A2}"/>
    <cellStyle name="Comma 2 259 2 3 2 2 2 4 2" xfId="6888" xr:uid="{B7C431C2-FA09-4BCF-95BB-36D9EAC5ABB7}"/>
    <cellStyle name="Comma 2 259 2 3 2 2 2 4 2 2" xfId="20310" xr:uid="{264CA733-F50B-4827-93F9-4F4625D90F1A}"/>
    <cellStyle name="Comma 2 259 2 3 2 2 2 4 3" xfId="6805" xr:uid="{C832CFE7-F4FE-4419-9F24-3F42DACE7A43}"/>
    <cellStyle name="Comma 2 259 2 3 2 2 2 5" xfId="20311" xr:uid="{6E7E9F18-D039-45EA-B739-3FE3D3AD9CBF}"/>
    <cellStyle name="Comma 2 259 2 3 2 2 2 5 2" xfId="6323" xr:uid="{6C61EF4E-D85F-4518-A51D-C82F746475E4}"/>
    <cellStyle name="Comma 2 259 2 3 2 2 2 6" xfId="20313" xr:uid="{E8AA1A77-F8DF-46D4-BD58-3546B19C0015}"/>
    <cellStyle name="Comma 2 259 2 3 2 2 2 7" xfId="2553" xr:uid="{CE02FA00-2BB0-40DF-A2A9-CF29F012EE16}"/>
    <cellStyle name="Comma 2 259 2 3 2 2 3" xfId="20314" xr:uid="{1B098DCC-D2E8-4FF1-BE80-FC37C55F0653}"/>
    <cellStyle name="Comma 2 259 2 3 2 2 3 2" xfId="20315" xr:uid="{285963F2-9E30-4C52-8DB1-C592637D2C6B}"/>
    <cellStyle name="Comma 2 259 2 3 2 2 3 2 2" xfId="20317" xr:uid="{23A92571-89D9-4F55-8DF9-A35050C05862}"/>
    <cellStyle name="Comma 2 259 2 3 2 2 3 2 2 2" xfId="20318" xr:uid="{0B6A1664-4B76-4CB2-898C-CED04958FEAC}"/>
    <cellStyle name="Comma 2 259 2 3 2 2 3 2 2 2 2" xfId="20320" xr:uid="{6E866294-4CD0-4860-B459-A80348B239B0}"/>
    <cellStyle name="Comma 2 259 2 3 2 2 3 2 2 3" xfId="20322" xr:uid="{EE705247-1EEF-44C0-895F-EC1F49007A86}"/>
    <cellStyle name="Comma 2 259 2 3 2 2 3 2 3" xfId="20323" xr:uid="{A60A3210-939B-44D0-83F6-438CDE944B5E}"/>
    <cellStyle name="Comma 2 259 2 3 2 2 3 2 3 2" xfId="20324" xr:uid="{8349E8DD-009F-4D1B-B35E-BD5598CF1C8F}"/>
    <cellStyle name="Comma 2 259 2 3 2 2 3 2 4" xfId="20325" xr:uid="{3BEF3FCA-881F-4C98-87A5-AB83ED22C4A6}"/>
    <cellStyle name="Comma 2 259 2 3 2 2 3 3" xfId="10399" xr:uid="{48482C01-4180-4487-A810-EA94CD93EAE3}"/>
    <cellStyle name="Comma 2 259 2 3 2 2 3 3 2" xfId="7005" xr:uid="{A27B97EF-775F-4C04-8FB8-1457E31D7BCB}"/>
    <cellStyle name="Comma 2 259 2 3 2 2 3 3 2 2" xfId="10401" xr:uid="{AF9795A1-3632-4674-9B59-CF0F7CE6CC2A}"/>
    <cellStyle name="Comma 2 259 2 3 2 2 3 3 3" xfId="6881" xr:uid="{1C805BDE-E04A-4BA8-91FE-DCE488573203}"/>
    <cellStyle name="Comma 2 259 2 3 2 2 3 4" xfId="10403" xr:uid="{0A3F9181-E99B-4CFA-A4B0-FFF5F36BE3B6}"/>
    <cellStyle name="Comma 2 259 2 3 2 2 3 4 2" xfId="7055" xr:uid="{4CD77DA8-E4D2-43BE-BD63-A870676CAB1E}"/>
    <cellStyle name="Comma 2 259 2 3 2 2 3 5" xfId="10405" xr:uid="{BDB50323-1AC4-40B9-8170-7E484CBD0CE0}"/>
    <cellStyle name="Comma 2 259 2 3 2 2 4" xfId="20326" xr:uid="{4D90E81C-4338-4740-9DDC-D6E4F4A5F12E}"/>
    <cellStyle name="Comma 2 259 2 3 2 2 4 2" xfId="20327" xr:uid="{C4A963ED-F8CD-47C0-9125-F27F88357E1C}"/>
    <cellStyle name="Comma 2 259 2 3 2 2 4 2 2" xfId="20328" xr:uid="{EC7BCE98-FE28-4B55-9E9B-0D2C3D675758}"/>
    <cellStyle name="Comma 2 259 2 3 2 2 4 2 2 2" xfId="20329" xr:uid="{423C0632-5B7F-4ECB-8394-474F62D5AD7C}"/>
    <cellStyle name="Comma 2 259 2 3 2 2 4 2 3" xfId="20332" xr:uid="{0F56C2F7-D222-4613-9521-4188757EFA74}"/>
    <cellStyle name="Comma 2 259 2 3 2 2 4 3" xfId="10408" xr:uid="{DFFCC370-D4D5-47B1-8053-41D4E7FDEBB4}"/>
    <cellStyle name="Comma 2 259 2 3 2 2 4 3 2" xfId="7154" xr:uid="{55B75E4A-0914-4292-8FE9-FA4531874CDC}"/>
    <cellStyle name="Comma 2 259 2 3 2 2 4 4" xfId="10410" xr:uid="{D3CF2463-B90F-4178-824D-D12966BD1B98}"/>
    <cellStyle name="Comma 2 259 2 3 2 2 5" xfId="20333" xr:uid="{2D7C3627-8A2D-4D2D-A79E-789853B5B5DB}"/>
    <cellStyle name="Comma 2 259 2 3 2 2 5 2" xfId="20334" xr:uid="{F1689EBE-B9D9-489F-A21D-EB56204F0445}"/>
    <cellStyle name="Comma 2 259 2 3 2 2 5 2 2" xfId="20335" xr:uid="{DFD7025D-BAF8-449F-B34D-A50D062AE6AD}"/>
    <cellStyle name="Comma 2 259 2 3 2 2 5 3" xfId="10413" xr:uid="{F94BB3AB-2E12-4583-9F28-24EA7ECCDB6A}"/>
    <cellStyle name="Comma 2 259 2 3 2 2 6" xfId="20336" xr:uid="{3B59FA80-86B3-46A9-8A15-2F4175330CB1}"/>
    <cellStyle name="Comma 2 259 2 3 2 2 6 2" xfId="20337" xr:uid="{8B043213-761D-4DD5-8679-8F78AC44C343}"/>
    <cellStyle name="Comma 2 259 2 3 2 2 7" xfId="20338" xr:uid="{3D8366A6-3AC8-44B4-BB72-66B6F932C31B}"/>
    <cellStyle name="Comma 2 259 2 3 2 2 8" xfId="20339" xr:uid="{FE27F7A9-F1D2-496A-8AE2-B3D5A17E405A}"/>
    <cellStyle name="Comma 2 259 2 3 2 3" xfId="20340" xr:uid="{B477B9AF-5EEE-43C7-9C81-2B645B96D2F5}"/>
    <cellStyle name="Comma 2 259 2 3 2 3 2" xfId="20342" xr:uid="{B7F4B786-EADE-4EF1-B87E-CA720EFA76B2}"/>
    <cellStyle name="Comma 2 259 2 3 2 3 2 2" xfId="20343" xr:uid="{6598BD7C-4914-4B8C-B323-E1134CDB6F82}"/>
    <cellStyle name="Comma 2 259 2 3 2 3 2 2 2" xfId="20344" xr:uid="{7F1DD94F-EAA8-4C98-AD1C-94514998F33C}"/>
    <cellStyle name="Comma 2 259 2 3 2 3 2 2 2 2" xfId="20345" xr:uid="{27D48D81-6A7D-4693-86B8-76DA3C0E2342}"/>
    <cellStyle name="Comma 2 259 2 3 2 3 2 2 2 2 2" xfId="20346" xr:uid="{6CE4D101-4B6A-4132-AE21-0C6FB40FE5B6}"/>
    <cellStyle name="Comma 2 259 2 3 2 3 2 2 2 3" xfId="20347" xr:uid="{35C4FE02-0E2A-4628-B85A-C7BA4355B2AE}"/>
    <cellStyle name="Comma 2 259 2 3 2 3 2 2 3" xfId="20349" xr:uid="{CC6423CA-DD8B-4685-98CB-6611054653D0}"/>
    <cellStyle name="Comma 2 259 2 3 2 3 2 2 3 2" xfId="20350" xr:uid="{A7E9EC6C-A4AB-4EA4-9F7F-E1A327D49A21}"/>
    <cellStyle name="Comma 2 259 2 3 2 3 2 2 4" xfId="20351" xr:uid="{7746A3C3-A891-4786-95AE-199625092C5E}"/>
    <cellStyle name="Comma 2 259 2 3 2 3 2 3" xfId="20352" xr:uid="{B04706D5-B79A-4716-9809-7F2CE0C722FA}"/>
    <cellStyle name="Comma 2 259 2 3 2 3 2 3 2" xfId="20353" xr:uid="{14E8FFF4-B928-4A59-91B6-12FAAD1AF642}"/>
    <cellStyle name="Comma 2 259 2 3 2 3 2 3 2 2" xfId="20354" xr:uid="{53D2BC27-C4E4-4026-B9F0-50AE292C7B86}"/>
    <cellStyle name="Comma 2 259 2 3 2 3 2 3 3" xfId="20355" xr:uid="{6E779B1D-E62C-48D2-968B-18F58524C58E}"/>
    <cellStyle name="Comma 2 259 2 3 2 3 2 4" xfId="20356" xr:uid="{79FD291B-FBBD-455C-AF64-FCF57436D288}"/>
    <cellStyle name="Comma 2 259 2 3 2 3 2 4 2" xfId="20358" xr:uid="{4078DDEB-34F4-4F9B-958B-90A1EC0A89ED}"/>
    <cellStyle name="Comma 2 259 2 3 2 3 2 5" xfId="20359" xr:uid="{5315026A-2CA1-490E-9795-06E90238C467}"/>
    <cellStyle name="Comma 2 259 2 3 2 3 3" xfId="20360" xr:uid="{75DB4F91-3C98-4C76-A602-F4EEBE8824EE}"/>
    <cellStyle name="Comma 2 259 2 3 2 3 3 2" xfId="20361" xr:uid="{389E62AD-5FF9-495D-814B-827CC26D7F07}"/>
    <cellStyle name="Comma 2 259 2 3 2 3 3 2 2" xfId="20362" xr:uid="{477C5245-41F6-4F3D-BFF6-EFEC9DB92373}"/>
    <cellStyle name="Comma 2 259 2 3 2 3 3 2 2 2" xfId="20363" xr:uid="{AF74F7CA-6176-4117-8867-27BEA08E1DC4}"/>
    <cellStyle name="Comma 2 259 2 3 2 3 3 2 3" xfId="20364" xr:uid="{357605C8-F0CA-4F41-B28A-EBA72176CF68}"/>
    <cellStyle name="Comma 2 259 2 3 2 3 3 3" xfId="10420" xr:uid="{D7F7FFA9-D40E-42E7-B285-E3DE3CC578DD}"/>
    <cellStyle name="Comma 2 259 2 3 2 3 3 3 2" xfId="10422" xr:uid="{F2899C2F-E562-4915-A4B2-6722F476F2CE}"/>
    <cellStyle name="Comma 2 259 2 3 2 3 3 4" xfId="10426" xr:uid="{AE910C79-BD7B-4972-8C5C-DDC1F500D37B}"/>
    <cellStyle name="Comma 2 259 2 3 2 3 4" xfId="20365" xr:uid="{A29CE953-FBF3-43AA-A96F-E1C850AD3673}"/>
    <cellStyle name="Comma 2 259 2 3 2 3 4 2" xfId="20366" xr:uid="{7A9EF74C-8BEC-4579-9362-D7027D8CEF65}"/>
    <cellStyle name="Comma 2 259 2 3 2 3 4 2 2" xfId="20367" xr:uid="{7EB8AB68-A898-4BD7-AB6C-9E2170C361D6}"/>
    <cellStyle name="Comma 2 259 2 3 2 3 4 3" xfId="10428" xr:uid="{FBDB54F7-C320-4DE2-B2B8-1FC66C8149D8}"/>
    <cellStyle name="Comma 2 259 2 3 2 3 5" xfId="20369" xr:uid="{F5EEF626-9BAA-41B2-96B7-250A50251A81}"/>
    <cellStyle name="Comma 2 259 2 3 2 3 5 2" xfId="20371" xr:uid="{9B68D7EE-C0A8-4C44-91FB-633756059158}"/>
    <cellStyle name="Comma 2 259 2 3 2 3 6" xfId="20373" xr:uid="{406CCA34-CE94-421B-9B74-2C51B0C2C9CA}"/>
    <cellStyle name="Comma 2 259 2 3 2 3 7" xfId="20374" xr:uid="{79030EF8-3EB0-4651-9E3E-89C752A039C8}"/>
    <cellStyle name="Comma 2 259 2 3 2 4" xfId="20375" xr:uid="{AC5A4BCB-E857-46A9-8A19-16CD77D862A5}"/>
    <cellStyle name="Comma 2 259 2 3 2 4 2" xfId="20376" xr:uid="{8241A4FE-C7AF-4D58-8CB8-C65CC37937BC}"/>
    <cellStyle name="Comma 2 259 2 3 2 4 2 2" xfId="20377" xr:uid="{A7E0053A-1E2E-46D9-8979-0E184B5F2D87}"/>
    <cellStyle name="Comma 2 259 2 3 2 4 2 2 2" xfId="20378" xr:uid="{8763AA0F-DB73-4F17-B2C9-97913AB139A7}"/>
    <cellStyle name="Comma 2 259 2 3 2 4 2 2 2 2" xfId="20381" xr:uid="{1BF1EB6D-B370-4008-9AE2-397232E9F838}"/>
    <cellStyle name="Comma 2 259 2 3 2 4 2 2 3" xfId="20383" xr:uid="{08BC2183-5AA5-4A47-A773-C8A3E93A744C}"/>
    <cellStyle name="Comma 2 259 2 3 2 4 2 3" xfId="20384" xr:uid="{3430C38C-81E8-4CAE-BA0C-6C6548532E72}"/>
    <cellStyle name="Comma 2 259 2 3 2 4 2 3 2" xfId="20385" xr:uid="{8BE99E81-4BE8-4E26-8585-9CEF6B289065}"/>
    <cellStyle name="Comma 2 259 2 3 2 4 2 4" xfId="20386" xr:uid="{5CA448B1-BE5E-4F82-B34E-A3F5ECDC5605}"/>
    <cellStyle name="Comma 2 259 2 3 2 4 3" xfId="20387" xr:uid="{950881DB-652A-446E-B0D6-1E0FF3CEB8AD}"/>
    <cellStyle name="Comma 2 259 2 3 2 4 3 2" xfId="20388" xr:uid="{18BF13F2-3207-46B9-97D3-BBB8BEC26673}"/>
    <cellStyle name="Comma 2 259 2 3 2 4 3 2 2" xfId="20389" xr:uid="{56B5A7C3-B7D5-4345-A907-EF164551371D}"/>
    <cellStyle name="Comma 2 259 2 3 2 4 3 3" xfId="10431" xr:uid="{8772AC97-55AA-4DF5-A116-09B1D1F7D898}"/>
    <cellStyle name="Comma 2 259 2 3 2 4 4" xfId="20390" xr:uid="{CFDA1188-EA2E-4B42-A2A7-979225A80619}"/>
    <cellStyle name="Comma 2 259 2 3 2 4 4 2" xfId="20391" xr:uid="{99381FCF-7714-4155-8646-EAC36E48B828}"/>
    <cellStyle name="Comma 2 259 2 3 2 4 5" xfId="20393" xr:uid="{29E459AF-3101-4055-AC70-0A18BEB45C67}"/>
    <cellStyle name="Comma 2 259 2 3 2 5" xfId="20394" xr:uid="{E0AD4F16-66BA-455F-B142-51C6EF29AEB6}"/>
    <cellStyle name="Comma 2 259 2 3 2 5 2" xfId="20395" xr:uid="{B522CE8C-A32D-4E03-9717-33976D0C56D2}"/>
    <cellStyle name="Comma 2 259 2 3 2 5 2 2" xfId="20396" xr:uid="{42131DEA-05BA-4F28-84AA-20A522CEC788}"/>
    <cellStyle name="Comma 2 259 2 3 2 5 2 2 2" xfId="20397" xr:uid="{F93423B2-0A2D-44E3-8C5A-92E22310F5A1}"/>
    <cellStyle name="Comma 2 259 2 3 2 5 2 3" xfId="20399" xr:uid="{EE5BA47F-0E38-41F2-B16E-3E111579052F}"/>
    <cellStyle name="Comma 2 259 2 3 2 5 3" xfId="20400" xr:uid="{19B8B070-BFC4-47A5-9DB1-D2F782998E63}"/>
    <cellStyle name="Comma 2 259 2 3 2 5 3 2" xfId="20401" xr:uid="{A5DB9A46-B223-475D-BE8C-0A430005260D}"/>
    <cellStyle name="Comma 2 259 2 3 2 5 4" xfId="20402" xr:uid="{6FD7D66A-2219-41E7-8F26-03EE36678112}"/>
    <cellStyle name="Comma 2 259 2 3 2 6" xfId="20403" xr:uid="{4C724EB0-4428-44C3-AB93-39D3B2D029D8}"/>
    <cellStyle name="Comma 2 259 2 3 2 6 2" xfId="20404" xr:uid="{0D090517-11D3-46F4-9587-AA5E5E9ADC3B}"/>
    <cellStyle name="Comma 2 259 2 3 2 6 2 2" xfId="20405" xr:uid="{A6BBA70E-E255-46F4-8A3E-11397C6F3B5E}"/>
    <cellStyle name="Comma 2 259 2 3 2 6 3" xfId="20406" xr:uid="{4749F8E6-52A2-4483-8BA6-575AE260B0C3}"/>
    <cellStyle name="Comma 2 259 2 3 2 7" xfId="20407" xr:uid="{6E05121F-765E-45A5-9F7E-F79CBC1C48CD}"/>
    <cellStyle name="Comma 2 259 2 3 2 7 2" xfId="20408" xr:uid="{6546F6A8-C362-418A-B53A-CE2BAEF51C49}"/>
    <cellStyle name="Comma 2 259 2 3 2 8" xfId="20409" xr:uid="{E0ED750A-05AA-42F9-B7FE-D43895B2287F}"/>
    <cellStyle name="Comma 2 259 2 3 2 9" xfId="20410" xr:uid="{2D458E9F-EFFC-491F-951B-98D305B7D035}"/>
    <cellStyle name="Comma 2 259 2 3 3" xfId="20411" xr:uid="{7F79A219-5A92-40D2-BCD5-6FC00D121070}"/>
    <cellStyle name="Comma 2 259 2 3 3 2" xfId="20415" xr:uid="{1081EFA3-1CAF-4BC6-B1FF-736DD89A2E0E}"/>
    <cellStyle name="Comma 2 259 2 3 3 2 2" xfId="20421" xr:uid="{6A6CCCAA-B7C7-4DDD-AA57-719AF2212063}"/>
    <cellStyle name="Comma 2 259 2 3 3 2 2 2" xfId="20425" xr:uid="{FD2509C9-8740-4787-BDF8-3397F8D57CDA}"/>
    <cellStyle name="Comma 2 259 2 3 3 2 2 2 2" xfId="20426" xr:uid="{AAFC49AF-15DF-4FA7-9CF0-3E667C4AE608}"/>
    <cellStyle name="Comma 2 259 2 3 3 2 2 2 2 2" xfId="20427" xr:uid="{0A16DCE5-D371-430D-A3DE-DA494FC43218}"/>
    <cellStyle name="Comma 2 259 2 3 3 2 2 2 2 2 2" xfId="20428" xr:uid="{30310ECD-F0AB-4D73-84FA-FC9E6972AFB0}"/>
    <cellStyle name="Comma 2 259 2 3 3 2 2 2 2 3" xfId="20432" xr:uid="{F9D4AC52-BBA3-4A63-B1D3-EFD787EA28EF}"/>
    <cellStyle name="Comma 2 259 2 3 3 2 2 2 3" xfId="20433" xr:uid="{E20ED4DE-FEFF-419E-89B2-B55F5E821B51}"/>
    <cellStyle name="Comma 2 259 2 3 3 2 2 2 3 2" xfId="20434" xr:uid="{DC92B299-2797-4176-B201-46EF39C2B90C}"/>
    <cellStyle name="Comma 2 259 2 3 3 2 2 2 4" xfId="20435" xr:uid="{0759B538-24D9-443B-8D38-850E8A4A696C}"/>
    <cellStyle name="Comma 2 259 2 3 3 2 2 3" xfId="20439" xr:uid="{1A14C455-3F6F-43B0-9857-DE901230A84C}"/>
    <cellStyle name="Comma 2 259 2 3 3 2 2 3 2" xfId="14408" xr:uid="{95A6CBA9-F14F-4F80-8013-82F164598BF6}"/>
    <cellStyle name="Comma 2 259 2 3 3 2 2 3 2 2" xfId="14410" xr:uid="{3B0B089E-5731-4C07-8343-F3B8E7695D7F}"/>
    <cellStyle name="Comma 2 259 2 3 3 2 2 3 3" xfId="14415" xr:uid="{F795A661-F5A3-4B65-9A7F-75CDD6384184}"/>
    <cellStyle name="Comma 2 259 2 3 3 2 2 4" xfId="20443" xr:uid="{C2E7BFC4-4B10-4F18-A3CD-53EC69775F2C}"/>
    <cellStyle name="Comma 2 259 2 3 3 2 2 4 2" xfId="14652" xr:uid="{1E323F53-AECF-4F8B-ADCB-4DB12E301ABD}"/>
    <cellStyle name="Comma 2 259 2 3 3 2 2 5" xfId="8610" xr:uid="{93B63C27-26C7-424E-BAAD-01DDCF4C6595}"/>
    <cellStyle name="Comma 2 259 2 3 3 2 3" xfId="7931" xr:uid="{9A12699B-6A11-4670-8AD6-655D6474C841}"/>
    <cellStyle name="Comma 2 259 2 3 3 2 3 2" xfId="1798" xr:uid="{D180123A-B706-4722-8816-28F6B84A5B4E}"/>
    <cellStyle name="Comma 2 259 2 3 3 2 3 2 2" xfId="20445" xr:uid="{C3A060A9-0B16-4683-85FE-DD462672C213}"/>
    <cellStyle name="Comma 2 259 2 3 3 2 3 2 2 2" xfId="20446" xr:uid="{8AE45E8E-FA86-46C0-A8F6-0CCB5C8A4BA1}"/>
    <cellStyle name="Comma 2 259 2 3 3 2 3 2 3" xfId="20456" xr:uid="{D8925798-2924-4020-B8B9-315C5441B8CE}"/>
    <cellStyle name="Comma 2 259 2 3 3 2 3 3" xfId="10448" xr:uid="{BA7E72A8-C311-4B05-9C50-7D1C5EF66E3A}"/>
    <cellStyle name="Comma 2 259 2 3 3 2 3 3 2" xfId="10451" xr:uid="{469534C1-27CB-4CC2-A536-0B6E1E32875C}"/>
    <cellStyle name="Comma 2 259 2 3 3 2 3 4" xfId="10454" xr:uid="{B505CFA5-B9A5-4E14-979E-7808BDB552DC}"/>
    <cellStyle name="Comma 2 259 2 3 3 2 4" xfId="333" xr:uid="{BB6C6ABC-32E6-4CE5-8F54-09EEC30F72F6}"/>
    <cellStyle name="Comma 2 259 2 3 3 2 4 2" xfId="20457" xr:uid="{20E348F7-FF3A-484E-839F-735AB615DF71}"/>
    <cellStyle name="Comma 2 259 2 3 3 2 4 2 2" xfId="20459" xr:uid="{68AB83DB-8979-45CF-8DE7-D6C2BEEB616D}"/>
    <cellStyle name="Comma 2 259 2 3 3 2 4 3" xfId="10457" xr:uid="{BC182483-304B-49A7-84D2-FB82C10663C5}"/>
    <cellStyle name="Comma 2 259 2 3 3 2 5" xfId="20462" xr:uid="{70D3CE46-0CFC-4206-9F14-E484C3AAE07A}"/>
    <cellStyle name="Comma 2 259 2 3 3 2 5 2" xfId="20463" xr:uid="{989E2D4A-79F9-4A73-AF9E-095BE037F3E8}"/>
    <cellStyle name="Comma 2 259 2 3 3 2 6" xfId="20466" xr:uid="{A57E7D98-A444-4796-BB75-7F5D52E61C18}"/>
    <cellStyle name="Comma 2 259 2 3 3 2 7" xfId="20469" xr:uid="{975520E7-9E4C-4042-A38F-CD2C8C8EFAA2}"/>
    <cellStyle name="Comma 2 259 2 3 3 3" xfId="20472" xr:uid="{03EC7DE4-6813-4CA3-846A-00CE2B74FF4F}"/>
    <cellStyle name="Comma 2 259 2 3 3 3 2" xfId="20474" xr:uid="{808EA4EB-387C-406C-A687-570A4C0D5855}"/>
    <cellStyle name="Comma 2 259 2 3 3 3 2 2" xfId="15714" xr:uid="{74AB4DF8-6B9B-47AB-95E0-26F08CC518FF}"/>
    <cellStyle name="Comma 2 259 2 3 3 3 2 2 2" xfId="20478" xr:uid="{E01525C5-F004-4CE1-B322-2AD4503A9AFE}"/>
    <cellStyle name="Comma 2 259 2 3 3 3 2 2 2 2" xfId="20479" xr:uid="{C2140D05-B076-4531-9A1E-BD45843BCD29}"/>
    <cellStyle name="Comma 2 259 2 3 3 3 2 2 3" xfId="20480" xr:uid="{9EA39C7B-D1F6-4526-9B29-76A7616D46F9}"/>
    <cellStyle name="Comma 2 259 2 3 3 3 2 3" xfId="15717" xr:uid="{93010062-8723-4AF5-97B4-5C8F2A5EEB93}"/>
    <cellStyle name="Comma 2 259 2 3 3 3 2 3 2" xfId="15721" xr:uid="{F291A6A7-E62B-4FC9-836C-13D7361CB496}"/>
    <cellStyle name="Comma 2 259 2 3 3 3 2 4" xfId="16309" xr:uid="{3BB1C3AE-72CD-41B7-8306-83AC505939AC}"/>
    <cellStyle name="Comma 2 259 2 3 3 3 3" xfId="8267" xr:uid="{AB8BE991-C295-4AD1-BA8C-8F49916D3890}"/>
    <cellStyle name="Comma 2 259 2 3 3 3 3 2" xfId="17124" xr:uid="{3EEC498E-4579-463F-B0AD-9A8265CB70E4}"/>
    <cellStyle name="Comma 2 259 2 3 3 3 3 2 2" xfId="20484" xr:uid="{AE8FC286-C515-48D5-8F0B-8506F1900B68}"/>
    <cellStyle name="Comma 2 259 2 3 3 3 3 3" xfId="10469" xr:uid="{5C4DB2C6-4AC0-4C93-9915-E799F722D53B}"/>
    <cellStyle name="Comma 2 259 2 3 3 3 4" xfId="20485" xr:uid="{0000C9D3-F18B-4FDA-B81F-0456E018B0EA}"/>
    <cellStyle name="Comma 2 259 2 3 3 3 4 2" xfId="17243" xr:uid="{2FB45C0D-5B9A-49DF-BF2A-4406F7F03065}"/>
    <cellStyle name="Comma 2 259 2 3 3 3 5" xfId="20489" xr:uid="{A6FE25A0-9B8E-4399-B727-C134797574FA}"/>
    <cellStyle name="Comma 2 259 2 3 3 4" xfId="20493" xr:uid="{6C4BAA90-8C34-42DF-B476-04D0D5C1B2CD}"/>
    <cellStyle name="Comma 2 259 2 3 3 4 2" xfId="20494" xr:uid="{FF79E647-9618-4EB4-9258-48123E5E333F}"/>
    <cellStyle name="Comma 2 259 2 3 3 4 2 2" xfId="20495" xr:uid="{BB5871E8-0C07-4995-94E9-E2676F2E5EF4}"/>
    <cellStyle name="Comma 2 259 2 3 3 4 2 2 2" xfId="20496" xr:uid="{81279388-D50A-4BC1-AE2A-574DDA4039B8}"/>
    <cellStyle name="Comma 2 259 2 3 3 4 2 3" xfId="20497" xr:uid="{5FECE59A-C49A-4415-8F83-BDE8240DF445}"/>
    <cellStyle name="Comma 2 259 2 3 3 4 3" xfId="20498" xr:uid="{FD3AFBB2-D7BA-4A69-9325-E769175F16DA}"/>
    <cellStyle name="Comma 2 259 2 3 3 4 3 2" xfId="11211" xr:uid="{1635FCE2-C561-47A9-8D90-86AF3BA1C474}"/>
    <cellStyle name="Comma 2 259 2 3 3 4 4" xfId="20499" xr:uid="{FAB4661D-0D68-4367-99F4-D90883CE6B29}"/>
    <cellStyle name="Comma 2 259 2 3 3 5" xfId="20501" xr:uid="{CF690E5F-6448-461C-9CA4-BE9EA0F7EBB3}"/>
    <cellStyle name="Comma 2 259 2 3 3 5 2" xfId="20502" xr:uid="{F8193AB4-138E-46F7-B655-F90ABC9B430A}"/>
    <cellStyle name="Comma 2 259 2 3 3 5 2 2" xfId="20503" xr:uid="{77C7BEF2-8A02-4511-BEBF-870725BB30AF}"/>
    <cellStyle name="Comma 2 259 2 3 3 5 3" xfId="20504" xr:uid="{30E3779B-335D-4928-BB7A-D583EB12F17F}"/>
    <cellStyle name="Comma 2 259 2 3 3 6" xfId="20506" xr:uid="{BEABAA62-238B-4361-86D0-94273335A4AF}"/>
    <cellStyle name="Comma 2 259 2 3 3 6 2" xfId="20507" xr:uid="{A6961D63-9C52-4363-8EDF-FEDE73D5624E}"/>
    <cellStyle name="Comma 2 259 2 3 3 7" xfId="20508" xr:uid="{59D5B4A8-C409-4AF8-9A2E-21EA9E678955}"/>
    <cellStyle name="Comma 2 259 2 3 3 8" xfId="20509" xr:uid="{B4A78296-B2E4-48C6-BA21-2A4106754511}"/>
    <cellStyle name="Comma 2 259 2 3 4" xfId="20510" xr:uid="{B80B1479-B8C4-4A16-8075-F06075621263}"/>
    <cellStyle name="Comma 2 259 2 3 4 2" xfId="20514" xr:uid="{D8CB250C-E248-4163-AED1-B8B721495884}"/>
    <cellStyle name="Comma 2 259 2 3 4 2 2" xfId="20517" xr:uid="{EEADA9E7-ABBE-46A3-9A8D-B394348D3BD4}"/>
    <cellStyle name="Comma 2 259 2 3 4 2 2 2" xfId="10883" xr:uid="{48A0DDC7-450B-4E2E-BC52-0844AD2F2C1F}"/>
    <cellStyle name="Comma 2 259 2 3 4 2 2 2 2" xfId="20518" xr:uid="{94A7F037-A546-49ED-AFAD-937C443898C7}"/>
    <cellStyle name="Comma 2 259 2 3 4 2 2 2 2 2" xfId="20519" xr:uid="{DB9B9E16-B843-4B75-B841-6BB6768C68E1}"/>
    <cellStyle name="Comma 2 259 2 3 4 2 2 2 3" xfId="20524" xr:uid="{9B71AB82-1CD4-4C33-8132-6BDBF8A3F788}"/>
    <cellStyle name="Comma 2 259 2 3 4 2 2 3" xfId="20525" xr:uid="{ACEDC266-A56E-43CB-BA4E-DDAFBC8343B0}"/>
    <cellStyle name="Comma 2 259 2 3 4 2 2 3 2" xfId="18337" xr:uid="{1F962C55-C994-44A7-A5F9-9598B8D809D0}"/>
    <cellStyle name="Comma 2 259 2 3 4 2 2 4" xfId="20526" xr:uid="{2530E20C-9C5C-4DDE-BBAF-A25D30BFE626}"/>
    <cellStyle name="Comma 2 259 2 3 4 2 3" xfId="8273" xr:uid="{9E390E6D-A633-420B-852B-8A7B3D5285D4}"/>
    <cellStyle name="Comma 2 259 2 3 4 2 3 2" xfId="18677" xr:uid="{6BF23ED6-B67C-40A6-94C9-988EF4E46BCE}"/>
    <cellStyle name="Comma 2 259 2 3 4 2 3 2 2" xfId="18680" xr:uid="{D7D5B35E-F4EE-4AEE-8A0B-55747D0265A6}"/>
    <cellStyle name="Comma 2 259 2 3 4 2 3 3" xfId="10475" xr:uid="{793FA7F3-E27C-4697-9FCB-5B76C059DFB4}"/>
    <cellStyle name="Comma 2 259 2 3 4 2 4" xfId="20529" xr:uid="{69B25425-4720-45C8-872B-1519AF228900}"/>
    <cellStyle name="Comma 2 259 2 3 4 2 4 2" xfId="19446" xr:uid="{6FAABC30-464A-4D30-BD8F-7CF12E2A0C57}"/>
    <cellStyle name="Comma 2 259 2 3 4 2 5" xfId="20532" xr:uid="{7DB211A1-E411-4FFD-85B3-1A70E1EBDD34}"/>
    <cellStyle name="Comma 2 259 2 3 4 3" xfId="20537" xr:uid="{70FD9E9E-096D-4E03-9FE9-9D441119F34C}"/>
    <cellStyle name="Comma 2 259 2 3 4 3 2" xfId="20538" xr:uid="{E48B2709-6DB7-4B54-B1A8-C285E7067E13}"/>
    <cellStyle name="Comma 2 259 2 3 4 3 2 2" xfId="20546" xr:uid="{F0465CD6-4FC6-4222-A481-2F01DB394CA4}"/>
    <cellStyle name="Comma 2 259 2 3 4 3 2 2 2" xfId="20550" xr:uid="{A4A7FEBF-4FB4-4FFB-B0E5-8E3DDE5823E1}"/>
    <cellStyle name="Comma 2 259 2 3 4 3 2 3" xfId="20553" xr:uid="{584E2884-9426-4D65-88AD-B750D279ACDF}"/>
    <cellStyle name="Comma 2 259 2 3 4 3 3" xfId="20554" xr:uid="{CE210615-1EB7-4228-B42F-D8D0C11CE915}"/>
    <cellStyle name="Comma 2 259 2 3 4 3 3 2" xfId="20563" xr:uid="{97F3002F-3780-48DE-AED0-98DCB0D3FDCA}"/>
    <cellStyle name="Comma 2 259 2 3 4 3 4" xfId="20564" xr:uid="{D18510FD-C986-413B-AB0C-310F05EB5B45}"/>
    <cellStyle name="Comma 2 259 2 3 4 4" xfId="2166" xr:uid="{77344DB3-7BD1-4ECF-B5AB-F863877D815F}"/>
    <cellStyle name="Comma 2 259 2 3 4 4 2" xfId="2170" xr:uid="{F238DF6B-4C97-4638-BD0F-EB40A6FAC426}"/>
    <cellStyle name="Comma 2 259 2 3 4 4 2 2" xfId="14364" xr:uid="{ADA051DB-0388-426F-B457-70D9C3E6C1DD}"/>
    <cellStyle name="Comma 2 259 2 3 4 4 3" xfId="20571" xr:uid="{B7C216A2-32F3-4C1A-810C-3D5A4D8C89B1}"/>
    <cellStyle name="Comma 2 259 2 3 4 5" xfId="2172" xr:uid="{5157D438-59C0-49D5-97BD-FBAC48FEF429}"/>
    <cellStyle name="Comma 2 259 2 3 4 5 2" xfId="20572" xr:uid="{C1D8DB86-41E6-4270-B025-A50917127C7F}"/>
    <cellStyle name="Comma 2 259 2 3 4 6" xfId="20574" xr:uid="{38416D8F-A08A-48EB-A98E-9C44791B921C}"/>
    <cellStyle name="Comma 2 259 2 3 4 7" xfId="20576" xr:uid="{DA875592-0D23-45A5-BA7B-D4ED99C9D5A4}"/>
    <cellStyle name="Comma 2 259 2 3 5" xfId="20577" xr:uid="{6C54337C-1837-4988-9B3C-78DA1A903552}"/>
    <cellStyle name="Comma 2 259 2 3 5 2" xfId="20581" xr:uid="{33328D6E-8356-4FA7-A62C-C59FC5754A0D}"/>
    <cellStyle name="Comma 2 259 2 3 5 2 2" xfId="20584" xr:uid="{82509071-1D22-4E53-B53D-09BCD64838EC}"/>
    <cellStyle name="Comma 2 259 2 3 5 2 2 2" xfId="20588" xr:uid="{38E14153-4CEE-4CB5-9D53-79E4126A303D}"/>
    <cellStyle name="Comma 2 259 2 3 5 2 2 2 2" xfId="20592" xr:uid="{8F284F58-3EB1-406B-A299-B0359021F4D0}"/>
    <cellStyle name="Comma 2 259 2 3 5 2 2 3" xfId="20596" xr:uid="{B27935BD-0000-42A0-84F8-29732810C007}"/>
    <cellStyle name="Comma 2 259 2 3 5 2 3" xfId="20601" xr:uid="{5641C5E7-3DC7-4CF8-A997-CE28C6BCD581}"/>
    <cellStyle name="Comma 2 259 2 3 5 2 3 2" xfId="20604" xr:uid="{BF18AFF6-ACBD-4E03-9331-3EE98FC5F43B}"/>
    <cellStyle name="Comma 2 259 2 3 5 2 4" xfId="20607" xr:uid="{19527D2F-CEF7-4000-B81D-4276C7F8CD9A}"/>
    <cellStyle name="Comma 2 259 2 3 5 3" xfId="20611" xr:uid="{851AE3DB-E3F0-4C99-B96B-C98E375949C2}"/>
    <cellStyle name="Comma 2 259 2 3 5 3 2" xfId="20614" xr:uid="{FF71B7F6-8955-4653-A00A-AACA25825647}"/>
    <cellStyle name="Comma 2 259 2 3 5 3 2 2" xfId="20618" xr:uid="{FCA98F71-046C-478A-BB74-3CA6FB6807AD}"/>
    <cellStyle name="Comma 2 259 2 3 5 3 3" xfId="20621" xr:uid="{3C837F27-97C3-4370-9E21-BF826AA75879}"/>
    <cellStyle name="Comma 2 259 2 3 5 4" xfId="2177" xr:uid="{FFA0680F-A0BF-4CC0-AA4D-31E007A51AC1}"/>
    <cellStyle name="Comma 2 259 2 3 5 4 2" xfId="2181" xr:uid="{817A3227-E2BB-4B39-9EE2-0CAEC3173B42}"/>
    <cellStyle name="Comma 2 259 2 3 5 5" xfId="2185" xr:uid="{FF7482C5-48B3-465B-A007-2CE852D17BA3}"/>
    <cellStyle name="Comma 2 259 2 3 6" xfId="20622" xr:uid="{513CB437-DBED-4183-BAC6-C797DE644B23}"/>
    <cellStyle name="Comma 2 259 2 3 6 2" xfId="20625" xr:uid="{B7666B78-6E5B-496A-9EC0-DCC5BC53309B}"/>
    <cellStyle name="Comma 2 259 2 3 6 2 2" xfId="20629" xr:uid="{2CB32C77-63F6-48A0-81A7-4E6A9406F61B}"/>
    <cellStyle name="Comma 2 259 2 3 6 2 2 2" xfId="20632" xr:uid="{D80742E0-F017-4382-8536-A555CD36B016}"/>
    <cellStyle name="Comma 2 259 2 3 6 2 3" xfId="20634" xr:uid="{93517A23-44EE-4BCF-BF48-00FC5ED4D6AE}"/>
    <cellStyle name="Comma 2 259 2 3 6 3" xfId="20638" xr:uid="{4FA6E14E-D777-4262-AE85-BDC6F1C83A14}"/>
    <cellStyle name="Comma 2 259 2 3 6 3 2" xfId="20642" xr:uid="{AE6590CE-1859-4D20-89D2-D091E3299E5E}"/>
    <cellStyle name="Comma 2 259 2 3 6 4" xfId="2194" xr:uid="{CFE77EC7-495F-4E1F-AE59-54B502EB3DB5}"/>
    <cellStyle name="Comma 2 259 2 3 7" xfId="20644" xr:uid="{3917201C-6A66-43DC-89B5-AE0B1DA87240}"/>
    <cellStyle name="Comma 2 259 2 3 7 2" xfId="20645" xr:uid="{FBE9B655-5752-4D54-B330-805553230CC4}"/>
    <cellStyle name="Comma 2 259 2 3 7 2 2" xfId="20646" xr:uid="{E29EF98A-37EE-47F0-8F36-53DE0CE19E76}"/>
    <cellStyle name="Comma 2 259 2 3 7 3" xfId="20648" xr:uid="{2AD086B9-B019-4769-A6B2-1D94D844BDEB}"/>
    <cellStyle name="Comma 2 259 2 3 8" xfId="20649" xr:uid="{E2D61B26-19D9-4D6E-B550-88B22A848F09}"/>
    <cellStyle name="Comma 2 259 2 3 8 2" xfId="20650" xr:uid="{A6058FF3-987E-4B79-9DEE-A3B90F73CD20}"/>
    <cellStyle name="Comma 2 259 2 3 9" xfId="20651" xr:uid="{9CB0D630-25FC-4CE5-8E67-C8CAD0D741A1}"/>
    <cellStyle name="Comma 2 259 2 4" xfId="12614" xr:uid="{354044C4-50EE-4ABF-8EC7-25655B333FCF}"/>
    <cellStyle name="Comma 2 259 2 4 2" xfId="20652" xr:uid="{08446F86-6C2C-4095-AD61-C6EDE170A2EB}"/>
    <cellStyle name="Comma 2 259 2 4 2 2" xfId="20655" xr:uid="{BCB2BF08-FF3C-4457-99A6-1AA94A31AA52}"/>
    <cellStyle name="Comma 2 259 2 4 2 2 2" xfId="20657" xr:uid="{D6EFC7AA-5629-4841-9AD7-DF14C05DE252}"/>
    <cellStyle name="Comma 2 259 2 4 2 2 2 2" xfId="20659" xr:uid="{A73FFE8E-7187-4217-A97D-3B4EDFB2C7CD}"/>
    <cellStyle name="Comma 2 259 2 4 2 2 2 2 2" xfId="20660" xr:uid="{DA0D8AC3-9863-47FB-9EDC-0AB1721B0C63}"/>
    <cellStyle name="Comma 2 259 2 4 2 2 2 2 2 2" xfId="20661" xr:uid="{D4B4A651-316C-407E-98EA-5282956A10BD}"/>
    <cellStyle name="Comma 2 259 2 4 2 2 2 2 2 2 2" xfId="20662" xr:uid="{ECA68243-034C-4601-95E4-6587300919E0}"/>
    <cellStyle name="Comma 2 259 2 4 2 2 2 2 2 3" xfId="20663" xr:uid="{15529C32-7F49-4495-A7CA-0D7349BB9106}"/>
    <cellStyle name="Comma 2 259 2 4 2 2 2 2 3" xfId="20664" xr:uid="{6B09AC9F-F391-4667-B936-03E63E486EA8}"/>
    <cellStyle name="Comma 2 259 2 4 2 2 2 2 3 2" xfId="20665" xr:uid="{51D0A510-1E9B-4CDA-A59E-A416A8CB2A8E}"/>
    <cellStyle name="Comma 2 259 2 4 2 2 2 2 4" xfId="20666" xr:uid="{D72DB6E8-BCEC-440F-B9FB-E323C2D785C2}"/>
    <cellStyle name="Comma 2 259 2 4 2 2 2 3" xfId="20667" xr:uid="{B0885762-D60C-4F55-B1CF-49BA89168754}"/>
    <cellStyle name="Comma 2 259 2 4 2 2 2 3 2" xfId="20668" xr:uid="{8DEC017B-7FE8-420C-BA96-D762CCCB334E}"/>
    <cellStyle name="Comma 2 259 2 4 2 2 2 3 2 2" xfId="20669" xr:uid="{B3BD2E59-5698-4326-8549-F2FE5F4EF04B}"/>
    <cellStyle name="Comma 2 259 2 4 2 2 2 3 3" xfId="20671" xr:uid="{9C647A99-29C1-4E13-9F16-EB95733B9160}"/>
    <cellStyle name="Comma 2 259 2 4 2 2 2 4" xfId="20672" xr:uid="{F8712F2D-3837-4710-9FA6-6EEC070343A5}"/>
    <cellStyle name="Comma 2 259 2 4 2 2 2 4 2" xfId="20673" xr:uid="{792C16E5-D54D-4180-98BF-13B19BF7D88B}"/>
    <cellStyle name="Comma 2 259 2 4 2 2 2 5" xfId="20674" xr:uid="{A9068B1E-26D4-4FE2-908D-D7EAB85B4D9E}"/>
    <cellStyle name="Comma 2 259 2 4 2 2 3" xfId="20675" xr:uid="{9B84578A-76EE-4016-9545-7F4512F6B0B2}"/>
    <cellStyle name="Comma 2 259 2 4 2 2 3 2" xfId="20676" xr:uid="{20F7BC17-8F92-4235-A35A-02942D24D72D}"/>
    <cellStyle name="Comma 2 259 2 4 2 2 3 2 2" xfId="20677" xr:uid="{E2D9704D-EEE6-4556-8992-FEFDB70DFAA9}"/>
    <cellStyle name="Comma 2 259 2 4 2 2 3 2 2 2" xfId="20678" xr:uid="{70DA77C2-50F6-4F1C-B2BE-C158BC7D4EE0}"/>
    <cellStyle name="Comma 2 259 2 4 2 2 3 2 3" xfId="20679" xr:uid="{F0596DCF-FEBA-40CD-B880-BC6B1FCE39F3}"/>
    <cellStyle name="Comma 2 259 2 4 2 2 3 3" xfId="10506" xr:uid="{28336B6D-633E-403D-8253-5DECFB71FFFE}"/>
    <cellStyle name="Comma 2 259 2 4 2 2 3 3 2" xfId="10508" xr:uid="{636DDE23-A6FF-45C6-9F47-7EC7E9B1F969}"/>
    <cellStyle name="Comma 2 259 2 4 2 2 3 4" xfId="10510" xr:uid="{DD0FEF3A-BF65-420D-8CF9-8695E26AFDEB}"/>
    <cellStyle name="Comma 2 259 2 4 2 2 4" xfId="20680" xr:uid="{23904A74-9EC3-4707-A43E-F7CCDE0E9EA6}"/>
    <cellStyle name="Comma 2 259 2 4 2 2 4 2" xfId="20681" xr:uid="{2A0B90C3-927B-471C-98B8-964BB9A6D4F9}"/>
    <cellStyle name="Comma 2 259 2 4 2 2 4 2 2" xfId="20682" xr:uid="{D6296200-40E6-42AB-96BE-8068CD0DF749}"/>
    <cellStyle name="Comma 2 259 2 4 2 2 4 3" xfId="10514" xr:uid="{67920999-E910-4467-AF65-A98FD74B83F6}"/>
    <cellStyle name="Comma 2 259 2 4 2 2 5" xfId="20683" xr:uid="{961BCE90-2717-43B9-A6E1-A240B5E03282}"/>
    <cellStyle name="Comma 2 259 2 4 2 2 5 2" xfId="20685" xr:uid="{EDAF0E4D-E3D4-40A2-B48C-E52017A5B44D}"/>
    <cellStyle name="Comma 2 259 2 4 2 2 6" xfId="20686" xr:uid="{F032B98F-60EA-4690-B872-2800BF7FD73F}"/>
    <cellStyle name="Comma 2 259 2 4 2 2 7" xfId="20684" xr:uid="{B3CB83B4-E35E-478D-8AF4-B523086B5FAB}"/>
    <cellStyle name="Comma 2 259 2 4 2 3" xfId="20687" xr:uid="{06168E7F-D4BF-4C23-BF5D-A80F58535883}"/>
    <cellStyle name="Comma 2 259 2 4 2 3 2" xfId="20688" xr:uid="{D4398CE9-8EB8-4BFB-9D12-FC0CA697F4E0}"/>
    <cellStyle name="Comma 2 259 2 4 2 3 2 2" xfId="20689" xr:uid="{927046FB-DDC7-4ADB-A5A2-6189398CDEF1}"/>
    <cellStyle name="Comma 2 259 2 4 2 3 2 2 2" xfId="20690" xr:uid="{34A84E58-1E9C-4BAF-A334-5D6375F15A97}"/>
    <cellStyle name="Comma 2 259 2 4 2 3 2 2 2 2" xfId="20693" xr:uid="{692E6585-CE67-4F1E-844A-5FFD0E56EFCB}"/>
    <cellStyle name="Comma 2 259 2 4 2 3 2 2 3" xfId="20694" xr:uid="{C302C184-682A-4E8C-AC88-25BDC97366EF}"/>
    <cellStyle name="Comma 2 259 2 4 2 3 2 3" xfId="20695" xr:uid="{1E1EA742-73B0-4C8E-A28C-D9602345DCDC}"/>
    <cellStyle name="Comma 2 259 2 4 2 3 2 3 2" xfId="20696" xr:uid="{FA3AC890-B378-460C-92C5-3871551C371E}"/>
    <cellStyle name="Comma 2 259 2 4 2 3 2 4" xfId="20697" xr:uid="{650DC2EC-786B-4DCB-8F7D-CDC129FB3C15}"/>
    <cellStyle name="Comma 2 259 2 4 2 3 3" xfId="20698" xr:uid="{B6741D71-F468-405C-9C26-F54F54025C16}"/>
    <cellStyle name="Comma 2 259 2 4 2 3 3 2" xfId="20699" xr:uid="{CF519F66-18AE-49F7-9EA0-728359F3626D}"/>
    <cellStyle name="Comma 2 259 2 4 2 3 3 2 2" xfId="20700" xr:uid="{BF312821-82E7-48D0-A065-E6C83527DBFC}"/>
    <cellStyle name="Comma 2 259 2 4 2 3 3 3" xfId="10520" xr:uid="{6BA4866F-1283-4B6F-8B1B-37EDF050D211}"/>
    <cellStyle name="Comma 2 259 2 4 2 3 4" xfId="20701" xr:uid="{B469F60C-E7A7-4E69-B985-1ED04C423E50}"/>
    <cellStyle name="Comma 2 259 2 4 2 3 4 2" xfId="20702" xr:uid="{DEADE86F-0EF5-45CE-87B4-EDCC8E3BB2C4}"/>
    <cellStyle name="Comma 2 259 2 4 2 3 5" xfId="20704" xr:uid="{613E58A6-8908-4990-AC59-9D8F8146BFA0}"/>
    <cellStyle name="Comma 2 259 2 4 2 4" xfId="20705" xr:uid="{881374BF-4EDD-42EC-8DF1-E8195DF8F0D3}"/>
    <cellStyle name="Comma 2 259 2 4 2 4 2" xfId="14244" xr:uid="{9F7E06D2-3D4E-45C4-B031-8CE704AEF747}"/>
    <cellStyle name="Comma 2 259 2 4 2 4 2 2" xfId="20708" xr:uid="{F3EF545C-28BA-43B4-A29F-36FBC7F558D1}"/>
    <cellStyle name="Comma 2 259 2 4 2 4 2 2 2" xfId="18290" xr:uid="{9105652D-2572-49E7-A4A3-C3AD2AC229C8}"/>
    <cellStyle name="Comma 2 259 2 4 2 4 2 3" xfId="20710" xr:uid="{1C9FC114-A407-4D35-9A21-60D3A88A029A}"/>
    <cellStyle name="Comma 2 259 2 4 2 4 3" xfId="20711" xr:uid="{85FD0E76-4415-41FE-A83F-1E99AC3CB018}"/>
    <cellStyle name="Comma 2 259 2 4 2 4 3 2" xfId="20713" xr:uid="{10EF5C91-EA5E-4DBA-AD81-C90CC8F7EC98}"/>
    <cellStyle name="Comma 2 259 2 4 2 4 4" xfId="20714" xr:uid="{771E511F-ECCF-4C33-871C-8A3417187BF7}"/>
    <cellStyle name="Comma 2 259 2 4 2 5" xfId="20715" xr:uid="{023F6612-6F09-4C0D-9FA4-9799489EB824}"/>
    <cellStyle name="Comma 2 259 2 4 2 5 2" xfId="20716" xr:uid="{EBD6DCAE-5990-4DAF-A1A4-977A13FC2DC0}"/>
    <cellStyle name="Comma 2 259 2 4 2 5 2 2" xfId="20717" xr:uid="{08EEB51A-4C99-4AB9-963F-A5DD0DAA5489}"/>
    <cellStyle name="Comma 2 259 2 4 2 5 3" xfId="20718" xr:uid="{3134CCD4-962C-489D-ABC3-1D171FC19173}"/>
    <cellStyle name="Comma 2 259 2 4 2 6" xfId="20719" xr:uid="{66E1B006-8B96-4DAB-AEA9-84640F80C50B}"/>
    <cellStyle name="Comma 2 259 2 4 2 6 2" xfId="20720" xr:uid="{6F6FED65-B176-4F5B-BCC8-717EA352EDAC}"/>
    <cellStyle name="Comma 2 259 2 4 2 7" xfId="20721" xr:uid="{F5FABE0F-FE53-4855-9A80-5417053B454A}"/>
    <cellStyle name="Comma 2 259 2 4 2 8" xfId="20722" xr:uid="{B8DFF0DD-6B3F-4FDC-91B7-429714BE8809}"/>
    <cellStyle name="Comma 2 259 2 4 3" xfId="20723" xr:uid="{55ED98EB-1BB5-4913-804B-13ED83D35F75}"/>
    <cellStyle name="Comma 2 259 2 4 3 2" xfId="20728" xr:uid="{2AF73607-BCEA-40FB-8246-8944A2918154}"/>
    <cellStyle name="Comma 2 259 2 4 3 2 2" xfId="20730" xr:uid="{3F892791-715A-4959-B3BC-4AECF43BD63B}"/>
    <cellStyle name="Comma 2 259 2 4 3 2 2 2" xfId="20731" xr:uid="{31E17F69-0D7D-4132-AB09-5735F1D695BA}"/>
    <cellStyle name="Comma 2 259 2 4 3 2 2 2 2" xfId="20732" xr:uid="{DC19231F-3441-4B14-BF61-B3CAD9231E75}"/>
    <cellStyle name="Comma 2 259 2 4 3 2 2 2 2 2" xfId="20738" xr:uid="{72C05D59-F980-4C34-85EF-A075431E821F}"/>
    <cellStyle name="Comma 2 259 2 4 3 2 2 2 3" xfId="20739" xr:uid="{FE1A67E7-62A7-4E32-B1D3-D821979936C8}"/>
    <cellStyle name="Comma 2 259 2 4 3 2 2 3" xfId="20740" xr:uid="{C8C6019B-1CA3-49CF-BEB6-BF64CFD80228}"/>
    <cellStyle name="Comma 2 259 2 4 3 2 2 3 2" xfId="20741" xr:uid="{6BD52F25-EB69-42D3-A5AB-3E19AD301D79}"/>
    <cellStyle name="Comma 2 259 2 4 3 2 2 4" xfId="20742" xr:uid="{348B7B07-F7B7-4B05-8881-A9C9B458F069}"/>
    <cellStyle name="Comma 2 259 2 4 3 2 3" xfId="7651" xr:uid="{9FA41CE7-ECB1-4874-B310-5A24B0D718A4}"/>
    <cellStyle name="Comma 2 259 2 4 3 2 3 2" xfId="20743" xr:uid="{AB3D24E2-5793-4F4B-A992-5E774F8A7678}"/>
    <cellStyle name="Comma 2 259 2 4 3 2 3 2 2" xfId="20744" xr:uid="{54855010-06DB-4357-BB29-A9957EB0B3E0}"/>
    <cellStyle name="Comma 2 259 2 4 3 2 3 3" xfId="10531" xr:uid="{52006B68-8E71-4EC4-A12A-2AB85C91FDED}"/>
    <cellStyle name="Comma 2 259 2 4 3 2 4" xfId="20745" xr:uid="{F4FFB3E2-6751-4EEC-B778-376227115EBE}"/>
    <cellStyle name="Comma 2 259 2 4 3 2 4 2" xfId="20746" xr:uid="{D5DBB607-C847-4ABA-878B-192684725AD9}"/>
    <cellStyle name="Comma 2 259 2 4 3 2 5" xfId="20747" xr:uid="{087737F6-EF89-4D76-8ADC-6C22C5AAF4BB}"/>
    <cellStyle name="Comma 2 259 2 4 3 3" xfId="20750" xr:uid="{433E356C-6B37-4B16-9770-EE16C03BC0C7}"/>
    <cellStyle name="Comma 2 259 2 4 3 3 2" xfId="20751" xr:uid="{8D22EA60-9021-432F-BFD8-A0AA92C11657}"/>
    <cellStyle name="Comma 2 259 2 4 3 3 2 2" xfId="20753" xr:uid="{455025FF-95FB-4CE1-A8C6-6678C6DC79F2}"/>
    <cellStyle name="Comma 2 259 2 4 3 3 2 2 2" xfId="20754" xr:uid="{D1BD1FFD-0467-489B-9BC7-CB45DDB5D2EC}"/>
    <cellStyle name="Comma 2 259 2 4 3 3 2 3" xfId="20755" xr:uid="{E8E60E6F-00FF-4861-8B66-4147A3BD78BF}"/>
    <cellStyle name="Comma 2 259 2 4 3 3 3" xfId="20756" xr:uid="{D2E035E7-8B83-45F9-9BCE-63301C22B57E}"/>
    <cellStyle name="Comma 2 259 2 4 3 3 3 2" xfId="20757" xr:uid="{F97B8109-F9C5-4A97-B0E7-59D73F637D5D}"/>
    <cellStyle name="Comma 2 259 2 4 3 3 4" xfId="20758" xr:uid="{3BA166A7-CD3F-44D0-AD75-FF5338819B8B}"/>
    <cellStyle name="Comma 2 259 2 4 3 4" xfId="20759" xr:uid="{B3401B23-81A6-41EB-9A67-CBFC56506D21}"/>
    <cellStyle name="Comma 2 259 2 4 3 4 2" xfId="20760" xr:uid="{31427C98-A12C-48E1-ABC8-B63D280516E3}"/>
    <cellStyle name="Comma 2 259 2 4 3 4 2 2" xfId="20762" xr:uid="{3268A0D9-C694-4916-8099-59B000DEA1AF}"/>
    <cellStyle name="Comma 2 259 2 4 3 4 3" xfId="20763" xr:uid="{4F20C9EA-B200-45F1-BBC3-EB71F0666163}"/>
    <cellStyle name="Comma 2 259 2 4 3 5" xfId="20764" xr:uid="{2F5DFBDF-9290-42B0-A177-0C194693395C}"/>
    <cellStyle name="Comma 2 259 2 4 3 5 2" xfId="20765" xr:uid="{A5BB6DA3-C090-43FB-8407-9826D3A80B2E}"/>
    <cellStyle name="Comma 2 259 2 4 3 6" xfId="20766" xr:uid="{1F1EF271-449E-425E-A85F-4F50EC658A58}"/>
    <cellStyle name="Comma 2 259 2 4 3 7" xfId="20767" xr:uid="{D104DE2B-762D-454D-805C-BEBF50657863}"/>
    <cellStyle name="Comma 2 259 2 4 4" xfId="20768" xr:uid="{BFD23568-BA1A-4B82-9498-EE6CAB22D367}"/>
    <cellStyle name="Comma 2 259 2 4 4 2" xfId="20770" xr:uid="{4B97E40A-BFD8-4145-B066-19B7164F4A58}"/>
    <cellStyle name="Comma 2 259 2 4 4 2 2" xfId="20771" xr:uid="{D18E8A2B-8E6B-4C26-A41A-2D16F1697A94}"/>
    <cellStyle name="Comma 2 259 2 4 4 2 2 2" xfId="20772" xr:uid="{29B087F9-CCF7-4950-8201-CF82D298AD20}"/>
    <cellStyle name="Comma 2 259 2 4 4 2 2 2 2" xfId="20774" xr:uid="{292C72ED-D793-4BD7-B7F7-BCC394C9D096}"/>
    <cellStyle name="Comma 2 259 2 4 4 2 2 3" xfId="12145" xr:uid="{267BFFF7-40F7-43D4-9627-6CC67A37D3B3}"/>
    <cellStyle name="Comma 2 259 2 4 4 2 3" xfId="20775" xr:uid="{E18A9218-C00C-4847-904B-5795A7ADE009}"/>
    <cellStyle name="Comma 2 259 2 4 4 2 3 2" xfId="20776" xr:uid="{372423DD-E847-44E2-9342-5B218F1A421E}"/>
    <cellStyle name="Comma 2 259 2 4 4 2 4" xfId="20777" xr:uid="{2903F862-DBB2-411E-912A-C664BE05FFFF}"/>
    <cellStyle name="Comma 2 259 2 4 4 3" xfId="20779" xr:uid="{62A96F1D-7D9F-4C23-83F3-87C450FF4182}"/>
    <cellStyle name="Comma 2 259 2 4 4 3 2" xfId="20782" xr:uid="{ABD4AAEE-AA18-4E56-9568-183A4FDB3D38}"/>
    <cellStyle name="Comma 2 259 2 4 4 3 2 2" xfId="20783" xr:uid="{824F7A3F-D84B-4202-B3B0-681F862CD132}"/>
    <cellStyle name="Comma 2 259 2 4 4 3 3" xfId="20786" xr:uid="{A48DC72F-B764-4C50-837A-F5C1744F2CB3}"/>
    <cellStyle name="Comma 2 259 2 4 4 4" xfId="2198" xr:uid="{7DE3DC17-70FE-43F4-9143-004C3A0D0C33}"/>
    <cellStyle name="Comma 2 259 2 4 4 4 2" xfId="20789" xr:uid="{D336B0DF-7DAD-4C2A-A489-88938F660C83}"/>
    <cellStyle name="Comma 2 259 2 4 4 5" xfId="20790" xr:uid="{1E64A741-002C-4D69-8C63-224789C069A9}"/>
    <cellStyle name="Comma 2 259 2 4 5" xfId="20791" xr:uid="{82FDA1B7-9B89-4815-AAD4-BFBA1997F294}"/>
    <cellStyle name="Comma 2 259 2 4 5 2" xfId="20792" xr:uid="{44B06845-16E0-4556-9C78-5BA3724E985E}"/>
    <cellStyle name="Comma 2 259 2 4 5 2 2" xfId="11726" xr:uid="{FC1C7D6B-C7F1-403E-9EF5-BAB90B6523F6}"/>
    <cellStyle name="Comma 2 259 2 4 5 2 2 2" xfId="20793" xr:uid="{031E4796-EEBE-4C59-8CBD-5D2298AE3B53}"/>
    <cellStyle name="Comma 2 259 2 4 5 2 3" xfId="20794" xr:uid="{9B48A709-8421-4B1A-B658-7BBAD8A275B3}"/>
    <cellStyle name="Comma 2 259 2 4 5 3" xfId="20795" xr:uid="{425CE51D-6215-4BCD-A480-7FF8E39B80E5}"/>
    <cellStyle name="Comma 2 259 2 4 5 3 2" xfId="20796" xr:uid="{D8A5C911-ECC0-47FD-9519-0E2D318D7DEF}"/>
    <cellStyle name="Comma 2 259 2 4 5 4" xfId="20797" xr:uid="{86DEDBB1-E624-43D4-8AA4-766F2CB902AE}"/>
    <cellStyle name="Comma 2 259 2 4 6" xfId="20798" xr:uid="{FCE6754C-8A1A-4293-A970-47C383070EEE}"/>
    <cellStyle name="Comma 2 259 2 4 6 2" xfId="20799" xr:uid="{55461032-FABB-4B70-9597-09616123D449}"/>
    <cellStyle name="Comma 2 259 2 4 6 2 2" xfId="20800" xr:uid="{F6679143-664B-402C-A590-6CE627937B80}"/>
    <cellStyle name="Comma 2 259 2 4 6 3" xfId="20802" xr:uid="{576267F1-3110-441F-8C2F-15CECAC5F1BB}"/>
    <cellStyle name="Comma 2 259 2 4 7" xfId="20803" xr:uid="{B4E2652A-4D5B-4418-8C20-BD6F25671B2E}"/>
    <cellStyle name="Comma 2 259 2 4 7 2" xfId="20804" xr:uid="{6758FCE2-A026-466D-B36E-72871D68DA9D}"/>
    <cellStyle name="Comma 2 259 2 4 8" xfId="20805" xr:uid="{6A48C869-1ADD-4E88-B2BC-1A9720F72546}"/>
    <cellStyle name="Comma 2 259 2 4 9" xfId="20806" xr:uid="{470FCB23-E1A3-4C41-9A9E-90B9C2A6FCDA}"/>
    <cellStyle name="Comma 2 259 2 5" xfId="20808" xr:uid="{331D32D8-F7CC-4EEE-A647-B8E8CDA54BD3}"/>
    <cellStyle name="Comma 2 259 2 5 2" xfId="20811" xr:uid="{66DD2E40-E661-431F-A6A4-8C78F744470B}"/>
    <cellStyle name="Comma 2 259 2 5 2 2" xfId="20813" xr:uid="{C54CBDF8-A5E0-4546-8554-4B9E3C1AF012}"/>
    <cellStyle name="Comma 2 259 2 5 2 2 2" xfId="20816" xr:uid="{803D5D33-DDBA-45CB-B09A-F36A8451CF79}"/>
    <cellStyle name="Comma 2 259 2 5 2 2 2 2" xfId="10238" xr:uid="{E5D3D199-C904-4E91-BD6A-36EE6546FDB6}"/>
    <cellStyle name="Comma 2 259 2 5 2 2 2 2 2" xfId="10240" xr:uid="{0169837E-F88F-4928-BBCF-022AF5F0FEC4}"/>
    <cellStyle name="Comma 2 259 2 5 2 2 2 2 2 2" xfId="10242" xr:uid="{F27DABCB-2F19-40E7-A96A-103D8C3D572C}"/>
    <cellStyle name="Comma 2 259 2 5 2 2 2 2 3" xfId="5286" xr:uid="{AD51FB64-A3C5-46EF-A5CA-25AAEBCA7D97}"/>
    <cellStyle name="Comma 2 259 2 5 2 2 2 3" xfId="10244" xr:uid="{1C37CD55-838D-4C85-B65E-3E930316CB5F}"/>
    <cellStyle name="Comma 2 259 2 5 2 2 2 3 2" xfId="10247" xr:uid="{715C39DA-CD9E-4BF4-A6C3-EF0866047571}"/>
    <cellStyle name="Comma 2 259 2 5 2 2 2 4" xfId="10249" xr:uid="{6B1F78C7-8DA4-4EF0-8C56-7181F5DE9D66}"/>
    <cellStyle name="Comma 2 259 2 5 2 2 3" xfId="20817" xr:uid="{0ABE2965-3F00-4AFD-9B95-1E201BCEAD1E}"/>
    <cellStyle name="Comma 2 259 2 5 2 2 3 2" xfId="10300" xr:uid="{616F9345-43E2-4E78-B8BA-24E17F0539BC}"/>
    <cellStyle name="Comma 2 259 2 5 2 2 3 2 2" xfId="10302" xr:uid="{8899C3A6-A3A5-4D72-9F07-E5F46F71B6CF}"/>
    <cellStyle name="Comma 2 259 2 5 2 2 3 3" xfId="10304" xr:uid="{2B6C3787-1164-40BC-9EC3-84D8AE58D61E}"/>
    <cellStyle name="Comma 2 259 2 5 2 2 4" xfId="20818" xr:uid="{F6A97D66-76B1-4DC1-96F1-0AE59A8E09BF}"/>
    <cellStyle name="Comma 2 259 2 5 2 2 4 2" xfId="10334" xr:uid="{EB1C4863-4910-4276-B09F-D4CC9DCB5494}"/>
    <cellStyle name="Comma 2 259 2 5 2 2 5" xfId="20820" xr:uid="{28751CF9-6315-4D4D-9A04-4B3CC27DEDA2}"/>
    <cellStyle name="Comma 2 259 2 5 2 3" xfId="20821" xr:uid="{0D699DD2-3089-482D-8418-8D5935B30010}"/>
    <cellStyle name="Comma 2 259 2 5 2 3 2" xfId="20822" xr:uid="{B5A86ED4-B576-4395-82F0-5C2B1B837BA4}"/>
    <cellStyle name="Comma 2 259 2 5 2 3 2 2" xfId="13926" xr:uid="{78E7C3AC-FA09-4A85-BCA5-5C062ED4AD65}"/>
    <cellStyle name="Comma 2 259 2 5 2 3 2 2 2" xfId="13928" xr:uid="{1084F185-5C6E-4CCE-8F93-CBFD1D799C9C}"/>
    <cellStyle name="Comma 2 259 2 5 2 3 2 3" xfId="13931" xr:uid="{D6BCF683-A155-4FDE-8126-CE1B8D6C7119}"/>
    <cellStyle name="Comma 2 259 2 5 2 3 3" xfId="20823" xr:uid="{CAEE5881-3201-4D69-B1E7-A894E87D43D4}"/>
    <cellStyle name="Comma 2 259 2 5 2 3 3 2" xfId="14028" xr:uid="{CA7849B1-A07B-4D34-8525-4C036C87C59F}"/>
    <cellStyle name="Comma 2 259 2 5 2 3 4" xfId="20824" xr:uid="{D79DF258-B952-4A19-8A1C-6B2B6B7C6C8F}"/>
    <cellStyle name="Comma 2 259 2 5 2 4" xfId="20825" xr:uid="{6C0791BB-8B20-4294-8552-FEFF787C28C2}"/>
    <cellStyle name="Comma 2 259 2 5 2 4 2" xfId="20826" xr:uid="{8EA39F15-0ECA-4E8C-8B13-CCD2B61DC693}"/>
    <cellStyle name="Comma 2 259 2 5 2 4 2 2" xfId="15663" xr:uid="{00099BBB-1B51-4026-AF74-9AE250C09C83}"/>
    <cellStyle name="Comma 2 259 2 5 2 4 3" xfId="20827" xr:uid="{9BBC3851-E697-460B-BC2F-B40A9453C4E2}"/>
    <cellStyle name="Comma 2 259 2 5 2 5" xfId="20828" xr:uid="{0EDFE6D7-AE05-491D-8B00-BF23CCCDB69D}"/>
    <cellStyle name="Comma 2 259 2 5 2 5 2" xfId="20829" xr:uid="{1214450C-B5D4-4E2E-BA3C-28D8AAB97B3C}"/>
    <cellStyle name="Comma 2 259 2 5 2 6" xfId="20830" xr:uid="{43525EA9-F470-49C3-A7FB-355056B93163}"/>
    <cellStyle name="Comma 2 259 2 5 2 7" xfId="20831" xr:uid="{1369DFE9-58CD-4D2F-ABFC-1D2B33BF8479}"/>
    <cellStyle name="Comma 2 259 2 5 3" xfId="20832" xr:uid="{36AF3F3E-1E47-4F11-AC62-00E1D92504A8}"/>
    <cellStyle name="Comma 2 259 2 5 3 2" xfId="20835" xr:uid="{04536889-767C-4F2D-A16A-0C02F2FFAFD0}"/>
    <cellStyle name="Comma 2 259 2 5 3 2 2" xfId="7330" xr:uid="{43B6490A-E466-4D3B-8A5E-2622B509C85A}"/>
    <cellStyle name="Comma 2 259 2 5 3 2 2 2" xfId="20836" xr:uid="{E1603854-C0C4-4E05-A58F-5AECD77FFDD3}"/>
    <cellStyle name="Comma 2 259 2 5 3 2 2 2 2" xfId="20837" xr:uid="{965E8AD3-FD46-40AD-BC7F-76C249685B87}"/>
    <cellStyle name="Comma 2 259 2 5 3 2 2 3" xfId="20838" xr:uid="{A17DE64F-33B4-4291-8E96-3FC3D5255541}"/>
    <cellStyle name="Comma 2 259 2 5 3 2 3" xfId="20839" xr:uid="{02664A63-257B-40C6-81DE-41E7C6C468B8}"/>
    <cellStyle name="Comma 2 259 2 5 3 2 3 2" xfId="20840" xr:uid="{6ADD45F8-9C10-4386-980F-2BE67E91220E}"/>
    <cellStyle name="Comma 2 259 2 5 3 2 4" xfId="20841" xr:uid="{94BD97B4-473C-4D41-AE3B-586AA00DEE52}"/>
    <cellStyle name="Comma 2 259 2 5 3 3" xfId="20842" xr:uid="{708A0544-CF49-4590-8B4D-9B045FC5D98E}"/>
    <cellStyle name="Comma 2 259 2 5 3 3 2" xfId="20843" xr:uid="{A78A7260-531A-461D-AD6B-5356B7165A22}"/>
    <cellStyle name="Comma 2 259 2 5 3 3 2 2" xfId="20844" xr:uid="{72E25965-37B7-4D4D-A253-79C974F6241F}"/>
    <cellStyle name="Comma 2 259 2 5 3 3 3" xfId="20845" xr:uid="{1145E90C-807E-4C79-BC18-F911EDA01EB8}"/>
    <cellStyle name="Comma 2 259 2 5 3 4" xfId="20846" xr:uid="{022572E1-3EE5-403F-AB0F-08A4CA99BCBF}"/>
    <cellStyle name="Comma 2 259 2 5 3 4 2" xfId="20847" xr:uid="{5195F4B4-21B3-4664-B17F-BDF6F298A503}"/>
    <cellStyle name="Comma 2 259 2 5 3 5" xfId="20848" xr:uid="{5B717D8C-0A1F-43A5-836F-98FE2D6F4BD7}"/>
    <cellStyle name="Comma 2 259 2 5 4" xfId="20849" xr:uid="{5AA196B6-7B20-4A3F-B72B-FC1DF46CDF76}"/>
    <cellStyle name="Comma 2 259 2 5 4 2" xfId="10377" xr:uid="{4631CD76-E89F-4145-92C0-ACFF5200CF9E}"/>
    <cellStyle name="Comma 2 259 2 5 4 2 2" xfId="20850" xr:uid="{CE1D6AE4-5192-4554-ADCC-F1FEA21E71CC}"/>
    <cellStyle name="Comma 2 259 2 5 4 2 2 2" xfId="20851" xr:uid="{5B32DC3E-3C28-4F2B-831E-116A36B4D493}"/>
    <cellStyle name="Comma 2 259 2 5 4 2 3" xfId="20852" xr:uid="{E626E4CA-1DC8-46A4-80D3-6A4764E8BB93}"/>
    <cellStyle name="Comma 2 259 2 5 4 3" xfId="10379" xr:uid="{A6D204F9-2B49-487C-A82A-B21C37E68031}"/>
    <cellStyle name="Comma 2 259 2 5 4 3 2" xfId="20853" xr:uid="{7A8DD644-481E-42D5-9BAA-EC229B304731}"/>
    <cellStyle name="Comma 2 259 2 5 4 4" xfId="2212" xr:uid="{7110CE34-D276-4577-BFDD-A7B85B7B33F8}"/>
    <cellStyle name="Comma 2 259 2 5 5" xfId="20854" xr:uid="{57D21A72-C63D-417B-BE8B-E14F35BF8B4C}"/>
    <cellStyle name="Comma 2 259 2 5 5 2" xfId="20855" xr:uid="{847C8409-BF0A-4AB2-912E-86211D487B7F}"/>
    <cellStyle name="Comma 2 259 2 5 5 2 2" xfId="20856" xr:uid="{7007947A-6F89-4D75-B1DB-CE7EA0AB22C5}"/>
    <cellStyle name="Comma 2 259 2 5 5 3" xfId="20857" xr:uid="{6B3701FC-70D0-4CCD-A500-AE2C1B2EC9DF}"/>
    <cellStyle name="Comma 2 259 2 5 6" xfId="20858" xr:uid="{4B5B6EA0-7E9F-4F65-A7C9-64074FDEEDB9}"/>
    <cellStyle name="Comma 2 259 2 5 6 2" xfId="20859" xr:uid="{71081980-56FE-4570-AB48-0F72C166A73D}"/>
    <cellStyle name="Comma 2 259 2 5 7" xfId="20861" xr:uid="{07A09668-F341-4A06-849F-E850FBDA299E}"/>
    <cellStyle name="Comma 2 259 2 5 8" xfId="20862" xr:uid="{C18B3AD3-0B75-413D-8BC5-3287608B3BC7}"/>
    <cellStyle name="Comma 2 259 2 6" xfId="7981" xr:uid="{85F4C93B-7825-4CC8-A91D-542CCD9C653C}"/>
    <cellStyle name="Comma 2 259 2 6 2" xfId="20863" xr:uid="{778E8DD3-04E4-46DF-AE71-B6B7FB6CEDE0}"/>
    <cellStyle name="Comma 2 259 2 6 2 2" xfId="20864" xr:uid="{05CF6F0A-2121-45C4-A7C6-876A395D0E62}"/>
    <cellStyle name="Comma 2 259 2 6 2 2 2" xfId="20868" xr:uid="{7024AEE4-564A-432E-B491-9DC48824E897}"/>
    <cellStyle name="Comma 2 259 2 6 2 2 2 2" xfId="1623" xr:uid="{9006B246-773A-4382-80FD-96734E78D5F1}"/>
    <cellStyle name="Comma 2 259 2 6 2 2 2 2 2" xfId="20870" xr:uid="{3A9CBB87-CE70-448D-ACE2-28E5F5C78458}"/>
    <cellStyle name="Comma 2 259 2 6 2 2 2 3" xfId="1624" xr:uid="{46870BE4-FD60-4A07-A8FC-99D400AB4F3A}"/>
    <cellStyle name="Comma 2 259 2 6 2 2 3" xfId="20871" xr:uid="{517C496E-E694-41BD-974B-92005E00212C}"/>
    <cellStyle name="Comma 2 259 2 6 2 2 3 2" xfId="20872" xr:uid="{81ED26AE-43A1-4142-968B-90CEB58B46E6}"/>
    <cellStyle name="Comma 2 259 2 6 2 2 4" xfId="20873" xr:uid="{5FBA9245-668F-45AF-ABBB-3A360240D020}"/>
    <cellStyle name="Comma 2 259 2 6 2 3" xfId="20875" xr:uid="{A6329FCB-C3A1-40B8-8C50-5D730B05AEC5}"/>
    <cellStyle name="Comma 2 259 2 6 2 3 2" xfId="4644" xr:uid="{E04ADAB6-5733-44E0-8603-1353D2917587}"/>
    <cellStyle name="Comma 2 259 2 6 2 3 2 2" xfId="1656" xr:uid="{E7335305-7BCB-4DAF-9A13-DFDE36CA2D44}"/>
    <cellStyle name="Comma 2 259 2 6 2 3 3" xfId="20877" xr:uid="{23DEFBFB-0D08-4B69-917D-A8BA7AC69AE1}"/>
    <cellStyle name="Comma 2 259 2 6 2 4" xfId="20878" xr:uid="{001630F0-DADB-41D6-B8A9-845CCC391F14}"/>
    <cellStyle name="Comma 2 259 2 6 2 4 2" xfId="20880" xr:uid="{BBEAEF62-6C44-45F4-9D4D-697B32BE5A06}"/>
    <cellStyle name="Comma 2 259 2 6 2 5" xfId="20881" xr:uid="{E3CBFF0A-68BB-48AD-AE62-8FEF763E4D7C}"/>
    <cellStyle name="Comma 2 259 2 6 3" xfId="20882" xr:uid="{0BD05785-1B68-454E-BED3-3B68ACF07F08}"/>
    <cellStyle name="Comma 2 259 2 6 3 2" xfId="20883" xr:uid="{0D831D01-2ECF-455E-96D0-499CBBF88CEA}"/>
    <cellStyle name="Comma 2 259 2 6 3 2 2" xfId="20885" xr:uid="{90D6144E-AF71-4912-9CB7-B2526A0087A9}"/>
    <cellStyle name="Comma 2 259 2 6 3 2 2 2" xfId="20886" xr:uid="{B54E3289-8EC0-4065-8739-2283DB0C8C05}"/>
    <cellStyle name="Comma 2 259 2 6 3 2 3" xfId="20887" xr:uid="{5C08D85C-096D-4449-9A2A-AE267F793FD7}"/>
    <cellStyle name="Comma 2 259 2 6 3 3" xfId="20888" xr:uid="{360979F9-21B1-4A34-8171-C2B78A4DB392}"/>
    <cellStyle name="Comma 2 259 2 6 3 3 2" xfId="20889" xr:uid="{C6F9A53D-376D-4986-AD1A-80EF150FF0CB}"/>
    <cellStyle name="Comma 2 259 2 6 3 4" xfId="20890" xr:uid="{D25C842B-26CB-4D89-99D1-A1DBD2C8BBC4}"/>
    <cellStyle name="Comma 2 259 2 6 4" xfId="20891" xr:uid="{CF1ABD00-AF04-430D-9DB6-936C65DDBBC8}"/>
    <cellStyle name="Comma 2 259 2 6 4 2" xfId="20892" xr:uid="{894831FD-9160-47A7-9B64-6D6370A1D359}"/>
    <cellStyle name="Comma 2 259 2 6 4 2 2" xfId="20893" xr:uid="{3BCEB210-C610-4E7C-B4B2-3BB9616207C5}"/>
    <cellStyle name="Comma 2 259 2 6 4 3" xfId="7874" xr:uid="{A11A6A2A-1E3B-44D4-ACC6-89BFE13588E1}"/>
    <cellStyle name="Comma 2 259 2 6 5" xfId="20894" xr:uid="{35CC5CFF-3C16-4432-AF95-6B09B393CF67}"/>
    <cellStyle name="Comma 2 259 2 6 5 2" xfId="20895" xr:uid="{C58C4179-9DD1-4886-96E0-7D6DCE6C1639}"/>
    <cellStyle name="Comma 2 259 2 6 6" xfId="20896" xr:uid="{E3CF560F-48FE-4884-B5DC-AED2AE7C2E05}"/>
    <cellStyle name="Comma 2 259 2 6 7" xfId="20897" xr:uid="{98C2C156-8511-4878-BB29-6ACA31EDC682}"/>
    <cellStyle name="Comma 2 259 2 7" xfId="20898" xr:uid="{C39FC9C4-8C15-472C-B278-B3AB7693AC35}"/>
    <cellStyle name="Comma 2 259 2 7 2" xfId="20901" xr:uid="{C9EE6974-6E7A-4208-9768-8AB75E0B1964}"/>
    <cellStyle name="Comma 2 259 2 7 2 2" xfId="20902" xr:uid="{08DD3969-658A-4E18-9D56-04317FE52D18}"/>
    <cellStyle name="Comma 2 259 2 7 2 2 2" xfId="20904" xr:uid="{C6E260CB-9998-45AE-9675-2B87CE712101}"/>
    <cellStyle name="Comma 2 259 2 7 2 2 2 2" xfId="20905" xr:uid="{0B674BF0-12CF-428A-9AF9-F4FD80B8E85A}"/>
    <cellStyle name="Comma 2 259 2 7 2 2 3" xfId="20906" xr:uid="{1E91489A-9117-4178-8776-7F857ED1636F}"/>
    <cellStyle name="Comma 2 259 2 7 2 3" xfId="13835" xr:uid="{509AE6AA-6CCF-49AF-9ADD-21F29E2AB3A3}"/>
    <cellStyle name="Comma 2 259 2 7 2 3 2" xfId="20907" xr:uid="{EA724507-6427-496E-8334-16C23A62BBBE}"/>
    <cellStyle name="Comma 2 259 2 7 2 4" xfId="20908" xr:uid="{E21EC460-0810-44F0-9234-2EE388825601}"/>
    <cellStyle name="Comma 2 259 2 7 3" xfId="20909" xr:uid="{D814FF36-8ACE-4C70-9154-ADF04178A84F}"/>
    <cellStyle name="Comma 2 259 2 7 3 2" xfId="1723" xr:uid="{37C128A8-34B7-4192-8054-6AD99D8F304B}"/>
    <cellStyle name="Comma 2 259 2 7 3 2 2" xfId="1304" xr:uid="{8E367974-98E9-462A-9CE3-02B48EA6A6C7}"/>
    <cellStyle name="Comma 2 259 2 7 3 3" xfId="4290" xr:uid="{15F998A0-CA51-4BA7-B1E0-26CCD142D8E2}"/>
    <cellStyle name="Comma 2 259 2 7 4" xfId="20910" xr:uid="{4BC375E3-55C9-4E1A-8C18-496B61DA34EF}"/>
    <cellStyle name="Comma 2 259 2 7 4 2" xfId="603" xr:uid="{B766A93B-AE78-4C2A-8373-3E58617969D0}"/>
    <cellStyle name="Comma 2 259 2 7 5" xfId="20912" xr:uid="{B34D37BB-EFBA-4E27-9417-99E88234AF27}"/>
    <cellStyle name="Comma 2 259 2 8" xfId="20913" xr:uid="{6D2ED2A2-21EF-4805-901C-4DA616BFE391}"/>
    <cellStyle name="Comma 2 259 2 8 2" xfId="5061" xr:uid="{E806066E-4C66-430B-BAB9-AE4C5591407B}"/>
    <cellStyle name="Comma 2 259 2 8 2 2" xfId="20914" xr:uid="{6B5B9DF5-B598-4C94-AB5F-3AECE9A83C7E}"/>
    <cellStyle name="Comma 2 259 2 8 2 2 2" xfId="20916" xr:uid="{9E20993C-A2A9-4B55-AE8B-78A03A866500}"/>
    <cellStyle name="Comma 2 259 2 8 2 3" xfId="20917" xr:uid="{A869C034-ED0D-4EF1-9AD1-5F1FAC7D5B39}"/>
    <cellStyle name="Comma 2 259 2 8 3" xfId="20918" xr:uid="{98D6AD6C-1435-4512-A151-1256915FEC1D}"/>
    <cellStyle name="Comma 2 259 2 8 3 2" xfId="75" xr:uid="{130DCD1F-4B2E-45EA-9459-CB4F4C001332}"/>
    <cellStyle name="Comma 2 259 2 8 4" xfId="20920" xr:uid="{A8738535-5E0F-4EDA-9CD5-628C3F304679}"/>
    <cellStyle name="Comma 2 259 2 9" xfId="20921" xr:uid="{501325C6-8758-4500-ACB3-BCB5B935DE30}"/>
    <cellStyle name="Comma 2 259 2 9 2" xfId="20922" xr:uid="{71C1022D-4DF9-46E4-BB1F-A255090B984A}"/>
    <cellStyle name="Comma 2 259 2 9 2 2" xfId="20923" xr:uid="{14FE3988-6DB3-4D8E-A9BE-9762719994C0}"/>
    <cellStyle name="Comma 2 259 2 9 3" xfId="20925" xr:uid="{22687C4D-7275-4A74-A10A-AE41D59B99F1}"/>
    <cellStyle name="Comma 2 259 3" xfId="443" xr:uid="{FCEF265B-AA46-4741-BE92-6B171CC38C2C}"/>
    <cellStyle name="Comma 2 259 3 10" xfId="20928" xr:uid="{8EA096B9-65BE-47B3-97F0-50C62820ABEA}"/>
    <cellStyle name="Comma 2 259 3 11" xfId="20933" xr:uid="{0C2EBE8E-BF01-42E6-8017-EAA4F7E86433}"/>
    <cellStyle name="Comma 2 259 3 2" xfId="3497" xr:uid="{33995A5A-EC00-4878-A11C-7AA11CF18FD9}"/>
    <cellStyle name="Comma 2 259 3 2 10" xfId="20935" xr:uid="{74C6689B-5747-46DF-8137-4738DFAE971E}"/>
    <cellStyle name="Comma 2 259 3 2 2" xfId="12617" xr:uid="{14CA4D79-08F3-4FB6-A337-6B8766C72F0E}"/>
    <cellStyle name="Comma 2 259 3 2 2 2" xfId="19952" xr:uid="{45B9B0A4-0A29-4BC2-B8BB-227E212DBE23}"/>
    <cellStyle name="Comma 2 259 3 2 2 2 2" xfId="19955" xr:uid="{03387AFB-A8D3-4188-BE04-C7D7C1B455D1}"/>
    <cellStyle name="Comma 2 259 3 2 2 2 2 2" xfId="20939" xr:uid="{9FF659FB-961F-4F37-B59E-B3ACD67B8CE9}"/>
    <cellStyle name="Comma 2 259 3 2 2 2 2 2 2" xfId="7192" xr:uid="{84A57672-09B4-442E-8B1F-DFBFF1034D37}"/>
    <cellStyle name="Comma 2 259 3 2 2 2 2 2 2 2" xfId="7194" xr:uid="{33E59D82-3BC0-4DCC-9CE6-E343FE887719}"/>
    <cellStyle name="Comma 2 259 3 2 2 2 2 2 2 2 2" xfId="20940" xr:uid="{B702F942-C578-4E9E-B438-4208ADE62C04}"/>
    <cellStyle name="Comma 2 259 3 2 2 2 2 2 2 2 2 2" xfId="20941" xr:uid="{751BC972-03ED-495A-A7E3-1DA5B70D5566}"/>
    <cellStyle name="Comma 2 259 3 2 2 2 2 2 2 2 3" xfId="20942" xr:uid="{8D0D4472-0B64-4152-B829-DF8A5B70E0E6}"/>
    <cellStyle name="Comma 2 259 3 2 2 2 2 2 2 3" xfId="20943" xr:uid="{4647C5B4-C368-49B3-A4CB-55D14AA909E6}"/>
    <cellStyle name="Comma 2 259 3 2 2 2 2 2 2 3 2" xfId="20944" xr:uid="{EA7ED8B0-F093-4C18-AD47-C32F7C3B444F}"/>
    <cellStyle name="Comma 2 259 3 2 2 2 2 2 2 4" xfId="19656" xr:uid="{67157939-92F0-44B1-8D97-B95838EA7587}"/>
    <cellStyle name="Comma 2 259 3 2 2 2 2 2 3" xfId="7196" xr:uid="{2E5A008E-CC10-4C2B-A65B-C7855A1C1AD1}"/>
    <cellStyle name="Comma 2 259 3 2 2 2 2 2 3 2" xfId="20945" xr:uid="{333C944F-DEBA-4CEB-903A-34A0E42CDE73}"/>
    <cellStyle name="Comma 2 259 3 2 2 2 2 2 3 2 2" xfId="20946" xr:uid="{56EA3CBE-B976-4D80-8E24-5BCD4A3BE688}"/>
    <cellStyle name="Comma 2 259 3 2 2 2 2 2 3 3" xfId="20947" xr:uid="{745232C3-01CB-46BD-B596-1208D964B7C7}"/>
    <cellStyle name="Comma 2 259 3 2 2 2 2 2 4" xfId="7199" xr:uid="{943A9CC6-54B7-478A-8E90-1E690682C8FB}"/>
    <cellStyle name="Comma 2 259 3 2 2 2 2 2 4 2" xfId="20948" xr:uid="{C4C6BB3B-1372-4B35-BA7A-C5FC4F6135F5}"/>
    <cellStyle name="Comma 2 259 3 2 2 2 2 2 5" xfId="20949" xr:uid="{9162EE1E-6732-49C6-9D47-A117D231B28A}"/>
    <cellStyle name="Comma 2 259 3 2 2 2 2 3" xfId="20951" xr:uid="{969E9DC0-13B6-4A0A-A4B7-E33FD449FA08}"/>
    <cellStyle name="Comma 2 259 3 2 2 2 2 3 2" xfId="7240" xr:uid="{C1C9EE4A-7F18-4404-A4E6-464462465B29}"/>
    <cellStyle name="Comma 2 259 3 2 2 2 2 3 2 2" xfId="20952" xr:uid="{AD8BC93B-BF0A-4001-AEB2-CA1F82C846E1}"/>
    <cellStyle name="Comma 2 259 3 2 2 2 2 3 2 2 2" xfId="20953" xr:uid="{F231BF40-86DE-4022-BEF9-5D25CD78191F}"/>
    <cellStyle name="Comma 2 259 3 2 2 2 2 3 2 3" xfId="4262" xr:uid="{65459F6C-569B-464A-8932-6D41AB8FF4E9}"/>
    <cellStyle name="Comma 2 259 3 2 2 2 2 3 3" xfId="7242" xr:uid="{04B4C573-30CC-43CF-B494-27647204D006}"/>
    <cellStyle name="Comma 2 259 3 2 2 2 2 3 3 2" xfId="9298" xr:uid="{807F40FB-CAF8-4CD1-9A7B-6AFFC0A157C1}"/>
    <cellStyle name="Comma 2 259 3 2 2 2 2 3 4" xfId="20954" xr:uid="{600BF23F-C94A-4125-9645-04A7D4744736}"/>
    <cellStyle name="Comma 2 259 3 2 2 2 2 4" xfId="20955" xr:uid="{89567627-7CEE-4159-A7CB-6FB0619E9B60}"/>
    <cellStyle name="Comma 2 259 3 2 2 2 2 4 2" xfId="20956" xr:uid="{A5A255B1-DC50-4A1D-A444-3EC2C191EEEF}"/>
    <cellStyle name="Comma 2 259 3 2 2 2 2 4 2 2" xfId="20957" xr:uid="{1D05F795-FE22-4D7F-A3A3-ABF457DAFF65}"/>
    <cellStyle name="Comma 2 259 3 2 2 2 2 4 3" xfId="20958" xr:uid="{9BC87E80-969A-4393-9C67-FD21BF07F9CA}"/>
    <cellStyle name="Comma 2 259 3 2 2 2 2 5" xfId="20959" xr:uid="{018952C6-4336-46A0-80ED-F64E95B79E11}"/>
    <cellStyle name="Comma 2 259 3 2 2 2 2 5 2" xfId="20960" xr:uid="{5619FA71-F862-4112-9F5E-1B1AFDA58E68}"/>
    <cellStyle name="Comma 2 259 3 2 2 2 2 6" xfId="20962" xr:uid="{90D3D755-3EBB-454D-A60A-3FDC9D2227A7}"/>
    <cellStyle name="Comma 2 259 3 2 2 2 2 7" xfId="20963" xr:uid="{2EAC619D-915A-4E89-AF48-BB0A08BD03B3}"/>
    <cellStyle name="Comma 2 259 3 2 2 2 3" xfId="20964" xr:uid="{FA5E953F-D20B-4BC2-9783-1318F71B14B2}"/>
    <cellStyle name="Comma 2 259 3 2 2 2 3 2" xfId="20967" xr:uid="{59AAA0FC-096B-4194-9667-6193CE5DD783}"/>
    <cellStyle name="Comma 2 259 3 2 2 2 3 2 2" xfId="20968" xr:uid="{CFFC40EA-0AEE-49CC-AC56-58C6DD679B9E}"/>
    <cellStyle name="Comma 2 259 3 2 2 2 3 2 2 2" xfId="20969" xr:uid="{36577919-BB2D-49C5-8F58-4147FEE7C5D0}"/>
    <cellStyle name="Comma 2 259 3 2 2 2 3 2 2 2 2" xfId="20971" xr:uid="{F2370903-4878-4B08-8953-1E116F5A2122}"/>
    <cellStyle name="Comma 2 259 3 2 2 2 3 2 2 3" xfId="20972" xr:uid="{6F491B23-4399-4DF4-B53C-8758DBA68ECE}"/>
    <cellStyle name="Comma 2 259 3 2 2 2 3 2 3" xfId="15512" xr:uid="{809933AA-64B4-43EB-8159-E58AAC344434}"/>
    <cellStyle name="Comma 2 259 3 2 2 2 3 2 3 2" xfId="15515" xr:uid="{697B666E-F2BE-4125-8F22-FD289C14443A}"/>
    <cellStyle name="Comma 2 259 3 2 2 2 3 2 4" xfId="15527" xr:uid="{E5E115FD-2101-4C56-A201-5C9136486A08}"/>
    <cellStyle name="Comma 2 259 3 2 2 2 3 3" xfId="20974" xr:uid="{59496EEA-18CB-4DB5-8663-2E5651D05879}"/>
    <cellStyle name="Comma 2 259 3 2 2 2 3 3 2" xfId="20975" xr:uid="{F60F569F-B7C7-4615-A0CE-D6F021F0793D}"/>
    <cellStyle name="Comma 2 259 3 2 2 2 3 3 2 2" xfId="20976" xr:uid="{0C8057B8-9917-4216-A30C-9ACA8B422F5F}"/>
    <cellStyle name="Comma 2 259 3 2 2 2 3 3 3" xfId="15541" xr:uid="{78C077F6-181B-40A8-9928-84A421F5D3B3}"/>
    <cellStyle name="Comma 2 259 3 2 2 2 3 4" xfId="20977" xr:uid="{F0424BAD-78C1-4DA4-A09B-41B9E8282018}"/>
    <cellStyle name="Comma 2 259 3 2 2 2 3 4 2" xfId="20978" xr:uid="{2D419FFE-76BA-40A6-8322-34B43BBDA46A}"/>
    <cellStyle name="Comma 2 259 3 2 2 2 3 5" xfId="20979" xr:uid="{387A4D24-1ABD-4091-B2A9-93F39605457D}"/>
    <cellStyle name="Comma 2 259 3 2 2 2 4" xfId="20980" xr:uid="{C65015DE-8A40-4AA7-A06A-60AAB75CF3E5}"/>
    <cellStyle name="Comma 2 259 3 2 2 2 4 2" xfId="20981" xr:uid="{4CCAD815-8716-42CA-B2FE-D6F71774F496}"/>
    <cellStyle name="Comma 2 259 3 2 2 2 4 2 2" xfId="20982" xr:uid="{09D51EC5-6D00-4DAB-BF70-3349AA769863}"/>
    <cellStyle name="Comma 2 259 3 2 2 2 4 2 2 2" xfId="5593" xr:uid="{8306C6DF-669C-4258-8D08-214790953C31}"/>
    <cellStyle name="Comma 2 259 3 2 2 2 4 2 3" xfId="15570" xr:uid="{AC7A7512-5844-4249-ADFA-F2728C29FC19}"/>
    <cellStyle name="Comma 2 259 3 2 2 2 4 3" xfId="20983" xr:uid="{BD1D0404-8451-48F2-812D-B068538C4CC9}"/>
    <cellStyle name="Comma 2 259 3 2 2 2 4 3 2" xfId="20984" xr:uid="{D3536BCE-F7CA-42DF-8522-6FC7A7F706D9}"/>
    <cellStyle name="Comma 2 259 3 2 2 2 4 4" xfId="20985" xr:uid="{D860E5B9-C6E2-492A-8493-E3CAFCCA582D}"/>
    <cellStyle name="Comma 2 259 3 2 2 2 5" xfId="20987" xr:uid="{E0A6F917-29FB-4B95-92D6-DCE8CF70C02E}"/>
    <cellStyle name="Comma 2 259 3 2 2 2 5 2" xfId="20988" xr:uid="{B2F82547-7BE0-44A8-814D-AD5957046531}"/>
    <cellStyle name="Comma 2 259 3 2 2 2 5 2 2" xfId="20989" xr:uid="{003E97AC-A9FA-46AD-99C7-86B96F97A96E}"/>
    <cellStyle name="Comma 2 259 3 2 2 2 5 3" xfId="20990" xr:uid="{BB9F53F5-6A5C-4D6B-B913-91BDBF83E101}"/>
    <cellStyle name="Comma 2 259 3 2 2 2 6" xfId="20991" xr:uid="{2E548E48-5919-4DA9-B39D-471AF49C9E25}"/>
    <cellStyle name="Comma 2 259 3 2 2 2 6 2" xfId="20992" xr:uid="{52BA5EC2-FD69-420B-987F-A8951C015AC0}"/>
    <cellStyle name="Comma 2 259 3 2 2 2 7" xfId="20994" xr:uid="{2EA4CD98-4D20-4B3E-871C-EB92D36CC0DC}"/>
    <cellStyle name="Comma 2 259 3 2 2 2 8" xfId="20996" xr:uid="{B44ECCBA-D264-4F11-85C9-76F3F5EFF3A3}"/>
    <cellStyle name="Comma 2 259 3 2 2 3" xfId="19958" xr:uid="{16C9271B-BB1C-49A6-83FC-9B04F5ED3FB8}"/>
    <cellStyle name="Comma 2 259 3 2 2 3 2" xfId="20997" xr:uid="{C3384B6C-C3F3-42BF-9469-572CA0695BBD}"/>
    <cellStyle name="Comma 2 259 3 2 2 3 2 2" xfId="20999" xr:uid="{E300E8F6-E8F8-4222-883E-2827E50309D4}"/>
    <cellStyle name="Comma 2 259 3 2 2 3 2 2 2" xfId="15486" xr:uid="{0CFB90C0-F261-4E60-AAD0-3EE744772D46}"/>
    <cellStyle name="Comma 2 259 3 2 2 3 2 2 2 2" xfId="15488" xr:uid="{E0C15DBB-7AFF-4EA0-B0A6-83C8150A987C}"/>
    <cellStyle name="Comma 2 259 3 2 2 3 2 2 2 2 2" xfId="15493" xr:uid="{DB756FF0-C8C1-41C4-8207-188A16008F38}"/>
    <cellStyle name="Comma 2 259 3 2 2 3 2 2 2 3" xfId="15497" xr:uid="{49C94015-E608-475D-84D4-BEBAC3B6DBBC}"/>
    <cellStyle name="Comma 2 259 3 2 2 3 2 2 3" xfId="15499" xr:uid="{BA637800-D7EA-45AB-84FD-1E5F94D6BF7B}"/>
    <cellStyle name="Comma 2 259 3 2 2 3 2 2 3 2" xfId="15502" xr:uid="{D9776EA1-BD09-47D5-9776-09CD40F7D7B2}"/>
    <cellStyle name="Comma 2 259 3 2 2 3 2 2 4" xfId="15504" xr:uid="{B02DDA37-40BD-4FB9-AB61-C65F1AAC7582}"/>
    <cellStyle name="Comma 2 259 3 2 2 3 2 3" xfId="21000" xr:uid="{230DA847-9883-4EC1-8640-F735A8A5E40E}"/>
    <cellStyle name="Comma 2 259 3 2 2 3 2 3 2" xfId="15608" xr:uid="{F126758D-5F01-42D2-8832-1A083F0EECF9}"/>
    <cellStyle name="Comma 2 259 3 2 2 3 2 3 2 2" xfId="15611" xr:uid="{959A619A-9576-47F4-BE35-981C4F447420}"/>
    <cellStyle name="Comma 2 259 3 2 2 3 2 3 3" xfId="15613" xr:uid="{6DFC396D-77CC-4493-A837-1197AE23BA12}"/>
    <cellStyle name="Comma 2 259 3 2 2 3 2 4" xfId="4407" xr:uid="{B05419EC-3518-49D5-AA44-235BF20D9F18}"/>
    <cellStyle name="Comma 2 259 3 2 2 3 2 4 2" xfId="15666" xr:uid="{E5677385-206F-4A7B-B1E1-32D91C71502C}"/>
    <cellStyle name="Comma 2 259 3 2 2 3 2 5" xfId="21001" xr:uid="{615B7652-A651-4575-8087-4870AE380807}"/>
    <cellStyle name="Comma 2 259 3 2 2 3 3" xfId="21002" xr:uid="{C1195AF6-EAF0-4838-AFCC-48210F47A576}"/>
    <cellStyle name="Comma 2 259 3 2 2 3 3 2" xfId="21003" xr:uid="{DA5FEAC8-8376-4B51-A33A-AA9E8F5BBBDE}"/>
    <cellStyle name="Comma 2 259 3 2 2 3 3 2 2" xfId="21004" xr:uid="{B3EB3FFF-D74F-4692-B32A-E56BDE56FEA3}"/>
    <cellStyle name="Comma 2 259 3 2 2 3 3 2 2 2" xfId="21006" xr:uid="{A9CA0425-CCDC-463B-97C9-61C9CC18BE63}"/>
    <cellStyle name="Comma 2 259 3 2 2 3 3 2 3" xfId="15618" xr:uid="{A15D26E9-61D7-4B81-9192-04D047F1B7AC}"/>
    <cellStyle name="Comma 2 259 3 2 2 3 3 3" xfId="21007" xr:uid="{0F851052-CFC6-4549-A2EB-0C61CDEA9E89}"/>
    <cellStyle name="Comma 2 259 3 2 2 3 3 3 2" xfId="21008" xr:uid="{8C0E8720-F178-407B-AB73-ADD6E84EE6B5}"/>
    <cellStyle name="Comma 2 259 3 2 2 3 3 4" xfId="21009" xr:uid="{A8167DD7-3671-4B46-8488-3069C9B2E9EB}"/>
    <cellStyle name="Comma 2 259 3 2 2 3 4" xfId="21010" xr:uid="{4DCE8F1F-85F3-4D48-926C-06B3E329566D}"/>
    <cellStyle name="Comma 2 259 3 2 2 3 4 2" xfId="21011" xr:uid="{3A9CDF78-8BFC-4CCA-8C63-E87EB882B255}"/>
    <cellStyle name="Comma 2 259 3 2 2 3 4 2 2" xfId="16255" xr:uid="{0CE3AAFB-BB04-4937-9E22-A6A2E7D64441}"/>
    <cellStyle name="Comma 2 259 3 2 2 3 4 3" xfId="21012" xr:uid="{E0F6966A-5AEF-4871-B4D5-D2088D13B502}"/>
    <cellStyle name="Comma 2 259 3 2 2 3 5" xfId="21013" xr:uid="{2A8B007D-9E25-44E5-9D2B-89A12E1BA850}"/>
    <cellStyle name="Comma 2 259 3 2 2 3 5 2" xfId="21014" xr:uid="{F7B3AF1C-8487-4012-8900-FA390F6840FB}"/>
    <cellStyle name="Comma 2 259 3 2 2 3 6" xfId="21015" xr:uid="{43BC03D2-3953-486D-9E20-E8397022B58A}"/>
    <cellStyle name="Comma 2 259 3 2 2 3 7" xfId="21017" xr:uid="{AA761331-68DF-4724-A7C3-7550287623AF}"/>
    <cellStyle name="Comma 2 259 3 2 2 4" xfId="21018" xr:uid="{40B260FF-2561-4867-A2B4-614F29F3BC33}"/>
    <cellStyle name="Comma 2 259 3 2 2 4 2" xfId="21019" xr:uid="{70ECD447-0900-45B2-8C33-15B5FC9EAEDE}"/>
    <cellStyle name="Comma 2 259 3 2 2 4 2 2" xfId="21020" xr:uid="{9DBB5682-32E1-4787-A68C-C70893302DE7}"/>
    <cellStyle name="Comma 2 259 3 2 2 4 2 2 2" xfId="21021" xr:uid="{4877735F-2F5C-4FE9-BFEE-9DFF1B6EB96C}"/>
    <cellStyle name="Comma 2 259 3 2 2 4 2 2 2 2" xfId="21023" xr:uid="{D4487D2A-595A-4696-BC31-977DE35EB472}"/>
    <cellStyle name="Comma 2 259 3 2 2 4 2 2 3" xfId="21025" xr:uid="{E1F5153E-AE32-4724-B695-2EF1AC0426B1}"/>
    <cellStyle name="Comma 2 259 3 2 2 4 2 3" xfId="21026" xr:uid="{3F390AA7-E8D9-48F4-B014-740DDE8469E0}"/>
    <cellStyle name="Comma 2 259 3 2 2 4 2 3 2" xfId="21027" xr:uid="{FDED9203-84F9-472A-81B6-EB1E410008FB}"/>
    <cellStyle name="Comma 2 259 3 2 2 4 2 4" xfId="21028" xr:uid="{E22D3F09-F442-43FC-889E-AB0418A81160}"/>
    <cellStyle name="Comma 2 259 3 2 2 4 3" xfId="21029" xr:uid="{DC72CE02-CD4F-4955-A0B7-99290C754AEF}"/>
    <cellStyle name="Comma 2 259 3 2 2 4 3 2" xfId="21030" xr:uid="{7F0E99F3-218C-4FC6-B536-D003EBCDD2B0}"/>
    <cellStyle name="Comma 2 259 3 2 2 4 3 2 2" xfId="21031" xr:uid="{6CCBD061-0D7F-4935-83C2-646C6B4A87D2}"/>
    <cellStyle name="Comma 2 259 3 2 2 4 3 3" xfId="21034" xr:uid="{D87A3E40-A452-4BB2-9C75-DDC85C3A9DC0}"/>
    <cellStyle name="Comma 2 259 3 2 2 4 4" xfId="21035" xr:uid="{D405A375-40B3-4600-BA7A-CCC7E99AC489}"/>
    <cellStyle name="Comma 2 259 3 2 2 4 4 2" xfId="21036" xr:uid="{7186976D-4B23-42DF-B4ED-9A173E80F509}"/>
    <cellStyle name="Comma 2 259 3 2 2 4 5" xfId="21037" xr:uid="{4924E443-B586-47D6-ADA7-E68F14F3CF19}"/>
    <cellStyle name="Comma 2 259 3 2 2 5" xfId="21038" xr:uid="{88B95247-5E31-4D84-A084-C80F2A327E6A}"/>
    <cellStyle name="Comma 2 259 3 2 2 5 2" xfId="21039" xr:uid="{80318574-3F4C-4513-8B8A-B0D8E9004B64}"/>
    <cellStyle name="Comma 2 259 3 2 2 5 2 2" xfId="21040" xr:uid="{D4CF3830-26CD-462C-9D81-72668EE91B5F}"/>
    <cellStyle name="Comma 2 259 3 2 2 5 2 2 2" xfId="9161" xr:uid="{2C2CDD65-B81F-453D-B5B5-B254F95FB65D}"/>
    <cellStyle name="Comma 2 259 3 2 2 5 2 3" xfId="21041" xr:uid="{40CD1C39-06B1-4B36-84E8-C75560D0E925}"/>
    <cellStyle name="Comma 2 259 3 2 2 5 3" xfId="21042" xr:uid="{E6CA22A0-BE92-44F5-A3F8-A6660FAE10B7}"/>
    <cellStyle name="Comma 2 259 3 2 2 5 3 2" xfId="21043" xr:uid="{E4CD683E-CEF8-42C6-9793-D67B4B7F371F}"/>
    <cellStyle name="Comma 2 259 3 2 2 5 4" xfId="21044" xr:uid="{315802A6-CBE3-4362-B9DD-EA742DE9EB42}"/>
    <cellStyle name="Comma 2 259 3 2 2 6" xfId="21046" xr:uid="{22C49111-B0C6-4CB3-AD4B-7C22C5B596C3}"/>
    <cellStyle name="Comma 2 259 3 2 2 6 2" xfId="21047" xr:uid="{2C8DC670-A359-4E22-A100-701D8FD11615}"/>
    <cellStyle name="Comma 2 259 3 2 2 6 2 2" xfId="21048" xr:uid="{0C56BDFC-A56D-471B-8D53-B3D2F22047DB}"/>
    <cellStyle name="Comma 2 259 3 2 2 6 3" xfId="21049" xr:uid="{52A13FE5-C81D-4EC9-AD27-7DA91571A7B0}"/>
    <cellStyle name="Comma 2 259 3 2 2 7" xfId="21050" xr:uid="{B19C9CDF-0BB2-4A4F-B1C6-A3609C447A6C}"/>
    <cellStyle name="Comma 2 259 3 2 2 7 2" xfId="21051" xr:uid="{EFA4CA03-CAF6-48F1-B3C9-DE0575B6C7B1}"/>
    <cellStyle name="Comma 2 259 3 2 2 8" xfId="21052" xr:uid="{9CF2D638-9714-4392-91B0-5D4AC3372D99}"/>
    <cellStyle name="Comma 2 259 3 2 2 9" xfId="21054" xr:uid="{1D3F5A7C-529D-400F-AC1E-59FAE61793DB}"/>
    <cellStyle name="Comma 2 259 3 2 3" xfId="19961" xr:uid="{8035A1E9-FF4A-4374-B235-9CC1F4F6CE7D}"/>
    <cellStyle name="Comma 2 259 3 2 3 2" xfId="19966" xr:uid="{FC61E628-90EA-4FFD-A6FA-3B5EC7D70407}"/>
    <cellStyle name="Comma 2 259 3 2 3 2 2" xfId="21057" xr:uid="{49B22791-E1D3-4A73-A209-B7256D248656}"/>
    <cellStyle name="Comma 2 259 3 2 3 2 2 2" xfId="21060" xr:uid="{58306FBB-371D-4671-8CA6-0C8DBB6B7C6F}"/>
    <cellStyle name="Comma 2 259 3 2 3 2 2 2 2" xfId="21061" xr:uid="{12FB444D-5B0B-45D9-8186-25E32CCC476A}"/>
    <cellStyle name="Comma 2 259 3 2 3 2 2 2 2 2" xfId="21063" xr:uid="{DC86A8F3-F417-4195-91C3-24E9FA27D4B2}"/>
    <cellStyle name="Comma 2 259 3 2 3 2 2 2 2 2 2" xfId="21064" xr:uid="{5F776867-78BE-41C4-B37E-D737031AABB2}"/>
    <cellStyle name="Comma 2 259 3 2 3 2 2 2 2 3" xfId="21065" xr:uid="{4C31CDB1-2831-4194-BCC9-6C7044205AA3}"/>
    <cellStyle name="Comma 2 259 3 2 3 2 2 2 3" xfId="21066" xr:uid="{B1595DC7-5B22-4582-8E89-603BDB2DA73D}"/>
    <cellStyle name="Comma 2 259 3 2 3 2 2 2 3 2" xfId="21067" xr:uid="{DAA36188-E893-474D-B304-3E0776B07DDD}"/>
    <cellStyle name="Comma 2 259 3 2 3 2 2 2 4" xfId="20357" xr:uid="{336E28B2-F504-4E0E-A33F-444A7585371E}"/>
    <cellStyle name="Comma 2 259 3 2 3 2 2 3" xfId="21068" xr:uid="{E79D8E07-EAF1-43BB-AA57-5770B0CEB028}"/>
    <cellStyle name="Comma 2 259 3 2 3 2 2 3 2" xfId="21069" xr:uid="{4245ECF9-B371-4ECC-A2BF-009A909DD217}"/>
    <cellStyle name="Comma 2 259 3 2 3 2 2 3 2 2" xfId="21070" xr:uid="{80E165EF-C18A-47F4-9F99-20E9C372BB61}"/>
    <cellStyle name="Comma 2 259 3 2 3 2 2 3 3" xfId="21071" xr:uid="{79BA41D9-A06D-4394-BD14-5B93211F3C16}"/>
    <cellStyle name="Comma 2 259 3 2 3 2 2 4" xfId="21072" xr:uid="{590E495C-6ECB-40A7-8A8F-5658A9AD1C34}"/>
    <cellStyle name="Comma 2 259 3 2 3 2 2 4 2" xfId="21073" xr:uid="{0EAE1C2E-5FAB-41B4-9E50-F813276B6DFB}"/>
    <cellStyle name="Comma 2 259 3 2 3 2 2 5" xfId="10742" xr:uid="{D2107F70-3425-43D3-AC42-F2494F6C77D1}"/>
    <cellStyle name="Comma 2 259 3 2 3 2 3" xfId="21075" xr:uid="{7873837A-87F2-42BE-8717-48F944F59A1C}"/>
    <cellStyle name="Comma 2 259 3 2 3 2 3 2" xfId="21076" xr:uid="{C514A2D9-43E5-4581-A180-7F510A184A2B}"/>
    <cellStyle name="Comma 2 259 3 2 3 2 3 2 2" xfId="21077" xr:uid="{B2A9200A-2B02-47CB-B7E6-BE2088F5A4DA}"/>
    <cellStyle name="Comma 2 259 3 2 3 2 3 2 2 2" xfId="21079" xr:uid="{A115E777-2FB4-4C27-BFB0-14C8BEA5E142}"/>
    <cellStyle name="Comma 2 259 3 2 3 2 3 2 3" xfId="106" xr:uid="{5B4FDB52-3431-4E9D-A6FA-0E019716B459}"/>
    <cellStyle name="Comma 2 259 3 2 3 2 3 3" xfId="21081" xr:uid="{9FD44EEB-A173-4C55-B7B1-AA8D98752DCD}"/>
    <cellStyle name="Comma 2 259 3 2 3 2 3 3 2" xfId="21082" xr:uid="{F5504065-4EC9-432D-9E68-9D743685DE90}"/>
    <cellStyle name="Comma 2 259 3 2 3 2 3 4" xfId="21083" xr:uid="{1D8E74E9-4314-4824-A7A0-F48D08FF152A}"/>
    <cellStyle name="Comma 2 259 3 2 3 2 4" xfId="21084" xr:uid="{5EC8F1DC-8E64-4400-BFEF-F2D24AEB48B7}"/>
    <cellStyle name="Comma 2 259 3 2 3 2 4 2" xfId="21085" xr:uid="{2C3B06CA-F12D-4CB0-9EE3-BB55FA507C8E}"/>
    <cellStyle name="Comma 2 259 3 2 3 2 4 2 2" xfId="21086" xr:uid="{6C25644C-6085-4FE4-B906-2B6E30D420E9}"/>
    <cellStyle name="Comma 2 259 3 2 3 2 4 3" xfId="21087" xr:uid="{E356BAEA-81E7-4D7A-84BC-A2FAF68F86B9}"/>
    <cellStyle name="Comma 2 259 3 2 3 2 5" xfId="21088" xr:uid="{3D9557E1-C25F-4A6E-8355-493FFBC2EA7E}"/>
    <cellStyle name="Comma 2 259 3 2 3 2 5 2" xfId="10822" xr:uid="{13AED14C-DCCC-45AE-B24A-F2CDC7D8D311}"/>
    <cellStyle name="Comma 2 259 3 2 3 2 6" xfId="21089" xr:uid="{08E56D45-CC44-4471-BE3D-571A9E6A9242}"/>
    <cellStyle name="Comma 2 259 3 2 3 2 7" xfId="21091" xr:uid="{CB13178F-91EB-4B69-AA0A-B472231467AE}"/>
    <cellStyle name="Comma 2 259 3 2 3 3" xfId="21094" xr:uid="{BA5D3E48-B70E-4CF4-B2C0-D0CA4D6C621F}"/>
    <cellStyle name="Comma 2 259 3 2 3 3 2" xfId="21096" xr:uid="{350D626C-76FB-4388-9FFE-FFF37256B8EB}"/>
    <cellStyle name="Comma 2 259 3 2 3 3 2 2" xfId="21097" xr:uid="{94B13110-E2D1-49D1-83E0-0DE0A7CEFAE2}"/>
    <cellStyle name="Comma 2 259 3 2 3 3 2 2 2" xfId="21098" xr:uid="{F2223111-CB49-4F80-8321-B1A3B210DA37}"/>
    <cellStyle name="Comma 2 259 3 2 3 3 2 2 2 2" xfId="21100" xr:uid="{7940D71D-E9B2-434E-B7C2-F3B7F04AE254}"/>
    <cellStyle name="Comma 2 259 3 2 3 3 2 2 3" xfId="21105" xr:uid="{CFA4B8FF-6207-4B28-8D3C-536F53C48632}"/>
    <cellStyle name="Comma 2 259 3 2 3 3 2 3" xfId="21106" xr:uid="{36BC70A0-F652-48E4-9C2A-32F8E856BC3A}"/>
    <cellStyle name="Comma 2 259 3 2 3 3 2 3 2" xfId="21107" xr:uid="{36455023-400D-431B-96DF-B89F8836619E}"/>
    <cellStyle name="Comma 2 259 3 2 3 3 2 4" xfId="21108" xr:uid="{C09AD503-74B0-4C5D-990D-89CFE60BA807}"/>
    <cellStyle name="Comma 2 259 3 2 3 3 3" xfId="21109" xr:uid="{D2799739-DB5D-41D0-9DF2-5AA0EE0F4143}"/>
    <cellStyle name="Comma 2 259 3 2 3 3 3 2" xfId="21110" xr:uid="{07E32FBB-4D87-44D6-B1F6-0BD03B4002E5}"/>
    <cellStyle name="Comma 2 259 3 2 3 3 3 2 2" xfId="21111" xr:uid="{20A2C174-4FCF-4294-8F84-7D84DB6F47AC}"/>
    <cellStyle name="Comma 2 259 3 2 3 3 3 3" xfId="21112" xr:uid="{022B25B8-3820-471F-9B19-531CFAB84420}"/>
    <cellStyle name="Comma 2 259 3 2 3 3 4" xfId="21113" xr:uid="{9B29340C-1EFA-4430-BD28-95901522FC53}"/>
    <cellStyle name="Comma 2 259 3 2 3 3 4 2" xfId="21114" xr:uid="{7A958E4D-7929-424C-A253-EDE4E6129C8A}"/>
    <cellStyle name="Comma 2 259 3 2 3 3 5" xfId="21115" xr:uid="{699DFF7A-21AA-4057-99A5-3E47A8F55A40}"/>
    <cellStyle name="Comma 2 259 3 2 3 4" xfId="1606" xr:uid="{A3E9FC81-E0F3-4242-9C0D-CA6DAA5FC8C6}"/>
    <cellStyle name="Comma 2 259 3 2 3 4 2" xfId="17840" xr:uid="{D1ED2961-47F0-4E0E-A0F8-53CF46D78F30}"/>
    <cellStyle name="Comma 2 259 3 2 3 4 2 2" xfId="17843" xr:uid="{DDF91E2C-FC29-4B8E-8E19-FE43A5D5102B}"/>
    <cellStyle name="Comma 2 259 3 2 3 4 2 2 2" xfId="21116" xr:uid="{62350718-1F2D-4114-AA80-BBFBB720B9F7}"/>
    <cellStyle name="Comma 2 259 3 2 3 4 2 3" xfId="17845" xr:uid="{57D0788F-AA6D-4807-A834-84F8390FE3FB}"/>
    <cellStyle name="Comma 2 259 3 2 3 4 3" xfId="17847" xr:uid="{31C8A925-06D6-4861-8B1B-120231244D7F}"/>
    <cellStyle name="Comma 2 259 3 2 3 4 3 2" xfId="21117" xr:uid="{3942EE17-7890-4882-9557-B29C3CECB581}"/>
    <cellStyle name="Comma 2 259 3 2 3 4 4" xfId="17850" xr:uid="{249E8EC4-04E5-47EE-8449-4106BE6680BF}"/>
    <cellStyle name="Comma 2 259 3 2 3 5" xfId="1611" xr:uid="{749132E8-F1B0-4436-998B-69DD48584274}"/>
    <cellStyle name="Comma 2 259 3 2 3 5 2" xfId="2120" xr:uid="{CA4228C0-854A-4D65-9584-8EB217FB1430}"/>
    <cellStyle name="Comma 2 259 3 2 3 5 2 2" xfId="21118" xr:uid="{68395DA1-1EAE-4144-8E35-8CFC947A4C38}"/>
    <cellStyle name="Comma 2 259 3 2 3 5 3" xfId="17923" xr:uid="{4854BDE8-E228-4B9C-95F0-D80E106893A8}"/>
    <cellStyle name="Comma 2 259 3 2 3 6" xfId="1616" xr:uid="{DA0D546A-185F-4276-8778-FC2800733F09}"/>
    <cellStyle name="Comma 2 259 3 2 3 6 2" xfId="18436" xr:uid="{662FC9F9-5564-433F-BACA-933A3CAAF53D}"/>
    <cellStyle name="Comma 2 259 3 2 3 7" xfId="1620" xr:uid="{8E6051F5-E523-45ED-AC91-EE6B3B38288B}"/>
    <cellStyle name="Comma 2 259 3 2 3 8" xfId="1622" xr:uid="{D40F3CDA-5281-42BE-80B1-3603A2731759}"/>
    <cellStyle name="Comma 2 259 3 2 4" xfId="7591" xr:uid="{E75D50E9-F7A5-4BB9-A0F9-6B4A6D04B2A1}"/>
    <cellStyle name="Comma 2 259 3 2 4 2" xfId="7598" xr:uid="{0E69C259-EF8E-4BD3-8AA9-0E38D4CB3E5D}"/>
    <cellStyle name="Comma 2 259 3 2 4 2 2" xfId="7601" xr:uid="{162AC707-2B5C-4521-8F94-C67747D578C5}"/>
    <cellStyle name="Comma 2 259 3 2 4 2 2 2" xfId="2453" xr:uid="{43B26A8E-EC65-4C01-8B08-9E3B249EE18B}"/>
    <cellStyle name="Comma 2 259 3 2 4 2 2 2 2" xfId="21120" xr:uid="{87F34663-B04C-47D7-AD81-1B6728179082}"/>
    <cellStyle name="Comma 2 259 3 2 4 2 2 2 2 2" xfId="21122" xr:uid="{C1279537-D989-4FF6-8FB5-8885DB984CA8}"/>
    <cellStyle name="Comma 2 259 3 2 4 2 2 2 3" xfId="21124" xr:uid="{2A48CD9E-CB30-42CA-83C4-C2A84C8F371B}"/>
    <cellStyle name="Comma 2 259 3 2 4 2 2 3" xfId="21125" xr:uid="{6EDACA2A-2177-4AFE-B65F-64346C83EA67}"/>
    <cellStyle name="Comma 2 259 3 2 4 2 2 3 2" xfId="21127" xr:uid="{27112AF8-2718-4259-905F-30E32C7A675D}"/>
    <cellStyle name="Comma 2 259 3 2 4 2 2 4" xfId="21128" xr:uid="{C2578A3C-0D31-4FF2-91EE-58FA00383AB9}"/>
    <cellStyle name="Comma 2 259 3 2 4 2 3" xfId="7604" xr:uid="{63723D56-2613-4CA3-A9A6-5F8946BDCBEB}"/>
    <cellStyle name="Comma 2 259 3 2 4 2 3 2" xfId="21129" xr:uid="{25FCE3CD-3324-45D0-BEA9-95D6A1E0EF47}"/>
    <cellStyle name="Comma 2 259 3 2 4 2 3 2 2" xfId="21132" xr:uid="{9F64A22A-AE5F-4D7A-BF3D-4AB5A902A271}"/>
    <cellStyle name="Comma 2 259 3 2 4 2 3 3" xfId="21134" xr:uid="{F3034C52-2148-4934-922A-670F0F9042A5}"/>
    <cellStyle name="Comma 2 259 3 2 4 2 4" xfId="21136" xr:uid="{7E3DAF7A-79BB-4755-B3ED-162B4210BD9F}"/>
    <cellStyle name="Comma 2 259 3 2 4 2 4 2" xfId="21137" xr:uid="{067D560A-8BA8-400C-A54B-D9A9F31C5C6F}"/>
    <cellStyle name="Comma 2 259 3 2 4 2 5" xfId="21140" xr:uid="{F1B7D07C-DBE8-491D-B448-E064F83F94D9}"/>
    <cellStyle name="Comma 2 259 3 2 4 3" xfId="4932" xr:uid="{A26D2B34-8056-4C18-8482-1A688F3C0389}"/>
    <cellStyle name="Comma 2 259 3 2 4 3 2" xfId="7606" xr:uid="{D2613896-4ED7-470B-9A23-41A235222DA8}"/>
    <cellStyle name="Comma 2 259 3 2 4 3 2 2" xfId="21141" xr:uid="{52D6F6B1-CE36-4AF6-B1B2-E444648E1DB5}"/>
    <cellStyle name="Comma 2 259 3 2 4 3 2 2 2" xfId="15962" xr:uid="{5E523F1C-1C39-4F85-AC55-C727F7369D79}"/>
    <cellStyle name="Comma 2 259 3 2 4 3 2 3" xfId="21142" xr:uid="{08287A81-A8A0-4AE4-B156-DD0210382105}"/>
    <cellStyle name="Comma 2 259 3 2 4 3 3" xfId="21143" xr:uid="{3B359C22-90D4-44F5-AC37-89835CD27493}"/>
    <cellStyle name="Comma 2 259 3 2 4 3 3 2" xfId="21144" xr:uid="{58DF67A3-7911-4B84-BB65-30E72EEC98E2}"/>
    <cellStyle name="Comma 2 259 3 2 4 3 4" xfId="21146" xr:uid="{1528F187-7F13-487B-B061-210B4239DC37}"/>
    <cellStyle name="Comma 2 259 3 2 4 4" xfId="2235" xr:uid="{61591A83-65E5-4BC6-85EF-1BAB810B169B}"/>
    <cellStyle name="Comma 2 259 3 2 4 4 2" xfId="21149" xr:uid="{73040D78-1160-442B-BFE4-4016227D2A8C}"/>
    <cellStyle name="Comma 2 259 3 2 4 4 2 2" xfId="21151" xr:uid="{6E28D6E9-F795-4CF6-874E-EE4D3314C756}"/>
    <cellStyle name="Comma 2 259 3 2 4 4 3" xfId="21154" xr:uid="{9D9FF0FD-C982-4CFC-B451-CC6FA77B7B47}"/>
    <cellStyle name="Comma 2 259 3 2 4 5" xfId="4976" xr:uid="{1638A453-3012-4316-B2E7-B0F315EB962C}"/>
    <cellStyle name="Comma 2 259 3 2 4 5 2" xfId="21157" xr:uid="{9FFE8527-700F-4B5E-A2BA-CA2CDE766F8D}"/>
    <cellStyle name="Comma 2 259 3 2 4 6" xfId="21160" xr:uid="{66A916F3-98C4-4047-9C09-B3CA7E811892}"/>
    <cellStyle name="Comma 2 259 3 2 4 7" xfId="21163" xr:uid="{537D1F72-AB6A-4E86-8C8D-5456E3F647BD}"/>
    <cellStyle name="Comma 2 259 3 2 5" xfId="7608" xr:uid="{990FD7B8-A329-425C-8C59-0F4BE65E916C}"/>
    <cellStyle name="Comma 2 259 3 2 5 2" xfId="7611" xr:uid="{FC3F7984-4E59-465A-A708-F295CE3A9C65}"/>
    <cellStyle name="Comma 2 259 3 2 5 2 2" xfId="7613" xr:uid="{D50ED086-F004-42F6-8BD3-89E54D18907F}"/>
    <cellStyle name="Comma 2 259 3 2 5 2 2 2" xfId="21164" xr:uid="{E1D58DF7-2786-4ACC-A02E-1F5AF1EFF277}"/>
    <cellStyle name="Comma 2 259 3 2 5 2 2 2 2" xfId="21165" xr:uid="{C8633E48-0018-486B-982A-446F96893E40}"/>
    <cellStyle name="Comma 2 259 3 2 5 2 2 3" xfId="21166" xr:uid="{6C200EC4-6A34-4314-B6BD-1A046A574F29}"/>
    <cellStyle name="Comma 2 259 3 2 5 2 3" xfId="21167" xr:uid="{AEE74E98-D575-488C-A341-DBBA0C88D2F9}"/>
    <cellStyle name="Comma 2 259 3 2 5 2 3 2" xfId="21168" xr:uid="{3B4D917E-7870-48AA-96AA-BFD1C6F45B22}"/>
    <cellStyle name="Comma 2 259 3 2 5 2 4" xfId="21169" xr:uid="{1D4A1B9C-180B-4FD1-A0D3-4D32E2979B68}"/>
    <cellStyle name="Comma 2 259 3 2 5 3" xfId="7615" xr:uid="{B43B21E4-6AF5-48E8-AC48-E474E3BBDB3B}"/>
    <cellStyle name="Comma 2 259 3 2 5 3 2" xfId="21170" xr:uid="{6E12BD7D-F726-4D2C-9694-E4BF0D5DC87B}"/>
    <cellStyle name="Comma 2 259 3 2 5 3 2 2" xfId="21171" xr:uid="{96325FCF-DCE0-4F56-9163-52B39A873DB7}"/>
    <cellStyle name="Comma 2 259 3 2 5 3 3" xfId="21172" xr:uid="{BD511A7B-D3B5-4421-A83D-190854A022B0}"/>
    <cellStyle name="Comma 2 259 3 2 5 4" xfId="21173" xr:uid="{86DE1A96-3443-46B1-9B89-9AF5229DDF10}"/>
    <cellStyle name="Comma 2 259 3 2 5 4 2" xfId="21176" xr:uid="{D2BA30BB-FB87-46E3-A3F0-ADA2EBC47DFE}"/>
    <cellStyle name="Comma 2 259 3 2 5 5" xfId="21177" xr:uid="{29604FE9-FD4A-4F50-A150-C2C0CACC0A02}"/>
    <cellStyle name="Comma 2 259 3 2 6" xfId="6506" xr:uid="{F528A5C5-AC91-4348-A5E5-8BC62622633A}"/>
    <cellStyle name="Comma 2 259 3 2 6 2" xfId="2924" xr:uid="{6F0279A7-BCA4-49E9-9694-222936E6015E}"/>
    <cellStyle name="Comma 2 259 3 2 6 2 2" xfId="10761" xr:uid="{B31F8464-C215-46CF-A9A2-C0D0AC84C8D9}"/>
    <cellStyle name="Comma 2 259 3 2 6 2 2 2" xfId="21178" xr:uid="{9B1C7CA9-A1FC-45B6-8F1E-84EFBDC325A1}"/>
    <cellStyle name="Comma 2 259 3 2 6 2 3" xfId="17757" xr:uid="{582EE629-9D51-4A03-A1C0-1E8B2034313B}"/>
    <cellStyle name="Comma 2 259 3 2 6 3" xfId="21180" xr:uid="{BE104402-02C9-433C-B9D5-8C18D8C11C28}"/>
    <cellStyle name="Comma 2 259 3 2 6 3 2" xfId="21182" xr:uid="{A3F41CE1-02D8-417C-B3C9-7FAE1CA2433B}"/>
    <cellStyle name="Comma 2 259 3 2 6 4" xfId="21184" xr:uid="{55BBFD5E-1889-4230-A6CF-B65437574DD3}"/>
    <cellStyle name="Comma 2 259 3 2 7" xfId="6733" xr:uid="{1705E850-439B-4E08-93C6-5D6CAE53EF77}"/>
    <cellStyle name="Comma 2 259 3 2 7 2" xfId="21187" xr:uid="{CFFD8110-68E8-4B7B-954C-3CB97BDA8699}"/>
    <cellStyle name="Comma 2 259 3 2 7 2 2" xfId="21188" xr:uid="{BD60CDD3-E9C1-42C4-9BBA-D8A62F3C588E}"/>
    <cellStyle name="Comma 2 259 3 2 7 3" xfId="21190" xr:uid="{812A4E4E-4E41-437E-BB4E-78EBB8E173BB}"/>
    <cellStyle name="Comma 2 259 3 2 8" xfId="14685" xr:uid="{193E58AE-12B9-433E-B537-EE00691F2DDA}"/>
    <cellStyle name="Comma 2 259 3 2 8 2" xfId="21191" xr:uid="{D26C3757-318E-4215-87EC-8969D66C98CF}"/>
    <cellStyle name="Comma 2 259 3 2 9" xfId="8573" xr:uid="{57BA43E5-46C8-4B73-BF35-AEE06AEA0B37}"/>
    <cellStyle name="Comma 2 259 3 3" xfId="12621" xr:uid="{D6CEB402-CB93-46EB-ACA6-30E4D4DB9599}"/>
    <cellStyle name="Comma 2 259 3 3 2" xfId="19975" xr:uid="{29E1C283-F913-4805-83DA-243E13D455FC}"/>
    <cellStyle name="Comma 2 259 3 3 2 2" xfId="19978" xr:uid="{82CEF554-35BA-4E95-95A4-C536873802FD}"/>
    <cellStyle name="Comma 2 259 3 3 2 2 2" xfId="21192" xr:uid="{CFC3F64E-D324-417E-AA8D-C758F024BBD8}"/>
    <cellStyle name="Comma 2 259 3 3 2 2 2 2" xfId="21195" xr:uid="{7B966269-7127-4620-907C-E55BF21EF000}"/>
    <cellStyle name="Comma 2 259 3 3 2 2 2 2 2" xfId="21196" xr:uid="{25A92F97-FC96-4E9F-9146-F8D9D60783A8}"/>
    <cellStyle name="Comma 2 259 3 3 2 2 2 2 2 2" xfId="21198" xr:uid="{19444FFF-1DAE-4548-89FA-4152AEB6AEAD}"/>
    <cellStyle name="Comma 2 259 3 3 2 2 2 2 2 2 2" xfId="21199" xr:uid="{0CD610F3-0955-4994-B0D8-679C17619BE8}"/>
    <cellStyle name="Comma 2 259 3 3 2 2 2 2 2 3" xfId="21200" xr:uid="{66B5D633-8206-4389-98C7-70E4D7FD17B8}"/>
    <cellStyle name="Comma 2 259 3 3 2 2 2 2 3" xfId="21201" xr:uid="{C6744106-CF8C-4EDC-B0DB-11D5684428C1}"/>
    <cellStyle name="Comma 2 259 3 3 2 2 2 2 3 2" xfId="21204" xr:uid="{FCE63F09-AAF8-4FDA-8018-5E86B932D05F}"/>
    <cellStyle name="Comma 2 259 3 3 2 2 2 2 4" xfId="21205" xr:uid="{A525168F-4487-44A9-9EB2-54C6A6452EBC}"/>
    <cellStyle name="Comma 2 259 3 3 2 2 2 3" xfId="21206" xr:uid="{7772450F-ACB6-4333-B4D5-BFDD2BBFE583}"/>
    <cellStyle name="Comma 2 259 3 3 2 2 2 3 2" xfId="21207" xr:uid="{32F10A34-8645-4BCC-8EC8-85B2BA6F7DEA}"/>
    <cellStyle name="Comma 2 259 3 3 2 2 2 3 2 2" xfId="21210" xr:uid="{D0D79CCF-766B-4F60-AEB8-B45728310EEE}"/>
    <cellStyle name="Comma 2 259 3 3 2 2 2 3 3" xfId="21211" xr:uid="{789C5932-9AA1-4F7F-B107-5922269570FB}"/>
    <cellStyle name="Comma 2 259 3 3 2 2 2 4" xfId="21212" xr:uid="{1D91FBFD-2A49-4C6B-B10A-8266B198E32B}"/>
    <cellStyle name="Comma 2 259 3 3 2 2 2 4 2" xfId="21213" xr:uid="{2FC4CB9B-1E3F-4847-BEB0-85081D5F61FD}"/>
    <cellStyle name="Comma 2 259 3 3 2 2 2 5" xfId="21214" xr:uid="{747F41A2-E5F8-46C5-80D2-27DF9F82748F}"/>
    <cellStyle name="Comma 2 259 3 3 2 2 3" xfId="12291" xr:uid="{7BBD14AD-B587-426C-8B60-ED8C7DB6D531}"/>
    <cellStyle name="Comma 2 259 3 3 2 2 3 2" xfId="12294" xr:uid="{DC27FCE4-035F-45FF-BBC1-11F9117C035E}"/>
    <cellStyle name="Comma 2 259 3 3 2 2 3 2 2" xfId="1387" xr:uid="{26D2DDC7-7C0A-40BA-9C28-8E26EF140676}"/>
    <cellStyle name="Comma 2 259 3 3 2 2 3 2 2 2" xfId="3654" xr:uid="{8A699B6D-623B-4A24-94E3-8B6116F6669A}"/>
    <cellStyle name="Comma 2 259 3 3 2 2 3 2 3" xfId="1391" xr:uid="{0630E2A2-35CA-49A0-9E29-B5D6212EAC83}"/>
    <cellStyle name="Comma 2 259 3 3 2 2 3 3" xfId="10629" xr:uid="{273F6F45-0C6C-4264-BB28-C23EA4A74936}"/>
    <cellStyle name="Comma 2 259 3 3 2 2 3 3 2" xfId="6985" xr:uid="{63632F44-32D5-4662-9021-4B7CBA13FC13}"/>
    <cellStyle name="Comma 2 259 3 3 2 2 3 4" xfId="10633" xr:uid="{5F993BEC-A324-4540-ACF8-50F75AF773A4}"/>
    <cellStyle name="Comma 2 259 3 3 2 2 4" xfId="12296" xr:uid="{7EDD3D2D-9125-4A8E-A896-1DCE14B0739B}"/>
    <cellStyle name="Comma 2 259 3 3 2 2 4 2" xfId="21215" xr:uid="{99A77FE3-41DE-4757-80B5-AF139CE61056}"/>
    <cellStyle name="Comma 2 259 3 3 2 2 4 2 2" xfId="7018" xr:uid="{71CB2BB6-85E2-4F80-A736-8CE97F80A0A3}"/>
    <cellStyle name="Comma 2 259 3 3 2 2 4 3" xfId="10638" xr:uid="{B45FA696-3494-48DA-863C-DD4E938A9BB6}"/>
    <cellStyle name="Comma 2 259 3 3 2 2 5" xfId="21216" xr:uid="{FA099FB3-A88A-4D88-8736-EAA3E6B1DF8B}"/>
    <cellStyle name="Comma 2 259 3 3 2 2 5 2" xfId="21217" xr:uid="{53FF82AB-A76E-482C-9762-DD7071ADB9C8}"/>
    <cellStyle name="Comma 2 259 3 3 2 2 6" xfId="21218" xr:uid="{DE69D79E-3573-46E2-AFF5-35BC3D17CDE6}"/>
    <cellStyle name="Comma 2 259 3 3 2 2 7" xfId="21220" xr:uid="{BAB4FF36-DA11-45C3-85EE-E4A5F8A5ED80}"/>
    <cellStyle name="Comma 2 259 3 3 2 3" xfId="21221" xr:uid="{3302E260-2DB9-4AE2-BC73-61EB51DEB7D3}"/>
    <cellStyle name="Comma 2 259 3 3 2 3 2" xfId="21222" xr:uid="{108DF718-62CD-43CD-8303-F95D0F98392D}"/>
    <cellStyle name="Comma 2 259 3 3 2 3 2 2" xfId="21223" xr:uid="{E38613AA-0F28-41FE-A270-B961727C1F39}"/>
    <cellStyle name="Comma 2 259 3 3 2 3 2 2 2" xfId="21224" xr:uid="{79DBE62D-3B62-441F-9172-827D4349C5CC}"/>
    <cellStyle name="Comma 2 259 3 3 2 3 2 2 2 2" xfId="21225" xr:uid="{C3300FFD-2B69-4D08-9288-25667E25C1DC}"/>
    <cellStyle name="Comma 2 259 3 3 2 3 2 2 3" xfId="21226" xr:uid="{45472798-6D03-48B3-952A-9B044222A87B}"/>
    <cellStyle name="Comma 2 259 3 3 2 3 2 3" xfId="21227" xr:uid="{2DDD3E30-B5A9-4AB7-AA1D-F45EAF59F8E8}"/>
    <cellStyle name="Comma 2 259 3 3 2 3 2 3 2" xfId="21228" xr:uid="{1B911131-B498-4D2B-845B-FDAEA62BD5D9}"/>
    <cellStyle name="Comma 2 259 3 3 2 3 2 4" xfId="21229" xr:uid="{59FF6D22-EA3A-4FE3-B41A-824F46B599E6}"/>
    <cellStyle name="Comma 2 259 3 3 2 3 3" xfId="12299" xr:uid="{9768D41C-9539-48E9-A6F4-022DC54D2630}"/>
    <cellStyle name="Comma 2 259 3 3 2 3 3 2" xfId="21230" xr:uid="{D7CEE5D8-0949-492F-AED4-312AFCD57050}"/>
    <cellStyle name="Comma 2 259 3 3 2 3 3 2 2" xfId="2346" xr:uid="{5FB0F62D-0BCF-4A1F-9FCA-CF796D9223BF}"/>
    <cellStyle name="Comma 2 259 3 3 2 3 3 3" xfId="10647" xr:uid="{A81C9959-E979-4D92-AC9F-ECFC48459754}"/>
    <cellStyle name="Comma 2 259 3 3 2 3 4" xfId="21231" xr:uid="{29163949-39B3-4529-8266-4CC02F15815E}"/>
    <cellStyle name="Comma 2 259 3 3 2 3 4 2" xfId="21232" xr:uid="{A1855876-B333-4DC4-B136-FE126E540806}"/>
    <cellStyle name="Comma 2 259 3 3 2 3 5" xfId="21234" xr:uid="{2042F614-A7A8-4DBC-92B6-E8600D409BFA}"/>
    <cellStyle name="Comma 2 259 3 3 2 4" xfId="21235" xr:uid="{8D18C9B8-A102-4040-A016-812511F7DC56}"/>
    <cellStyle name="Comma 2 259 3 3 2 4 2" xfId="21236" xr:uid="{741E40EC-1671-49DE-8FBD-B3CC526F8CA0}"/>
    <cellStyle name="Comma 2 259 3 3 2 4 2 2" xfId="21237" xr:uid="{6B2A73AF-1BA6-4FD8-8070-1D625A0DAC76}"/>
    <cellStyle name="Comma 2 259 3 3 2 4 2 2 2" xfId="21238" xr:uid="{622A86E2-DEB2-480A-9AA7-FE1D217357EB}"/>
    <cellStyle name="Comma 2 259 3 3 2 4 2 3" xfId="21239" xr:uid="{A9A8E2EC-5FED-40CE-9F47-3BF57827793F}"/>
    <cellStyle name="Comma 2 259 3 3 2 4 3" xfId="21240" xr:uid="{3E055186-DCF1-453C-92C9-432A46986919}"/>
    <cellStyle name="Comma 2 259 3 3 2 4 3 2" xfId="21241" xr:uid="{2585FB73-2778-4983-86C4-858CF672D87F}"/>
    <cellStyle name="Comma 2 259 3 3 2 4 4" xfId="21242" xr:uid="{28DD2CEF-1C58-4701-9B63-C11D91AB2390}"/>
    <cellStyle name="Comma 2 259 3 3 2 5" xfId="21243" xr:uid="{803581CC-0795-4129-B61C-C1EB60CB0A8D}"/>
    <cellStyle name="Comma 2 259 3 3 2 5 2" xfId="21244" xr:uid="{6CD97D81-5E7D-4231-9532-92A54BCE1CC2}"/>
    <cellStyle name="Comma 2 259 3 3 2 5 2 2" xfId="21246" xr:uid="{72038A98-8014-45BA-A5C6-3D535DDF2975}"/>
    <cellStyle name="Comma 2 259 3 3 2 5 3" xfId="21247" xr:uid="{D0448C23-6221-4168-B9F9-E8C8DCB7F10F}"/>
    <cellStyle name="Comma 2 259 3 3 2 6" xfId="21248" xr:uid="{E6190499-5FF1-4081-8537-E3C3E3B96669}"/>
    <cellStyle name="Comma 2 259 3 3 2 6 2" xfId="21249" xr:uid="{5A3CFA86-C392-4EC3-A667-696AF32EED0E}"/>
    <cellStyle name="Comma 2 259 3 3 2 7" xfId="21250" xr:uid="{F09B7BAE-2ED6-4453-8D25-29ED90F70EF2}"/>
    <cellStyle name="Comma 2 259 3 3 2 8" xfId="220" xr:uid="{0B3735D5-723C-480C-B309-02C024D8B135}"/>
    <cellStyle name="Comma 2 259 3 3 3" xfId="19981" xr:uid="{D5003530-114E-4A26-887E-07B2E762E9BB}"/>
    <cellStyle name="Comma 2 259 3 3 3 2" xfId="21253" xr:uid="{D4C834F5-018F-4B5B-BBF0-6DD16CC7BEE9}"/>
    <cellStyle name="Comma 2 259 3 3 3 2 2" xfId="21256" xr:uid="{53269DA9-6319-47BD-9B44-AA5F7263A400}"/>
    <cellStyle name="Comma 2 259 3 3 3 2 2 2" xfId="21258" xr:uid="{44D17B1F-220D-43E4-9B0D-7F74CDF92DAA}"/>
    <cellStyle name="Comma 2 259 3 3 3 2 2 2 2" xfId="6886" xr:uid="{82CC8674-0871-42AB-9CCC-055A5B44A891}"/>
    <cellStyle name="Comma 2 259 3 3 3 2 2 2 2 2" xfId="21261" xr:uid="{B021CB23-7451-47AF-A583-D183E562851C}"/>
    <cellStyle name="Comma 2 259 3 3 3 2 2 2 3" xfId="6803" xr:uid="{D6014EF3-8AE5-429B-A164-9FE33D16D299}"/>
    <cellStyle name="Comma 2 259 3 3 3 2 2 3" xfId="21263" xr:uid="{9ECE4DC2-28DA-43EA-96BC-AE6905D816BE}"/>
    <cellStyle name="Comma 2 259 3 3 3 2 2 3 2" xfId="21264" xr:uid="{472D0BE6-730D-4B25-A4A8-08654DFD4944}"/>
    <cellStyle name="Comma 2 259 3 3 3 2 2 4" xfId="21265" xr:uid="{27E5142B-EE5C-4124-A2BB-DD0A7A8A4C0B}"/>
    <cellStyle name="Comma 2 259 3 3 3 2 3" xfId="8291" xr:uid="{81BA090D-2D30-4F0F-8C8F-06B19F7F98C4}"/>
    <cellStyle name="Comma 2 259 3 3 3 2 3 2" xfId="21267" xr:uid="{D1894888-2A26-4E01-838C-31CD76E93FEC}"/>
    <cellStyle name="Comma 2 259 3 3 3 2 3 2 2" xfId="21270" xr:uid="{7FDB85A5-2F79-45C6-AB77-31D12E51E4A5}"/>
    <cellStyle name="Comma 2 259 3 3 3 2 3 3" xfId="10658" xr:uid="{75A83B0F-3047-4080-8E49-8727E1A7F1D3}"/>
    <cellStyle name="Comma 2 259 3 3 3 2 4" xfId="6602" xr:uid="{6110EE4C-B117-4E37-A80A-7B4BA486D309}"/>
    <cellStyle name="Comma 2 259 3 3 3 2 4 2" xfId="6604" xr:uid="{38C30A49-429D-4243-A7FA-BE31FC1D63F5}"/>
    <cellStyle name="Comma 2 259 3 3 3 2 5" xfId="6610" xr:uid="{168D3EA6-BB69-426C-8FBB-4A7923A382FB}"/>
    <cellStyle name="Comma 2 259 3 3 3 3" xfId="21272" xr:uid="{43402593-2836-4A7C-93D3-42E62197C712}"/>
    <cellStyle name="Comma 2 259 3 3 3 3 2" xfId="21274" xr:uid="{9DDE8F08-E834-4501-9220-D2A6663BE6D8}"/>
    <cellStyle name="Comma 2 259 3 3 3 3 2 2" xfId="21275" xr:uid="{E6713718-49A7-44CC-9917-F0376575606C}"/>
    <cellStyle name="Comma 2 259 3 3 3 3 2 2 2" xfId="19591" xr:uid="{0FFCC324-4295-4EF4-8AB2-AB4666DB2871}"/>
    <cellStyle name="Comma 2 259 3 3 3 3 2 3" xfId="21276" xr:uid="{33618F47-EBFA-4D29-AA1F-F4A38A1447CF}"/>
    <cellStyle name="Comma 2 259 3 3 3 3 3" xfId="21278" xr:uid="{5B0B57BA-2C93-4818-9365-309DA019A203}"/>
    <cellStyle name="Comma 2 259 3 3 3 3 3 2" xfId="1739" xr:uid="{023EF6F3-61BE-45A4-857C-63D890EB02FD}"/>
    <cellStyle name="Comma 2 259 3 3 3 3 4" xfId="21280" xr:uid="{092513CF-2B18-41F0-B020-3B9E64D936D1}"/>
    <cellStyle name="Comma 2 259 3 3 3 4" xfId="1647" xr:uid="{E140FAC9-0BB4-4948-9F20-C7D7F847FC2E}"/>
    <cellStyle name="Comma 2 259 3 3 3 4 2" xfId="21282" xr:uid="{4280E32F-5FF9-40AC-906A-F33BA863F460}"/>
    <cellStyle name="Comma 2 259 3 3 3 4 2 2" xfId="21283" xr:uid="{495E6DD9-3DB4-4264-9893-EECD20BDF56B}"/>
    <cellStyle name="Comma 2 259 3 3 3 4 3" xfId="21285" xr:uid="{D9349D34-0202-4F6C-B4FA-69FCF073D19B}"/>
    <cellStyle name="Comma 2 259 3 3 3 5" xfId="1649" xr:uid="{7BC64E32-FCE6-4F74-BD7A-1AB6EF16118B}"/>
    <cellStyle name="Comma 2 259 3 3 3 5 2" xfId="21287" xr:uid="{D2871CFC-4916-4F82-8115-F7511A184BEF}"/>
    <cellStyle name="Comma 2 259 3 3 3 6" xfId="1653" xr:uid="{6CBF3468-FC62-4E37-A601-31D955B30E47}"/>
    <cellStyle name="Comma 2 259 3 3 3 7" xfId="1655" xr:uid="{4F04D55B-794B-4DA9-9AF0-E76651250198}"/>
    <cellStyle name="Comma 2 259 3 3 4" xfId="7619" xr:uid="{BCE449FD-D488-4305-8F11-2F07595169B7}"/>
    <cellStyle name="Comma 2 259 3 3 4 2" xfId="7622" xr:uid="{21F2A969-1B5E-4A9F-819A-7C1BAB2F02D4}"/>
    <cellStyle name="Comma 2 259 3 3 4 2 2" xfId="7624" xr:uid="{8A9A9C2C-6AD5-4822-8B79-F6CE15E06BCA}"/>
    <cellStyle name="Comma 2 259 3 3 4 2 2 2" xfId="21288" xr:uid="{238A946B-965C-4F4A-883B-9C59A2142B3A}"/>
    <cellStyle name="Comma 2 259 3 3 4 2 2 2 2" xfId="21291" xr:uid="{9147DE9D-7A23-48C9-9077-18D13947327F}"/>
    <cellStyle name="Comma 2 259 3 3 4 2 2 3" xfId="21292" xr:uid="{D4C15792-BE52-423E-8182-E544E75C1E56}"/>
    <cellStyle name="Comma 2 259 3 3 4 2 3" xfId="21293" xr:uid="{BD5F3CB8-226D-4448-91EE-02530D52B50E}"/>
    <cellStyle name="Comma 2 259 3 3 4 2 3 2" xfId="21294" xr:uid="{DCD7333B-BE04-4793-8275-A417CDA36646}"/>
    <cellStyle name="Comma 2 259 3 3 4 2 4" xfId="7254" xr:uid="{F5C9CDD4-1393-437D-A29E-19C63EAEDF4E}"/>
    <cellStyle name="Comma 2 259 3 3 4 3" xfId="7627" xr:uid="{B17430AD-836F-4331-8DC3-B2C68BFE818F}"/>
    <cellStyle name="Comma 2 259 3 3 4 3 2" xfId="73" xr:uid="{3F8F6673-E40A-4F57-880F-51BCBF933B03}"/>
    <cellStyle name="Comma 2 259 3 3 4 3 2 2" xfId="1095" xr:uid="{7DAAC9CC-1A53-42DC-B9D7-DFAD1C12581D}"/>
    <cellStyle name="Comma 2 259 3 3 4 3 3" xfId="222" xr:uid="{41C727F5-A707-46A9-802C-1E42C241A304}"/>
    <cellStyle name="Comma 2 259 3 3 4 4" xfId="2241" xr:uid="{E7C1CEDD-4C23-4C0F-BF0B-3C5795FD5CCA}"/>
    <cellStyle name="Comma 2 259 3 3 4 4 2" xfId="21295" xr:uid="{79CCC7EB-52CC-453A-B47B-8D4E19ADA08C}"/>
    <cellStyle name="Comma 2 259 3 3 4 5" xfId="21296" xr:uid="{FA519F8A-A396-4923-99C6-F03A2C900DB7}"/>
    <cellStyle name="Comma 2 259 3 3 5" xfId="2462" xr:uid="{F221C539-CDE0-4A56-BFDD-C6B13F8B2E7F}"/>
    <cellStyle name="Comma 2 259 3 3 5 2" xfId="7629" xr:uid="{528716D4-CCF2-49C0-902A-DFBC25FF101D}"/>
    <cellStyle name="Comma 2 259 3 3 5 2 2" xfId="21297" xr:uid="{ECE6A7ED-8738-4740-AF9B-AD9EBEDFF537}"/>
    <cellStyle name="Comma 2 259 3 3 5 2 2 2" xfId="21298" xr:uid="{96ABC73C-2435-4C94-8D3A-A42DCECC3946}"/>
    <cellStyle name="Comma 2 259 3 3 5 2 3" xfId="21299" xr:uid="{FCADF23E-3E0C-4897-AFDA-70432CBBB766}"/>
    <cellStyle name="Comma 2 259 3 3 5 3" xfId="21300" xr:uid="{29DAB6B5-84B4-458B-8E3C-C9A2A1188317}"/>
    <cellStyle name="Comma 2 259 3 3 5 3 2" xfId="21301" xr:uid="{80AAB8B4-F646-494D-BB86-91718ABE0FCA}"/>
    <cellStyle name="Comma 2 259 3 3 5 4" xfId="21302" xr:uid="{0B00727A-74D2-49E1-AC0B-1422C6FBB1A2}"/>
    <cellStyle name="Comma 2 259 3 3 6" xfId="2468" xr:uid="{4046BE33-CDB3-488E-AC61-36C7B2BD94E7}"/>
    <cellStyle name="Comma 2 259 3 3 6 2" xfId="21303" xr:uid="{E9B44B54-1ADF-4BF5-96E4-DA24045401C9}"/>
    <cellStyle name="Comma 2 259 3 3 6 2 2" xfId="21304" xr:uid="{56A95842-786A-42C7-AAB1-5F26E997602A}"/>
    <cellStyle name="Comma 2 259 3 3 6 3" xfId="21306" xr:uid="{0B6B78C5-FDA8-4090-9C1D-AE847CBB798E}"/>
    <cellStyle name="Comma 2 259 3 3 7" xfId="21307" xr:uid="{83C3145F-FB0E-408D-8718-7B6870BE9E2C}"/>
    <cellStyle name="Comma 2 259 3 3 7 2" xfId="21308" xr:uid="{F63205EC-8284-4400-9BA9-967C227C6424}"/>
    <cellStyle name="Comma 2 259 3 3 8" xfId="15726" xr:uid="{490717B2-4331-427F-944C-D1416466F3E7}"/>
    <cellStyle name="Comma 2 259 3 3 9" xfId="15734" xr:uid="{C0037B4C-E643-4136-AD07-B5D5468AEB91}"/>
    <cellStyle name="Comma 2 259 3 4" xfId="21309" xr:uid="{665D84B0-FEEA-43F2-9073-A826498F1DB9}"/>
    <cellStyle name="Comma 2 259 3 4 2" xfId="19988" xr:uid="{4AC43791-AC4C-4CE5-93AA-7BC7522EBA05}"/>
    <cellStyle name="Comma 2 259 3 4 2 2" xfId="21311" xr:uid="{8DF4D10D-7A06-4E12-914B-6AFE81B32446}"/>
    <cellStyle name="Comma 2 259 3 4 2 2 2" xfId="21312" xr:uid="{88112E71-2B28-4404-888B-B417F730ADBA}"/>
    <cellStyle name="Comma 2 259 3 4 2 2 2 2" xfId="21313" xr:uid="{B2797F73-DC17-4B1A-BA28-45CE95117A19}"/>
    <cellStyle name="Comma 2 259 3 4 2 2 2 2 2" xfId="21314" xr:uid="{26658646-56D6-483A-B8C6-F6A402C5BB0C}"/>
    <cellStyle name="Comma 2 259 3 4 2 2 2 2 2 2" xfId="21315" xr:uid="{8A9109AE-782B-421B-8BB9-14148B2CBC83}"/>
    <cellStyle name="Comma 2 259 3 4 2 2 2 2 3" xfId="9229" xr:uid="{8E87D336-748D-410A-B982-3AB9592ED4B8}"/>
    <cellStyle name="Comma 2 259 3 4 2 2 2 3" xfId="21316" xr:uid="{EBC9355A-B810-40F1-9D27-715208EB9F82}"/>
    <cellStyle name="Comma 2 259 3 4 2 2 2 3 2" xfId="21318" xr:uid="{67B4808F-ECF3-41C8-A91F-375881A3E469}"/>
    <cellStyle name="Comma 2 259 3 4 2 2 2 4" xfId="21319" xr:uid="{8FC1307B-A5B8-466D-B637-6B0D889C48E6}"/>
    <cellStyle name="Comma 2 259 3 4 2 2 3" xfId="12389" xr:uid="{7675B6D0-9970-41B3-A12F-570DD2D5FAAD}"/>
    <cellStyle name="Comma 2 259 3 4 2 2 3 2" xfId="21322" xr:uid="{D62FA8EC-FEC7-478D-9654-3D55A28DDC5B}"/>
    <cellStyle name="Comma 2 259 3 4 2 2 3 2 2" xfId="14945" xr:uid="{A5631298-541B-4D22-B78B-BBAD7FA2CB70}"/>
    <cellStyle name="Comma 2 259 3 4 2 2 3 3" xfId="10674" xr:uid="{EDEDD822-4DD5-4F64-AD46-2A3A631F15A8}"/>
    <cellStyle name="Comma 2 259 3 4 2 2 4" xfId="10339" xr:uid="{136CBB1D-B049-45D9-B463-D1124831F558}"/>
    <cellStyle name="Comma 2 259 3 4 2 2 4 2" xfId="10343" xr:uid="{F476BE75-9B4E-4428-90C0-7804A783D581}"/>
    <cellStyle name="Comma 2 259 3 4 2 2 5" xfId="10353" xr:uid="{A530511C-11EF-4607-B895-13B72EB851D1}"/>
    <cellStyle name="Comma 2 259 3 4 2 3" xfId="21323" xr:uid="{A45D6F01-1FB1-43C3-BEA8-22BDA98FE186}"/>
    <cellStyle name="Comma 2 259 3 4 2 3 2" xfId="21326" xr:uid="{FD6278F5-8F34-4557-A63F-06E8BA74DE15}"/>
    <cellStyle name="Comma 2 259 3 4 2 3 2 2" xfId="21329" xr:uid="{074E7D2A-FC9F-41DF-B471-0FAF11B9C426}"/>
    <cellStyle name="Comma 2 259 3 4 2 3 2 2 2" xfId="21332" xr:uid="{9C519E99-B65D-4CBE-8E2D-59FAC46EF262}"/>
    <cellStyle name="Comma 2 259 3 4 2 3 2 3" xfId="17481" xr:uid="{0B514623-5D06-4EAE-9A90-F4F9B78FAACB}"/>
    <cellStyle name="Comma 2 259 3 4 2 3 3" xfId="21336" xr:uid="{F209A867-FE1A-478A-98D7-3AC55B429EAF}"/>
    <cellStyle name="Comma 2 259 3 4 2 3 3 2" xfId="21340" xr:uid="{AA5399CB-7396-4FFE-84F8-B9E6D7723F9D}"/>
    <cellStyle name="Comma 2 259 3 4 2 3 4" xfId="21344" xr:uid="{F7685480-AADE-4AF6-AFD4-982C36010909}"/>
    <cellStyle name="Comma 2 259 3 4 2 4" xfId="21345" xr:uid="{B36B0E3B-3E3E-4B67-BEC9-F860D47044F2}"/>
    <cellStyle name="Comma 2 259 3 4 2 4 2" xfId="21346" xr:uid="{0151359B-2741-4A51-B2DE-2ACE3F07D4EC}"/>
    <cellStyle name="Comma 2 259 3 4 2 4 2 2" xfId="21348" xr:uid="{6F2251D9-1B5C-4C6B-B2FF-C37CCB269D32}"/>
    <cellStyle name="Comma 2 259 3 4 2 4 3" xfId="21350" xr:uid="{335733D7-9D4F-46C0-80AD-FD8558D9562D}"/>
    <cellStyle name="Comma 2 259 3 4 2 5" xfId="21351" xr:uid="{85B22D1B-D465-4F48-8B54-95AEC4A7F262}"/>
    <cellStyle name="Comma 2 259 3 4 2 5 2" xfId="21352" xr:uid="{3B9A6BED-3EE8-48BA-8F3B-8474D0B1482B}"/>
    <cellStyle name="Comma 2 259 3 4 2 6" xfId="21353" xr:uid="{07F1C8B4-71FA-49DC-B474-9CC3C124EC33}"/>
    <cellStyle name="Comma 2 259 3 4 2 7" xfId="21354" xr:uid="{FC8C1A62-0EDA-4F45-8A34-281B8C8F60F5}"/>
    <cellStyle name="Comma 2 259 3 4 3" xfId="21355" xr:uid="{1A6FB3F1-1753-42A8-8C5E-D06020E59E88}"/>
    <cellStyle name="Comma 2 259 3 4 3 2" xfId="21358" xr:uid="{FA90011D-AF1C-4F26-86A4-CDC7FF3191BE}"/>
    <cellStyle name="Comma 2 259 3 4 3 2 2" xfId="21359" xr:uid="{63488773-9C5C-4CB6-BE3A-9984B01E59D6}"/>
    <cellStyle name="Comma 2 259 3 4 3 2 2 2" xfId="21360" xr:uid="{59F5F5CC-9305-4030-AA37-3990EFB93B3C}"/>
    <cellStyle name="Comma 2 259 3 4 3 2 2 2 2" xfId="2426" xr:uid="{C6D93437-34DE-481D-BA9B-CEB8B972DA25}"/>
    <cellStyle name="Comma 2 259 3 4 3 2 2 3" xfId="21361" xr:uid="{FC5525C6-FB8D-4166-9A82-7FB4629E22F7}"/>
    <cellStyle name="Comma 2 259 3 4 3 2 3" xfId="21363" xr:uid="{FDF3EB57-2A86-41EB-A72F-B8AE22F6EA79}"/>
    <cellStyle name="Comma 2 259 3 4 3 2 3 2" xfId="21365" xr:uid="{929C32A7-2515-4400-A883-463CF8EA5F01}"/>
    <cellStyle name="Comma 2 259 3 4 3 2 4" xfId="14063" xr:uid="{BC1DFCD4-BD11-4AD9-8B74-F81691C11D35}"/>
    <cellStyle name="Comma 2 259 3 4 3 3" xfId="21366" xr:uid="{21EA5D32-9830-4013-8F50-9F4D41E3D338}"/>
    <cellStyle name="Comma 2 259 3 4 3 3 2" xfId="21367" xr:uid="{0DB8F3F5-5F2F-4D9F-A0C5-39BFF463311B}"/>
    <cellStyle name="Comma 2 259 3 4 3 3 2 2" xfId="21368" xr:uid="{BA20590C-3370-4248-9D7E-2701D1DA3FC2}"/>
    <cellStyle name="Comma 2 259 3 4 3 3 3" xfId="21370" xr:uid="{A76B92A6-88B8-4236-9DEF-A5BB5538DA4B}"/>
    <cellStyle name="Comma 2 259 3 4 3 4" xfId="21371" xr:uid="{F2DB7B28-D88B-4E43-B579-C01C245F32F7}"/>
    <cellStyle name="Comma 2 259 3 4 3 4 2" xfId="21372" xr:uid="{8CD2EBC2-2C9C-4DC9-AFFC-A1B73B9B93B4}"/>
    <cellStyle name="Comma 2 259 3 4 3 5" xfId="21373" xr:uid="{A28AE2E9-A1D3-4E00-8DE2-3EE7F06EE9E5}"/>
    <cellStyle name="Comma 2 259 3 4 4" xfId="7632" xr:uid="{8DEF2EF8-D2C8-47DB-8408-DB6658F5FE7A}"/>
    <cellStyle name="Comma 2 259 3 4 4 2" xfId="7634" xr:uid="{C972A6DA-E6B3-40B2-BF2F-AB82458E313A}"/>
    <cellStyle name="Comma 2 259 3 4 4 2 2" xfId="21374" xr:uid="{A6B2324A-4A62-4936-89EE-F4F3FD65F627}"/>
    <cellStyle name="Comma 2 259 3 4 4 2 2 2" xfId="21375" xr:uid="{6A694BBC-5537-4F9E-AADF-47A7C724A319}"/>
    <cellStyle name="Comma 2 259 3 4 4 2 3" xfId="21377" xr:uid="{CA13D021-5C87-4951-9B07-82E53041233D}"/>
    <cellStyle name="Comma 2 259 3 4 4 3" xfId="21378" xr:uid="{D77E9A8B-282C-43FF-BFEB-98383F8CFCAC}"/>
    <cellStyle name="Comma 2 259 3 4 4 3 2" xfId="21379" xr:uid="{C23695CA-E78D-453B-B732-9DF55C878A2D}"/>
    <cellStyle name="Comma 2 259 3 4 4 4" xfId="21380" xr:uid="{DEA277B2-4926-425B-B2A5-3177A45E47F5}"/>
    <cellStyle name="Comma 2 259 3 4 5" xfId="2473" xr:uid="{0CEB7042-F34A-4875-9BE4-F674A073411B}"/>
    <cellStyle name="Comma 2 259 3 4 5 2" xfId="21381" xr:uid="{B70DA362-1B18-48CE-B642-483588CA11A8}"/>
    <cellStyle name="Comma 2 259 3 4 5 2 2" xfId="21382" xr:uid="{2240DE54-0D16-4F8C-8BAF-14E1C02893D3}"/>
    <cellStyle name="Comma 2 259 3 4 5 3" xfId="21383" xr:uid="{D2A78AD6-285F-4160-B878-9496192067ED}"/>
    <cellStyle name="Comma 2 259 3 4 6" xfId="21384" xr:uid="{B955252B-E67B-47AD-83F9-D5252F455535}"/>
    <cellStyle name="Comma 2 259 3 4 6 2" xfId="21385" xr:uid="{1101582C-1FE6-496B-B704-02AEF30DD296}"/>
    <cellStyle name="Comma 2 259 3 4 7" xfId="21386" xr:uid="{9F4736B3-B142-4E52-A8B2-BF5535929482}"/>
    <cellStyle name="Comma 2 259 3 4 8" xfId="15737" xr:uid="{A56EB63A-E5CF-4FAE-A4D0-25E8C853E3DF}"/>
    <cellStyle name="Comma 2 259 3 5" xfId="21388" xr:uid="{7608BFFC-712F-46EB-ADDA-A1A9CEA955EF}"/>
    <cellStyle name="Comma 2 259 3 5 2" xfId="21390" xr:uid="{4B414E36-3096-48DE-AF92-62D0FBEC91D3}"/>
    <cellStyle name="Comma 2 259 3 5 2 2" xfId="79" xr:uid="{6E5C541D-097D-40E5-A5FA-C45FD060FC25}"/>
    <cellStyle name="Comma 2 259 3 5 2 2 2" xfId="5538" xr:uid="{A743C03D-9DCC-445B-A73E-254D9F447C41}"/>
    <cellStyle name="Comma 2 259 3 5 2 2 2 2" xfId="21391" xr:uid="{F09CEC9D-7BA1-4C44-B3CF-99A45B420861}"/>
    <cellStyle name="Comma 2 259 3 5 2 2 2 2 2" xfId="21392" xr:uid="{6D6E883A-B590-405E-A132-A97EFD748DE0}"/>
    <cellStyle name="Comma 2 259 3 5 2 2 2 3" xfId="21393" xr:uid="{9214B6B0-1BAF-49FE-AA47-1ABAF5EA2F8A}"/>
    <cellStyle name="Comma 2 259 3 5 2 2 3" xfId="21395" xr:uid="{6CBA73D6-6C97-46EB-88DA-3EC2E8271974}"/>
    <cellStyle name="Comma 2 259 3 5 2 2 3 2" xfId="21397" xr:uid="{6D410398-1891-40C6-A8B8-0325D2C2236A}"/>
    <cellStyle name="Comma 2 259 3 5 2 2 4" xfId="21401" xr:uid="{D3FA56BD-C53F-4F04-94DA-3A30A13A851F}"/>
    <cellStyle name="Comma 2 259 3 5 2 3" xfId="208" xr:uid="{EA4CE121-8F62-492A-B222-597450017B9A}"/>
    <cellStyle name="Comma 2 259 3 5 2 3 2" xfId="21402" xr:uid="{01BF3478-2021-417B-B645-746B6082EDD5}"/>
    <cellStyle name="Comma 2 259 3 5 2 3 2 2" xfId="21403" xr:uid="{72768576-011A-42DC-99E5-3B5F50291BEA}"/>
    <cellStyle name="Comma 2 259 3 5 2 3 3" xfId="21405" xr:uid="{7B1C0E6D-0088-41A5-B471-7AF6969833B7}"/>
    <cellStyle name="Comma 2 259 3 5 2 4" xfId="21406" xr:uid="{868722A2-FBE9-4B7C-841F-5D7F2733E601}"/>
    <cellStyle name="Comma 2 259 3 5 2 4 2" xfId="21407" xr:uid="{2D21AA71-942A-42B5-9080-711D13B3BAB2}"/>
    <cellStyle name="Comma 2 259 3 5 2 5" xfId="21408" xr:uid="{AD78D718-72B4-4F23-B629-096CEB4C33EF}"/>
    <cellStyle name="Comma 2 259 3 5 3" xfId="21409" xr:uid="{B60879DB-3C35-4F12-A092-987D7C92FC39}"/>
    <cellStyle name="Comma 2 259 3 5 3 2" xfId="310" xr:uid="{DCA413C2-FAE3-40F9-B91E-EB90CEBE5F39}"/>
    <cellStyle name="Comma 2 259 3 5 3 2 2" xfId="7289" xr:uid="{AF61FFD9-EE0C-4087-9890-B7020752F4E1}"/>
    <cellStyle name="Comma 2 259 3 5 3 2 2 2" xfId="21410" xr:uid="{02F88FF3-CE63-47C6-8215-12D7DC1E124B}"/>
    <cellStyle name="Comma 2 259 3 5 3 2 3" xfId="7292" xr:uid="{AC7F7A7C-F307-4A80-B92C-5D18FFD6A7D5}"/>
    <cellStyle name="Comma 2 259 3 5 3 3" xfId="21411" xr:uid="{AD6D310A-88BC-4837-B054-EB5756FEF32A}"/>
    <cellStyle name="Comma 2 259 3 5 3 3 2" xfId="21412" xr:uid="{86355F06-75D1-45FC-9C11-85685F8A2509}"/>
    <cellStyle name="Comma 2 259 3 5 3 4" xfId="21413" xr:uid="{9E7D3CBC-F80A-4E4C-99B9-5E7630441BCA}"/>
    <cellStyle name="Comma 2 259 3 5 4" xfId="320" xr:uid="{F79C5E04-E637-419C-9DE2-A66C4D272004}"/>
    <cellStyle name="Comma 2 259 3 5 4 2" xfId="21414" xr:uid="{6EA2F4D4-095E-48A3-B3D2-AB475C3DAA20}"/>
    <cellStyle name="Comma 2 259 3 5 4 2 2" xfId="21416" xr:uid="{7C411895-36E5-4865-8966-426F4869F541}"/>
    <cellStyle name="Comma 2 259 3 5 4 3" xfId="21417" xr:uid="{ADE49738-F470-443F-9B04-2ECE033AD5A7}"/>
    <cellStyle name="Comma 2 259 3 5 5" xfId="21419" xr:uid="{ED9568CF-1355-46E1-8A42-1F3931BE054D}"/>
    <cellStyle name="Comma 2 259 3 5 5 2" xfId="21420" xr:uid="{ED688560-F950-4A57-A058-22C9CEAD1362}"/>
    <cellStyle name="Comma 2 259 3 5 6" xfId="11826" xr:uid="{4F823384-71B7-48D5-A17A-FFF347EA6EEA}"/>
    <cellStyle name="Comma 2 259 3 5 7" xfId="21421" xr:uid="{75EA4FBA-0C5B-44F7-A31A-2BA88343477C}"/>
    <cellStyle name="Comma 2 259 3 6" xfId="21422" xr:uid="{3126BBC4-81FB-426C-B84C-215FCBB3C92C}"/>
    <cellStyle name="Comma 2 259 3 6 2" xfId="21423" xr:uid="{855AB6F2-6722-4F81-A48C-962F01E31F22}"/>
    <cellStyle name="Comma 2 259 3 6 2 2" xfId="382" xr:uid="{3215C362-3627-401D-AB1B-8B1583E2A02E}"/>
    <cellStyle name="Comma 2 259 3 6 2 2 2" xfId="21424" xr:uid="{157F05D1-C774-4535-B8CC-1C8588DAA918}"/>
    <cellStyle name="Comma 2 259 3 6 2 2 2 2" xfId="21425" xr:uid="{56DA795D-735F-48B1-A681-03EDA12C9FAC}"/>
    <cellStyle name="Comma 2 259 3 6 2 2 3" xfId="21427" xr:uid="{EE9C4CA3-9011-4D4E-BB41-9ED1EB24302B}"/>
    <cellStyle name="Comma 2 259 3 6 2 3" xfId="21428" xr:uid="{276BB8D5-9446-4421-946F-1BA444647E14}"/>
    <cellStyle name="Comma 2 259 3 6 2 3 2" xfId="21429" xr:uid="{B8A5553D-7AB5-4510-85D9-0AE4E1B221A6}"/>
    <cellStyle name="Comma 2 259 3 6 2 4" xfId="21431" xr:uid="{EB4F9F32-0A66-4311-A8BA-164615F984FD}"/>
    <cellStyle name="Comma 2 259 3 6 3" xfId="20319" xr:uid="{3678A9B7-6EC0-4006-B106-F4211C146B7E}"/>
    <cellStyle name="Comma 2 259 3 6 3 2" xfId="464" xr:uid="{666A1F5C-1739-414E-A5C5-31890B33E219}"/>
    <cellStyle name="Comma 2 259 3 6 3 2 2" xfId="1007" xr:uid="{BDBB2303-E2FA-47B7-AFCC-2F598E13F0C4}"/>
    <cellStyle name="Comma 2 259 3 6 3 3" xfId="1013" xr:uid="{291179A3-1B00-4235-BE53-1A2B741D2FE2}"/>
    <cellStyle name="Comma 2 259 3 6 4" xfId="21432" xr:uid="{BACEC542-EFBD-4D52-BBA2-F5FB422034C6}"/>
    <cellStyle name="Comma 2 259 3 6 4 2" xfId="9392" xr:uid="{4231E69E-4E22-4355-8D6E-5313943A4322}"/>
    <cellStyle name="Comma 2 259 3 6 5" xfId="21433" xr:uid="{1AA6F411-F732-4807-95D8-A3ED56C0F6C7}"/>
    <cellStyle name="Comma 2 259 3 7" xfId="21434" xr:uid="{B718CEA0-86D5-4FE2-9FBE-BB1B2DB95FE0}"/>
    <cellStyle name="Comma 2 259 3 7 2" xfId="21435" xr:uid="{9EDCA47D-9118-43B1-A7A2-57AED7E30BC2}"/>
    <cellStyle name="Comma 2 259 3 7 2 2" xfId="21436" xr:uid="{3888D1DF-8C9E-401B-867D-E801B1F70A2A}"/>
    <cellStyle name="Comma 2 259 3 7 2 2 2" xfId="21438" xr:uid="{475BF828-CA8A-4FD9-8135-95545C1CEB4C}"/>
    <cellStyle name="Comma 2 259 3 7 2 3" xfId="21439" xr:uid="{FFF7CF0C-BB44-40D8-A7E8-C55F5C0E901F}"/>
    <cellStyle name="Comma 2 259 3 7 3" xfId="21440" xr:uid="{3CB189AD-EFD8-4111-8025-CD4EEB9CA7B6}"/>
    <cellStyle name="Comma 2 259 3 7 3 2" xfId="12107" xr:uid="{569DD0F6-BC7B-4149-9105-3F91E89FBFDA}"/>
    <cellStyle name="Comma 2 259 3 7 4" xfId="21441" xr:uid="{F0D7B3FE-D6F7-42FA-9413-07257B2E33C7}"/>
    <cellStyle name="Comma 2 259 3 8" xfId="21442" xr:uid="{2D94F1AF-DD46-4307-A15F-8BB70906242A}"/>
    <cellStyle name="Comma 2 259 3 8 2" xfId="21443" xr:uid="{D95D99C3-8388-475B-99E8-3F8E9A270E2E}"/>
    <cellStyle name="Comma 2 259 3 8 2 2" xfId="21444" xr:uid="{2748A5F9-D5AA-4EFC-B0E3-9DCEE5BCCC7D}"/>
    <cellStyle name="Comma 2 259 3 8 3" xfId="21445" xr:uid="{91025902-54A3-475B-82C5-F842E8BBA046}"/>
    <cellStyle name="Comma 2 259 3 9" xfId="21446" xr:uid="{B0710698-B1C5-44B6-8645-E302695CA132}"/>
    <cellStyle name="Comma 2 259 3 9 2" xfId="21447" xr:uid="{41EDB756-BD18-448F-8268-DD974A8A764F}"/>
    <cellStyle name="Comma 2 259 4" xfId="12626" xr:uid="{E9878753-4B5A-400F-9368-8790CFF6E400}"/>
    <cellStyle name="Comma 2 259 4 10" xfId="18374" xr:uid="{EEF183DF-4C55-4B28-89EA-43B54B2BD131}"/>
    <cellStyle name="Comma 2 259 4 2" xfId="12631" xr:uid="{B5319A79-D1DA-4D09-AA0B-D811484F6406}"/>
    <cellStyle name="Comma 2 259 4 2 2" xfId="20032" xr:uid="{B02B214B-0659-4FF1-9109-82B64FB1D510}"/>
    <cellStyle name="Comma 2 259 4 2 2 2" xfId="20035" xr:uid="{8FC53307-8DE3-4F2D-95D6-64B39236BBBE}"/>
    <cellStyle name="Comma 2 259 4 2 2 2 2" xfId="21448" xr:uid="{E418DA3E-A769-4A02-9BAA-FBC796F80A72}"/>
    <cellStyle name="Comma 2 259 4 2 2 2 2 2" xfId="21451" xr:uid="{DEB26C32-EB1C-4C4B-ADD9-F7114D85D65B}"/>
    <cellStyle name="Comma 2 259 4 2 2 2 2 2 2" xfId="21452" xr:uid="{BFE70786-04EF-41A1-A0F7-BE33A914A84F}"/>
    <cellStyle name="Comma 2 259 4 2 2 2 2 2 2 2" xfId="21454" xr:uid="{C3C504E7-583B-43C6-93EC-EFBFA3B016C3}"/>
    <cellStyle name="Comma 2 259 4 2 2 2 2 2 2 2 2" xfId="21455" xr:uid="{AB928121-6A63-49F4-A056-1BB26FC753A0}"/>
    <cellStyle name="Comma 2 259 4 2 2 2 2 2 2 3" xfId="21456" xr:uid="{0DD44269-5A65-47B3-B94F-7B5530CFDB59}"/>
    <cellStyle name="Comma 2 259 4 2 2 2 2 2 3" xfId="21347" xr:uid="{89987629-A33D-4221-9A94-ED695C163E7C}"/>
    <cellStyle name="Comma 2 259 4 2 2 2 2 2 3 2" xfId="21457" xr:uid="{D06EE1E4-7626-4340-AA0E-8D42CF15FD7A}"/>
    <cellStyle name="Comma 2 259 4 2 2 2 2 2 4" xfId="17698" xr:uid="{776FD69F-C0C7-4291-80B3-5019C067A4D1}"/>
    <cellStyle name="Comma 2 259 4 2 2 2 2 3" xfId="21458" xr:uid="{401466B2-8387-425B-9234-DE1EAED2E4FE}"/>
    <cellStyle name="Comma 2 259 4 2 2 2 2 3 2" xfId="21459" xr:uid="{BAB8D2FC-0C19-4435-A679-3466D99511F4}"/>
    <cellStyle name="Comma 2 259 4 2 2 2 2 3 2 2" xfId="21460" xr:uid="{18326953-35A4-478F-B238-F3B2E83E5C4C}"/>
    <cellStyle name="Comma 2 259 4 2 2 2 2 3 3" xfId="21462" xr:uid="{535BAEED-305A-4E50-B260-3A3251BA7C59}"/>
    <cellStyle name="Comma 2 259 4 2 2 2 2 4" xfId="21463" xr:uid="{89D52FE9-8189-4C04-B262-745FD04505A9}"/>
    <cellStyle name="Comma 2 259 4 2 2 2 2 4 2" xfId="21464" xr:uid="{B34E4F6C-A171-48B3-8176-90825CC3366A}"/>
    <cellStyle name="Comma 2 259 4 2 2 2 2 5" xfId="21465" xr:uid="{D2C11A10-46D0-4A6F-86E8-D5E07130DE36}"/>
    <cellStyle name="Comma 2 259 4 2 2 2 3" xfId="21466" xr:uid="{0CCE2971-AA21-4A2E-BF1D-C382F6C01A58}"/>
    <cellStyle name="Comma 2 259 4 2 2 2 3 2" xfId="21468" xr:uid="{C56F69AA-5C32-4C22-A615-936F1DBBADC0}"/>
    <cellStyle name="Comma 2 259 4 2 2 2 3 2 2" xfId="655" xr:uid="{5EA96D62-1129-44C5-B5DF-B2FF29AB1193}"/>
    <cellStyle name="Comma 2 259 4 2 2 2 3 2 2 2" xfId="5679" xr:uid="{26DE1836-A78A-4D45-9C6B-049F7A22E3D5}"/>
    <cellStyle name="Comma 2 259 4 2 2 2 3 2 3" xfId="659" xr:uid="{67C3E8B7-AABE-418E-B47F-948ABBAC190D}"/>
    <cellStyle name="Comma 2 259 4 2 2 2 3 3" xfId="21470" xr:uid="{8EA20A24-7D00-46CC-9A3D-F3CEF077496C}"/>
    <cellStyle name="Comma 2 259 4 2 2 2 3 3 2" xfId="5656" xr:uid="{C22C89BF-1269-4BAB-861D-DA1803591DD7}"/>
    <cellStyle name="Comma 2 259 4 2 2 2 3 4" xfId="21472" xr:uid="{DF598C6D-AC1B-4ABF-9924-B8E9DB88638C}"/>
    <cellStyle name="Comma 2 259 4 2 2 2 4" xfId="21473" xr:uid="{4F313592-B7D9-4AAE-9452-66640621BC11}"/>
    <cellStyle name="Comma 2 259 4 2 2 2 4 2" xfId="21475" xr:uid="{8586A0BD-0B49-44AE-9D0E-441BB6AFF13B}"/>
    <cellStyle name="Comma 2 259 4 2 2 2 4 2 2" xfId="773" xr:uid="{ED0DB3D0-DA33-4641-82BB-2F427BE375B9}"/>
    <cellStyle name="Comma 2 259 4 2 2 2 4 3" xfId="21477" xr:uid="{1C81304D-08CF-43B9-82E1-948202347137}"/>
    <cellStyle name="Comma 2 259 4 2 2 2 5" xfId="21478" xr:uid="{82C75B3C-D4C1-4BA8-85E2-95AD06282978}"/>
    <cellStyle name="Comma 2 259 4 2 2 2 5 2" xfId="21480" xr:uid="{7A401B7B-52FE-4498-B0B9-874A99DB970E}"/>
    <cellStyle name="Comma 2 259 4 2 2 2 6" xfId="21481" xr:uid="{41C37A37-38D4-4C8A-886F-730CBCECBEA3}"/>
    <cellStyle name="Comma 2 259 4 2 2 2 7" xfId="21483" xr:uid="{5ADD7B43-36E4-462B-BA3E-D09D1392D3D3}"/>
    <cellStyle name="Comma 2 259 4 2 2 3" xfId="21484" xr:uid="{082B769D-67F9-431D-9171-1E1D26963EE2}"/>
    <cellStyle name="Comma 2 259 4 2 2 3 2" xfId="21485" xr:uid="{6F28E26C-CFE8-4E11-917F-3E26EBE8E891}"/>
    <cellStyle name="Comma 2 259 4 2 2 3 2 2" xfId="21486" xr:uid="{2FC18FFC-B924-40E6-9FDC-1EDBFA7DEBC0}"/>
    <cellStyle name="Comma 2 259 4 2 2 3 2 2 2" xfId="21487" xr:uid="{347986A8-9E54-4F11-B8C3-89E3B5E54E1E}"/>
    <cellStyle name="Comma 2 259 4 2 2 3 2 2 2 2" xfId="21488" xr:uid="{887DF1B4-2711-43DE-9419-4CCB348DD00F}"/>
    <cellStyle name="Comma 2 259 4 2 2 3 2 2 3" xfId="21489" xr:uid="{5BCCBDE1-D644-4FB3-9D7F-C401778A17A6}"/>
    <cellStyle name="Comma 2 259 4 2 2 3 2 3" xfId="11343" xr:uid="{F62A8308-AED6-4D11-B69A-2D96A132B449}"/>
    <cellStyle name="Comma 2 259 4 2 2 3 2 3 2" xfId="21490" xr:uid="{602F66A8-83F7-46EA-AE88-EB975CD18464}"/>
    <cellStyle name="Comma 2 259 4 2 2 3 2 4" xfId="21491" xr:uid="{58A7B6DA-391E-4708-A2BF-EE80D74225E0}"/>
    <cellStyle name="Comma 2 259 4 2 2 3 3" xfId="21492" xr:uid="{6BAD8440-92F3-4DF4-A9E4-D39972EC56F3}"/>
    <cellStyle name="Comma 2 259 4 2 2 3 3 2" xfId="21494" xr:uid="{2507A9BD-91D9-4D89-9101-BE48EA971674}"/>
    <cellStyle name="Comma 2 259 4 2 2 3 3 2 2" xfId="6121" xr:uid="{F58759FA-C2C9-4A02-A024-57E7A4E2BFBE}"/>
    <cellStyle name="Comma 2 259 4 2 2 3 3 3" xfId="21496" xr:uid="{45848BEA-9CF2-4330-A129-CB7E2FDBFC4E}"/>
    <cellStyle name="Comma 2 259 4 2 2 3 4" xfId="21497" xr:uid="{5E96DFDE-06E6-4CDA-B5A2-B98A89D1EF3D}"/>
    <cellStyle name="Comma 2 259 4 2 2 3 4 2" xfId="21499" xr:uid="{E8DDF749-6B08-400A-9BB0-50DBCF7F23AA}"/>
    <cellStyle name="Comma 2 259 4 2 2 3 5" xfId="21500" xr:uid="{EEEB9B45-EE49-4325-9499-E1ED0A8B6B48}"/>
    <cellStyle name="Comma 2 259 4 2 2 4" xfId="21501" xr:uid="{80411CEB-F2E8-4736-BD64-474CB493CECD}"/>
    <cellStyle name="Comma 2 259 4 2 2 4 2" xfId="21502" xr:uid="{E1B505DF-11AC-4679-8EF7-1F5F63F3F188}"/>
    <cellStyle name="Comma 2 259 4 2 2 4 2 2" xfId="21503" xr:uid="{BE0F3415-89CC-4501-86DA-C6F9CDBC4060}"/>
    <cellStyle name="Comma 2 259 4 2 2 4 2 2 2" xfId="21504" xr:uid="{024B1A06-79CD-45B6-83EA-FC0C594B7BB8}"/>
    <cellStyle name="Comma 2 259 4 2 2 4 2 3" xfId="21505" xr:uid="{A866A4EE-C91F-454C-9DD9-30CFFC36BCD0}"/>
    <cellStyle name="Comma 2 259 4 2 2 4 3" xfId="21506" xr:uid="{AA574A26-84C9-4930-9D84-BCD750AD4CB7}"/>
    <cellStyle name="Comma 2 259 4 2 2 4 3 2" xfId="21508" xr:uid="{3835F620-A709-416C-8931-0FB898725624}"/>
    <cellStyle name="Comma 2 259 4 2 2 4 4" xfId="21509" xr:uid="{0A0CDA9C-2D35-45C4-96E9-6E4C7A75BB3D}"/>
    <cellStyle name="Comma 2 259 4 2 2 5" xfId="21510" xr:uid="{5B436B94-1FA6-4302-AF13-42C6FD8EE8AE}"/>
    <cellStyle name="Comma 2 259 4 2 2 5 2" xfId="21511" xr:uid="{5A49D77F-06F4-4039-A6F3-FE2584ABD2CB}"/>
    <cellStyle name="Comma 2 259 4 2 2 5 2 2" xfId="21512" xr:uid="{EDC779B1-217B-4CB8-96F1-7E32A3B2FB38}"/>
    <cellStyle name="Comma 2 259 4 2 2 5 3" xfId="21513" xr:uid="{85D24956-4FEC-4BD7-88C9-C180C066186C}"/>
    <cellStyle name="Comma 2 259 4 2 2 6" xfId="21514" xr:uid="{6BE446C8-5725-455A-BB28-0E3443B5DF4D}"/>
    <cellStyle name="Comma 2 259 4 2 2 6 2" xfId="21515" xr:uid="{DDAAB17A-C176-4AF2-85E5-F229054BFEBF}"/>
    <cellStyle name="Comma 2 259 4 2 2 7" xfId="21516" xr:uid="{CD72FE6E-29BA-44CE-8856-01FB55ABF5A6}"/>
    <cellStyle name="Comma 2 259 4 2 2 8" xfId="21517" xr:uid="{B86B3F5E-D9CA-42B6-9468-D07EDABE37A6}"/>
    <cellStyle name="Comma 2 259 4 2 3" xfId="20038" xr:uid="{254C0E2A-C819-48BB-8EF6-68DA0811FFCB}"/>
    <cellStyle name="Comma 2 259 4 2 3 2" xfId="21520" xr:uid="{AD1861A6-66E5-42D8-8D5B-A1C72E38C2C6}"/>
    <cellStyle name="Comma 2 259 4 2 3 2 2" xfId="21522" xr:uid="{2219A34B-754F-4569-9154-29E9B3B3038A}"/>
    <cellStyle name="Comma 2 259 4 2 3 2 2 2" xfId="21523" xr:uid="{CE15CBAB-04D0-427B-B6F4-5D1366A7E929}"/>
    <cellStyle name="Comma 2 259 4 2 3 2 2 2 2" xfId="21524" xr:uid="{EFC567EA-AD29-4489-8058-DE14B6EDACAA}"/>
    <cellStyle name="Comma 2 259 4 2 3 2 2 2 2 2" xfId="21525" xr:uid="{4CB9775E-6381-4A75-9280-3DC866DA329F}"/>
    <cellStyle name="Comma 2 259 4 2 3 2 2 2 3" xfId="21526" xr:uid="{C173E31F-6E5B-40AE-8674-EF44E12BCB6E}"/>
    <cellStyle name="Comma 2 259 4 2 3 2 2 3" xfId="21527" xr:uid="{77E924D2-6AC6-4B1F-896F-E2A195CFF57A}"/>
    <cellStyle name="Comma 2 259 4 2 3 2 2 3 2" xfId="21528" xr:uid="{6397807B-9284-4418-B427-9DA940F35637}"/>
    <cellStyle name="Comma 2 259 4 2 3 2 2 4" xfId="21529" xr:uid="{4AA82C6B-9E32-4723-9BDD-F0EA2F15B79B}"/>
    <cellStyle name="Comma 2 259 4 2 3 2 3" xfId="21530" xr:uid="{9250D045-137E-46F6-87F6-DE517426AD6C}"/>
    <cellStyle name="Comma 2 259 4 2 3 2 3 2" xfId="21532" xr:uid="{DBC1F37E-FF52-4D87-A2E4-57526ABCF141}"/>
    <cellStyle name="Comma 2 259 4 2 3 2 3 2 2" xfId="7126" xr:uid="{8ABA01FF-D2BA-4AF6-A22A-E298C3B73D34}"/>
    <cellStyle name="Comma 2 259 4 2 3 2 3 3" xfId="21534" xr:uid="{EB238FA5-5703-4C28-B0B8-B5F17F6C18F2}"/>
    <cellStyle name="Comma 2 259 4 2 3 2 4" xfId="21535" xr:uid="{3142D868-E9DF-4358-B5EF-2B344CDD6086}"/>
    <cellStyle name="Comma 2 259 4 2 3 2 4 2" xfId="21537" xr:uid="{3319B598-EBCC-4CAC-965F-3FFB8B035C54}"/>
    <cellStyle name="Comma 2 259 4 2 3 2 5" xfId="20915" xr:uid="{FB4A8A4B-5466-4615-83F4-659E5B649495}"/>
    <cellStyle name="Comma 2 259 4 2 3 3" xfId="21539" xr:uid="{DD4EA3A9-6607-4F7F-815D-22C098889FAB}"/>
    <cellStyle name="Comma 2 259 4 2 3 3 2" xfId="21540" xr:uid="{2EC524FD-F885-4D56-ADA5-D0B97295A11B}"/>
    <cellStyle name="Comma 2 259 4 2 3 3 2 2" xfId="21541" xr:uid="{4373C4C3-61D8-42D9-9D9C-BC1E5CA8DD92}"/>
    <cellStyle name="Comma 2 259 4 2 3 3 2 2 2" xfId="21542" xr:uid="{A974173A-92DE-4D68-B6C1-BBB7799C47AD}"/>
    <cellStyle name="Comma 2 259 4 2 3 3 2 3" xfId="21543" xr:uid="{862D09AE-E7AB-4FAB-95E2-A023706CAF87}"/>
    <cellStyle name="Comma 2 259 4 2 3 3 3" xfId="21545" xr:uid="{6C7C139F-2C32-450E-A6DC-99A98DA75F25}"/>
    <cellStyle name="Comma 2 259 4 2 3 3 3 2" xfId="21548" xr:uid="{2665D424-7776-41C4-875A-EE62266D04C1}"/>
    <cellStyle name="Comma 2 259 4 2 3 3 4" xfId="21549" xr:uid="{046999A8-6981-4945-A19F-E7EE6C14BF2C}"/>
    <cellStyle name="Comma 2 259 4 2 3 4" xfId="21550" xr:uid="{9A0843A3-F96D-45A9-BDE0-02BCDFDE2072}"/>
    <cellStyle name="Comma 2 259 4 2 3 4 2" xfId="21551" xr:uid="{45FB8798-D861-46C7-99BA-3CFA6A31B486}"/>
    <cellStyle name="Comma 2 259 4 2 3 4 2 2" xfId="21552" xr:uid="{A21B6E52-1B68-4BF3-AAE2-43FDF7B0E121}"/>
    <cellStyle name="Comma 2 259 4 2 3 4 3" xfId="21553" xr:uid="{0B7F2A73-ABE7-4002-9DE9-15F1D9AB4778}"/>
    <cellStyle name="Comma 2 259 4 2 3 5" xfId="4416" xr:uid="{55173980-34AA-49C7-A445-91BAD8E4307E}"/>
    <cellStyle name="Comma 2 259 4 2 3 5 2" xfId="21554" xr:uid="{CAC5A61F-9F3F-448A-B1BB-5E1CCABEEEED}"/>
    <cellStyle name="Comma 2 259 4 2 3 6" xfId="21556" xr:uid="{475938E6-D556-40CD-90BC-03A4DECD3590}"/>
    <cellStyle name="Comma 2 259 4 2 3 7" xfId="21557" xr:uid="{AE56D6D9-879D-41B4-BAD7-5B018FFE26AC}"/>
    <cellStyle name="Comma 2 259 4 2 4" xfId="4057" xr:uid="{755005CA-B3B6-4CD3-87F8-256FFC22CF82}"/>
    <cellStyle name="Comma 2 259 4 2 4 2" xfId="4064" xr:uid="{37B295A9-2812-409B-B2C3-929C925C3077}"/>
    <cellStyle name="Comma 2 259 4 2 4 2 2" xfId="7819" xr:uid="{83670FC1-3FF1-4D00-A401-74E2A6E26B25}"/>
    <cellStyle name="Comma 2 259 4 2 4 2 2 2" xfId="19595" xr:uid="{773F841A-A396-45D9-84DB-1A67961350FF}"/>
    <cellStyle name="Comma 2 259 4 2 4 2 2 2 2" xfId="19597" xr:uid="{0256D8A8-3FE0-4896-8E04-3F1582AF00B9}"/>
    <cellStyle name="Comma 2 259 4 2 4 2 2 3" xfId="19599" xr:uid="{B7E2E3B3-A50A-4982-8ACE-03451B8F012F}"/>
    <cellStyle name="Comma 2 259 4 2 4 2 3" xfId="21558" xr:uid="{C3DFF44B-B627-4F73-B474-9A9C1FBF963A}"/>
    <cellStyle name="Comma 2 259 4 2 4 2 3 2" xfId="19664" xr:uid="{7E538CB9-1C7D-47C9-9120-FFAE8C9DDE70}"/>
    <cellStyle name="Comma 2 259 4 2 4 2 4" xfId="21559" xr:uid="{EFA25652-7BE8-437D-A5EB-77A316E31EC6}"/>
    <cellStyle name="Comma 2 259 4 2 4 3" xfId="2367" xr:uid="{1243A29A-B101-477C-A481-EE9C81063968}"/>
    <cellStyle name="Comma 2 259 4 2 4 3 2" xfId="21560" xr:uid="{506A84A9-E700-4D2B-AD38-619319728DAF}"/>
    <cellStyle name="Comma 2 259 4 2 4 3 2 2" xfId="19753" xr:uid="{E2CF2ED4-BD27-4FC8-8FFB-6413EE8E3D3C}"/>
    <cellStyle name="Comma 2 259 4 2 4 3 3" xfId="21561" xr:uid="{A4764C79-4FB3-4DD3-881C-C957ADF3B166}"/>
    <cellStyle name="Comma 2 259 4 2 4 4" xfId="21562" xr:uid="{A7B23921-A8E7-4134-AFEF-DAD05C6A1CDA}"/>
    <cellStyle name="Comma 2 259 4 2 4 4 2" xfId="21563" xr:uid="{89251D01-1B06-4D3E-9763-1035C9E6F00C}"/>
    <cellStyle name="Comma 2 259 4 2 4 5" xfId="21564" xr:uid="{F1A0D002-60BD-425C-8130-F0FD95463C88}"/>
    <cellStyle name="Comma 2 259 4 2 5" xfId="4070" xr:uid="{D3FE4EC9-09CC-429F-B844-7AF00434017B}"/>
    <cellStyle name="Comma 2 259 4 2 5 2" xfId="7821" xr:uid="{75B8EAE7-8033-4688-BFBB-938FCE66117E}"/>
    <cellStyle name="Comma 2 259 4 2 5 2 2" xfId="21565" xr:uid="{1BAF26FE-4037-4CDA-A89E-E0588012B431}"/>
    <cellStyle name="Comma 2 259 4 2 5 2 2 2" xfId="2753" xr:uid="{4F98F9E1-97A8-40C6-9C7D-3855C4A05F4E}"/>
    <cellStyle name="Comma 2 259 4 2 5 2 3" xfId="21566" xr:uid="{0E59826B-B5E4-4987-BAC3-1425F7708C43}"/>
    <cellStyle name="Comma 2 259 4 2 5 3" xfId="2377" xr:uid="{32667A35-B4B0-4557-889A-8D8AC236535D}"/>
    <cellStyle name="Comma 2 259 4 2 5 3 2" xfId="21567" xr:uid="{82B613D5-2901-4E25-AA62-849100EFEC29}"/>
    <cellStyle name="Comma 2 259 4 2 5 4" xfId="21568" xr:uid="{427E6EF2-8715-4A88-8A6E-56FC9BF84815}"/>
    <cellStyle name="Comma 2 259 4 2 6" xfId="7825" xr:uid="{360F9C68-3E51-45B3-9C2D-5D01126F19F0}"/>
    <cellStyle name="Comma 2 259 4 2 6 2" xfId="21571" xr:uid="{9340B50E-EAAF-4C65-8C79-D55DC03E6434}"/>
    <cellStyle name="Comma 2 259 4 2 6 2 2" xfId="21572" xr:uid="{4D7AF025-B240-4481-906A-402B616B6B75}"/>
    <cellStyle name="Comma 2 259 4 2 6 3" xfId="21574" xr:uid="{66B5DA1B-0CD4-4727-8E8E-798252F5DE25}"/>
    <cellStyle name="Comma 2 259 4 2 7" xfId="21577" xr:uid="{6406589B-86D1-4B2C-A6DF-6044AB82A9E0}"/>
    <cellStyle name="Comma 2 259 4 2 7 2" xfId="21578" xr:uid="{3BCAA610-1DFB-46C0-912A-915AA207AC17}"/>
    <cellStyle name="Comma 2 259 4 2 8" xfId="21579" xr:uid="{00FFB58B-0C5E-4369-9B55-6B8718883A86}"/>
    <cellStyle name="Comma 2 259 4 2 9" xfId="21580" xr:uid="{3C5B344A-919C-4DD2-84DB-9E1308CAA8B3}"/>
    <cellStyle name="Comma 2 259 4 3" xfId="21582" xr:uid="{BBFF6272-1E63-4E78-A576-72BE8FC6E7E5}"/>
    <cellStyle name="Comma 2 259 4 3 2" xfId="20043" xr:uid="{A4BF5209-6BB1-4B84-9289-D106431C318F}"/>
    <cellStyle name="Comma 2 259 4 3 2 2" xfId="21584" xr:uid="{8E59B6E4-23D5-41CE-A749-49C7F31E229B}"/>
    <cellStyle name="Comma 2 259 4 3 2 2 2" xfId="20246" xr:uid="{EAB93637-8C25-430E-85D3-D7F6C50FB954}"/>
    <cellStyle name="Comma 2 259 4 3 2 2 2 2" xfId="20248" xr:uid="{8A586DA0-EBA0-421A-841F-CFC2137E3B80}"/>
    <cellStyle name="Comma 2 259 4 3 2 2 2 2 2" xfId="20250" xr:uid="{148EE05B-788B-439A-8631-25E9571FE414}"/>
    <cellStyle name="Comma 2 259 4 3 2 2 2 2 2 2" xfId="21585" xr:uid="{0F106418-39B8-42ED-8F20-50C51D783A80}"/>
    <cellStyle name="Comma 2 259 4 3 2 2 2 2 3" xfId="21586" xr:uid="{3F18517A-8813-4348-AF2B-18A16FEE4484}"/>
    <cellStyle name="Comma 2 259 4 3 2 2 2 3" xfId="20253" xr:uid="{7DC3D3B8-6811-4E05-98FB-0BB9C193F12D}"/>
    <cellStyle name="Comma 2 259 4 3 2 2 2 3 2" xfId="21589" xr:uid="{44A118AE-504B-4ABD-A622-11BBBFD1B9EE}"/>
    <cellStyle name="Comma 2 259 4 3 2 2 2 4" xfId="21590" xr:uid="{95EF1CF9-0BD5-4E9F-BB70-0D1C93835E17}"/>
    <cellStyle name="Comma 2 259 4 3 2 2 3" xfId="2147" xr:uid="{793E468D-D13E-48BA-BE65-5CDC9E5E546B}"/>
    <cellStyle name="Comma 2 259 4 3 2 2 3 2" xfId="2151" xr:uid="{737ADB02-8EF0-446E-A9F8-FEBB1E03133E}"/>
    <cellStyle name="Comma 2 259 4 3 2 2 3 2 2" xfId="13183" xr:uid="{DB7EBC2E-1B02-4466-B848-6769841B9C4D}"/>
    <cellStyle name="Comma 2 259 4 3 2 2 3 3" xfId="10751" xr:uid="{47F52389-CDD2-4349-BB29-E2965B8B0207}"/>
    <cellStyle name="Comma 2 259 4 3 2 2 4" xfId="2154" xr:uid="{C95278FF-EEAE-42AF-98B2-368FDFF20D02}"/>
    <cellStyle name="Comma 2 259 4 3 2 2 4 2" xfId="21591" xr:uid="{F6759A25-02F1-4DBC-9B40-5811AB6F2E99}"/>
    <cellStyle name="Comma 2 259 4 3 2 2 5" xfId="21593" xr:uid="{B435953A-2810-4AF2-BD2E-003551FE40AC}"/>
    <cellStyle name="Comma 2 259 4 3 2 3" xfId="21594" xr:uid="{03719E89-5C91-4A16-9E1D-2DCB4C10B94D}"/>
    <cellStyle name="Comma 2 259 4 3 2 3 2" xfId="20262" xr:uid="{901DAB9B-51AB-4CDC-B35B-8D8F5E46397F}"/>
    <cellStyle name="Comma 2 259 4 3 2 3 2 2" xfId="20267" xr:uid="{A176AFFA-24A7-4E42-B80D-7AE2358020A4}"/>
    <cellStyle name="Comma 2 259 4 3 2 3 2 2 2" xfId="21598" xr:uid="{7D5F69F8-5A56-43B8-9F04-3CA79F675250}"/>
    <cellStyle name="Comma 2 259 4 3 2 3 2 3" xfId="21602" xr:uid="{BF23E7ED-6B10-4B13-9C8A-5C646A254AE5}"/>
    <cellStyle name="Comma 2 259 4 3 2 3 3" xfId="2160" xr:uid="{89BCEB91-28EC-4E0F-9B36-0FE58FC4AF7A}"/>
    <cellStyle name="Comma 2 259 4 3 2 3 3 2" xfId="21608" xr:uid="{5D175E19-CF48-46BB-AC69-196A7B986168}"/>
    <cellStyle name="Comma 2 259 4 3 2 3 4" xfId="21609" xr:uid="{0679CEE8-C422-4EB2-B666-D40B760137AE}"/>
    <cellStyle name="Comma 2 259 4 3 2 4" xfId="21610" xr:uid="{46E3801A-C8E2-45DB-AAE9-D1B7B6680A9B}"/>
    <cellStyle name="Comma 2 259 4 3 2 4 2" xfId="702" xr:uid="{5C318836-2434-45F1-AB22-ACBE6AA03D25}"/>
    <cellStyle name="Comma 2 259 4 3 2 4 2 2" xfId="21611" xr:uid="{2277078F-F761-460F-BEF1-37D4FAEF62E2}"/>
    <cellStyle name="Comma 2 259 4 3 2 4 3" xfId="709" xr:uid="{9C866ABB-12AA-43B0-8A46-4DCCD501EC2E}"/>
    <cellStyle name="Comma 2 259 4 3 2 5" xfId="21612" xr:uid="{D0D9BC77-00DF-4C73-BE51-B198AD8B3FD4}"/>
    <cellStyle name="Comma 2 259 4 3 2 5 2" xfId="21613" xr:uid="{FE78338F-3F51-49DF-AAC5-8E99F961E2DC}"/>
    <cellStyle name="Comma 2 259 4 3 2 6" xfId="21614" xr:uid="{8C8E7AFE-D67E-4469-8DAC-1F42B8E3F7F4}"/>
    <cellStyle name="Comma 2 259 4 3 2 7" xfId="21615" xr:uid="{ADAB5CA6-C023-4E66-A459-BE6A8524F384}"/>
    <cellStyle name="Comma 2 259 4 3 3" xfId="21616" xr:uid="{2CE8C8C1-2B28-4277-9528-2E0842911F19}"/>
    <cellStyle name="Comma 2 259 4 3 3 2" xfId="21618" xr:uid="{019742EF-4A75-4F76-8377-33F0A0E8E17D}"/>
    <cellStyle name="Comma 2 259 4 3 3 2 2" xfId="20637" xr:uid="{EA803A14-611A-4425-AC7B-9713CD697427}"/>
    <cellStyle name="Comma 2 259 4 3 3 2 2 2" xfId="20641" xr:uid="{17DEEF07-611B-496C-B726-ABA4AF24B1A8}"/>
    <cellStyle name="Comma 2 259 4 3 3 2 2 2 2" xfId="21619" xr:uid="{C438C200-8015-4455-8E34-2C49A514EC88}"/>
    <cellStyle name="Comma 2 259 4 3 3 2 2 3" xfId="21620" xr:uid="{F91A4331-BF23-4BDA-A31A-A56465C2D955}"/>
    <cellStyle name="Comma 2 259 4 3 3 2 3" xfId="2193" xr:uid="{B0BC5846-B311-43FA-9A62-03CCD753B5D3}"/>
    <cellStyle name="Comma 2 259 4 3 3 2 3 2" xfId="21623" xr:uid="{24D2E3CB-7126-477F-B120-455DEC53F5C5}"/>
    <cellStyle name="Comma 2 259 4 3 3 2 4" xfId="21625" xr:uid="{30813491-54B2-4BB4-B1B1-ABBC5A8AFA53}"/>
    <cellStyle name="Comma 2 259 4 3 3 3" xfId="4429" xr:uid="{DFD3A87D-9991-46FC-B3C2-5FC23A0094B3}"/>
    <cellStyle name="Comma 2 259 4 3 3 3 2" xfId="20647" xr:uid="{FBF3BC63-D81D-40CB-AD28-0F6959AFF0C1}"/>
    <cellStyle name="Comma 2 259 4 3 3 3 2 2" xfId="21626" xr:uid="{F0513188-0FBA-4C52-9181-61079585E4A0}"/>
    <cellStyle name="Comma 2 259 4 3 3 3 3" xfId="21627" xr:uid="{440D2E9D-1FFA-4768-8AB8-0A10FCD9E547}"/>
    <cellStyle name="Comma 2 259 4 3 3 4" xfId="21630" xr:uid="{6E14B4B9-B7AF-4A2B-94F1-FD154BAC8FC9}"/>
    <cellStyle name="Comma 2 259 4 3 3 4 2" xfId="21632" xr:uid="{D225F2E9-D351-4E40-868B-D676497058A9}"/>
    <cellStyle name="Comma 2 259 4 3 3 5" xfId="21634" xr:uid="{7AC864CA-90A3-48F4-AE37-8BD482756E9A}"/>
    <cellStyle name="Comma 2 259 4 3 4" xfId="4090" xr:uid="{1F70AC6C-A908-4D6E-AF3C-142144337B47}"/>
    <cellStyle name="Comma 2 259 4 3 4 2" xfId="7827" xr:uid="{E33BDA4C-7383-459C-BDEC-D3C4EB89C5A3}"/>
    <cellStyle name="Comma 2 259 4 3 4 2 2" xfId="20801" xr:uid="{F6700F74-5690-4620-B5E4-C207EF771928}"/>
    <cellStyle name="Comma 2 259 4 3 4 2 2 2" xfId="20312" xr:uid="{7EEF6174-D22F-4ADE-9A89-EEB7F739C21C}"/>
    <cellStyle name="Comma 2 259 4 3 4 2 3" xfId="21635" xr:uid="{D71E25EF-4E40-4AE6-987D-4CC6B4D740E5}"/>
    <cellStyle name="Comma 2 259 4 3 4 3" xfId="21636" xr:uid="{8E5B78C5-30DB-42F4-AE1C-57AFD6D1791D}"/>
    <cellStyle name="Comma 2 259 4 3 4 3 2" xfId="21637" xr:uid="{34DDE187-11B6-4330-9B25-5401357F3800}"/>
    <cellStyle name="Comma 2 259 4 3 4 4" xfId="21639" xr:uid="{00E3BAFC-C180-4B0D-8D42-A8B60CED1803}"/>
    <cellStyle name="Comma 2 259 4 3 5" xfId="2572" xr:uid="{3A7FC2C9-8976-41A5-B7F9-D0508857573D}"/>
    <cellStyle name="Comma 2 259 4 3 5 2" xfId="21640" xr:uid="{6232CEBE-92DF-4DDC-8F23-3DAAFA246445}"/>
    <cellStyle name="Comma 2 259 4 3 5 2 2" xfId="21641" xr:uid="{4885B0A2-1F5A-43CD-8791-FC1303ECB56C}"/>
    <cellStyle name="Comma 2 259 4 3 5 3" xfId="21642" xr:uid="{5637A2E3-9887-4F65-B091-B24635197C47}"/>
    <cellStyle name="Comma 2 259 4 3 6" xfId="21645" xr:uid="{2242D9DA-8557-445B-8A5E-1656DCA99E63}"/>
    <cellStyle name="Comma 2 259 4 3 6 2" xfId="21646" xr:uid="{FEA2C919-F4D4-45B5-9925-B4BECCF9B6B8}"/>
    <cellStyle name="Comma 2 259 4 3 7" xfId="21647" xr:uid="{156844F3-D3E2-4946-8CB2-B15A0391FEBB}"/>
    <cellStyle name="Comma 2 259 4 3 8" xfId="15744" xr:uid="{78478E89-3C4D-465E-9DF2-F55FFD0BC1BD}"/>
    <cellStyle name="Comma 2 259 4 4" xfId="21648" xr:uid="{64516A22-92D8-48A1-AF41-6E1E31C51400}"/>
    <cellStyle name="Comma 2 259 4 4 2" xfId="21650" xr:uid="{F2284B68-45CA-4A01-821E-41AC43A0185C}"/>
    <cellStyle name="Comma 2 259 4 4 2 2" xfId="21651" xr:uid="{517A9702-6E85-43C3-AB09-271192EA99C0}"/>
    <cellStyle name="Comma 2 259 4 4 2 2 2" xfId="21179" xr:uid="{FC504C7B-5517-4038-B74F-173F372F22AE}"/>
    <cellStyle name="Comma 2 259 4 4 2 2 2 2" xfId="21181" xr:uid="{19436B50-1D08-4318-8875-74115B597432}"/>
    <cellStyle name="Comma 2 259 4 4 2 2 2 2 2" xfId="21652" xr:uid="{9ED36415-5018-4B1B-9E71-CDA152DA3E37}"/>
    <cellStyle name="Comma 2 259 4 4 2 2 2 3" xfId="19491" xr:uid="{E8F91BD3-D4E2-42F0-847C-C7B5015B8172}"/>
    <cellStyle name="Comma 2 259 4 4 2 2 3" xfId="21186" xr:uid="{4C5828B1-4064-40C9-8BBE-F238FD130313}"/>
    <cellStyle name="Comma 2 259 4 4 2 2 3 2" xfId="21654" xr:uid="{CDC2D83C-C05C-4228-9972-7E117072FDDE}"/>
    <cellStyle name="Comma 2 259 4 4 2 2 4" xfId="21660" xr:uid="{23674F5D-580E-4A97-A132-FC3F0EE04269}"/>
    <cellStyle name="Comma 2 259 4 4 2 3" xfId="21661" xr:uid="{767ED2FF-8B42-49DC-AA1B-591010019181}"/>
    <cellStyle name="Comma 2 259 4 4 2 3 2" xfId="21189" xr:uid="{70F04ABB-E7F3-485E-B678-1B13BA4EA6FA}"/>
    <cellStyle name="Comma 2 259 4 4 2 3 2 2" xfId="20239" xr:uid="{314D4D44-52C8-4B1A-9146-6DBDA3B454A5}"/>
    <cellStyle name="Comma 2 259 4 4 2 3 3" xfId="21664" xr:uid="{E0CEA165-36B0-468B-9CDD-87F5B12AC462}"/>
    <cellStyle name="Comma 2 259 4 4 2 4" xfId="21665" xr:uid="{36C79F3E-8C37-4F96-A56B-33F62AD24FA0}"/>
    <cellStyle name="Comma 2 259 4 4 2 4 2" xfId="21666" xr:uid="{80753264-1261-406F-980F-7E1EB7AA7696}"/>
    <cellStyle name="Comma 2 259 4 4 2 5" xfId="21667" xr:uid="{1EAF0C80-D75C-4540-AF63-F8A884ECBF7A}"/>
    <cellStyle name="Comma 2 259 4 4 3" xfId="21668" xr:uid="{EEAA346C-FEAC-45BA-B592-CBAF4FF7C905}"/>
    <cellStyle name="Comma 2 259 4 4 3 2" xfId="21669" xr:uid="{F66688E5-2ACB-4510-9384-5A683A8D7223}"/>
    <cellStyle name="Comma 2 259 4 4 3 2 2" xfId="21305" xr:uid="{A04636E5-05AD-411F-9677-A1454191BA91}"/>
    <cellStyle name="Comma 2 259 4 4 3 2 2 2" xfId="21670" xr:uid="{ADFAEB5D-5627-4716-B0A5-5E488BB29F72}"/>
    <cellStyle name="Comma 2 259 4 4 3 2 3" xfId="21673" xr:uid="{D6607BF7-4A5A-4A73-811C-8A8E80B88510}"/>
    <cellStyle name="Comma 2 259 4 4 3 3" xfId="21674" xr:uid="{F54E5D38-4657-441C-991E-3814B6F9C36B}"/>
    <cellStyle name="Comma 2 259 4 4 3 3 2" xfId="21675" xr:uid="{8884253B-F8FC-441F-9E3F-C292B5174006}"/>
    <cellStyle name="Comma 2 259 4 4 3 4" xfId="21677" xr:uid="{40EA69A0-775D-4B1F-BE1E-597294292E46}"/>
    <cellStyle name="Comma 2 259 4 4 4" xfId="3542" xr:uid="{C0493C44-8C5D-4E37-8773-F50479279493}"/>
    <cellStyle name="Comma 2 259 4 4 4 2" xfId="21679" xr:uid="{BA9B9223-A0AE-444C-B655-81C885073E95}"/>
    <cellStyle name="Comma 2 259 4 4 4 2 2" xfId="21681" xr:uid="{A85E0C78-1AA2-4277-824B-CDC35A3393BC}"/>
    <cellStyle name="Comma 2 259 4 4 4 3" xfId="21683" xr:uid="{BD9AC446-48C4-4251-9D61-34790BCDBE16}"/>
    <cellStyle name="Comma 2 259 4 4 5" xfId="21685" xr:uid="{9C1165F4-E79B-47B5-8BE6-63D7A51B5E86}"/>
    <cellStyle name="Comma 2 259 4 4 5 2" xfId="21687" xr:uid="{159187E7-884E-40CC-95E4-1C00DC6536AB}"/>
    <cellStyle name="Comma 2 259 4 4 6" xfId="21689" xr:uid="{EF5F9DBA-35D2-41BE-B369-2B9CDD5AACC8}"/>
    <cellStyle name="Comma 2 259 4 4 7" xfId="21692" xr:uid="{9B5FD70F-8D56-46CD-8194-FE47170A15E5}"/>
    <cellStyle name="Comma 2 259 4 5" xfId="21693" xr:uid="{114E652D-70F2-48CA-9D8C-F3F782871EDA}"/>
    <cellStyle name="Comma 2 259 4 5 2" xfId="21694" xr:uid="{8BAFB4E9-731A-4CD7-A993-1DF68413C0A1}"/>
    <cellStyle name="Comma 2 259 4 5 2 2" xfId="2384" xr:uid="{87139AF2-05AC-48BD-AD1F-4298C6EA5FF0}"/>
    <cellStyle name="Comma 2 259 4 5 2 2 2" xfId="21573" xr:uid="{1F67D349-E5B0-4ED6-B80A-616D43FCA67F}"/>
    <cellStyle name="Comma 2 259 4 5 2 2 2 2" xfId="21695" xr:uid="{7F43AF62-A8B7-48F1-81B3-9CDA3C47C85E}"/>
    <cellStyle name="Comma 2 259 4 5 2 2 3" xfId="21697" xr:uid="{A207A834-2E5C-4EF5-9000-1A166E564437}"/>
    <cellStyle name="Comma 2 259 4 5 2 3" xfId="21698" xr:uid="{FBD4FD01-BAF8-4FB0-B664-8CE8F0FB0773}"/>
    <cellStyle name="Comma 2 259 4 5 2 3 2" xfId="21699" xr:uid="{3074F5F6-D37A-422B-BE66-88C05E65488F}"/>
    <cellStyle name="Comma 2 259 4 5 2 4" xfId="21700" xr:uid="{3075F90C-8824-4B63-8090-0C92CEDE3D7A}"/>
    <cellStyle name="Comma 2 259 4 5 3" xfId="21701" xr:uid="{BE5DB716-BA8D-42CB-9DEC-C88A37229AD6}"/>
    <cellStyle name="Comma 2 259 4 5 3 2" xfId="21702" xr:uid="{6D74EA09-6B09-4075-B464-388C8900EB77}"/>
    <cellStyle name="Comma 2 259 4 5 3 2 2" xfId="21703" xr:uid="{9D1B3673-BE4A-493B-BC0C-EBF47F6B56ED}"/>
    <cellStyle name="Comma 2 259 4 5 3 3" xfId="21704" xr:uid="{C8BAEAC9-BE3A-4923-A776-F339A8AD2356}"/>
    <cellStyle name="Comma 2 259 4 5 4" xfId="21706" xr:uid="{3EC2CD4E-08CE-42CC-A92C-9B7E218818A0}"/>
    <cellStyle name="Comma 2 259 4 5 4 2" xfId="21708" xr:uid="{CABE7E84-1F42-4FE4-B9EB-84DC4F5134B2}"/>
    <cellStyle name="Comma 2 259 4 5 5" xfId="21710" xr:uid="{47152ACE-8E68-4329-8AC1-9C336138D310}"/>
    <cellStyle name="Comma 2 259 4 6" xfId="20773" xr:uid="{C89C15F8-2888-4B54-8DC0-61329C97A593}"/>
    <cellStyle name="Comma 2 259 4 6 2" xfId="21711" xr:uid="{52E0BF74-E608-47E6-B0B0-0DD799174DD5}"/>
    <cellStyle name="Comma 2 259 4 6 2 2" xfId="21712" xr:uid="{827112C7-27B0-4CBE-A023-2FC8B923C78A}"/>
    <cellStyle name="Comma 2 259 4 6 2 2 2" xfId="21713" xr:uid="{BB4C2D27-F49F-492A-838D-B8B76C2AC1D4}"/>
    <cellStyle name="Comma 2 259 4 6 2 3" xfId="21714" xr:uid="{29C8E8A8-B36D-43E3-879B-3C0B134B1226}"/>
    <cellStyle name="Comma 2 259 4 6 3" xfId="21715" xr:uid="{1727E3F9-B9A6-4AED-9C95-632EDFADA569}"/>
    <cellStyle name="Comma 2 259 4 6 3 2" xfId="21716" xr:uid="{B7CFE030-895C-4EEE-9812-121D9EC31E04}"/>
    <cellStyle name="Comma 2 259 4 6 4" xfId="21718" xr:uid="{5255ACE7-7B5C-4495-8527-6430589D1568}"/>
    <cellStyle name="Comma 2 259 4 7" xfId="21719" xr:uid="{8D6D8DB8-A672-40E4-9D11-BA560A36EDF0}"/>
    <cellStyle name="Comma 2 259 4 7 2" xfId="21721" xr:uid="{9DFA5A14-F4A6-47E5-8AF0-BF4B3646D40C}"/>
    <cellStyle name="Comma 2 259 4 7 2 2" xfId="21722" xr:uid="{D95B72AB-A199-490A-91F5-441C9AD91617}"/>
    <cellStyle name="Comma 2 259 4 7 3" xfId="21723" xr:uid="{2AF93CA1-81EB-426F-AC0F-BD7650DC6325}"/>
    <cellStyle name="Comma 2 259 4 8" xfId="21725" xr:uid="{402DE13C-BEB7-4ECC-AFF2-3D18882CDBA1}"/>
    <cellStyle name="Comma 2 259 4 8 2" xfId="21726" xr:uid="{10F423BE-9A39-4DF0-B50F-20CA9A9CB5F7}"/>
    <cellStyle name="Comma 2 259 4 9" xfId="21727" xr:uid="{929AA109-6C7D-4EEE-9FA0-7CB1DCE34573}"/>
    <cellStyle name="Comma 2 259 5" xfId="834" xr:uid="{EC653A43-D1C4-431B-9E99-29B4A0465681}"/>
    <cellStyle name="Comma 2 259 5 2" xfId="4106" xr:uid="{EE675ED3-D20D-405D-BF17-9BDE8720223A}"/>
    <cellStyle name="Comma 2 259 5 2 2" xfId="20067" xr:uid="{1A2D55B1-9C30-42FD-B34B-19E2575CDDBC}"/>
    <cellStyle name="Comma 2 259 5 2 2 2" xfId="21728" xr:uid="{8C744A18-2828-4F11-9477-2D267DCB298E}"/>
    <cellStyle name="Comma 2 259 5 2 2 2 2" xfId="21729" xr:uid="{BCA3515D-9304-40FA-B93F-6A12FC268CE7}"/>
    <cellStyle name="Comma 2 259 5 2 2 2 2 2" xfId="21731" xr:uid="{D34ED1B2-2E37-49F1-A3B1-90949C4421FD}"/>
    <cellStyle name="Comma 2 259 5 2 2 2 2 2 2" xfId="21733" xr:uid="{FBA1C44C-8823-4A3B-9DFA-DB599D077B0B}"/>
    <cellStyle name="Comma 2 259 5 2 2 2 2 2 2 2" xfId="16174" xr:uid="{ADAC623E-9696-4336-A354-2BC3BED59CCA}"/>
    <cellStyle name="Comma 2 259 5 2 2 2 2 2 3" xfId="21734" xr:uid="{64A1BD42-F7D0-45D9-A7D8-6A01A3E6F7B5}"/>
    <cellStyle name="Comma 2 259 5 2 2 2 2 3" xfId="21740" xr:uid="{F3F25CBA-0894-4C83-AE58-6937A2A01691}"/>
    <cellStyle name="Comma 2 259 5 2 2 2 2 3 2" xfId="21745" xr:uid="{6DF87B7A-97C8-44C5-961C-6E8782AFB933}"/>
    <cellStyle name="Comma 2 259 5 2 2 2 2 4" xfId="21751" xr:uid="{A489EDD4-9179-4C47-B9A1-40A9CF799724}"/>
    <cellStyle name="Comma 2 259 5 2 2 2 3" xfId="21752" xr:uid="{A6702D79-7698-4F16-9945-79DEB8DE56C5}"/>
    <cellStyle name="Comma 2 259 5 2 2 2 3 2" xfId="21755" xr:uid="{81256108-AEE7-412A-9DC1-D3AB22E80EDF}"/>
    <cellStyle name="Comma 2 259 5 2 2 2 3 2 2" xfId="21757" xr:uid="{547F6768-F25D-4E44-B9C5-6B7323F69C0E}"/>
    <cellStyle name="Comma 2 259 5 2 2 2 3 3" xfId="21763" xr:uid="{11AE4604-32CA-49A2-B17C-4EFA2977F8EC}"/>
    <cellStyle name="Comma 2 259 5 2 2 2 4" xfId="21764" xr:uid="{AEF6AF03-DAAB-4330-9A52-FD3FB70B6E49}"/>
    <cellStyle name="Comma 2 259 5 2 2 2 4 2" xfId="21766" xr:uid="{9EE093B7-8741-4CAC-96C8-C567B6CF6B55}"/>
    <cellStyle name="Comma 2 259 5 2 2 2 5" xfId="21767" xr:uid="{68A0EFC8-966A-498D-BEAE-6EC1F0A33A9C}"/>
    <cellStyle name="Comma 2 259 5 2 2 3" xfId="21768" xr:uid="{AF8465B3-EB4B-406D-8199-88C26346084C}"/>
    <cellStyle name="Comma 2 259 5 2 2 3 2" xfId="21769" xr:uid="{4A3D18C4-29FB-4235-AD24-D8171761370C}"/>
    <cellStyle name="Comma 2 259 5 2 2 3 2 2" xfId="10434" xr:uid="{539A3820-9A3E-429F-BA3B-56F1BE204630}"/>
    <cellStyle name="Comma 2 259 5 2 2 3 2 2 2" xfId="21770" xr:uid="{5191F830-80A7-477E-AAEE-03C5368DD52A}"/>
    <cellStyle name="Comma 2 259 5 2 2 3 2 3" xfId="21773" xr:uid="{A6BFCB75-A1C6-4A2A-A6BD-E03306C343ED}"/>
    <cellStyle name="Comma 2 259 5 2 2 3 3" xfId="21774" xr:uid="{8C94BBDD-3CBC-493F-B78C-D0F85CB8F286}"/>
    <cellStyle name="Comma 2 259 5 2 2 3 3 2" xfId="21776" xr:uid="{2FAE65FE-4982-470D-BF99-BB7AFB848E12}"/>
    <cellStyle name="Comma 2 259 5 2 2 3 4" xfId="21777" xr:uid="{54E5266E-909A-48DC-A255-3F6044A78B27}"/>
    <cellStyle name="Comma 2 259 5 2 2 4" xfId="21778" xr:uid="{A205E485-9BF4-4902-8CFB-03B44C2B01DB}"/>
    <cellStyle name="Comma 2 259 5 2 2 4 2" xfId="21779" xr:uid="{B9FA5F24-D38D-4B4E-A187-021FF3A02264}"/>
    <cellStyle name="Comma 2 259 5 2 2 4 2 2" xfId="21780" xr:uid="{7B9A2319-BCA7-4A35-9EF5-9ED3719BD26D}"/>
    <cellStyle name="Comma 2 259 5 2 2 4 3" xfId="21781" xr:uid="{D95AE755-9190-4D34-8804-8BE267143A62}"/>
    <cellStyle name="Comma 2 259 5 2 2 5" xfId="21782" xr:uid="{29BADC96-809E-4DBD-87C9-C214D2872D45}"/>
    <cellStyle name="Comma 2 259 5 2 2 5 2" xfId="21783" xr:uid="{5EDF5068-9B86-4501-AC6C-DA0866AEA25E}"/>
    <cellStyle name="Comma 2 259 5 2 2 6" xfId="7526" xr:uid="{61B27146-D798-43F2-9B5F-00ACE6BB9227}"/>
    <cellStyle name="Comma 2 259 5 2 2 7" xfId="21784" xr:uid="{244EDF60-059C-4D6F-B9B6-2185E160EBEA}"/>
    <cellStyle name="Comma 2 259 5 2 3" xfId="21786" xr:uid="{43AE9E9C-B4C7-488A-AA74-8B6864BFBBAC}"/>
    <cellStyle name="Comma 2 259 5 2 3 2" xfId="21788" xr:uid="{2C700460-3815-4176-9EC4-918DCD135DE3}"/>
    <cellStyle name="Comma 2 259 5 2 3 2 2" xfId="21789" xr:uid="{CC4E5318-87EA-4CD3-8F19-9A57F5E8BCC7}"/>
    <cellStyle name="Comma 2 259 5 2 3 2 2 2" xfId="21791" xr:uid="{25C131B2-DC8E-4723-9CA9-CA68AD091F22}"/>
    <cellStyle name="Comma 2 259 5 2 3 2 2 2 2" xfId="21793" xr:uid="{534FF1A7-0BEB-41A4-90EC-D2EE6625BBAB}"/>
    <cellStyle name="Comma 2 259 5 2 3 2 2 3" xfId="21794" xr:uid="{ABD8105D-0E74-4F15-98B7-CB9C5C738A13}"/>
    <cellStyle name="Comma 2 259 5 2 3 2 3" xfId="21795" xr:uid="{7F3B3907-68C2-474F-BA93-743802F5DFFD}"/>
    <cellStyle name="Comma 2 259 5 2 3 2 3 2" xfId="21798" xr:uid="{381C7D93-F481-41C7-A945-10C8A3749D01}"/>
    <cellStyle name="Comma 2 259 5 2 3 2 4" xfId="21799" xr:uid="{8F454424-05BD-4426-A5D0-170272770498}"/>
    <cellStyle name="Comma 2 259 5 2 3 3" xfId="21802" xr:uid="{00B22FB7-61D2-486A-B9DA-0A188AF1F631}"/>
    <cellStyle name="Comma 2 259 5 2 3 3 2" xfId="21804" xr:uid="{E7EB806B-7239-4CBA-9D17-393DD469639B}"/>
    <cellStyle name="Comma 2 259 5 2 3 3 2 2" xfId="21805" xr:uid="{73275320-AB70-4308-B68A-84213A58F49C}"/>
    <cellStyle name="Comma 2 259 5 2 3 3 3" xfId="21807" xr:uid="{812AEAC8-D940-4B91-8E4E-B4734C138B8D}"/>
    <cellStyle name="Comma 2 259 5 2 3 4" xfId="21809" xr:uid="{8FB7F074-D462-43EB-8FD3-07011E2A09AF}"/>
    <cellStyle name="Comma 2 259 5 2 3 4 2" xfId="21810" xr:uid="{9AA33487-B2DE-4434-8281-A1BE031E01EB}"/>
    <cellStyle name="Comma 2 259 5 2 3 5" xfId="21811" xr:uid="{34EB93E3-BDF3-43DA-A60A-C9E6D8F06A4F}"/>
    <cellStyle name="Comma 2 259 5 2 4" xfId="4135" xr:uid="{5CBB6A0D-3E70-499F-A9A0-A26135CC5FC9}"/>
    <cellStyle name="Comma 2 259 5 2 4 2" xfId="898" xr:uid="{FCF98926-BF7A-4E4A-8BCC-BC3BA13AA682}"/>
    <cellStyle name="Comma 2 259 5 2 4 2 2" xfId="16989" xr:uid="{98ABF138-7654-4984-8ACC-C773508A986A}"/>
    <cellStyle name="Comma 2 259 5 2 4 2 2 2" xfId="20961" xr:uid="{0F16A97E-77C7-4E52-89C4-81808F867E12}"/>
    <cellStyle name="Comma 2 259 5 2 4 2 3" xfId="21813" xr:uid="{4AD25DB6-E5C6-4321-B893-4502E601873B}"/>
    <cellStyle name="Comma 2 259 5 2 4 3" xfId="16992" xr:uid="{3E3C9766-F3C3-457F-A4D8-29CCCBFA482A}"/>
    <cellStyle name="Comma 2 259 5 2 4 3 2" xfId="21814" xr:uid="{E37A71D4-2442-4233-A54F-A0E48959983E}"/>
    <cellStyle name="Comma 2 259 5 2 4 4" xfId="21815" xr:uid="{14E4B96A-B57A-4BB2-98D9-1CCFD73A5EB5}"/>
    <cellStyle name="Comma 2 259 5 2 5" xfId="6674" xr:uid="{FCA9DA6E-9B08-48E6-B234-C0D6C819B220}"/>
    <cellStyle name="Comma 2 259 5 2 5 2" xfId="16994" xr:uid="{55E27090-259F-46D7-9A67-33932D192C7C}"/>
    <cellStyle name="Comma 2 259 5 2 5 2 2" xfId="21816" xr:uid="{37AF0D1A-0A41-4332-BEE7-F51F10DCEE28}"/>
    <cellStyle name="Comma 2 259 5 2 5 3" xfId="21817" xr:uid="{94C10E13-C133-4C28-9206-437834B2DBA1}"/>
    <cellStyle name="Comma 2 259 5 2 6" xfId="16998" xr:uid="{F100C6ED-2331-43B8-9D3C-0644C153FFF9}"/>
    <cellStyle name="Comma 2 259 5 2 6 2" xfId="21818" xr:uid="{D843D086-6CE3-41A6-B5EB-C0F1EDFD5113}"/>
    <cellStyle name="Comma 2 259 5 2 7" xfId="4724" xr:uid="{A7F00FDE-D2B9-4303-95F6-8F303C8E8A9C}"/>
    <cellStyle name="Comma 2 259 5 2 8" xfId="12173" xr:uid="{87EF302E-C1FF-4F3E-9CFA-249FC6BF5034}"/>
    <cellStyle name="Comma 2 259 5 3" xfId="21819" xr:uid="{4C39FB8D-9091-4679-BECE-457B6187B0AB}"/>
    <cellStyle name="Comma 2 259 5 3 2" xfId="21821" xr:uid="{92A45E0B-1872-4FA5-AC75-A1DF3A32425F}"/>
    <cellStyle name="Comma 2 259 5 3 2 2" xfId="21822" xr:uid="{D2D37AEE-10D7-4D85-A723-F3C105F90479}"/>
    <cellStyle name="Comma 2 259 5 3 2 2 2" xfId="21823" xr:uid="{DB2044E8-1EC3-438B-8699-DE224D9765BB}"/>
    <cellStyle name="Comma 2 259 5 3 2 2 2 2" xfId="21824" xr:uid="{0DFD6181-9266-4F49-914F-0AE564AE9D11}"/>
    <cellStyle name="Comma 2 259 5 3 2 2 2 2 2" xfId="21827" xr:uid="{2F6D13B3-7927-4935-9516-D09ADD1C30C2}"/>
    <cellStyle name="Comma 2 259 5 3 2 2 2 3" xfId="21828" xr:uid="{9C7FAD2B-AF78-4249-8720-0E91CF122EE0}"/>
    <cellStyle name="Comma 2 259 5 3 2 2 3" xfId="21829" xr:uid="{CB6DF818-6465-47C2-A5E5-A5A92DDA89FE}"/>
    <cellStyle name="Comma 2 259 5 3 2 2 3 2" xfId="21830" xr:uid="{545B560A-DAF9-4C74-8EA2-62C28F35F041}"/>
    <cellStyle name="Comma 2 259 5 3 2 2 4" xfId="21833" xr:uid="{C52E9DDB-CC6F-40E4-98C5-ADD44C82ED3B}"/>
    <cellStyle name="Comma 2 259 5 3 2 3" xfId="21834" xr:uid="{E07424EA-8974-4FC1-BA73-107F6F4794AA}"/>
    <cellStyle name="Comma 2 259 5 3 2 3 2" xfId="21835" xr:uid="{9B8FF0EF-603B-4FB4-8B17-4CBADE7AB729}"/>
    <cellStyle name="Comma 2 259 5 3 2 3 2 2" xfId="21836" xr:uid="{AC1E00DF-342B-4CC4-8980-EE92D409110D}"/>
    <cellStyle name="Comma 2 259 5 3 2 3 3" xfId="21839" xr:uid="{0A2CA0C0-C1D5-4D4C-9A39-087094A51AE1}"/>
    <cellStyle name="Comma 2 259 5 3 2 4" xfId="21840" xr:uid="{FDD4A233-B312-4A7A-A1B0-D43485FA89A9}"/>
    <cellStyle name="Comma 2 259 5 3 2 4 2" xfId="21841" xr:uid="{D0BAABC4-464D-488B-BA04-F22191A6B225}"/>
    <cellStyle name="Comma 2 259 5 3 2 5" xfId="21842" xr:uid="{DE24E973-4DC3-4991-914D-56301EF1C512}"/>
    <cellStyle name="Comma 2 259 5 3 3" xfId="21843" xr:uid="{042CFCA6-06AB-4B0A-A53C-5DCB3C442666}"/>
    <cellStyle name="Comma 2 259 5 3 3 2" xfId="21844" xr:uid="{64C5CEAD-7A6E-4D8E-B8F2-1DD659F76C15}"/>
    <cellStyle name="Comma 2 259 5 3 3 2 2" xfId="21845" xr:uid="{9E615E72-D5D4-4367-AEFF-C352758DD154}"/>
    <cellStyle name="Comma 2 259 5 3 3 2 2 2" xfId="21846" xr:uid="{4B8ECDCB-AEC8-43E9-B406-5B1793222677}"/>
    <cellStyle name="Comma 2 259 5 3 3 2 3" xfId="21849" xr:uid="{8A4465F2-02A7-4F3C-B7FE-0795E5DB4216}"/>
    <cellStyle name="Comma 2 259 5 3 3 3" xfId="21851" xr:uid="{C17A8B28-DBCF-46C5-8B77-2A48CFD35EFF}"/>
    <cellStyle name="Comma 2 259 5 3 3 3 2" xfId="21852" xr:uid="{B59A951D-8733-4880-8926-F58BA4C99D33}"/>
    <cellStyle name="Comma 2 259 5 3 3 4" xfId="21854" xr:uid="{ED53C683-2FF5-402C-93F6-CBF035F188BA}"/>
    <cellStyle name="Comma 2 259 5 3 4" xfId="6815" xr:uid="{F6DA7377-A041-4FC9-BFF5-1B4909D88A84}"/>
    <cellStyle name="Comma 2 259 5 3 4 2" xfId="17000" xr:uid="{A5C2BCA7-453A-42CA-897F-CD0CD45E6DDC}"/>
    <cellStyle name="Comma 2 259 5 3 4 2 2" xfId="21855" xr:uid="{0D00B35F-B1D8-4F4E-B62E-4E6B1647F06C}"/>
    <cellStyle name="Comma 2 259 5 3 4 3" xfId="21856" xr:uid="{29ED03C2-9BB0-4E33-85C4-C2DCF7C5F77D}"/>
    <cellStyle name="Comma 2 259 5 3 5" xfId="17002" xr:uid="{6B648A48-2E70-4B01-9205-D7FFCAEAD532}"/>
    <cellStyle name="Comma 2 259 5 3 5 2" xfId="21857" xr:uid="{D848D67F-4A82-49C6-B1AF-C8B4196F7DEA}"/>
    <cellStyle name="Comma 2 259 5 3 6" xfId="21858" xr:uid="{CCCF8124-7D22-432E-9E88-AA6A2984AD6B}"/>
    <cellStyle name="Comma 2 259 5 3 7" xfId="12175" xr:uid="{7F4F5A0A-8FE2-4B80-A20C-4A044934E8C9}"/>
    <cellStyle name="Comma 2 259 5 4" xfId="21859" xr:uid="{11A2E7B4-AE69-406C-9CA4-70EC917A16C0}"/>
    <cellStyle name="Comma 2 259 5 4 2" xfId="21860" xr:uid="{91896A7A-C91C-4AA9-A388-68C4DC198063}"/>
    <cellStyle name="Comma 2 259 5 4 2 2" xfId="21861" xr:uid="{A6DAFF91-F8E0-4BF1-8D92-27DEE35C0668}"/>
    <cellStyle name="Comma 2 259 5 4 2 2 2" xfId="21862" xr:uid="{A41595CD-E394-472F-B5B0-6818E60F88BA}"/>
    <cellStyle name="Comma 2 259 5 4 2 2 2 2" xfId="21863" xr:uid="{4EBCEC51-BE31-4527-9D2F-D8222C98715E}"/>
    <cellStyle name="Comma 2 259 5 4 2 2 3" xfId="21865" xr:uid="{4F6ABC3F-A27B-49D3-9E4B-FA6B5F33AAC7}"/>
    <cellStyle name="Comma 2 259 5 4 2 3" xfId="21866" xr:uid="{AEBA487D-0400-4A19-9C67-935ED33A88B6}"/>
    <cellStyle name="Comma 2 259 5 4 2 3 2" xfId="18136" xr:uid="{5B45ABFF-DF4F-4F08-9AED-B60A04105637}"/>
    <cellStyle name="Comma 2 259 5 4 2 4" xfId="21867" xr:uid="{D771F13B-6BBB-4A74-800C-A119C6304AAD}"/>
    <cellStyle name="Comma 2 259 5 4 3" xfId="21868" xr:uid="{40947B4F-A5BB-4C8F-B22A-9376EDDA0A7E}"/>
    <cellStyle name="Comma 2 259 5 4 3 2" xfId="21869" xr:uid="{8C167CA6-7A1E-4D15-97FB-F6AEDAB44617}"/>
    <cellStyle name="Comma 2 259 5 4 3 2 2" xfId="21870" xr:uid="{BEF8F9EE-3754-4397-BA9A-191CBAA25891}"/>
    <cellStyle name="Comma 2 259 5 4 3 3" xfId="7641" xr:uid="{8EB0BDA1-995D-43B4-96C7-BAAE284978C6}"/>
    <cellStyle name="Comma 2 259 5 4 4" xfId="17006" xr:uid="{25D45076-7A96-4E0D-9EAD-F5FA3FA7ECDC}"/>
    <cellStyle name="Comma 2 259 5 4 4 2" xfId="21872" xr:uid="{1486B403-7542-446D-B1AD-E75841C715B5}"/>
    <cellStyle name="Comma 2 259 5 4 5" xfId="21874" xr:uid="{F1CB6141-0F35-4E69-889E-7F408943D5AB}"/>
    <cellStyle name="Comma 2 259 5 5" xfId="21875" xr:uid="{F4298015-8563-4402-8764-DC1BE6F2B074}"/>
    <cellStyle name="Comma 2 259 5 5 2" xfId="21876" xr:uid="{0877FD8E-0697-4894-A1E1-6219D5485AE0}"/>
    <cellStyle name="Comma 2 259 5 5 2 2" xfId="21877" xr:uid="{D0360402-B34A-4FF5-ABE6-0D47E5EFA435}"/>
    <cellStyle name="Comma 2 259 5 5 2 2 2" xfId="21878" xr:uid="{47DAF881-22A7-4328-AE99-1E0630161DA8}"/>
    <cellStyle name="Comma 2 259 5 5 2 3" xfId="21879" xr:uid="{FB251273-881B-49FE-9134-869AD0D7EA15}"/>
    <cellStyle name="Comma 2 259 5 5 3" xfId="21882" xr:uid="{8F322BDB-12E9-463C-A18F-22B5D1A002C1}"/>
    <cellStyle name="Comma 2 259 5 5 3 2" xfId="21884" xr:uid="{B79A1D29-D51E-4F81-86AF-2426D4CE1545}"/>
    <cellStyle name="Comma 2 259 5 5 4" xfId="21887" xr:uid="{14309B6A-ADC1-4B62-A9D3-E255A0953485}"/>
    <cellStyle name="Comma 2 259 5 6" xfId="21888" xr:uid="{240DB799-CA0A-4C6F-848B-10A763453943}"/>
    <cellStyle name="Comma 2 259 5 6 2" xfId="21889" xr:uid="{2B59115D-63A3-4912-9F2E-CD8C0B0BE76B}"/>
    <cellStyle name="Comma 2 259 5 6 2 2" xfId="21890" xr:uid="{4D886987-E516-4881-95E4-76B0DBC75FC6}"/>
    <cellStyle name="Comma 2 259 5 6 3" xfId="21892" xr:uid="{5F1396AE-09C2-41F0-ABFF-FC8335D45CA2}"/>
    <cellStyle name="Comma 2 259 5 7" xfId="21893" xr:uid="{E24077B0-4BE5-444B-B79E-AFCF4545AF1D}"/>
    <cellStyle name="Comma 2 259 5 7 2" xfId="21894" xr:uid="{995024AB-F2A2-4E39-ACD1-EFA82547FBBE}"/>
    <cellStyle name="Comma 2 259 5 8" xfId="21895" xr:uid="{C2E7AE05-8BA9-4B0A-9D04-8FE3F8A7DA71}"/>
    <cellStyle name="Comma 2 259 5 9" xfId="21896" xr:uid="{E5CF29A4-C3F2-4AF5-9D75-8CD0FE1D9164}"/>
    <cellStyle name="Comma 2 259 6" xfId="1695" xr:uid="{CBD6407C-8A29-4461-BA71-2A028798EDE6}"/>
    <cellStyle name="Comma 2 259 6 2" xfId="21899" xr:uid="{06E3B829-0BB6-450D-8A0E-4F05A8832A6B}"/>
    <cellStyle name="Comma 2 259 6 2 2" xfId="21903" xr:uid="{DBBE2F02-8CCC-4513-88B9-A57BB7469407}"/>
    <cellStyle name="Comma 2 259 6 2 2 2" xfId="21906" xr:uid="{CB1A00C5-2E09-4BC7-854D-2F6AA52D56E0}"/>
    <cellStyle name="Comma 2 259 6 2 2 2 2" xfId="21909" xr:uid="{45B2C778-B003-4152-ACC4-7E46C49BFB3A}"/>
    <cellStyle name="Comma 2 259 6 2 2 2 2 2" xfId="21910" xr:uid="{7F1FEA9B-544B-433D-9856-10F58E5642C6}"/>
    <cellStyle name="Comma 2 259 6 2 2 2 2 2 2" xfId="21917" xr:uid="{459E5FF4-1305-49FD-B09B-8BB7F01904BB}"/>
    <cellStyle name="Comma 2 259 6 2 2 2 2 3" xfId="21918" xr:uid="{7E02CC5C-2BAB-42AE-B245-C392FB1BA6D7}"/>
    <cellStyle name="Comma 2 259 6 2 2 2 3" xfId="21919" xr:uid="{ED1DC0CB-967D-40EC-A668-03A020E2528E}"/>
    <cellStyle name="Comma 2 259 6 2 2 2 3 2" xfId="21920" xr:uid="{226A6AF5-9064-4EC8-91F2-6F514467036F}"/>
    <cellStyle name="Comma 2 259 6 2 2 2 4" xfId="159" xr:uid="{37DEB9BB-0FF6-4AA7-A90B-C1223591B111}"/>
    <cellStyle name="Comma 2 259 6 2 2 3" xfId="21923" xr:uid="{9F3DAC96-209D-4D16-A677-6404B2034819}"/>
    <cellStyle name="Comma 2 259 6 2 2 3 2" xfId="21924" xr:uid="{B77C4B35-6838-42B5-A00C-C7F814D816B7}"/>
    <cellStyle name="Comma 2 259 6 2 2 3 2 2" xfId="21925" xr:uid="{022A4D63-3949-41B1-BE10-57B878160366}"/>
    <cellStyle name="Comma 2 259 6 2 2 3 3" xfId="21926" xr:uid="{D2F2B221-11DE-4DD6-BF7A-E857F8239379}"/>
    <cellStyle name="Comma 2 259 6 2 2 4" xfId="21927" xr:uid="{BFF8BED1-2D73-4A4C-B87F-3184A4AD10D0}"/>
    <cellStyle name="Comma 2 259 6 2 2 4 2" xfId="21930" xr:uid="{28C94355-A646-43FF-8FDE-4001385D1523}"/>
    <cellStyle name="Comma 2 259 6 2 2 5" xfId="21931" xr:uid="{8F888AC3-B8B1-421D-AD58-42C629D432F7}"/>
    <cellStyle name="Comma 2 259 6 2 3" xfId="21934" xr:uid="{D7C319C0-9E02-4120-A0CE-DB79B5CD9F33}"/>
    <cellStyle name="Comma 2 259 6 2 3 2" xfId="21937" xr:uid="{CCE87679-8947-4D56-A18C-309F94B05378}"/>
    <cellStyle name="Comma 2 259 6 2 3 2 2" xfId="21942" xr:uid="{60E5D08E-B93A-4157-93B1-E4A61DA7B9A7}"/>
    <cellStyle name="Comma 2 259 6 2 3 2 2 2" xfId="21947" xr:uid="{2EB8B0A7-08D7-4733-8230-BAC9087121D5}"/>
    <cellStyle name="Comma 2 259 6 2 3 2 3" xfId="21952" xr:uid="{28FEAACA-D8F1-4E89-9C01-31ED34173038}"/>
    <cellStyle name="Comma 2 259 6 2 3 3" xfId="12989" xr:uid="{B81C38EF-3985-4E5A-BB77-CE8F0D0966C5}"/>
    <cellStyle name="Comma 2 259 6 2 3 3 2" xfId="12995" xr:uid="{9B2FFC23-2DBD-4FEB-9542-EE8E3A77CA19}"/>
    <cellStyle name="Comma 2 259 6 2 3 4" xfId="12997" xr:uid="{0AFE4FC4-0477-45C2-9AC2-27BFBE2F1070}"/>
    <cellStyle name="Comma 2 259 6 2 4" xfId="6946" xr:uid="{1F5A487C-38E2-434B-8FFB-CCEEFA7E47A6}"/>
    <cellStyle name="Comma 2 259 6 2 4 2" xfId="17008" xr:uid="{C150D38F-AC45-47B6-AFF0-3EBED1E44847}"/>
    <cellStyle name="Comma 2 259 6 2 4 2 2" xfId="18632" xr:uid="{52F2534A-363D-467D-813E-B9F24409EAFC}"/>
    <cellStyle name="Comma 2 259 6 2 4 3" xfId="13001" xr:uid="{72D5DBF4-8F70-473A-895C-62CCA34A3C6B}"/>
    <cellStyle name="Comma 2 259 6 2 5" xfId="17011" xr:uid="{B6BE652A-30CF-4C79-9D26-6CF1EF6A00E2}"/>
    <cellStyle name="Comma 2 259 6 2 5 2" xfId="21953" xr:uid="{F6DC0A1C-A6D1-491F-BB09-DDA8740C6780}"/>
    <cellStyle name="Comma 2 259 6 2 6" xfId="21954" xr:uid="{1AE9D8C3-113B-406E-B853-AE33C970E30A}"/>
    <cellStyle name="Comma 2 259 6 2 7" xfId="12210" xr:uid="{337189D3-5763-4A76-9F77-47E346D46465}"/>
    <cellStyle name="Comma 2 259 6 3" xfId="21957" xr:uid="{D2A50783-C21B-4E95-B2E5-44AAF2C22395}"/>
    <cellStyle name="Comma 2 259 6 3 2" xfId="21960" xr:uid="{FF2658EB-AE1C-4E1B-B5E4-43D195B3A2D1}"/>
    <cellStyle name="Comma 2 259 6 3 2 2" xfId="21963" xr:uid="{629B62DD-F7C3-435F-B8E8-F2FF763931D6}"/>
    <cellStyle name="Comma 2 259 6 3 2 2 2" xfId="21964" xr:uid="{264359E3-BD9E-4508-80BB-868DBCBE2B2D}"/>
    <cellStyle name="Comma 2 259 6 3 2 2 2 2" xfId="21965" xr:uid="{93C8C434-BAA4-4CD4-ADD7-3EA271BC7078}"/>
    <cellStyle name="Comma 2 259 6 3 2 2 3" xfId="21966" xr:uid="{F2AC83AA-A340-496A-AD96-C28AD0D2CF94}"/>
    <cellStyle name="Comma 2 259 6 3 2 3" xfId="21968" xr:uid="{5C01AD26-91D5-4B0E-A149-E3813FD6A41C}"/>
    <cellStyle name="Comma 2 259 6 3 2 3 2" xfId="21969" xr:uid="{FAEA57B9-F533-4772-9A17-331B2911778F}"/>
    <cellStyle name="Comma 2 259 6 3 2 4" xfId="21970" xr:uid="{91D55D4D-6FEA-413C-BF14-F5C7F0A70E30}"/>
    <cellStyle name="Comma 2 259 6 3 3" xfId="21973" xr:uid="{D630D7E4-2BE7-48D7-94A7-79AE2E713FF3}"/>
    <cellStyle name="Comma 2 259 6 3 3 2" xfId="21975" xr:uid="{AFB8A9D7-601C-45DD-A0D5-11BAB65B88FC}"/>
    <cellStyle name="Comma 2 259 6 3 3 2 2" xfId="21977" xr:uid="{6785F716-1022-4A3F-B030-D16EB0514B99}"/>
    <cellStyle name="Comma 2 259 6 3 3 3" xfId="13011" xr:uid="{27AEA2D3-0AE8-4145-9D76-4D423CBD710B}"/>
    <cellStyle name="Comma 2 259 6 3 4" xfId="16878" xr:uid="{26BAD643-3048-44EF-B7B8-E4929275D6BD}"/>
    <cellStyle name="Comma 2 259 6 3 4 2" xfId="16882" xr:uid="{3EC5D5B2-CCB5-45AC-BBCB-256AD84E14DD}"/>
    <cellStyle name="Comma 2 259 6 3 5" xfId="16884" xr:uid="{8A5134B6-64CD-4C6E-9D3A-1215DC8FB1B1}"/>
    <cellStyle name="Comma 2 259 6 4" xfId="21980" xr:uid="{75876711-AB3A-4607-AF8F-0824F7220023}"/>
    <cellStyle name="Comma 2 259 6 4 2" xfId="21983" xr:uid="{873A701F-B0EC-49F5-BA0E-8F91DDDDAD43}"/>
    <cellStyle name="Comma 2 259 6 4 2 2" xfId="21984" xr:uid="{70C831A9-8405-4A6F-8672-52244862FD21}"/>
    <cellStyle name="Comma 2 259 6 4 2 2 2" xfId="21985" xr:uid="{0397375E-B205-4876-9DE4-2CA7336AAE8C}"/>
    <cellStyle name="Comma 2 259 6 4 2 3" xfId="21986" xr:uid="{D87EB9B5-A904-45D9-B3EA-380ADFE03508}"/>
    <cellStyle name="Comma 2 259 6 4 3" xfId="21987" xr:uid="{63A5C496-C005-4175-A218-FCA0351360BB}"/>
    <cellStyle name="Comma 2 259 6 4 3 2" xfId="21989" xr:uid="{285C718A-3A2A-489D-81CA-C6902C2482DF}"/>
    <cellStyle name="Comma 2 259 6 4 4" xfId="16887" xr:uid="{54233A0D-B930-484E-90F3-3EFD7BB06E2A}"/>
    <cellStyle name="Comma 2 259 6 5" xfId="21992" xr:uid="{146F4A39-353A-4196-A3E0-77B8CD97C3AC}"/>
    <cellStyle name="Comma 2 259 6 5 2" xfId="21993" xr:uid="{3306E287-23AC-4237-AEAF-78AF44D10FEC}"/>
    <cellStyle name="Comma 2 259 6 5 2 2" xfId="21994" xr:uid="{B30F4EAA-CBE5-4213-A279-CD9837546593}"/>
    <cellStyle name="Comma 2 259 6 5 3" xfId="21997" xr:uid="{C7025B82-5FAE-4A47-B49D-587223786E36}"/>
    <cellStyle name="Comma 2 259 6 6" xfId="22000" xr:uid="{939E787A-0E2C-4BEA-844C-ECDFC9470113}"/>
    <cellStyle name="Comma 2 259 6 6 2" xfId="22002" xr:uid="{5CFD510C-489A-49C4-96BC-A29DC1A2519F}"/>
    <cellStyle name="Comma 2 259 6 7" xfId="22003" xr:uid="{321A5320-CD44-43DC-B6A5-6F5436E30599}"/>
    <cellStyle name="Comma 2 259 6 8" xfId="22004" xr:uid="{C5275785-7AAF-425F-A80A-3EEAFB11678C}"/>
    <cellStyle name="Comma 2 259 7" xfId="22005" xr:uid="{2765B3B6-A132-4ECB-88C7-F7A66435B905}"/>
    <cellStyle name="Comma 2 259 7 2" xfId="22009" xr:uid="{68BEAA9A-BD54-4EB7-B0ED-9B650F7908BC}"/>
    <cellStyle name="Comma 2 259 7 2 2" xfId="22013" xr:uid="{44244483-B97F-4C9B-8F45-6D1A220F849E}"/>
    <cellStyle name="Comma 2 259 7 2 2 2" xfId="22017" xr:uid="{4BF659BD-903D-4BC6-B914-969E656C0120}"/>
    <cellStyle name="Comma 2 259 7 2 2 2 2" xfId="18101" xr:uid="{E1A5F584-46A8-4484-AC23-607036D80C16}"/>
    <cellStyle name="Comma 2 259 7 2 2 2 2 2" xfId="22020" xr:uid="{415BCCB9-0DC2-4B6A-A29C-BF5E310C9189}"/>
    <cellStyle name="Comma 2 259 7 2 2 2 3" xfId="18107" xr:uid="{A6030D02-5A62-4D76-9146-781C37D62078}"/>
    <cellStyle name="Comma 2 259 7 2 2 3" xfId="22022" xr:uid="{8B6EBFE6-EA97-48F2-AD84-06E8A3B37F40}"/>
    <cellStyle name="Comma 2 259 7 2 2 3 2" xfId="18266" xr:uid="{3AE96D64-8A14-4DE2-9402-4BAF08A2C7F7}"/>
    <cellStyle name="Comma 2 259 7 2 2 4" xfId="22024" xr:uid="{DA4C0801-D568-460E-8270-36BC6E9DE0DE}"/>
    <cellStyle name="Comma 2 259 7 2 3" xfId="22028" xr:uid="{A35FAF21-C54B-476F-A191-A2B333ECAC8E}"/>
    <cellStyle name="Comma 2 259 7 2 3 2" xfId="22030" xr:uid="{2DFB8F52-1500-49B3-81DB-B27E167EEB68}"/>
    <cellStyle name="Comma 2 259 7 2 3 2 2" xfId="18543" xr:uid="{7D0DAF2F-C76E-42B7-BB84-6D7BCF6A0EF6}"/>
    <cellStyle name="Comma 2 259 7 2 3 3" xfId="13049" xr:uid="{C5A158C1-67BF-49D5-B69C-10FA18B6D89B}"/>
    <cellStyle name="Comma 2 259 7 2 4" xfId="17015" xr:uid="{B2D13141-DB8B-44FF-AD48-E62E5A64BE01}"/>
    <cellStyle name="Comma 2 259 7 2 4 2" xfId="2294" xr:uid="{FEC56EB1-DEEA-4AE2-AE1C-608B91AB6FF5}"/>
    <cellStyle name="Comma 2 259 7 2 5" xfId="22032" xr:uid="{79B0CE60-6A0C-4A5A-8557-6ED348ADA63C}"/>
    <cellStyle name="Comma 2 259 7 3" xfId="22035" xr:uid="{D6CEBAA2-DF8D-4CB0-9C27-A6488C67B39C}"/>
    <cellStyle name="Comma 2 259 7 3 2" xfId="22039" xr:uid="{A8BC49CB-37C4-4914-A132-E48BBC9E4394}"/>
    <cellStyle name="Comma 2 259 7 3 2 2" xfId="22041" xr:uid="{68E206E1-840D-4DCD-829E-1456FC207DD8}"/>
    <cellStyle name="Comma 2 259 7 3 2 2 2" xfId="22043" xr:uid="{26D7F8E6-4E81-4945-A8B8-B55D511F4001}"/>
    <cellStyle name="Comma 2 259 7 3 2 3" xfId="22045" xr:uid="{A46C8520-4951-45F6-A78D-C633DDF4ED52}"/>
    <cellStyle name="Comma 2 259 7 3 3" xfId="22047" xr:uid="{F0010367-CEFB-40D3-A608-131842F9F338}"/>
    <cellStyle name="Comma 2 259 7 3 3 2" xfId="15310" xr:uid="{4AE68F61-FCA5-4FB1-B121-8F84B0CA577C}"/>
    <cellStyle name="Comma 2 259 7 3 4" xfId="16898" xr:uid="{0F518A62-12E0-472A-A5A1-73B751A2676D}"/>
    <cellStyle name="Comma 2 259 7 4" xfId="22050" xr:uid="{1FEF7C2B-9EE6-41E6-8660-8E8FAC91528F}"/>
    <cellStyle name="Comma 2 259 7 4 2" xfId="22052" xr:uid="{86FFA91F-560F-4C3E-BEB7-4156E28CD66B}"/>
    <cellStyle name="Comma 2 259 7 4 2 2" xfId="22054" xr:uid="{B2C257FE-0401-478B-B3DF-27CB32A2EEB8}"/>
    <cellStyle name="Comma 2 259 7 4 3" xfId="22056" xr:uid="{098CF469-CA2E-41CF-89C9-455E490F689A}"/>
    <cellStyle name="Comma 2 259 7 5" xfId="22059" xr:uid="{D3F08AE0-6C6D-4562-A82B-B598F8F8B77C}"/>
    <cellStyle name="Comma 2 259 7 5 2" xfId="22061" xr:uid="{D2D573E0-F8D6-49DC-8660-05EFEBE8A3BD}"/>
    <cellStyle name="Comma 2 259 7 6" xfId="9740" xr:uid="{148770B5-80E9-4E91-BACD-CC0648718DE4}"/>
    <cellStyle name="Comma 2 259 7 7" xfId="22062" xr:uid="{8C37C0A4-C481-4825-9FE4-8D42D7D064D0}"/>
    <cellStyle name="Comma 2 259 8" xfId="22063" xr:uid="{41958F1B-5073-4DEF-82E7-6D7848B807DB}"/>
    <cellStyle name="Comma 2 259 8 2" xfId="22067" xr:uid="{C8F86A08-CDF6-4EDA-9753-2A2300394A9C}"/>
    <cellStyle name="Comma 2 259 8 2 2" xfId="22071" xr:uid="{779BD731-FE11-4C1F-A530-7EFAC6A46AB2}"/>
    <cellStyle name="Comma 2 259 8 2 2 2" xfId="22073" xr:uid="{28F8A8B5-CB92-4D19-8B6D-7B3160B2EFDB}"/>
    <cellStyle name="Comma 2 259 8 2 2 2 2" xfId="22076" xr:uid="{6095BA1E-50AD-45F5-89F7-5BC19FBF4B88}"/>
    <cellStyle name="Comma 2 259 8 2 2 3" xfId="22078" xr:uid="{D1973DEB-B639-44D4-B5F4-E95A958698F0}"/>
    <cellStyle name="Comma 2 259 8 2 3" xfId="22080" xr:uid="{77249DD9-C54B-40FF-9411-58B08C05AC73}"/>
    <cellStyle name="Comma 2 259 8 2 3 2" xfId="22082" xr:uid="{07AEBC9C-335A-4CEE-8CE1-B3406ECEA554}"/>
    <cellStyle name="Comma 2 259 8 2 4" xfId="22084" xr:uid="{5CC097B1-706D-479D-B199-C462C111EDC9}"/>
    <cellStyle name="Comma 2 259 8 3" xfId="22087" xr:uid="{0F25B8E1-68EC-48CB-A136-5EF2CE390173}"/>
    <cellStyle name="Comma 2 259 8 3 2" xfId="22089" xr:uid="{6A5879D4-4DE1-472A-AB1B-7EAA6C501236}"/>
    <cellStyle name="Comma 2 259 8 3 2 2" xfId="22091" xr:uid="{3FD67062-51F8-4AAF-9B33-26C6A09F0C51}"/>
    <cellStyle name="Comma 2 259 8 3 3" xfId="22093" xr:uid="{EFC3732C-A81B-4C0C-84C5-C1BCA1416776}"/>
    <cellStyle name="Comma 2 259 8 4" xfId="22094" xr:uid="{6CFE0C55-76A0-4002-8808-7787C42F044B}"/>
    <cellStyle name="Comma 2 259 8 4 2" xfId="22096" xr:uid="{BEB88D90-3FF8-4C70-B7CC-82C8ED07063B}"/>
    <cellStyle name="Comma 2 259 8 5" xfId="22097" xr:uid="{45C9DBF2-3FBA-452D-98F0-385D86305001}"/>
    <cellStyle name="Comma 2 259 9" xfId="22098" xr:uid="{79B65D97-1E48-4C66-960E-E73B7A1D908D}"/>
    <cellStyle name="Comma 2 259 9 2" xfId="22101" xr:uid="{5B02AE2E-F5F2-44D2-8A33-F8061F7294F1}"/>
    <cellStyle name="Comma 2 259 9 2 2" xfId="2501" xr:uid="{586DE46C-CE98-40F6-BD6A-8C7991C80BA7}"/>
    <cellStyle name="Comma 2 259 9 2 2 2" xfId="2510" xr:uid="{8A8AF969-3257-4331-970F-4E47930C58B6}"/>
    <cellStyle name="Comma 2 259 9 2 3" xfId="2522" xr:uid="{A9F2AC6D-6D33-45F4-8B1F-D640A9EE9B80}"/>
    <cellStyle name="Comma 2 259 9 3" xfId="22102" xr:uid="{4F098223-E092-41EF-B8DB-DAC67991F5A0}"/>
    <cellStyle name="Comma 2 259 9 3 2" xfId="17267" xr:uid="{D8EE9A17-BFD3-43E0-A210-1C80AEB9F23C}"/>
    <cellStyle name="Comma 2 259 9 4" xfId="22105" xr:uid="{1C0701D7-CF73-4219-81E9-C0B0FDCDBC6C}"/>
    <cellStyle name="Comma 2 26" xfId="10780" xr:uid="{5575ED2A-05D7-486D-B667-394270BF7BFA}"/>
    <cellStyle name="Comma 2 26 2" xfId="22109" xr:uid="{827D0CBE-FC23-4283-B67B-813D2AED2CA5}"/>
    <cellStyle name="Comma 2 26 3" xfId="22113" xr:uid="{AC30464D-017D-4547-9D4D-90358403F281}"/>
    <cellStyle name="Comma 2 260" xfId="19497" xr:uid="{B69E6E5D-8FFB-449B-A321-889E18EDE3D7}"/>
    <cellStyle name="Comma 2 260 10" xfId="8513" xr:uid="{4A4F75F8-EAA7-4169-BBD5-6AA7D714F9F9}"/>
    <cellStyle name="Comma 2 260 10 2" xfId="8517" xr:uid="{56C742BA-FF15-4C1B-804D-C39912CA5279}"/>
    <cellStyle name="Comma 2 260 11" xfId="8522" xr:uid="{508178F3-2DFB-4E51-A16B-0B1CEE182173}"/>
    <cellStyle name="Comma 2 260 12" xfId="22117" xr:uid="{6DD4D1A2-DFC8-41EC-AA01-CA162DAD05A2}"/>
    <cellStyle name="Comma 2 260 2" xfId="22120" xr:uid="{49961834-9B50-44CC-B3D4-5031B299FE97}"/>
    <cellStyle name="Comma 2 260 2 10" xfId="22122" xr:uid="{D05EDC91-404B-4E64-8C39-C3D5751EF0D2}"/>
    <cellStyle name="Comma 2 260 2 11" xfId="22125" xr:uid="{634EC1E7-71DC-42D0-A176-4334C798BDEC}"/>
    <cellStyle name="Comma 2 260 2 2" xfId="19002" xr:uid="{403EBE6B-96F2-4979-807D-0842380C932C}"/>
    <cellStyle name="Comma 2 260 2 2 10" xfId="22126" xr:uid="{E35A2CC9-AE67-48F2-B144-14C5C1C4ED9F}"/>
    <cellStyle name="Comma 2 260 2 2 2" xfId="22127" xr:uid="{C89328F0-ABDC-4E99-BBA0-4E0ED7500D68}"/>
    <cellStyle name="Comma 2 260 2 2 2 2" xfId="22128" xr:uid="{7EFF2C19-4F0D-4E9F-B275-62D5D4EFF4AA}"/>
    <cellStyle name="Comma 2 260 2 2 2 2 2" xfId="22129" xr:uid="{1226E1EB-AE9B-4F70-8542-F9384040878C}"/>
    <cellStyle name="Comma 2 260 2 2 2 2 2 2" xfId="22130" xr:uid="{BE470D05-554C-479E-96CA-82CD485BC346}"/>
    <cellStyle name="Comma 2 260 2 2 2 2 2 2 2" xfId="22131" xr:uid="{F003670F-655B-43E9-804B-F5D33E68D46A}"/>
    <cellStyle name="Comma 2 260 2 2 2 2 2 2 2 2" xfId="22133" xr:uid="{DB7C0124-7749-4461-828C-E607A597F745}"/>
    <cellStyle name="Comma 2 260 2 2 2 2 2 2 2 2 2" xfId="3001" xr:uid="{8C44D23D-1392-49AB-8E9B-0E42A0A99946}"/>
    <cellStyle name="Comma 2 260 2 2 2 2 2 2 2 2 2 2" xfId="22134" xr:uid="{7D111DD2-9A05-4249-9DB2-9E8F7CD42635}"/>
    <cellStyle name="Comma 2 260 2 2 2 2 2 2 2 2 3" xfId="22136" xr:uid="{8F5B2AD4-32DD-44F2-965E-5EEA9ED62D11}"/>
    <cellStyle name="Comma 2 260 2 2 2 2 2 2 2 3" xfId="22137" xr:uid="{69355FCF-E992-4CBD-B5FD-32339F8D8A50}"/>
    <cellStyle name="Comma 2 260 2 2 2 2 2 2 2 3 2" xfId="22138" xr:uid="{9E090008-8B3E-476F-A379-18BCAD9AAC64}"/>
    <cellStyle name="Comma 2 260 2 2 2 2 2 2 2 4" xfId="22140" xr:uid="{3E34819A-66FD-4D6C-8727-88BB997F1133}"/>
    <cellStyle name="Comma 2 260 2 2 2 2 2 2 3" xfId="6061" xr:uid="{F76CEDA4-F565-452A-A0DD-4719D3EA1985}"/>
    <cellStyle name="Comma 2 260 2 2 2 2 2 2 3 2" xfId="6064" xr:uid="{812C5C46-ADCC-43DC-91E7-5C2C0F14E514}"/>
    <cellStyle name="Comma 2 260 2 2 2 2 2 2 3 2 2" xfId="22141" xr:uid="{3FDE3741-DC33-4A13-B981-E8614072DDCC}"/>
    <cellStyle name="Comma 2 260 2 2 2 2 2 2 3 3" xfId="22142" xr:uid="{1B84754E-0D9C-4078-A271-A7C1F9BDB92D}"/>
    <cellStyle name="Comma 2 260 2 2 2 2 2 2 4" xfId="4228" xr:uid="{ABD4978B-01AA-4483-8E4E-B4FD8C8489A8}"/>
    <cellStyle name="Comma 2 260 2 2 2 2 2 2 4 2" xfId="22144" xr:uid="{4A9D2925-371C-4E43-A402-56FBF6DBC435}"/>
    <cellStyle name="Comma 2 260 2 2 2 2 2 2 5" xfId="15648" xr:uid="{B5DA3FCA-0E18-479F-BF84-D7108214263F}"/>
    <cellStyle name="Comma 2 260 2 2 2 2 2 3" xfId="22146" xr:uid="{A8D8A176-B161-49BA-A9DA-7B0E2AD20A37}"/>
    <cellStyle name="Comma 2 260 2 2 2 2 2 3 2" xfId="22148" xr:uid="{4B4E41CB-0042-4055-BDFA-23186CF9C094}"/>
    <cellStyle name="Comma 2 260 2 2 2 2 2 3 2 2" xfId="13286" xr:uid="{123D2FD5-627E-4F8E-A01F-43E60BEEBF36}"/>
    <cellStyle name="Comma 2 260 2 2 2 2 2 3 2 2 2" xfId="22149" xr:uid="{AAC30E23-019C-4BAC-885A-948C69344326}"/>
    <cellStyle name="Comma 2 260 2 2 2 2 2 3 2 3" xfId="22150" xr:uid="{AB4B2900-2E9C-47B9-972A-0B4AC4ECCF71}"/>
    <cellStyle name="Comma 2 260 2 2 2 2 2 3 3" xfId="4640" xr:uid="{D2087771-ECE9-4AE2-AFE7-9580FDA8B248}"/>
    <cellStyle name="Comma 2 260 2 2 2 2 2 3 3 2" xfId="22151" xr:uid="{1D10AB53-8FBF-4D8B-8961-7F3D8447E223}"/>
    <cellStyle name="Comma 2 260 2 2 2 2 2 3 4" xfId="22153" xr:uid="{0A5A86CF-EB0F-4C07-B331-F8DBE03E6754}"/>
    <cellStyle name="Comma 2 260 2 2 2 2 2 4" xfId="22156" xr:uid="{F18BAE04-6774-4290-A468-4CC587F2CC69}"/>
    <cellStyle name="Comma 2 260 2 2 2 2 2 4 2" xfId="22159" xr:uid="{0953F016-1258-48FA-AD38-F18F37D779E5}"/>
    <cellStyle name="Comma 2 260 2 2 2 2 2 4 2 2" xfId="22161" xr:uid="{C7123422-8192-4727-9DA4-A70724422704}"/>
    <cellStyle name="Comma 2 260 2 2 2 2 2 4 3" xfId="22163" xr:uid="{617FB44F-15FE-4715-8704-17931DC423F3}"/>
    <cellStyle name="Comma 2 260 2 2 2 2 2 5" xfId="22167" xr:uid="{2BC58A7D-6A4B-4EB7-B013-CB9B08A0EEC6}"/>
    <cellStyle name="Comma 2 260 2 2 2 2 2 5 2" xfId="10859" xr:uid="{59841F03-13AA-4AC0-92A6-ECC14A1348E2}"/>
    <cellStyle name="Comma 2 260 2 2 2 2 2 6" xfId="22170" xr:uid="{702DF984-F501-4D83-BC8E-B7E45C0F4F60}"/>
    <cellStyle name="Comma 2 260 2 2 2 2 2 7" xfId="22171" xr:uid="{349A6D96-3A40-4C0E-9EEE-66C03B7A6B1E}"/>
    <cellStyle name="Comma 2 260 2 2 2 2 3" xfId="22172" xr:uid="{E78DED20-F648-4F1A-82DC-4BA20CB4FEB4}"/>
    <cellStyle name="Comma 2 260 2 2 2 2 3 2" xfId="22173" xr:uid="{ADB05CED-E853-4C06-8749-89ED4E10E960}"/>
    <cellStyle name="Comma 2 260 2 2 2 2 3 2 2" xfId="22174" xr:uid="{3C16F13D-6FA3-4A38-A746-F437358E97C0}"/>
    <cellStyle name="Comma 2 260 2 2 2 2 3 2 2 2" xfId="22177" xr:uid="{E3998F4E-C42C-4F53-9F37-E0A225FCB53C}"/>
    <cellStyle name="Comma 2 260 2 2 2 2 3 2 2 2 2" xfId="22179" xr:uid="{E5641416-C1F6-48C5-B0E9-90CE75169306}"/>
    <cellStyle name="Comma 2 260 2 2 2 2 3 2 2 3" xfId="22181" xr:uid="{C77692B9-FD6D-4B1C-8C32-3D2B20CD07C0}"/>
    <cellStyle name="Comma 2 260 2 2 2 2 3 2 3" xfId="6102" xr:uid="{8346731C-D8E4-4ADF-BF3D-72A4AB1C2236}"/>
    <cellStyle name="Comma 2 260 2 2 2 2 3 2 3 2" xfId="13540" xr:uid="{05F7E1C9-53F1-4135-A6DF-96838F729C7B}"/>
    <cellStyle name="Comma 2 260 2 2 2 2 3 2 4" xfId="22184" xr:uid="{672451FC-B24B-46BA-A3A0-9365C2DB159E}"/>
    <cellStyle name="Comma 2 260 2 2 2 2 3 3" xfId="22186" xr:uid="{6E4BA6B3-AFBC-42EE-8D7D-962A71BB3822}"/>
    <cellStyle name="Comma 2 260 2 2 2 2 3 3 2" xfId="22188" xr:uid="{D2C11C0C-E9AD-4DC4-9EF3-1176C278FE18}"/>
    <cellStyle name="Comma 2 260 2 2 2 2 3 3 2 2" xfId="22190" xr:uid="{98FA5129-69BC-439C-8585-CD0F68D05481}"/>
    <cellStyle name="Comma 2 260 2 2 2 2 3 3 3" xfId="22191" xr:uid="{BD793BA6-DA27-47EA-98C8-D8881419A77F}"/>
    <cellStyle name="Comma 2 260 2 2 2 2 3 4" xfId="22194" xr:uid="{534CFF96-962D-48CC-8824-43BF543CFD5C}"/>
    <cellStyle name="Comma 2 260 2 2 2 2 3 4 2" xfId="22196" xr:uid="{CD31B0C9-F258-4E6B-875B-E0E9EE7EFB3E}"/>
    <cellStyle name="Comma 2 260 2 2 2 2 3 5" xfId="22198" xr:uid="{706F1C72-BC93-4F14-9754-CABE771736BC}"/>
    <cellStyle name="Comma 2 260 2 2 2 2 4" xfId="22201" xr:uid="{BFBD107B-1FDE-45AB-AB96-2CA5BEA76FAA}"/>
    <cellStyle name="Comma 2 260 2 2 2 2 4 2" xfId="22204" xr:uid="{9FC4B56A-770B-487C-BF87-C6E75A6B037F}"/>
    <cellStyle name="Comma 2 260 2 2 2 2 4 2 2" xfId="22207" xr:uid="{0185FCCB-9084-4A4B-9767-F42BE91E3526}"/>
    <cellStyle name="Comma 2 260 2 2 2 2 4 2 2 2" xfId="22211" xr:uid="{1214ECCB-64E6-4209-ACF8-07F74463AB44}"/>
    <cellStyle name="Comma 2 260 2 2 2 2 4 2 3" xfId="22214" xr:uid="{C830A6BD-F14C-4FDB-8592-3B1A72E71BA1}"/>
    <cellStyle name="Comma 2 260 2 2 2 2 4 3" xfId="22218" xr:uid="{81A03FD7-AB3E-4B15-88AE-1915BC7A8B6D}"/>
    <cellStyle name="Comma 2 260 2 2 2 2 4 3 2" xfId="22221" xr:uid="{66A69D3A-F8FE-4BE4-B17A-D908044D7B16}"/>
    <cellStyle name="Comma 2 260 2 2 2 2 4 4" xfId="5801" xr:uid="{08A72F4A-1EEF-4AB2-8C6D-9FAFA24D26AF}"/>
    <cellStyle name="Comma 2 260 2 2 2 2 5" xfId="22224" xr:uid="{2B4AE8E8-24A4-4F20-B46D-4A9F9EB9F0C0}"/>
    <cellStyle name="Comma 2 260 2 2 2 2 5 2" xfId="22227" xr:uid="{7C00F50F-A980-457F-A67B-D4A9D5D2F9EF}"/>
    <cellStyle name="Comma 2 260 2 2 2 2 5 2 2" xfId="22230" xr:uid="{B9B2E6BF-3758-4E7B-8E17-DEFB8E3DDA0E}"/>
    <cellStyle name="Comma 2 260 2 2 2 2 5 3" xfId="22233" xr:uid="{EB3F9360-B4F6-405E-8EB7-07A091DDBCC0}"/>
    <cellStyle name="Comma 2 260 2 2 2 2 6" xfId="22237" xr:uid="{67ABA541-C5AF-4500-A05F-6CBFC1F23AE5}"/>
    <cellStyle name="Comma 2 260 2 2 2 2 6 2" xfId="22242" xr:uid="{A3C369BF-F5A2-4A08-A678-E5C7F08C4148}"/>
    <cellStyle name="Comma 2 260 2 2 2 2 7" xfId="22246" xr:uid="{6ECDE7FB-4D80-4CD2-ACD0-589F27634751}"/>
    <cellStyle name="Comma 2 260 2 2 2 2 8" xfId="22248" xr:uid="{CAEC1B53-DCD2-4983-972A-FB6387228C7C}"/>
    <cellStyle name="Comma 2 260 2 2 2 3" xfId="22249" xr:uid="{50A9D785-DB91-4861-B4F9-0EB07D414D49}"/>
    <cellStyle name="Comma 2 260 2 2 2 3 2" xfId="22250" xr:uid="{FECFB8E7-2105-4C95-AA27-53AD52D27B8C}"/>
    <cellStyle name="Comma 2 260 2 2 2 3 2 2" xfId="22251" xr:uid="{34B4BA42-AC4B-4BAC-8292-224AF64DC920}"/>
    <cellStyle name="Comma 2 260 2 2 2 3 2 2 2" xfId="10158" xr:uid="{D47E36DD-D549-43F4-8A47-329B55CDD0AF}"/>
    <cellStyle name="Comma 2 260 2 2 2 3 2 2 2 2" xfId="10160" xr:uid="{AD25C865-9FF1-4CF9-A705-D89365A6CD0D}"/>
    <cellStyle name="Comma 2 260 2 2 2 3 2 2 2 2 2" xfId="22252" xr:uid="{842A3AA6-A1CC-4EDE-B81E-A56A152AA2DB}"/>
    <cellStyle name="Comma 2 260 2 2 2 3 2 2 2 3" xfId="22253" xr:uid="{78701951-7A0B-4288-9901-2A2A62B5A600}"/>
    <cellStyle name="Comma 2 260 2 2 2 3 2 2 3" xfId="6230" xr:uid="{29FA64C8-A9B7-4705-BB6D-2E711B7016EC}"/>
    <cellStyle name="Comma 2 260 2 2 2 3 2 2 3 2" xfId="22254" xr:uid="{0E6E0BC2-B50D-4630-8D94-C4A7BEDCD81B}"/>
    <cellStyle name="Comma 2 260 2 2 2 3 2 2 4" xfId="22256" xr:uid="{1A298BAC-3E84-4208-8B80-DB83C5E8A735}"/>
    <cellStyle name="Comma 2 260 2 2 2 3 2 3" xfId="22258" xr:uid="{13B398B2-01CF-4DF2-ACB3-28BAF2362647}"/>
    <cellStyle name="Comma 2 260 2 2 2 3 2 3 2" xfId="10170" xr:uid="{FB95A4D7-A766-4FDA-BB52-B706E444E13B}"/>
    <cellStyle name="Comma 2 260 2 2 2 3 2 3 2 2" xfId="22259" xr:uid="{307EBE9C-CC9C-4F8C-85F0-423A55921DDC}"/>
    <cellStyle name="Comma 2 260 2 2 2 3 2 3 3" xfId="22260" xr:uid="{1FDDD158-8F92-4BC0-8C80-8F10A5075301}"/>
    <cellStyle name="Comma 2 260 2 2 2 3 2 4" xfId="9939" xr:uid="{1AEF8F65-3202-42CE-B5B2-71BB2FFAA625}"/>
    <cellStyle name="Comma 2 260 2 2 2 3 2 4 2" xfId="9943" xr:uid="{9940D5D5-948E-4927-A096-54A751B62D98}"/>
    <cellStyle name="Comma 2 260 2 2 2 3 2 5" xfId="9947" xr:uid="{AB005C80-7BCE-4121-8E78-981B2DF3CAFC}"/>
    <cellStyle name="Comma 2 260 2 2 2 3 3" xfId="22261" xr:uid="{EFC69B7A-22A2-4F29-9017-C7DCDCA6F8CD}"/>
    <cellStyle name="Comma 2 260 2 2 2 3 3 2" xfId="22262" xr:uid="{4B4D0589-8E78-48BF-ADBB-F0ECF3B945A6}"/>
    <cellStyle name="Comma 2 260 2 2 2 3 3 2 2" xfId="10185" xr:uid="{B72AE325-AC59-4FE5-8844-81C90EECDDE4}"/>
    <cellStyle name="Comma 2 260 2 2 2 3 3 2 2 2" xfId="22264" xr:uid="{A7D3F99B-0BE7-4D62-A071-FC5E9989E120}"/>
    <cellStyle name="Comma 2 260 2 2 2 3 3 2 3" xfId="22269" xr:uid="{2F9EEF4F-C9C8-4970-B5B1-1782666BDFA9}"/>
    <cellStyle name="Comma 2 260 2 2 2 3 3 3" xfId="22271" xr:uid="{2BE7CDCC-AD9E-48D0-80B9-8014B8240C24}"/>
    <cellStyle name="Comma 2 260 2 2 2 3 3 3 2" xfId="22272" xr:uid="{6E9C8C2E-FB1C-49CE-AD06-576A0AFCD9C4}"/>
    <cellStyle name="Comma 2 260 2 2 2 3 3 4" xfId="9955" xr:uid="{7F05D826-AE7D-419F-92D8-753900DFB4B0}"/>
    <cellStyle name="Comma 2 260 2 2 2 3 4" xfId="22275" xr:uid="{FD792DFE-CF6B-4759-B27A-507DBE01A7E3}"/>
    <cellStyle name="Comma 2 260 2 2 2 3 4 2" xfId="22278" xr:uid="{41A10548-F943-4187-AD8C-CF6C08F78607}"/>
    <cellStyle name="Comma 2 260 2 2 2 3 4 2 2" xfId="22281" xr:uid="{2551B708-E53B-4235-ADE9-EC62271EAD52}"/>
    <cellStyle name="Comma 2 260 2 2 2 3 4 3" xfId="22285" xr:uid="{D0579F8B-0A68-4E00-AD83-62CFE99B7A38}"/>
    <cellStyle name="Comma 2 260 2 2 2 3 5" xfId="22288" xr:uid="{C04EB207-B145-46B3-86FA-4FC5B627F710}"/>
    <cellStyle name="Comma 2 260 2 2 2 3 5 2" xfId="22292" xr:uid="{9267EB68-6579-4CDC-AD8D-5F40F44ABB4C}"/>
    <cellStyle name="Comma 2 260 2 2 2 3 6" xfId="22296" xr:uid="{4D285BF0-F7CD-4F57-96F9-4E3337DE2A7A}"/>
    <cellStyle name="Comma 2 260 2 2 2 3 7" xfId="22298" xr:uid="{546EDC1E-8360-4F1A-B1B6-BCAE3D8EFE7C}"/>
    <cellStyle name="Comma 2 260 2 2 2 4" xfId="22303" xr:uid="{9CAE5949-D1F8-444C-90F9-F26704AC9C21}"/>
    <cellStyle name="Comma 2 260 2 2 2 4 2" xfId="22304" xr:uid="{9C6D2BA4-3E39-4A90-B3DA-7966E7ED54ED}"/>
    <cellStyle name="Comma 2 260 2 2 2 4 2 2" xfId="22305" xr:uid="{98046DD3-9386-4764-8D90-30E2BA1A4CB9}"/>
    <cellStyle name="Comma 2 260 2 2 2 4 2 2 2" xfId="10210" xr:uid="{15A030C4-AF25-4ECE-BC3A-FB441BCE000C}"/>
    <cellStyle name="Comma 2 260 2 2 2 4 2 2 2 2" xfId="22306" xr:uid="{A8CEED69-BB58-409B-8BEB-3F13669B4A78}"/>
    <cellStyle name="Comma 2 260 2 2 2 4 2 2 3" xfId="22307" xr:uid="{5CB4EA05-F77B-4C24-B4FE-4CD39D06F5B7}"/>
    <cellStyle name="Comma 2 260 2 2 2 4 2 3" xfId="10068" xr:uid="{575696C1-8A53-4B4B-BC58-CADAEECB63AB}"/>
    <cellStyle name="Comma 2 260 2 2 2 4 2 3 2" xfId="10070" xr:uid="{65464D53-8D98-43F3-8EF1-D5B654164A22}"/>
    <cellStyle name="Comma 2 260 2 2 2 4 2 4" xfId="9964" xr:uid="{E9F3563F-CE63-4AF1-BA11-AC3C46782362}"/>
    <cellStyle name="Comma 2 260 2 2 2 4 3" xfId="22308" xr:uid="{3478FEDC-7E78-40A6-86B3-6652C7DFEC44}"/>
    <cellStyle name="Comma 2 260 2 2 2 4 3 2" xfId="22309" xr:uid="{905FC24A-A947-4D54-B406-73C962B17C13}"/>
    <cellStyle name="Comma 2 260 2 2 2 4 3 2 2" xfId="22310" xr:uid="{B726853E-3C87-4AED-8978-617848E27EDF}"/>
    <cellStyle name="Comma 2 260 2 2 2 4 3 3" xfId="10074" xr:uid="{620C6A6D-A0FD-4C19-9E7D-834068CEFF51}"/>
    <cellStyle name="Comma 2 260 2 2 2 4 4" xfId="22313" xr:uid="{E4BA1594-7CF1-43A2-846A-60955349C467}"/>
    <cellStyle name="Comma 2 260 2 2 2 4 4 2" xfId="22316" xr:uid="{B5A85594-DE13-4F90-B880-152B84AC5842}"/>
    <cellStyle name="Comma 2 260 2 2 2 4 5" xfId="22319" xr:uid="{C5CE49FF-EB85-4365-AF88-FDA1DD3007DC}"/>
    <cellStyle name="Comma 2 260 2 2 2 5" xfId="22320" xr:uid="{26853A49-C08A-4C0B-A261-54348E5BFA0A}"/>
    <cellStyle name="Comma 2 260 2 2 2 5 2" xfId="22321" xr:uid="{BE3F90CC-21DC-4523-A59A-A9EA6F01B6CB}"/>
    <cellStyle name="Comma 2 260 2 2 2 5 2 2" xfId="8312" xr:uid="{416E7587-B218-4EB6-BF26-DAF18B98D758}"/>
    <cellStyle name="Comma 2 260 2 2 2 5 2 2 2" xfId="22322" xr:uid="{A26575FD-967A-416A-B4CC-E5E7B81186DA}"/>
    <cellStyle name="Comma 2 260 2 2 2 5 2 3" xfId="10089" xr:uid="{01FD5E48-9547-4454-AFB4-64C62C33F491}"/>
    <cellStyle name="Comma 2 260 2 2 2 5 3" xfId="22323" xr:uid="{AD8C17AA-9F91-4DEE-99EC-248BA750D698}"/>
    <cellStyle name="Comma 2 260 2 2 2 5 3 2" xfId="22324" xr:uid="{FD95D448-25FF-4C32-A97E-6553F67C5C34}"/>
    <cellStyle name="Comma 2 260 2 2 2 5 4" xfId="22327" xr:uid="{0121DF9F-C6AF-4D6E-A0E0-143269856569}"/>
    <cellStyle name="Comma 2 260 2 2 2 6" xfId="22328" xr:uid="{75DD7342-0644-4E64-8CD0-95579D04648D}"/>
    <cellStyle name="Comma 2 260 2 2 2 6 2" xfId="22" xr:uid="{9061538F-CF8A-4D2F-83F4-11F05FF367FE}"/>
    <cellStyle name="Comma 2 260 2 2 2 6 2 2" xfId="15834" xr:uid="{B1C49590-BC75-46AB-8667-D9DBFDADF25A}"/>
    <cellStyle name="Comma 2 260 2 2 2 6 3" xfId="22331" xr:uid="{58B52C5D-3E5F-4342-8EFB-DB36B7F5AEB9}"/>
    <cellStyle name="Comma 2 260 2 2 2 7" xfId="22332" xr:uid="{4FC1E7F3-D318-4AF1-A808-6C61B0A2B5B9}"/>
    <cellStyle name="Comma 2 260 2 2 2 7 2" xfId="15702" xr:uid="{4973B4D2-DB00-4960-B674-33C57CF95AF1}"/>
    <cellStyle name="Comma 2 260 2 2 2 8" xfId="22333" xr:uid="{D42326D7-4853-4110-9122-ECF66C141A67}"/>
    <cellStyle name="Comma 2 260 2 2 2 9" xfId="22335" xr:uid="{05CADBAA-B0F4-4012-89F7-A432A5D9036C}"/>
    <cellStyle name="Comma 2 260 2 2 3" xfId="22336" xr:uid="{0EE5D197-AE56-4AE3-A507-3858EE816293}"/>
    <cellStyle name="Comma 2 260 2 2 3 2" xfId="22337" xr:uid="{B49C8812-29BB-49D1-AFBD-460B43D0AD8A}"/>
    <cellStyle name="Comma 2 260 2 2 3 2 2" xfId="22338" xr:uid="{DE739B53-EFF7-48E0-8CA1-4C464CF7C712}"/>
    <cellStyle name="Comma 2 260 2 2 3 2 2 2" xfId="22339" xr:uid="{DCF2D5B6-4BBF-4AF9-9437-BCB76BAD225B}"/>
    <cellStyle name="Comma 2 260 2 2 3 2 2 2 2" xfId="22340" xr:uid="{3FC4559F-3AE8-498F-B8E4-E793C573C327}"/>
    <cellStyle name="Comma 2 260 2 2 3 2 2 2 2 2" xfId="22341" xr:uid="{7530857B-7AC9-4B72-833F-2C9F69A6CF3D}"/>
    <cellStyle name="Comma 2 260 2 2 3 2 2 2 2 2 2" xfId="22344" xr:uid="{C037691F-036F-4649-979C-6CFFFD146140}"/>
    <cellStyle name="Comma 2 260 2 2 3 2 2 2 2 3" xfId="7207" xr:uid="{B90D2C41-BA0C-4727-912B-152239C0075C}"/>
    <cellStyle name="Comma 2 260 2 2 3 2 2 2 3" xfId="6351" xr:uid="{8DD206BB-879A-4E1C-9BDD-441A891CE49E}"/>
    <cellStyle name="Comma 2 260 2 2 3 2 2 2 3 2" xfId="22345" xr:uid="{BDB175A0-8ADC-43B5-A0C6-B8C273F8B938}"/>
    <cellStyle name="Comma 2 260 2 2 3 2 2 2 4" xfId="9687" xr:uid="{4189C590-265F-4CF0-83DE-0B6B30D36F6D}"/>
    <cellStyle name="Comma 2 260 2 2 3 2 2 3" xfId="22347" xr:uid="{726C1899-07A7-4CE6-ADA9-2DD0195F41C0}"/>
    <cellStyle name="Comma 2 260 2 2 3 2 2 3 2" xfId="8821" xr:uid="{7B4797CF-893B-4551-9959-E84DF16507FA}"/>
    <cellStyle name="Comma 2 260 2 2 3 2 2 3 2 2" xfId="8824" xr:uid="{47102254-EB93-4DE0-9A93-9FAD2D2B0FAD}"/>
    <cellStyle name="Comma 2 260 2 2 3 2 2 3 3" xfId="8826" xr:uid="{75AC6DAC-FA3F-4DD4-8925-B714D06E2D3E}"/>
    <cellStyle name="Comma 2 260 2 2 3 2 2 4" xfId="22351" xr:uid="{C9EB584B-4B96-40E8-8C35-757B026CAFDA}"/>
    <cellStyle name="Comma 2 260 2 2 3 2 2 4 2" xfId="8833" xr:uid="{DD7D44E9-0D03-4604-BC47-363EFB8A2E71}"/>
    <cellStyle name="Comma 2 260 2 2 3 2 2 5" xfId="22353" xr:uid="{FB9C1BCC-8FDC-4760-97ED-8AF12998B145}"/>
    <cellStyle name="Comma 2 260 2 2 3 2 3" xfId="22354" xr:uid="{B64B29B9-990B-4501-BB7E-5260A4961FEF}"/>
    <cellStyle name="Comma 2 260 2 2 3 2 3 2" xfId="22355" xr:uid="{6E281714-CC3C-45F2-BB8A-7D8818B8F3A5}"/>
    <cellStyle name="Comma 2 260 2 2 3 2 3 2 2" xfId="22356" xr:uid="{2ACD589C-EE08-4EDE-95EF-AA9254B49637}"/>
    <cellStyle name="Comma 2 260 2 2 3 2 3 2 2 2" xfId="22358" xr:uid="{AF2CE1E5-707E-435B-8D69-AA5AA1E7C647}"/>
    <cellStyle name="Comma 2 260 2 2 3 2 3 2 3" xfId="18442" xr:uid="{C75D70A2-02CB-4FE4-8158-039D8EFEEE4C}"/>
    <cellStyle name="Comma 2 260 2 2 3 2 3 3" xfId="22360" xr:uid="{3DCD0232-125B-4A80-8FB0-288B5E2DE8A8}"/>
    <cellStyle name="Comma 2 260 2 2 3 2 3 3 2" xfId="8847" xr:uid="{E8698274-9F68-44E0-A157-8898E77242EC}"/>
    <cellStyle name="Comma 2 260 2 2 3 2 3 4" xfId="22362" xr:uid="{04C1F7C0-3D41-4F47-AAD1-50B1AC886192}"/>
    <cellStyle name="Comma 2 260 2 2 3 2 4" xfId="22365" xr:uid="{B12C574E-3E62-4D14-8E2D-1A5336E50103}"/>
    <cellStyle name="Comma 2 260 2 2 3 2 4 2" xfId="22368" xr:uid="{A08F827D-0E5D-474A-87D0-C694E55CCA2C}"/>
    <cellStyle name="Comma 2 260 2 2 3 2 4 2 2" xfId="4339" xr:uid="{9A849D56-0335-4DD1-8F72-16039FB41A7C}"/>
    <cellStyle name="Comma 2 260 2 2 3 2 4 3" xfId="22371" xr:uid="{240682FC-9D06-4CDE-8E8D-650A9C304220}"/>
    <cellStyle name="Comma 2 260 2 2 3 2 5" xfId="22374" xr:uid="{40EDDDC4-7A87-4141-AFE3-040720938574}"/>
    <cellStyle name="Comma 2 260 2 2 3 2 5 2" xfId="22377" xr:uid="{BBA62E8F-0160-4578-84E0-419473CCB736}"/>
    <cellStyle name="Comma 2 260 2 2 3 2 6" xfId="5017" xr:uid="{CA61BF3B-0F6D-4BA6-877E-1EC6EB650140}"/>
    <cellStyle name="Comma 2 260 2 2 3 2 7" xfId="5025" xr:uid="{2BB6A1F3-065F-4F46-B30B-AEA05BA9CF37}"/>
    <cellStyle name="Comma 2 260 2 2 3 3" xfId="22378" xr:uid="{42C2EA94-DC20-416B-959E-51FA578D7ABC}"/>
    <cellStyle name="Comma 2 260 2 2 3 3 2" xfId="22379" xr:uid="{D0857CA2-A02C-41B9-9891-88A4A8172D2E}"/>
    <cellStyle name="Comma 2 260 2 2 3 3 2 2" xfId="22380" xr:uid="{4F2434FD-B89E-4970-8D25-197BAA018E24}"/>
    <cellStyle name="Comma 2 260 2 2 3 3 2 2 2" xfId="10261" xr:uid="{F8203C50-D65B-4214-A2D7-EB1B28076F30}"/>
    <cellStyle name="Comma 2 260 2 2 3 3 2 2 2 2" xfId="22381" xr:uid="{D7213801-83CF-40FB-A186-B71086C25D30}"/>
    <cellStyle name="Comma 2 260 2 2 3 3 2 2 3" xfId="22383" xr:uid="{F06F986C-835D-4DCE-939B-0636373FD129}"/>
    <cellStyle name="Comma 2 260 2 2 3 3 2 3" xfId="22385" xr:uid="{19EC1E5F-9F61-4769-B429-3562DC1F1E7C}"/>
    <cellStyle name="Comma 2 260 2 2 3 3 2 3 2" xfId="8877" xr:uid="{71D72F5B-39A5-414E-9FE7-BEA1D695F40F}"/>
    <cellStyle name="Comma 2 260 2 2 3 3 2 4" xfId="10000" xr:uid="{C0878099-16BA-415C-BD14-2B5C7A047DA2}"/>
    <cellStyle name="Comma 2 260 2 2 3 3 3" xfId="22386" xr:uid="{05137989-B6C9-48C8-B673-F2208630E49A}"/>
    <cellStyle name="Comma 2 260 2 2 3 3 3 2" xfId="22387" xr:uid="{1E8AD57F-FB75-4927-A204-E99E484E4C40}"/>
    <cellStyle name="Comma 2 260 2 2 3 3 3 2 2" xfId="22390" xr:uid="{6F40FED4-D70E-4F82-ABA4-C3DE916D0B41}"/>
    <cellStyle name="Comma 2 260 2 2 3 3 3 3" xfId="22391" xr:uid="{D90E73CF-E717-4448-8F84-FB6FFDA289D9}"/>
    <cellStyle name="Comma 2 260 2 2 3 3 4" xfId="13233" xr:uid="{123B6792-1EBD-4F26-A7E7-094016F2FE6E}"/>
    <cellStyle name="Comma 2 260 2 2 3 3 4 2" xfId="13237" xr:uid="{BEF2980A-A6A3-4783-B569-1A7D162F97E5}"/>
    <cellStyle name="Comma 2 260 2 2 3 3 5" xfId="13250" xr:uid="{4A331496-D1C5-4651-9950-6C268A2579CF}"/>
    <cellStyle name="Comma 2 260 2 2 3 4" xfId="12238" xr:uid="{3CAEF4B9-F3F4-43EC-B245-007CF065BB9B}"/>
    <cellStyle name="Comma 2 260 2 2 3 4 2" xfId="12240" xr:uid="{87A6BA7F-95B0-4B8C-915E-BA1E7A1D77D1}"/>
    <cellStyle name="Comma 2 260 2 2 3 4 2 2" xfId="22392" xr:uid="{037574D6-E3EC-469F-BB62-54BA9FEDF86F}"/>
    <cellStyle name="Comma 2 260 2 2 3 4 2 2 2" xfId="22393" xr:uid="{D567381C-0108-4C1F-BF8A-A5DDAF107961}"/>
    <cellStyle name="Comma 2 260 2 2 3 4 2 3" xfId="10116" xr:uid="{A7624D9A-7B13-41BD-9192-6B508F937AD4}"/>
    <cellStyle name="Comma 2 260 2 2 3 4 3" xfId="22394" xr:uid="{08CCF83A-ADF0-46A1-AD8B-A2D7715C752E}"/>
    <cellStyle name="Comma 2 260 2 2 3 4 3 2" xfId="22395" xr:uid="{FEF88E24-D298-4A29-82DA-D6472EB4D610}"/>
    <cellStyle name="Comma 2 260 2 2 3 4 4" xfId="13264" xr:uid="{0708C13E-0B53-4487-9144-ECAD78B6C251}"/>
    <cellStyle name="Comma 2 260 2 2 3 5" xfId="12242" xr:uid="{A1689E67-5912-4FE1-9C4C-312A13846F28}"/>
    <cellStyle name="Comma 2 260 2 2 3 5 2" xfId="22396" xr:uid="{1A868201-F740-4321-8AD8-2729AEAD4DA6}"/>
    <cellStyle name="Comma 2 260 2 2 3 5 2 2" xfId="11848" xr:uid="{3F987A35-B754-4484-88AC-D4038F6DCCD7}"/>
    <cellStyle name="Comma 2 260 2 2 3 5 3" xfId="22397" xr:uid="{F80278EB-D5AC-46B8-8270-1E3EDC916F7E}"/>
    <cellStyle name="Comma 2 260 2 2 3 6" xfId="22400" xr:uid="{B63EC1EE-D693-4A15-8DB8-CF00E44654B6}"/>
    <cellStyle name="Comma 2 260 2 2 3 6 2" xfId="22401" xr:uid="{4B1FBF15-8BDB-4492-B02E-FEE4D848DB77}"/>
    <cellStyle name="Comma 2 260 2 2 3 7" xfId="22402" xr:uid="{23BA90CF-0DB9-4011-9F30-BBAD7A9B9BA4}"/>
    <cellStyle name="Comma 2 260 2 2 3 8" xfId="22403" xr:uid="{45872A6C-6813-47A9-9E58-1220DE456C06}"/>
    <cellStyle name="Comma 2 260 2 2 4" xfId="18901" xr:uid="{358B9DE0-C377-4F78-AA5D-525B16113012}"/>
    <cellStyle name="Comma 2 260 2 2 4 2" xfId="22404" xr:uid="{6BB551D9-841E-4F9F-A44C-17E994132830}"/>
    <cellStyle name="Comma 2 260 2 2 4 2 2" xfId="22405" xr:uid="{4A5F6BE7-98E3-4D94-9598-C6D630B1AC7B}"/>
    <cellStyle name="Comma 2 260 2 2 4 2 2 2" xfId="22406" xr:uid="{92053DA6-8742-4988-B306-2031AAC75A75}"/>
    <cellStyle name="Comma 2 260 2 2 4 2 2 2 2" xfId="14246" xr:uid="{F838DE90-B278-48AB-A26C-CE48CA611C11}"/>
    <cellStyle name="Comma 2 260 2 2 4 2 2 2 2 2" xfId="14248" xr:uid="{F2CAE4C9-CDB1-48D2-B487-588C61C5B269}"/>
    <cellStyle name="Comma 2 260 2 2 4 2 2 2 3" xfId="14250" xr:uid="{EBC98C37-E1D7-4B85-9A17-081A55F2585A}"/>
    <cellStyle name="Comma 2 260 2 2 4 2 2 3" xfId="22408" xr:uid="{48603D2B-46C9-4B0F-8A8E-2A1421565871}"/>
    <cellStyle name="Comma 2 260 2 2 4 2 2 3 2" xfId="9108" xr:uid="{2070DA59-BAF7-4F4F-A66F-A9932D7FFE95}"/>
    <cellStyle name="Comma 2 260 2 2 4 2 2 4" xfId="22410" xr:uid="{1F7B3A5C-3316-4832-ADC6-94CCA36400AF}"/>
    <cellStyle name="Comma 2 260 2 2 4 2 3" xfId="22411" xr:uid="{65650002-9C2E-4760-9A4A-DDDC5A84CEB3}"/>
    <cellStyle name="Comma 2 260 2 2 4 2 3 2" xfId="22412" xr:uid="{10B7726F-756E-4288-B6B4-8A1AEF9C1F51}"/>
    <cellStyle name="Comma 2 260 2 2 4 2 3 2 2" xfId="14338" xr:uid="{7A0BE341-8785-42D4-A6D6-6F767B947B30}"/>
    <cellStyle name="Comma 2 260 2 2 4 2 3 3" xfId="22413" xr:uid="{DD0BF775-FFA6-4671-A8A9-40095DFA56A6}"/>
    <cellStyle name="Comma 2 260 2 2 4 2 4" xfId="22416" xr:uid="{48E340DB-D393-446D-8610-8D878BA3B49D}"/>
    <cellStyle name="Comma 2 260 2 2 4 2 4 2" xfId="3727" xr:uid="{22CE6ECF-C0DF-45E3-A136-33E9B766A17C}"/>
    <cellStyle name="Comma 2 260 2 2 4 2 5" xfId="22419" xr:uid="{0ACFF006-E7F0-432F-994B-AA7F6EA9FE6F}"/>
    <cellStyle name="Comma 2 260 2 2 4 3" xfId="22420" xr:uid="{8C18E609-96BC-4A8D-94C1-986FECAF4EA5}"/>
    <cellStyle name="Comma 2 260 2 2 4 3 2" xfId="22421" xr:uid="{61A9B835-0686-4CD0-94FA-1D3B85827D59}"/>
    <cellStyle name="Comma 2 260 2 2 4 3 2 2" xfId="8471" xr:uid="{8E71C297-1A8B-48CF-8787-919AF68AACAC}"/>
    <cellStyle name="Comma 2 260 2 2 4 3 2 2 2" xfId="8473" xr:uid="{B0DF1AC0-D623-464A-97A6-99B89F7ADC93}"/>
    <cellStyle name="Comma 2 260 2 2 4 3 2 3" xfId="8480" xr:uid="{721AE6BD-FF1A-4499-A98F-FF83880E0939}"/>
    <cellStyle name="Comma 2 260 2 2 4 3 3" xfId="22422" xr:uid="{7CB9173B-89FE-40A0-B683-6962E3C2E946}"/>
    <cellStyle name="Comma 2 260 2 2 4 3 3 2" xfId="8526" xr:uid="{6241DC2A-06C3-487F-9B87-F33E049EFA54}"/>
    <cellStyle name="Comma 2 260 2 2 4 3 4" xfId="13303" xr:uid="{4AECEF6D-4558-4B23-80DB-B0A69D80892B}"/>
    <cellStyle name="Comma 2 260 2 2 4 4" xfId="12245" xr:uid="{F645FCF6-1845-4B0E-95EE-939F7F4B9B49}"/>
    <cellStyle name="Comma 2 260 2 2 4 4 2" xfId="22423" xr:uid="{B157B7FE-299E-4C25-B8F7-323F2C1F20D3}"/>
    <cellStyle name="Comma 2 260 2 2 4 4 2 2" xfId="8571" xr:uid="{1165A30A-7279-4640-AAFB-C6D6B89FD852}"/>
    <cellStyle name="Comma 2 260 2 2 4 4 3" xfId="22424" xr:uid="{A7F26F63-9A0C-43FF-AF41-DB281D62C035}"/>
    <cellStyle name="Comma 2 260 2 2 4 5" xfId="22425" xr:uid="{98E62D79-3631-4241-96FE-2DF4EA3A7833}"/>
    <cellStyle name="Comma 2 260 2 2 4 5 2" xfId="22426" xr:uid="{8BF3F642-B54B-4E98-9467-C984AA6FA28A}"/>
    <cellStyle name="Comma 2 260 2 2 4 6" xfId="20203" xr:uid="{F74C0992-1306-45BD-8A2F-D3A9998D040A}"/>
    <cellStyle name="Comma 2 260 2 2 4 7" xfId="22427" xr:uid="{FDA23D9F-1ACE-496A-B0FC-84544B68F000}"/>
    <cellStyle name="Comma 2 260 2 2 5" xfId="18903" xr:uid="{A3F3FC68-DF8D-4A80-9275-DD382B974719}"/>
    <cellStyle name="Comma 2 260 2 2 5 2" xfId="22428" xr:uid="{2D7D063F-59F8-436F-B03A-AFD178C13C23}"/>
    <cellStyle name="Comma 2 260 2 2 5 2 2" xfId="22429" xr:uid="{A445ACB1-3BA5-4F28-AA78-1A5E0E677643}"/>
    <cellStyle name="Comma 2 260 2 2 5 2 2 2" xfId="22430" xr:uid="{118ECB9F-C544-4F4B-A316-0ED616FC7B44}"/>
    <cellStyle name="Comma 2 260 2 2 5 2 2 2 2" xfId="14950" xr:uid="{CB63BED0-0A09-4DC3-B5A1-F259725E02D2}"/>
    <cellStyle name="Comma 2 260 2 2 5 2 2 3" xfId="22431" xr:uid="{9C88FBEC-3BF5-4EDD-B69A-4BE41157F169}"/>
    <cellStyle name="Comma 2 260 2 2 5 2 3" xfId="22432" xr:uid="{DB3F194F-DF34-4FF4-B931-44B27B48B556}"/>
    <cellStyle name="Comma 2 260 2 2 5 2 3 2" xfId="22433" xr:uid="{B217D5E9-7607-40CC-9E8E-872BEC7A969E}"/>
    <cellStyle name="Comma 2 260 2 2 5 2 4" xfId="22436" xr:uid="{FF74BC30-8D35-49F5-832E-5A5EDB67EEE0}"/>
    <cellStyle name="Comma 2 260 2 2 5 3" xfId="22437" xr:uid="{3FB87896-2EDA-46D1-B6A3-43298EBD171A}"/>
    <cellStyle name="Comma 2 260 2 2 5 3 2" xfId="22438" xr:uid="{76966B6E-95A2-4C92-A065-E9618FE3EFD2}"/>
    <cellStyle name="Comma 2 260 2 2 5 3 2 2" xfId="8691" xr:uid="{F33EAE00-B9E9-4745-839A-5D4E896E5219}"/>
    <cellStyle name="Comma 2 260 2 2 5 3 3" xfId="22439" xr:uid="{5350AC25-13C7-4EF9-98F9-8ACF43BB2730}"/>
    <cellStyle name="Comma 2 260 2 2 5 4" xfId="22440" xr:uid="{02DA5E2A-2245-409A-91FD-36E4B3570EB4}"/>
    <cellStyle name="Comma 2 260 2 2 5 4 2" xfId="22441" xr:uid="{F2B4E236-1C95-4929-9724-72A761A4F02C}"/>
    <cellStyle name="Comma 2 260 2 2 5 5" xfId="22442" xr:uid="{DDBF9D70-C95B-4BA5-8F78-15FE558B72E5}"/>
    <cellStyle name="Comma 2 260 2 2 6" xfId="18905" xr:uid="{9F8586F8-70C3-4089-87F7-B769149990C5}"/>
    <cellStyle name="Comma 2 260 2 2 6 2" xfId="22443" xr:uid="{185C33CA-4D79-4E3A-B0E9-F0351DC3A0CB}"/>
    <cellStyle name="Comma 2 260 2 2 6 2 2" xfId="22445" xr:uid="{CFD62B21-54E9-442E-A248-A177035B77E7}"/>
    <cellStyle name="Comma 2 260 2 2 6 2 2 2" xfId="22446" xr:uid="{9DBF5508-C425-4756-B120-7F2E081F4D49}"/>
    <cellStyle name="Comma 2 260 2 2 6 2 3" xfId="22448" xr:uid="{26CD1795-1B7E-4DCE-AEC9-FC4456E31FA2}"/>
    <cellStyle name="Comma 2 260 2 2 6 3" xfId="22449" xr:uid="{83814703-C45B-4EE8-BB4B-A746C27D306A}"/>
    <cellStyle name="Comma 2 260 2 2 6 3 2" xfId="6353" xr:uid="{BCA56AD6-28C1-42FF-B992-8E8DB1181BB9}"/>
    <cellStyle name="Comma 2 260 2 2 6 4" xfId="22450" xr:uid="{E1E4ECD6-1A84-4966-A8A3-B4AD15027957}"/>
    <cellStyle name="Comma 2 260 2 2 7" xfId="18907" xr:uid="{13B9BBC7-49BB-4DAB-8420-BB3764E8E4AA}"/>
    <cellStyle name="Comma 2 260 2 2 7 2" xfId="22451" xr:uid="{7B397872-D76D-4CB2-816A-A0364F7EAFA6}"/>
    <cellStyle name="Comma 2 260 2 2 7 2 2" xfId="22452" xr:uid="{6A42EBD3-0A62-47AD-98E1-D8E6CF4C859F}"/>
    <cellStyle name="Comma 2 260 2 2 7 3" xfId="22453" xr:uid="{05B10E17-A367-4578-AFF4-D990355EC44E}"/>
    <cellStyle name="Comma 2 260 2 2 8" xfId="18909" xr:uid="{7D53F754-E5DF-4182-8D62-3B814761A723}"/>
    <cellStyle name="Comma 2 260 2 2 8 2" xfId="22454" xr:uid="{C5A537A8-F3E5-4B11-B8B4-F6D5D94305B0}"/>
    <cellStyle name="Comma 2 260 2 2 9" xfId="7273" xr:uid="{F53A6767-2A88-4920-90FD-25B9DBA08BDE}"/>
    <cellStyle name="Comma 2 260 2 3" xfId="19007" xr:uid="{D090F319-8406-45BD-9C87-8FC5F1152C34}"/>
    <cellStyle name="Comma 2 260 2 3 2" xfId="18960" xr:uid="{B775D153-552C-41A6-A90A-953204B2620E}"/>
    <cellStyle name="Comma 2 260 2 3 2 2" xfId="22459" xr:uid="{51C89C2A-3325-4324-BB58-FF1B76637AA5}"/>
    <cellStyle name="Comma 2 260 2 3 2 2 2" xfId="22462" xr:uid="{DA25B294-7D39-4E9B-9130-58CC7BBB9429}"/>
    <cellStyle name="Comma 2 260 2 3 2 2 2 2" xfId="22464" xr:uid="{054257B2-D640-4413-B9EC-C54F2506080D}"/>
    <cellStyle name="Comma 2 260 2 3 2 2 2 2 2" xfId="22466" xr:uid="{2CF0A27C-6CF2-43CC-9542-71B64E5ACF6B}"/>
    <cellStyle name="Comma 2 260 2 3 2 2 2 2 2 2" xfId="22467" xr:uid="{57F6FE88-3DCC-49CA-A778-1BEC352195D0}"/>
    <cellStyle name="Comma 2 260 2 3 2 2 2 2 2 2 2" xfId="4409" xr:uid="{992D945F-8176-40CF-93D0-EE1181F563E6}"/>
    <cellStyle name="Comma 2 260 2 3 2 2 2 2 2 3" xfId="22468" xr:uid="{B3DDADEC-322A-43D9-8962-25E508F27843}"/>
    <cellStyle name="Comma 2 260 2 3 2 2 2 2 3" xfId="22469" xr:uid="{808AE814-1322-4B37-BF63-5D0FECDAD905}"/>
    <cellStyle name="Comma 2 260 2 3 2 2 2 2 3 2" xfId="22470" xr:uid="{1FE2A9A1-A2D4-4194-876D-3A1597C0CE1C}"/>
    <cellStyle name="Comma 2 260 2 3 2 2 2 2 4" xfId="22472" xr:uid="{1C77B77D-539B-4281-A299-F446236C49E9}"/>
    <cellStyle name="Comma 2 260 2 3 2 2 2 3" xfId="22475" xr:uid="{2A30E31D-CEC1-4D31-94D9-8152AC524620}"/>
    <cellStyle name="Comma 2 260 2 3 2 2 2 3 2" xfId="22477" xr:uid="{84F3A55F-4EBA-4DAE-901A-6C58B7DA5BD3}"/>
    <cellStyle name="Comma 2 260 2 3 2 2 2 3 2 2" xfId="22480" xr:uid="{FC45377A-FC22-4870-96F6-4F43F1086111}"/>
    <cellStyle name="Comma 2 260 2 3 2 2 2 3 3" xfId="22481" xr:uid="{4F9920E1-579E-478F-9758-9576FE2F8B53}"/>
    <cellStyle name="Comma 2 260 2 3 2 2 2 4" xfId="22484" xr:uid="{F21B8B1E-CB29-404F-A7A5-8B8A0B346637}"/>
    <cellStyle name="Comma 2 260 2 3 2 2 2 4 2" xfId="22486" xr:uid="{0B95EFFA-A148-41D7-840B-DC07163110EA}"/>
    <cellStyle name="Comma 2 260 2 3 2 2 2 5" xfId="22488" xr:uid="{80DB255E-5A47-4DC8-AD00-D98250BFDBDD}"/>
    <cellStyle name="Comma 2 260 2 3 2 2 3" xfId="22489" xr:uid="{06F781C2-B18C-42E5-93F1-ADF0A9634B7B}"/>
    <cellStyle name="Comma 2 260 2 3 2 2 3 2" xfId="22491" xr:uid="{67582A53-7E78-4770-8035-E2C87AA80A06}"/>
    <cellStyle name="Comma 2 260 2 3 2 2 3 2 2" xfId="22492" xr:uid="{9187C53D-3A52-430A-873C-F6F45F3B1E9D}"/>
    <cellStyle name="Comma 2 260 2 3 2 2 3 2 2 2" xfId="673" xr:uid="{F2128644-38BB-49B0-8AD2-FA22D7D71AE5}"/>
    <cellStyle name="Comma 2 260 2 3 2 2 3 2 3" xfId="22493" xr:uid="{0F594A8E-53E8-4CAA-8766-91FEBF33B1BE}"/>
    <cellStyle name="Comma 2 260 2 3 2 2 3 3" xfId="22495" xr:uid="{2512A5E6-7805-409B-9CD4-528CAA4E0021}"/>
    <cellStyle name="Comma 2 260 2 3 2 2 3 3 2" xfId="22496" xr:uid="{99E5BB8E-B080-46DE-B26D-3AB4CDB53529}"/>
    <cellStyle name="Comma 2 260 2 3 2 2 3 4" xfId="22498" xr:uid="{8CBF58F1-E363-4BD8-98B9-F7D91753A3E0}"/>
    <cellStyle name="Comma 2 260 2 3 2 2 4" xfId="22501" xr:uid="{132247FE-7C00-43D3-BAB4-0C70E2878F34}"/>
    <cellStyle name="Comma 2 260 2 3 2 2 4 2" xfId="22504" xr:uid="{B1D3033A-1ACC-4612-8651-52DC839763F6}"/>
    <cellStyle name="Comma 2 260 2 3 2 2 4 2 2" xfId="22507" xr:uid="{81DC1390-1CE2-4976-BCAA-76AEEA588D08}"/>
    <cellStyle name="Comma 2 260 2 3 2 2 4 3" xfId="3576" xr:uid="{F741FDA4-BCD9-4472-9D06-D4EF2145EAD7}"/>
    <cellStyle name="Comma 2 260 2 3 2 2 5" xfId="22510" xr:uid="{F5EADC0E-D7F9-4A4D-8175-B5AF7BF96633}"/>
    <cellStyle name="Comma 2 260 2 3 2 2 5 2" xfId="22513" xr:uid="{F4CBF34F-5995-4BD2-A8EF-E5414A54EF2B}"/>
    <cellStyle name="Comma 2 260 2 3 2 2 6" xfId="22517" xr:uid="{AC5B53CD-3808-4767-9265-A8633C83CC0F}"/>
    <cellStyle name="Comma 2 260 2 3 2 2 7" xfId="22521" xr:uid="{71F6F016-5C67-4BF3-A671-A1258A758CC9}"/>
    <cellStyle name="Comma 2 260 2 3 2 3" xfId="22527" xr:uid="{02D3C63A-6F89-41BE-AC1B-F1036EA92F93}"/>
    <cellStyle name="Comma 2 260 2 3 2 3 2" xfId="22528" xr:uid="{CFCC92EB-1CD7-4C77-80CA-137C84662656}"/>
    <cellStyle name="Comma 2 260 2 3 2 3 2 2" xfId="22530" xr:uid="{DCAA4BE1-7DFA-4CBF-AD00-05DCD88274BE}"/>
    <cellStyle name="Comma 2 260 2 3 2 3 2 2 2" xfId="13831" xr:uid="{FDD5201C-A9EC-441B-88B0-09A46B2B2BBC}"/>
    <cellStyle name="Comma 2 260 2 3 2 3 2 2 2 2" xfId="13834" xr:uid="{D8A54453-9329-4EE5-A473-C8FF643C1380}"/>
    <cellStyle name="Comma 2 260 2 3 2 3 2 2 3" xfId="13838" xr:uid="{385356FA-9916-4AFA-9B5D-6EE4C9862BCE}"/>
    <cellStyle name="Comma 2 260 2 3 2 3 2 3" xfId="22532" xr:uid="{75D24889-76F6-4690-BAFF-75EC7D7C79EB}"/>
    <cellStyle name="Comma 2 260 2 3 2 3 2 3 2" xfId="13849" xr:uid="{BD08ED82-C822-49B2-803C-EC0183BAD1A7}"/>
    <cellStyle name="Comma 2 260 2 3 2 3 2 4" xfId="10058" xr:uid="{CD0472EE-BB76-4CE8-AF7E-0E564F1D56C6}"/>
    <cellStyle name="Comma 2 260 2 3 2 3 3" xfId="1184" xr:uid="{5916CAA4-7CFA-460A-AFC4-450329A6EAB5}"/>
    <cellStyle name="Comma 2 260 2 3 2 3 3 2" xfId="22533" xr:uid="{EB4527F2-3177-4F2B-BA38-777BBDCD684A}"/>
    <cellStyle name="Comma 2 260 2 3 2 3 3 2 2" xfId="13866" xr:uid="{8C764BFD-478D-476C-BE77-9DEFA3405EB3}"/>
    <cellStyle name="Comma 2 260 2 3 2 3 3 3" xfId="22534" xr:uid="{CC6D372F-EB2F-4ED4-B876-71FF066AE648}"/>
    <cellStyle name="Comma 2 260 2 3 2 3 4" xfId="22537" xr:uid="{D9F5AE3A-926A-474A-A5A7-974024DE1DA3}"/>
    <cellStyle name="Comma 2 260 2 3 2 3 4 2" xfId="19075" xr:uid="{45165679-401A-41A3-AA4F-DADAC7284BBA}"/>
    <cellStyle name="Comma 2 260 2 3 2 3 5" xfId="22540" xr:uid="{CC112073-D951-4CFA-BC8C-13ED85D3DF59}"/>
    <cellStyle name="Comma 2 260 2 3 2 4" xfId="22543" xr:uid="{9D04BBD9-3E7F-4528-838A-E1F1EB6257DA}"/>
    <cellStyle name="Comma 2 260 2 3 2 4 2" xfId="22544" xr:uid="{ECAC810D-BB70-4C33-811B-6E53CE70C8BB}"/>
    <cellStyle name="Comma 2 260 2 3 2 4 2 2" xfId="22545" xr:uid="{40993AA8-61A2-45E0-B29C-D0491B1A07C9}"/>
    <cellStyle name="Comma 2 260 2 3 2 4 2 2 2" xfId="13897" xr:uid="{3361764D-4302-4BF4-A76B-85AF7139D3B2}"/>
    <cellStyle name="Comma 2 260 2 3 2 4 2 3" xfId="10214" xr:uid="{F1F78120-89C3-4FD6-994F-E41573E72FD6}"/>
    <cellStyle name="Comma 2 260 2 3 2 4 3" xfId="22546" xr:uid="{6BE2D26E-D516-4D8A-B522-1C4982725F3D}"/>
    <cellStyle name="Comma 2 260 2 3 2 4 3 2" xfId="22547" xr:uid="{499F407E-CBF7-463C-B444-ACB5571304FF}"/>
    <cellStyle name="Comma 2 260 2 3 2 4 4" xfId="22550" xr:uid="{841D1E32-CB60-40DA-A45C-A7FFEDBF6CC5}"/>
    <cellStyle name="Comma 2 260 2 3 2 5" xfId="22553" xr:uid="{9A4D63E8-3C52-49E3-BE9C-41D34F53C39D}"/>
    <cellStyle name="Comma 2 260 2 3 2 5 2" xfId="22554" xr:uid="{E9682606-CB48-4A6B-A13E-04BB2EB02453}"/>
    <cellStyle name="Comma 2 260 2 3 2 5 2 2" xfId="22555" xr:uid="{8AB231EA-1A51-45A7-BED0-D8ED5FACA909}"/>
    <cellStyle name="Comma 2 260 2 3 2 5 3" xfId="22557" xr:uid="{103BE0FD-1A50-4AB5-BE4B-9614F4576D71}"/>
    <cellStyle name="Comma 2 260 2 3 2 6" xfId="22560" xr:uid="{270BB28E-228D-4888-BACF-12CA5770C2B6}"/>
    <cellStyle name="Comma 2 260 2 3 2 6 2" xfId="22562" xr:uid="{226D45D7-536A-487A-B482-7FBA27AC847F}"/>
    <cellStyle name="Comma 2 260 2 3 2 7" xfId="22565" xr:uid="{FCA2DEB7-3DA9-4D89-88FA-A43C6270309D}"/>
    <cellStyle name="Comma 2 260 2 3 2 8" xfId="22568" xr:uid="{F2D6B80A-DABF-4494-9024-ACBBB485A35D}"/>
    <cellStyle name="Comma 2 260 2 3 3" xfId="18965" xr:uid="{572C7427-66EC-4B46-B001-D37A748EE25D}"/>
    <cellStyle name="Comma 2 260 2 3 3 2" xfId="22571" xr:uid="{A1BD4D4F-E6A9-4A4A-B764-321CFDF001E4}"/>
    <cellStyle name="Comma 2 260 2 3 3 2 2" xfId="22572" xr:uid="{6BD49AAF-76A2-4AF1-8AAC-CA3EDB0AB91C}"/>
    <cellStyle name="Comma 2 260 2 3 3 2 2 2" xfId="22574" xr:uid="{37D8D827-0EA5-4CD5-8DF5-A51A044DB870}"/>
    <cellStyle name="Comma 2 260 2 3 3 2 2 2 2" xfId="36" xr:uid="{0DE3F693-F07E-44A7-AFCD-8254F1528568}"/>
    <cellStyle name="Comma 2 260 2 3 3 2 2 2 2 2" xfId="22575" xr:uid="{FD5BA4F8-4F2C-43F8-8970-952C33A07138}"/>
    <cellStyle name="Comma 2 260 2 3 3 2 2 2 3" xfId="1522" xr:uid="{D29E5CDB-F140-4AC1-B5FA-5F264EEC3ACE}"/>
    <cellStyle name="Comma 2 260 2 3 3 2 2 3" xfId="22578" xr:uid="{37ED31CD-23B3-4843-917E-1D69172FD54E}"/>
    <cellStyle name="Comma 2 260 2 3 3 2 2 3 2" xfId="7406" xr:uid="{AD39F73F-4882-4CC3-BD69-299F01044BED}"/>
    <cellStyle name="Comma 2 260 2 3 3 2 2 4" xfId="22581" xr:uid="{9E2E2BD5-DA37-4828-970C-B19AF7FD5AE4}"/>
    <cellStyle name="Comma 2 260 2 3 3 2 3" xfId="22582" xr:uid="{AE428DD3-22E1-4901-922E-9EDF30EDFC53}"/>
    <cellStyle name="Comma 2 260 2 3 3 2 3 2" xfId="22583" xr:uid="{965EFFD1-A067-4917-95D1-F9D7317C7647}"/>
    <cellStyle name="Comma 2 260 2 3 3 2 3 2 2" xfId="1435" xr:uid="{52BB1B72-70E2-4003-A87D-FB089D4A8987}"/>
    <cellStyle name="Comma 2 260 2 3 3 2 3 3" xfId="22585" xr:uid="{3C69E4D9-CBB0-4D93-BD23-A7A6C90F5B8F}"/>
    <cellStyle name="Comma 2 260 2 3 3 2 4" xfId="22588" xr:uid="{CD5E1125-2F6E-471F-BF9C-057A27BF7D8B}"/>
    <cellStyle name="Comma 2 260 2 3 3 2 4 2" xfId="22591" xr:uid="{BB01FFA6-5052-4B69-A96C-EF1627799F0B}"/>
    <cellStyle name="Comma 2 260 2 3 3 2 5" xfId="22594" xr:uid="{898A36AA-22EB-4666-9CFE-55861A45B5D8}"/>
    <cellStyle name="Comma 2 260 2 3 3 3" xfId="22595" xr:uid="{EB8ADFD8-1ACE-4545-B257-92054B43D9A3}"/>
    <cellStyle name="Comma 2 260 2 3 3 3 2" xfId="22596" xr:uid="{FFDC19F7-184F-421B-A592-76738468B761}"/>
    <cellStyle name="Comma 2 260 2 3 3 3 2 2" xfId="22597" xr:uid="{91B32A2F-A72E-4DA6-B65F-0EF54A66D128}"/>
    <cellStyle name="Comma 2 260 2 3 3 3 2 2 2" xfId="13962" xr:uid="{A9668DBD-71F4-4E2D-8640-96BAA5779865}"/>
    <cellStyle name="Comma 2 260 2 3 3 3 2 3" xfId="22600" xr:uid="{07FC6AFC-2C76-45C1-AD61-3142348A85C7}"/>
    <cellStyle name="Comma 2 260 2 3 3 3 3" xfId="22602" xr:uid="{857A9A9A-FAA1-4E06-9041-C79605310C04}"/>
    <cellStyle name="Comma 2 260 2 3 3 3 3 2" xfId="22603" xr:uid="{22FF24B7-28CA-4D04-8AE8-8271EF8EB3A3}"/>
    <cellStyle name="Comma 2 260 2 3 3 3 4" xfId="13368" xr:uid="{E88BA704-6AD1-4378-A375-7EBCAAE6C56D}"/>
    <cellStyle name="Comma 2 260 2 3 3 4" xfId="12252" xr:uid="{B8B05A46-7CBD-49E6-9706-D25D4DBD89E3}"/>
    <cellStyle name="Comma 2 260 2 3 3 4 2" xfId="22604" xr:uid="{0E72742D-D15B-4F6C-8F52-F8B413CC8A46}"/>
    <cellStyle name="Comma 2 260 2 3 3 4 2 2" xfId="22605" xr:uid="{A9403A7D-B208-4733-9EC8-CA00931F6A94}"/>
    <cellStyle name="Comma 2 260 2 3 3 4 3" xfId="22606" xr:uid="{2DB3B003-86A3-4A99-8DAC-5C534619E436}"/>
    <cellStyle name="Comma 2 260 2 3 3 5" xfId="22607" xr:uid="{EB1DFD12-2B09-4035-ADE9-25D4539A3D3F}"/>
    <cellStyle name="Comma 2 260 2 3 3 5 2" xfId="22608" xr:uid="{16BF55D7-1F75-47EC-9FB0-938FD7322701}"/>
    <cellStyle name="Comma 2 260 2 3 3 6" xfId="22611" xr:uid="{95D37A29-FB8C-487A-8F1F-ECDEF5CF2BCE}"/>
    <cellStyle name="Comma 2 260 2 3 3 7" xfId="22612" xr:uid="{7D0E6F1C-8973-432F-B8A1-A1B0A90C14B1}"/>
    <cellStyle name="Comma 2 260 2 3 4" xfId="18970" xr:uid="{86A6AB3F-C031-4066-A89E-F402D4AD753B}"/>
    <cellStyle name="Comma 2 260 2 3 4 2" xfId="22613" xr:uid="{85461EC2-D923-4028-A501-A4E6EDF62E42}"/>
    <cellStyle name="Comma 2 260 2 3 4 2 2" xfId="22617" xr:uid="{7F5E6E71-14F5-47A7-A0EB-480DB57DECBF}"/>
    <cellStyle name="Comma 2 260 2 3 4 2 2 2" xfId="18985" xr:uid="{079C056D-D976-4E15-AEB8-F88E3B8A7EAC}"/>
    <cellStyle name="Comma 2 260 2 3 4 2 2 2 2" xfId="22618" xr:uid="{73736AF2-8519-429C-88C5-A1697D4FEEA5}"/>
    <cellStyle name="Comma 2 260 2 3 4 2 2 3" xfId="18989" xr:uid="{6A997A45-94CE-4B96-8B81-C54213C20971}"/>
    <cellStyle name="Comma 2 260 2 3 4 2 3" xfId="22621" xr:uid="{13C00C37-4988-43F1-A756-24030F609980}"/>
    <cellStyle name="Comma 2 260 2 3 4 2 3 2" xfId="22622" xr:uid="{FA470BD2-3E75-4D2A-98DC-E487357A0C41}"/>
    <cellStyle name="Comma 2 260 2 3 4 2 4" xfId="22626" xr:uid="{2F75E040-8412-47BE-8C4E-788CB11BD41A}"/>
    <cellStyle name="Comma 2 260 2 3 4 3" xfId="22627" xr:uid="{7F3DEB6B-C3EC-4EFE-98EA-B28E8DC18353}"/>
    <cellStyle name="Comma 2 260 2 3 4 3 2" xfId="22629" xr:uid="{ECABC6C2-E06C-4E94-9361-3BFC4313DE34}"/>
    <cellStyle name="Comma 2 260 2 3 4 3 2 2" xfId="8959" xr:uid="{7224E70B-8934-4C27-8B2C-CF4FC24CD6DE}"/>
    <cellStyle name="Comma 2 260 2 3 4 3 3" xfId="22631" xr:uid="{361DCCE8-3044-4FB5-B7E0-EAFF214F4222}"/>
    <cellStyle name="Comma 2 260 2 3 4 4" xfId="22632" xr:uid="{CAD42B2D-EFEC-4842-A362-B0CE27E7925F}"/>
    <cellStyle name="Comma 2 260 2 3 4 4 2" xfId="22636" xr:uid="{752E6479-D65F-429F-A418-5FF7D918B136}"/>
    <cellStyle name="Comma 2 260 2 3 4 5" xfId="22637" xr:uid="{2ADF7631-BBD0-4D3A-BF94-38569653A422}"/>
    <cellStyle name="Comma 2 260 2 3 5" xfId="18973" xr:uid="{D06CA1B7-EBF4-4C8A-AC32-F56762A58C3A}"/>
    <cellStyle name="Comma 2 260 2 3 5 2" xfId="22638" xr:uid="{1AFED55D-9DBF-482C-812F-C90ED6170CFF}"/>
    <cellStyle name="Comma 2 260 2 3 5 2 2" xfId="22639" xr:uid="{BE111E78-4557-461E-97BC-61856A2B1E09}"/>
    <cellStyle name="Comma 2 260 2 3 5 2 2 2" xfId="22640" xr:uid="{3580CA5B-2DD8-4540-BA85-EA45F34E1FB4}"/>
    <cellStyle name="Comma 2 260 2 3 5 2 3" xfId="22641" xr:uid="{3FA46BCB-F731-487C-BD5A-66E158038E1E}"/>
    <cellStyle name="Comma 2 260 2 3 5 3" xfId="22642" xr:uid="{7B750696-246F-4463-8903-6B2681D56E93}"/>
    <cellStyle name="Comma 2 260 2 3 5 3 2" xfId="22643" xr:uid="{CC8340A7-3DBA-4742-8B9D-A3C87C503D12}"/>
    <cellStyle name="Comma 2 260 2 3 5 4" xfId="22644" xr:uid="{9CE653A8-D0CD-4972-8C31-8181B89D1BAC}"/>
    <cellStyle name="Comma 2 260 2 3 6" xfId="18976" xr:uid="{55806A8C-AC0C-48E0-8293-A25F86773F72}"/>
    <cellStyle name="Comma 2 260 2 3 6 2" xfId="22645" xr:uid="{2866F1E7-6AAE-464A-9DD2-C0165424FE82}"/>
    <cellStyle name="Comma 2 260 2 3 6 2 2" xfId="22646" xr:uid="{35BA88E1-0931-4A52-B948-D3D024BA8C1E}"/>
    <cellStyle name="Comma 2 260 2 3 6 3" xfId="22647" xr:uid="{FB4A5575-FC1C-429C-9ABB-80BD48C47CB3}"/>
    <cellStyle name="Comma 2 260 2 3 7" xfId="18979" xr:uid="{328C3ABA-DE1F-41B0-BA08-FE3CF848A4E4}"/>
    <cellStyle name="Comma 2 260 2 3 7 2" xfId="22650" xr:uid="{95F3454D-2641-4384-8E38-BD7DDEE11935}"/>
    <cellStyle name="Comma 2 260 2 3 8" xfId="18982" xr:uid="{07CE1615-9A76-40D7-B35C-7CE89C59E7E1}"/>
    <cellStyle name="Comma 2 260 2 3 9" xfId="7098" xr:uid="{D8F28CE4-9C55-4AF8-8358-7408C631464C}"/>
    <cellStyle name="Comma 2 260 2 4" xfId="19014" xr:uid="{655E851C-B363-4BF2-A4E6-7DE06E0133EC}"/>
    <cellStyle name="Comma 2 260 2 4 2" xfId="19053" xr:uid="{50E0A59A-13C9-4FE0-8698-0FCD6B55CF2E}"/>
    <cellStyle name="Comma 2 260 2 4 2 2" xfId="22653" xr:uid="{A0F1963A-98EA-4FB8-8085-E838118CA62A}"/>
    <cellStyle name="Comma 2 260 2 4 2 2 2" xfId="22654" xr:uid="{8F2AAB70-21DC-4968-8357-7413F1203F74}"/>
    <cellStyle name="Comma 2 260 2 4 2 2 2 2" xfId="22656" xr:uid="{66C7E898-EFEA-429D-9C08-904AB69ABE74}"/>
    <cellStyle name="Comma 2 260 2 4 2 2 2 2 2" xfId="22657" xr:uid="{088207CB-DA29-402B-B011-EAA44CD93BC9}"/>
    <cellStyle name="Comma 2 260 2 4 2 2 2 2 2 2" xfId="22658" xr:uid="{742A97E5-765B-4B3C-968B-47FD16AFDEA5}"/>
    <cellStyle name="Comma 2 260 2 4 2 2 2 2 3" xfId="22659" xr:uid="{2F2D0AF5-4ECF-4F0D-A90B-94C48F9C5C7A}"/>
    <cellStyle name="Comma 2 260 2 4 2 2 2 3" xfId="22661" xr:uid="{63F902D6-DEA7-4EEA-BDC4-6C730D5592E2}"/>
    <cellStyle name="Comma 2 260 2 4 2 2 2 3 2" xfId="22662" xr:uid="{14BC4187-3D62-4648-B433-A831ADF42DED}"/>
    <cellStyle name="Comma 2 260 2 4 2 2 2 4" xfId="22664" xr:uid="{401BBA48-C35E-4E40-9D1E-0B276C3DF5C5}"/>
    <cellStyle name="Comma 2 260 2 4 2 2 3" xfId="22666" xr:uid="{9AE7919F-9C21-480E-9B7D-A9EA1D774E37}"/>
    <cellStyle name="Comma 2 260 2 4 2 2 3 2" xfId="5379" xr:uid="{24B8A1A3-EB84-4668-BB2F-F1DB1C1E66E7}"/>
    <cellStyle name="Comma 2 260 2 4 2 2 3 2 2" xfId="22667" xr:uid="{E498F47C-09A2-4321-ABBB-843A318ECA2D}"/>
    <cellStyle name="Comma 2 260 2 4 2 2 3 3" xfId="22668" xr:uid="{AC3631E7-7FE4-4B0A-A034-714BF93C051E}"/>
    <cellStyle name="Comma 2 260 2 4 2 2 4" xfId="22675" xr:uid="{5ACF30C4-9E51-40FD-84BE-CC4A05E83582}"/>
    <cellStyle name="Comma 2 260 2 4 2 2 4 2" xfId="22680" xr:uid="{FB9D8E56-DE5D-4099-BDF0-220C9D6192C4}"/>
    <cellStyle name="Comma 2 260 2 4 2 2 5" xfId="21104" xr:uid="{F23E952E-0A79-4C9C-8C02-5D7E055D4E02}"/>
    <cellStyle name="Comma 2 260 2 4 2 3" xfId="22681" xr:uid="{291027E6-4223-4092-9E8C-80E0785F82C3}"/>
    <cellStyle name="Comma 2 260 2 4 2 3 2" xfId="22682" xr:uid="{F87114BB-D7D7-4F18-A901-E54556392305}"/>
    <cellStyle name="Comma 2 260 2 4 2 3 2 2" xfId="22683" xr:uid="{F02ABA67-F772-484A-A8B8-FEAD278380E7}"/>
    <cellStyle name="Comma 2 260 2 4 2 3 2 2 2" xfId="15627" xr:uid="{52EDE1BB-83EC-47D4-876E-B905F4D55452}"/>
    <cellStyle name="Comma 2 260 2 4 2 3 2 3" xfId="22684" xr:uid="{1D358766-9FCE-4BD4-99F3-D39B63B380BE}"/>
    <cellStyle name="Comma 2 260 2 4 2 3 3" xfId="22686" xr:uid="{52B584B8-F90B-45F9-8C29-AA9D0708897A}"/>
    <cellStyle name="Comma 2 260 2 4 2 3 3 2" xfId="22688" xr:uid="{73682510-D4E8-48AE-B952-C8FE76809327}"/>
    <cellStyle name="Comma 2 260 2 4 2 3 4" xfId="22695" xr:uid="{6062E54C-E406-4913-84AB-6DA5DBD9D7A4}"/>
    <cellStyle name="Comma 2 260 2 4 2 4" xfId="22696" xr:uid="{7547655F-922E-45A7-BD17-ADDDAAD47D56}"/>
    <cellStyle name="Comma 2 260 2 4 2 4 2" xfId="22697" xr:uid="{D48B9511-2263-4A3A-892F-487A250621E0}"/>
    <cellStyle name="Comma 2 260 2 4 2 4 2 2" xfId="22698" xr:uid="{0EF650C4-5624-4A3B-9602-6B092B38E936}"/>
    <cellStyle name="Comma 2 260 2 4 2 4 3" xfId="22700" xr:uid="{FAECB005-FF7A-4CAB-9845-8A46F531F9AD}"/>
    <cellStyle name="Comma 2 260 2 4 2 5" xfId="22701" xr:uid="{0D132123-7C98-48FC-9F1B-BC9BF740261B}"/>
    <cellStyle name="Comma 2 260 2 4 2 5 2" xfId="22702" xr:uid="{409CB48E-6FB9-4479-A25B-4FAE3727E6C1}"/>
    <cellStyle name="Comma 2 260 2 4 2 6" xfId="22703" xr:uid="{D050C852-E322-4AFE-AC65-279387AC9994}"/>
    <cellStyle name="Comma 2 260 2 4 2 7" xfId="22704" xr:uid="{4D2E3FC6-F81D-4447-B032-DDA8AD830FE5}"/>
    <cellStyle name="Comma 2 260 2 4 3" xfId="19060" xr:uid="{88BA6760-259C-4E82-956F-F53F49648F1E}"/>
    <cellStyle name="Comma 2 260 2 4 3 2" xfId="22705" xr:uid="{109BE4CC-F9D4-4BFE-A21C-36805F0E72EB}"/>
    <cellStyle name="Comma 2 260 2 4 3 2 2" xfId="22706" xr:uid="{34ED9AE8-437E-40C3-AC3C-B19126691DF6}"/>
    <cellStyle name="Comma 2 260 2 4 3 2 2 2" xfId="22707" xr:uid="{3825A30C-6665-4653-92A0-6B6A54E3C937}"/>
    <cellStyle name="Comma 2 260 2 4 3 2 2 2 2" xfId="22708" xr:uid="{54FC8D07-DD22-4052-A23E-AC2B07F18634}"/>
    <cellStyle name="Comma 2 260 2 4 3 2 2 3" xfId="22709" xr:uid="{4564CD09-0E70-4149-A6F3-DBAF7CF3DF9D}"/>
    <cellStyle name="Comma 2 260 2 4 3 2 3" xfId="22711" xr:uid="{2C699BB4-96C3-4299-A471-2FA0E0FFF837}"/>
    <cellStyle name="Comma 2 260 2 4 3 2 3 2" xfId="22712" xr:uid="{8C35E414-854E-4C29-B08B-3F76153CB3CF}"/>
    <cellStyle name="Comma 2 260 2 4 3 2 4" xfId="22717" xr:uid="{663DC208-650D-40DA-8966-AFE591578EB0}"/>
    <cellStyle name="Comma 2 260 2 4 3 3" xfId="22718" xr:uid="{1A6D019A-3EC8-410A-BAC5-17E35C163D07}"/>
    <cellStyle name="Comma 2 260 2 4 3 3 2" xfId="22719" xr:uid="{CCCB26D2-E3EB-4304-8971-4A39A75C6B97}"/>
    <cellStyle name="Comma 2 260 2 4 3 3 2 2" xfId="22720" xr:uid="{31049AFB-3DCF-45FC-93CD-14F9C5A53F1B}"/>
    <cellStyle name="Comma 2 260 2 4 3 3 3" xfId="22723" xr:uid="{4BE5E141-2381-4E1A-BBDA-87F00DFB3D73}"/>
    <cellStyle name="Comma 2 260 2 4 3 4" xfId="22724" xr:uid="{B0752226-C389-450E-B381-265D7F3F3122}"/>
    <cellStyle name="Comma 2 260 2 4 3 4 2" xfId="22725" xr:uid="{41A9838C-AC49-4108-B113-879700127F18}"/>
    <cellStyle name="Comma 2 260 2 4 3 5" xfId="22726" xr:uid="{D6F0390A-D06B-45E7-8336-0F8C4804DC36}"/>
    <cellStyle name="Comma 2 260 2 4 4" xfId="19067" xr:uid="{D18B893D-5D61-4190-98B6-9517EB764D3C}"/>
    <cellStyle name="Comma 2 260 2 4 4 2" xfId="22727" xr:uid="{78E98E1E-908D-44A8-A8F3-6DCF21513965}"/>
    <cellStyle name="Comma 2 260 2 4 4 2 2" xfId="20670" xr:uid="{F1083BDE-C17A-4857-9B79-B1D839579785}"/>
    <cellStyle name="Comma 2 260 2 4 4 2 2 2" xfId="22728" xr:uid="{36DB9885-6321-4AAE-B76A-FD30C5C721DE}"/>
    <cellStyle name="Comma 2 260 2 4 4 2 3" xfId="22730" xr:uid="{CCE34CAF-3F3A-4C7E-BA4F-8B144C9422B6}"/>
    <cellStyle name="Comma 2 260 2 4 4 3" xfId="22731" xr:uid="{74608D05-97FF-4A7A-BEF6-DD904999C229}"/>
    <cellStyle name="Comma 2 260 2 4 4 3 2" xfId="22732" xr:uid="{468619B0-422D-4146-BE00-66E48CCBE4D9}"/>
    <cellStyle name="Comma 2 260 2 4 4 4" xfId="22733" xr:uid="{333AE769-E9F7-4D4C-88FE-8D2F653DCE5F}"/>
    <cellStyle name="Comma 2 260 2 4 5" xfId="22737" xr:uid="{82B7ED3D-96F3-4397-867A-532DAFEAA9ED}"/>
    <cellStyle name="Comma 2 260 2 4 5 2" xfId="22738" xr:uid="{E9BA1E00-3D96-481F-B246-19FA630E509C}"/>
    <cellStyle name="Comma 2 260 2 4 5 2 2" xfId="22739" xr:uid="{7ABE9D14-2B37-450B-8754-775EF577AE7F}"/>
    <cellStyle name="Comma 2 260 2 4 5 3" xfId="22740" xr:uid="{377BCEAE-D199-48FC-9089-B525C1933CFE}"/>
    <cellStyle name="Comma 2 260 2 4 6" xfId="22743" xr:uid="{051315C5-6B3E-4BEE-88D4-9FACEF5E2F18}"/>
    <cellStyle name="Comma 2 260 2 4 6 2" xfId="22744" xr:uid="{417375FC-21B9-4095-ABA3-787C5996CC50}"/>
    <cellStyle name="Comma 2 260 2 4 7" xfId="22745" xr:uid="{2442DE19-80E8-442C-81E6-14A2FF6AF28F}"/>
    <cellStyle name="Comma 2 260 2 4 8" xfId="22746" xr:uid="{AC2C6426-7781-4645-B594-43599C2143D4}"/>
    <cellStyle name="Comma 2 260 2 5" xfId="7914" xr:uid="{C7C0305F-36BD-4202-A88F-7B70714B4256}"/>
    <cellStyle name="Comma 2 260 2 5 2" xfId="5955" xr:uid="{741AA1A3-13DE-435A-AC84-2C87C21AA513}"/>
    <cellStyle name="Comma 2 260 2 5 2 2" xfId="22747" xr:uid="{4D07EEB0-0E38-4119-B8BA-19D39041E860}"/>
    <cellStyle name="Comma 2 260 2 5 2 2 2" xfId="22748" xr:uid="{27EA56FA-A357-4344-BF69-BC57271BB84F}"/>
    <cellStyle name="Comma 2 260 2 5 2 2 2 2" xfId="22751" xr:uid="{0B795406-6E58-44EA-B5BC-BB812CF72F1F}"/>
    <cellStyle name="Comma 2 260 2 5 2 2 2 2 2" xfId="22753" xr:uid="{A1A5BD09-410A-45BE-9DA3-61987BA9FE02}"/>
    <cellStyle name="Comma 2 260 2 5 2 2 2 3" xfId="22754" xr:uid="{2C35AB43-EB97-40CB-8818-BF48C85874AA}"/>
    <cellStyle name="Comma 2 260 2 5 2 2 3" xfId="22755" xr:uid="{86B2E2FC-050C-4943-8580-CBF440AA15ED}"/>
    <cellStyle name="Comma 2 260 2 5 2 2 3 2" xfId="22758" xr:uid="{CD0DCCFD-7ECF-4440-A607-8DAE4598D283}"/>
    <cellStyle name="Comma 2 260 2 5 2 2 4" xfId="22762" xr:uid="{4895FB60-0729-47A3-AD8C-E77AEE565FAA}"/>
    <cellStyle name="Comma 2 260 2 5 2 3" xfId="22767" xr:uid="{4AE152F6-E769-494C-AC2D-C63A8E462F68}"/>
    <cellStyle name="Comma 2 260 2 5 2 3 2" xfId="22768" xr:uid="{F3486A70-B256-456F-A210-423E58081FCB}"/>
    <cellStyle name="Comma 2 260 2 5 2 3 2 2" xfId="20643" xr:uid="{36D8DB98-BE0F-40F1-8C18-5E92549A6CC6}"/>
    <cellStyle name="Comma 2 260 2 5 2 3 3" xfId="22769" xr:uid="{0F264EEC-89A1-4A2D-8C03-1859C342FFB7}"/>
    <cellStyle name="Comma 2 260 2 5 2 4" xfId="16314" xr:uid="{A363E784-8B95-4FF3-82CE-4CCF53133E0B}"/>
    <cellStyle name="Comma 2 260 2 5 2 4 2" xfId="22770" xr:uid="{032B19F0-3A3F-4380-B03B-5AEFE0E056F4}"/>
    <cellStyle name="Comma 2 260 2 5 2 5" xfId="22771" xr:uid="{3062EAB2-0E57-4858-A135-9129BB667BCC}"/>
    <cellStyle name="Comma 2 260 2 5 3" xfId="22772" xr:uid="{592AAEF1-BD06-4E7A-9066-03EEA003F712}"/>
    <cellStyle name="Comma 2 260 2 5 3 2" xfId="22773" xr:uid="{B1314258-1B46-4D44-959F-00F89208C376}"/>
    <cellStyle name="Comma 2 260 2 5 3 2 2" xfId="22774" xr:uid="{DB4DC1D6-AC41-46FE-833D-90419B21B41A}"/>
    <cellStyle name="Comma 2 260 2 5 3 2 2 2" xfId="22775" xr:uid="{343C05F2-2800-48BB-9643-ED602184C239}"/>
    <cellStyle name="Comma 2 260 2 5 3 2 3" xfId="22776" xr:uid="{49C58D5D-D714-4C7F-931B-5FE809916735}"/>
    <cellStyle name="Comma 2 260 2 5 3 3" xfId="22777" xr:uid="{046448BB-04F6-4097-BC8D-D035D7462B53}"/>
    <cellStyle name="Comma 2 260 2 5 3 3 2" xfId="22778" xr:uid="{442BA00B-B09E-4F58-AA85-609AF56A4F8F}"/>
    <cellStyle name="Comma 2 260 2 5 3 4" xfId="22779" xr:uid="{144F9D2A-7D80-4F96-8C83-6ABEB7B83E25}"/>
    <cellStyle name="Comma 2 260 2 5 4" xfId="22780" xr:uid="{1154145B-117C-461A-8082-4A38AF96130F}"/>
    <cellStyle name="Comma 2 260 2 5 4 2" xfId="22781" xr:uid="{21D7D645-E0CD-4D69-A9DE-949E0C62C548}"/>
    <cellStyle name="Comma 2 260 2 5 4 2 2" xfId="22782" xr:uid="{D5F8A39D-DD17-4546-81CD-94E468F6C7DB}"/>
    <cellStyle name="Comma 2 260 2 5 4 3" xfId="22783" xr:uid="{EB5377C9-0B39-46DD-B9FA-008399E0EC49}"/>
    <cellStyle name="Comma 2 260 2 5 5" xfId="22784" xr:uid="{B1654386-9927-40E3-BD5C-446CC631A4BD}"/>
    <cellStyle name="Comma 2 260 2 5 5 2" xfId="22785" xr:uid="{E8096B58-23E0-4B52-8D35-2911248B1886}"/>
    <cellStyle name="Comma 2 260 2 5 6" xfId="22786" xr:uid="{3AEA23BA-6EC5-4418-9FD2-A83F0550E8DA}"/>
    <cellStyle name="Comma 2 260 2 5 7" xfId="22787" xr:uid="{21C6B931-97B0-4F00-BF2C-FE25B529F186}"/>
    <cellStyle name="Comma 2 260 2 6" xfId="6258" xr:uid="{25D1DA47-E18D-43BD-BBDA-1BC24D779653}"/>
    <cellStyle name="Comma 2 260 2 6 2" xfId="22788" xr:uid="{BE74AEA3-0878-4BB7-AA8E-DCC67B8C6708}"/>
    <cellStyle name="Comma 2 260 2 6 2 2" xfId="22789" xr:uid="{76ABE10E-426C-4A01-8F45-33AA2C49E187}"/>
    <cellStyle name="Comma 2 260 2 6 2 2 2" xfId="22790" xr:uid="{E507AB63-17DA-4BAA-8734-31BEF8A3228B}"/>
    <cellStyle name="Comma 2 260 2 6 2 2 2 2" xfId="22791" xr:uid="{0A05E929-595E-4E8A-8151-3BFAF616697C}"/>
    <cellStyle name="Comma 2 260 2 6 2 2 3" xfId="2997" xr:uid="{6FED00D1-B188-430D-B269-72AB0406AFA5}"/>
    <cellStyle name="Comma 2 260 2 6 2 3" xfId="22463" xr:uid="{11836972-190B-4A85-AFE9-32D567718B3C}"/>
    <cellStyle name="Comma 2 260 2 6 2 3 2" xfId="22465" xr:uid="{5BE3D321-2397-4FEC-874D-CE95BC8CF0E1}"/>
    <cellStyle name="Comma 2 260 2 6 2 4" xfId="22473" xr:uid="{BE9F5069-2040-4EEF-A557-A054B28E412A}"/>
    <cellStyle name="Comma 2 260 2 6 3" xfId="22792" xr:uid="{F9B706FC-77F9-4954-B772-C4E705D28659}"/>
    <cellStyle name="Comma 2 260 2 6 3 2" xfId="22793" xr:uid="{3B0AD1A6-DFCE-4E7A-8E85-4439D01863ED}"/>
    <cellStyle name="Comma 2 260 2 6 3 2 2" xfId="22794" xr:uid="{7BB52011-EE4D-46F2-B6D7-53AA8D8F224B}"/>
    <cellStyle name="Comma 2 260 2 6 3 3" xfId="22490" xr:uid="{04BA5C73-6279-4E64-918C-93FFFFC6AA08}"/>
    <cellStyle name="Comma 2 260 2 6 4" xfId="22795" xr:uid="{822D066F-F7CF-4D62-967B-98E85743CC26}"/>
    <cellStyle name="Comma 2 260 2 6 4 2" xfId="22796" xr:uid="{0455E508-7194-433F-8E8F-19409E45369A}"/>
    <cellStyle name="Comma 2 260 2 6 5" xfId="22797" xr:uid="{98246AD4-83F3-491E-85BB-9F0AF037BC3D}"/>
    <cellStyle name="Comma 2 260 2 7" xfId="19021" xr:uid="{4B5B301F-A23E-4C86-A138-848AA87A8ED5}"/>
    <cellStyle name="Comma 2 260 2 7 2" xfId="22799" xr:uid="{D3B51958-2448-4BDE-88C3-B7C489C3DCA7}"/>
    <cellStyle name="Comma 2 260 2 7 2 2" xfId="22800" xr:uid="{67A94EA8-32F3-48C4-B7D3-4C9B699438BF}"/>
    <cellStyle name="Comma 2 260 2 7 2 2 2" xfId="22803" xr:uid="{C27DB426-53DF-4463-91B6-06B385FD9864}"/>
    <cellStyle name="Comma 2 260 2 7 2 3" xfId="22529" xr:uid="{887F5CCC-CD45-4C17-AF3A-45D71F2D660B}"/>
    <cellStyle name="Comma 2 260 2 7 3" xfId="22804" xr:uid="{81FCB908-E02B-491B-AA45-EAF2107A825F}"/>
    <cellStyle name="Comma 2 260 2 7 3 2" xfId="22805" xr:uid="{066D10F8-8B50-42E8-9828-92F5955D5F87}"/>
    <cellStyle name="Comma 2 260 2 7 4" xfId="22806" xr:uid="{2DBBCF8F-B7C4-4516-8D08-09AFD7B60575}"/>
    <cellStyle name="Comma 2 260 2 8" xfId="12216" xr:uid="{068D1040-D189-4CCC-ACF5-369CC820C4C6}"/>
    <cellStyle name="Comma 2 260 2 8 2" xfId="12219" xr:uid="{E20903E5-BBEC-4007-BA5E-54B2A25FDCE2}"/>
    <cellStyle name="Comma 2 260 2 8 2 2" xfId="22807" xr:uid="{3A46216D-591F-4D0C-9E4B-590043486463}"/>
    <cellStyle name="Comma 2 260 2 8 3" xfId="22808" xr:uid="{5E962979-AD2E-4057-A80B-0C5E8CA88F19}"/>
    <cellStyle name="Comma 2 260 2 9" xfId="12224" xr:uid="{DA9A4C12-2F69-454A-9F40-894696A2399E}"/>
    <cellStyle name="Comma 2 260 2 9 2" xfId="22809" xr:uid="{9756EBAA-16A8-4470-A383-99FEC601ED5A}"/>
    <cellStyle name="Comma 2 260 3" xfId="20093" xr:uid="{6FD02902-418D-46E2-AE7C-1D111253E685}"/>
    <cellStyle name="Comma 2 260 3 10" xfId="22812" xr:uid="{19668FED-CD45-4095-8CEC-6DFC7A7502A7}"/>
    <cellStyle name="Comma 2 260 3 2" xfId="20095" xr:uid="{D4FC9620-D0A8-488A-9ACC-EEA60EB4B774}"/>
    <cellStyle name="Comma 2 260 3 2 2" xfId="22813" xr:uid="{3A95617E-6D2E-4040-8585-7CFF650932CA}"/>
    <cellStyle name="Comma 2 260 3 2 2 2" xfId="22814" xr:uid="{78917B70-4E49-4BD1-A853-FC63247DCC7C}"/>
    <cellStyle name="Comma 2 260 3 2 2 2 2" xfId="22815" xr:uid="{9E04C867-5F60-43A7-A252-22F507BED3B4}"/>
    <cellStyle name="Comma 2 260 3 2 2 2 2 2" xfId="22817" xr:uid="{99D1818D-2A37-4D67-BE2B-40FB5BC5AA4E}"/>
    <cellStyle name="Comma 2 260 3 2 2 2 2 2 2" xfId="22819" xr:uid="{FCBB6D7B-BC6D-4D8A-A662-A993EA0667B5}"/>
    <cellStyle name="Comma 2 260 3 2 2 2 2 2 2 2" xfId="22822" xr:uid="{FEB862FA-D400-493E-9EDA-6B2D7E446B13}"/>
    <cellStyle name="Comma 2 260 3 2 2 2 2 2 2 2 2" xfId="22824" xr:uid="{6E9AE65B-2B74-4AED-ADCB-FE2D953832CC}"/>
    <cellStyle name="Comma 2 260 3 2 2 2 2 2 2 3" xfId="22827" xr:uid="{6E8E65BC-E0F6-4444-A7D3-3CBDED894C6C}"/>
    <cellStyle name="Comma 2 260 3 2 2 2 2 2 3" xfId="13593" xr:uid="{579D7AAF-A86B-43BE-9345-62C25323AE5B}"/>
    <cellStyle name="Comma 2 260 3 2 2 2 2 2 3 2" xfId="13597" xr:uid="{F092A673-4F2B-4834-8F78-567CF59A53BA}"/>
    <cellStyle name="Comma 2 260 3 2 2 2 2 2 4" xfId="13601" xr:uid="{E4378871-0A2A-44EC-BA7F-4C722D55ACE7}"/>
    <cellStyle name="Comma 2 260 3 2 2 2 2 3" xfId="22831" xr:uid="{9CB6EB72-CCDF-4DA8-AE43-4DF31631F879}"/>
    <cellStyle name="Comma 2 260 3 2 2 2 2 3 2" xfId="22835" xr:uid="{1E76B4D7-0152-4F14-878F-5ED12A0E8456}"/>
    <cellStyle name="Comma 2 260 3 2 2 2 2 3 2 2" xfId="22838" xr:uid="{A59C2E76-8FFB-4F01-95BA-11707A1407E2}"/>
    <cellStyle name="Comma 2 260 3 2 2 2 2 3 3" xfId="13607" xr:uid="{61BF9DA5-9CC0-4908-A31B-27FEA7FB9BA3}"/>
    <cellStyle name="Comma 2 260 3 2 2 2 2 4" xfId="22843" xr:uid="{C932ABDC-9FBA-49CB-ABE9-EF16A8158B85}"/>
    <cellStyle name="Comma 2 260 3 2 2 2 2 4 2" xfId="22847" xr:uid="{4D0DA913-CF18-4F48-B9D0-CB2259081497}"/>
    <cellStyle name="Comma 2 260 3 2 2 2 2 5" xfId="22851" xr:uid="{BE5F23D9-1A1B-4D87-831D-D2BF3CDE3FE5}"/>
    <cellStyle name="Comma 2 260 3 2 2 2 3" xfId="22852" xr:uid="{76AC91E4-8E3D-46DA-AD69-84A7703CACCE}"/>
    <cellStyle name="Comma 2 260 3 2 2 2 3 2" xfId="22854" xr:uid="{F57D696D-EEA0-48C1-A099-EE6065EBE6B4}"/>
    <cellStyle name="Comma 2 260 3 2 2 2 3 2 2" xfId="22856" xr:uid="{8FD0B9ED-E5FD-42B2-8018-D2F504D02F50}"/>
    <cellStyle name="Comma 2 260 3 2 2 2 3 2 2 2" xfId="22859" xr:uid="{E7959494-06C4-469A-A4A2-E1B855B4D277}"/>
    <cellStyle name="Comma 2 260 3 2 2 2 3 2 3" xfId="13655" xr:uid="{53570951-4991-4623-B78C-6536A856569B}"/>
    <cellStyle name="Comma 2 260 3 2 2 2 3 3" xfId="22863" xr:uid="{C7F6CFA2-EE9F-4447-9171-9A5EEF2EB1D8}"/>
    <cellStyle name="Comma 2 260 3 2 2 2 3 3 2" xfId="22866" xr:uid="{17550A3B-D46E-4A45-AFB0-00B498F2486C}"/>
    <cellStyle name="Comma 2 260 3 2 2 2 3 4" xfId="22870" xr:uid="{C79190B3-EDCB-4306-A4AC-1B4D92FBEDF7}"/>
    <cellStyle name="Comma 2 260 3 2 2 2 4" xfId="22873" xr:uid="{C6C394CF-6F95-4D44-B3E6-F7908B2BB15A}"/>
    <cellStyle name="Comma 2 260 3 2 2 2 4 2" xfId="22877" xr:uid="{9CFC16CC-55C0-4FCD-B5EE-1712F3547A14}"/>
    <cellStyle name="Comma 2 260 3 2 2 2 4 2 2" xfId="22881" xr:uid="{A20375EF-C4AC-42F7-9825-8D193866F4AA}"/>
    <cellStyle name="Comma 2 260 3 2 2 2 4 3" xfId="22886" xr:uid="{897DD039-E88F-49E7-A64A-C93E79050214}"/>
    <cellStyle name="Comma 2 260 3 2 2 2 5" xfId="22889" xr:uid="{DB7F0C49-7B0F-4D1C-B745-83CEE16C3D57}"/>
    <cellStyle name="Comma 2 260 3 2 2 2 5 2" xfId="22893" xr:uid="{08262FC4-17EF-47DD-92BD-136553658FFD}"/>
    <cellStyle name="Comma 2 260 3 2 2 2 6" xfId="22897" xr:uid="{6A43CEE7-93AA-4EE3-965B-0A1903731B3C}"/>
    <cellStyle name="Comma 2 260 3 2 2 2 7" xfId="22899" xr:uid="{B8F56ED4-AEC4-4F86-84C9-A430EDA63CAE}"/>
    <cellStyle name="Comma 2 260 3 2 2 3" xfId="22900" xr:uid="{43521110-E25C-4B6F-A901-89476052DD55}"/>
    <cellStyle name="Comma 2 260 3 2 2 3 2" xfId="22901" xr:uid="{EAFCCDC5-890E-46A6-82BA-119149A31E44}"/>
    <cellStyle name="Comma 2 260 3 2 2 3 2 2" xfId="22903" xr:uid="{9A10DE19-CC48-4321-ACBD-AA66B3B24620}"/>
    <cellStyle name="Comma 2 260 3 2 2 3 2 2 2" xfId="22907" xr:uid="{8D801BF7-CD0B-4BB5-93B0-BE5BD6E47037}"/>
    <cellStyle name="Comma 2 260 3 2 2 3 2 2 2 2" xfId="22910" xr:uid="{A2B0C2D5-6307-4F26-B35F-D23C52DBC1CE}"/>
    <cellStyle name="Comma 2 260 3 2 2 3 2 2 3" xfId="13732" xr:uid="{AAD0B985-93AC-4E0E-855E-E835D64FCA60}"/>
    <cellStyle name="Comma 2 260 3 2 2 3 2 3" xfId="22915" xr:uid="{FAEC1867-8FE7-4C21-BB67-4F04C54AE5BF}"/>
    <cellStyle name="Comma 2 260 3 2 2 3 2 3 2" xfId="22920" xr:uid="{E7FEBBED-7A5A-4FCF-8514-7695C729EBE3}"/>
    <cellStyle name="Comma 2 260 3 2 2 3 2 4" xfId="10152" xr:uid="{89804CB2-3DB3-47E0-B271-A786671D4831}"/>
    <cellStyle name="Comma 2 260 3 2 2 3 3" xfId="22921" xr:uid="{1BBE0BCF-7A1C-4B85-9930-8134CD7AFA04}"/>
    <cellStyle name="Comma 2 260 3 2 2 3 3 2" xfId="22923" xr:uid="{68F7F1C9-A803-4C1C-89D2-5628D7E0796E}"/>
    <cellStyle name="Comma 2 260 3 2 2 3 3 2 2" xfId="22926" xr:uid="{DFA3C097-FA90-4C2F-9518-D26E95E0DAD1}"/>
    <cellStyle name="Comma 2 260 3 2 2 3 3 3" xfId="22929" xr:uid="{4ED633C2-E3D3-4DA9-BBFD-8910E4637BD3}"/>
    <cellStyle name="Comma 2 260 3 2 2 3 4" xfId="22932" xr:uid="{3C9DFF62-5CA6-44BC-A0D2-AB3C15E52424}"/>
    <cellStyle name="Comma 2 260 3 2 2 3 4 2" xfId="22937" xr:uid="{16F9B807-4862-44B9-AC5D-F916BA73D3C6}"/>
    <cellStyle name="Comma 2 260 3 2 2 3 5" xfId="22940" xr:uid="{926EC903-E734-42A7-84E7-305827C9F540}"/>
    <cellStyle name="Comma 2 260 3 2 2 4" xfId="22941" xr:uid="{DE485BF8-29C0-47B4-9337-442C46D94C15}"/>
    <cellStyle name="Comma 2 260 3 2 2 4 2" xfId="22943" xr:uid="{C337C8DD-B901-4B4B-9178-003F437168B2}"/>
    <cellStyle name="Comma 2 260 3 2 2 4 2 2" xfId="22946" xr:uid="{C128303C-5ED5-45AD-A7D6-8C55B8400EE8}"/>
    <cellStyle name="Comma 2 260 3 2 2 4 2 2 2" xfId="22950" xr:uid="{F29821D5-427B-4798-BF78-27274594EBF7}"/>
    <cellStyle name="Comma 2 260 3 2 2 4 2 3" xfId="13725" xr:uid="{17B5218B-3A9A-4C27-B032-29C4057C3B5D}"/>
    <cellStyle name="Comma 2 260 3 2 2 4 3" xfId="22904" xr:uid="{67E22350-D28F-494C-8203-2DC55DC6061B}"/>
    <cellStyle name="Comma 2 260 3 2 2 4 3 2" xfId="22908" xr:uid="{8BC74DB4-D07D-4F8B-8AEF-C9BABA545DB2}"/>
    <cellStyle name="Comma 2 260 3 2 2 4 4" xfId="22916" xr:uid="{7508C17D-BD70-4F49-86B1-A37BCB14E5DF}"/>
    <cellStyle name="Comma 2 260 3 2 2 5" xfId="22952" xr:uid="{C40BF2B8-7BCC-4796-816F-5BC91B80855F}"/>
    <cellStyle name="Comma 2 260 3 2 2 5 2" xfId="22954" xr:uid="{E61C1757-C63E-4C31-B75A-EF19D39186F1}"/>
    <cellStyle name="Comma 2 260 3 2 2 5 2 2" xfId="22957" xr:uid="{47267A81-EA7C-4CAF-82FC-EF7205053DC7}"/>
    <cellStyle name="Comma 2 260 3 2 2 5 3" xfId="22924" xr:uid="{B827A08F-83DF-4E70-B2F7-9E6280B0AD67}"/>
    <cellStyle name="Comma 2 260 3 2 2 6" xfId="22959" xr:uid="{F8F16A32-8AB6-4FD6-A273-1E8B712BF543}"/>
    <cellStyle name="Comma 2 260 3 2 2 6 2" xfId="22962" xr:uid="{AAC18DB8-809C-41BB-86C7-6F187165805F}"/>
    <cellStyle name="Comma 2 260 3 2 2 7" xfId="22964" xr:uid="{41039DB9-84DE-488C-A569-858669344FF0}"/>
    <cellStyle name="Comma 2 260 3 2 2 8" xfId="6773" xr:uid="{4A99CA98-3420-497D-B558-EAE23A450DFB}"/>
    <cellStyle name="Comma 2 260 3 2 3" xfId="22965" xr:uid="{3DB0325A-0B27-47EC-9519-499547C96A4C}"/>
    <cellStyle name="Comma 2 260 3 2 3 2" xfId="22966" xr:uid="{27D5FC74-60F0-4CF9-8C2A-CACA64DBAF37}"/>
    <cellStyle name="Comma 2 260 3 2 3 2 2" xfId="22967" xr:uid="{107B1055-9FDE-439E-9158-AC5760CB9BE5}"/>
    <cellStyle name="Comma 2 260 3 2 3 2 2 2" xfId="22969" xr:uid="{EBBE5F6F-913D-47DD-AD1E-60713D01BB25}"/>
    <cellStyle name="Comma 2 260 3 2 3 2 2 2 2" xfId="22971" xr:uid="{FDD3AB99-7043-4317-B6AD-5E359C5AD671}"/>
    <cellStyle name="Comma 2 260 3 2 3 2 2 2 2 2" xfId="22973" xr:uid="{AD3CE048-CE57-4573-9BA0-5B6B430CCF35}"/>
    <cellStyle name="Comma 2 260 3 2 3 2 2 2 3" xfId="13854" xr:uid="{A21760C5-010A-42F2-B472-B67DEAB02FEE}"/>
    <cellStyle name="Comma 2 260 3 2 3 2 2 3" xfId="278" xr:uid="{559AD354-5324-4831-BA88-27B19F994EE5}"/>
    <cellStyle name="Comma 2 260 3 2 3 2 2 3 2" xfId="123" xr:uid="{B5F3664B-3D70-46BF-A19B-EC57814EF03E}"/>
    <cellStyle name="Comma 2 260 3 2 3 2 2 4" xfId="562" xr:uid="{0D4C7382-5BDE-473B-ABC1-113CC4A19EAD}"/>
    <cellStyle name="Comma 2 260 3 2 3 2 3" xfId="22974" xr:uid="{B07C21A3-8C12-4BDF-9132-DAFB68AAD8C1}"/>
    <cellStyle name="Comma 2 260 3 2 3 2 3 2" xfId="22976" xr:uid="{835B7830-2DC5-4025-A123-AA095D7567CB}"/>
    <cellStyle name="Comma 2 260 3 2 3 2 3 2 2" xfId="22978" xr:uid="{F0C18745-FCBA-47AA-9D28-A2D9A43FB5B4}"/>
    <cellStyle name="Comma 2 260 3 2 3 2 3 3" xfId="22981" xr:uid="{5224661B-9EFD-423B-AECB-99DD119A0F27}"/>
    <cellStyle name="Comma 2 260 3 2 3 2 4" xfId="22984" xr:uid="{E9226AB1-2716-41F0-97A4-B102F3E6FB40}"/>
    <cellStyle name="Comma 2 260 3 2 3 2 4 2" xfId="22989" xr:uid="{C3DC222C-B846-429F-9DAB-8D9FA14284BB}"/>
    <cellStyle name="Comma 2 260 3 2 3 2 5" xfId="22992" xr:uid="{5DB412E9-0772-4603-A32F-8CF9B5AB8FC3}"/>
    <cellStyle name="Comma 2 260 3 2 3 3" xfId="22993" xr:uid="{790A6187-3334-4263-92BD-DB059F095A37}"/>
    <cellStyle name="Comma 2 260 3 2 3 3 2" xfId="22994" xr:uid="{F46136F1-C4E9-47E4-A5A4-6863B2FA85EF}"/>
    <cellStyle name="Comma 2 260 3 2 3 3 2 2" xfId="22996" xr:uid="{8914913A-8C19-46B4-9BF8-66C7F90C55FB}"/>
    <cellStyle name="Comma 2 260 3 2 3 3 2 2 2" xfId="22999" xr:uid="{2793DC60-1EC1-4FE9-B376-EC570F12059D}"/>
    <cellStyle name="Comma 2 260 3 2 3 3 2 3" xfId="23002" xr:uid="{F2BA9C1C-65C2-41C1-B1DC-80ACE3F8C728}"/>
    <cellStyle name="Comma 2 260 3 2 3 3 3" xfId="23004" xr:uid="{BEBFC1A3-9494-4916-9E23-74C4CC45C0AA}"/>
    <cellStyle name="Comma 2 260 3 2 3 3 3 2" xfId="23007" xr:uid="{3E2C86BF-30CB-4DF5-AF42-473D1EF4C1B3}"/>
    <cellStyle name="Comma 2 260 3 2 3 3 4" xfId="13702" xr:uid="{AB55D0AF-8199-4E47-810E-BF7913A7AF63}"/>
    <cellStyle name="Comma 2 260 3 2 3 4" xfId="12260" xr:uid="{6C67FFBD-7BFE-4F1D-96CC-105A3A2B4CF5}"/>
    <cellStyle name="Comma 2 260 3 2 3 4 2" xfId="23009" xr:uid="{F40D11CE-EE3D-4230-90E1-9C5BEB994C9E}"/>
    <cellStyle name="Comma 2 260 3 2 3 4 2 2" xfId="23012" xr:uid="{4E7AEDD9-631A-408C-B45B-31E466B3C170}"/>
    <cellStyle name="Comma 2 260 3 2 3 4 3" xfId="22947" xr:uid="{C272AD8E-4901-4397-8BFD-FC4B4B0CE2C8}"/>
    <cellStyle name="Comma 2 260 3 2 3 5" xfId="23013" xr:uid="{35771515-F535-48E0-ABB2-A57BD62299A3}"/>
    <cellStyle name="Comma 2 260 3 2 3 5 2" xfId="23015" xr:uid="{DC8D7C53-F7DF-4843-910C-57E0E27EF574}"/>
    <cellStyle name="Comma 2 260 3 2 3 6" xfId="23018" xr:uid="{66A453DB-3D12-43B5-8373-142AA44E0651}"/>
    <cellStyle name="Comma 2 260 3 2 3 7" xfId="23020" xr:uid="{7AE0723D-4191-409B-B7D0-6D306F11E398}"/>
    <cellStyle name="Comma 2 260 3 2 4" xfId="19157" xr:uid="{C56C795A-FCB8-4DF2-976C-1D507347CFE2}"/>
    <cellStyle name="Comma 2 260 3 2 4 2" xfId="23021" xr:uid="{F5478D05-3242-41B9-8385-B2B092AF34F6}"/>
    <cellStyle name="Comma 2 260 3 2 4 2 2" xfId="23022" xr:uid="{816E1033-BD7B-461A-A43D-0B5E6ECEE9F1}"/>
    <cellStyle name="Comma 2 260 3 2 4 2 2 2" xfId="23024" xr:uid="{75C941A2-1D4B-4B2F-94BA-889F82A448A4}"/>
    <cellStyle name="Comma 2 260 3 2 4 2 2 2 2" xfId="7683" xr:uid="{E8C522A3-8233-4332-99DA-597EDA134506}"/>
    <cellStyle name="Comma 2 260 3 2 4 2 2 3" xfId="23027" xr:uid="{A89E8737-CB29-4873-A03F-43186566F87D}"/>
    <cellStyle name="Comma 2 260 3 2 4 2 3" xfId="23028" xr:uid="{BD2A6F77-5615-49EC-82DA-0E8D88AEE996}"/>
    <cellStyle name="Comma 2 260 3 2 4 2 3 2" xfId="23030" xr:uid="{4C646937-D9C4-44F0-B168-BDF98274BFE3}"/>
    <cellStyle name="Comma 2 260 3 2 4 2 4" xfId="23033" xr:uid="{1EFF5661-7F42-447B-A5FD-75FDF1611C12}"/>
    <cellStyle name="Comma 2 260 3 2 4 3" xfId="23034" xr:uid="{60291BD6-6C0B-42D7-8E63-D2A28692739C}"/>
    <cellStyle name="Comma 2 260 3 2 4 3 2" xfId="23035" xr:uid="{E277AEC2-C555-4939-ABB0-099AB6652E50}"/>
    <cellStyle name="Comma 2 260 3 2 4 3 2 2" xfId="9439" xr:uid="{4AEA7B3D-ED27-4E62-B682-B0830366C72E}"/>
    <cellStyle name="Comma 2 260 3 2 4 3 3" xfId="23037" xr:uid="{236123CE-8255-4046-8537-1C943CD8DCA4}"/>
    <cellStyle name="Comma 2 260 3 2 4 4" xfId="23038" xr:uid="{515F4638-C126-4BAD-8D0C-5759D19E7618}"/>
    <cellStyle name="Comma 2 260 3 2 4 4 2" xfId="23040" xr:uid="{664BF4AD-B829-4479-AF5E-C86FD36ED41A}"/>
    <cellStyle name="Comma 2 260 3 2 4 5" xfId="23041" xr:uid="{6049914B-2CE3-45CF-AC4A-5814564FC3F3}"/>
    <cellStyle name="Comma 2 260 3 2 5" xfId="19159" xr:uid="{B5C007B9-56EF-4457-AA40-45834604DFD4}"/>
    <cellStyle name="Comma 2 260 3 2 5 2" xfId="23042" xr:uid="{82384922-700B-4868-A174-B197F0E4AE32}"/>
    <cellStyle name="Comma 2 260 3 2 5 2 2" xfId="23043" xr:uid="{2B43C06A-A30A-412E-B2DE-76F1504D5244}"/>
    <cellStyle name="Comma 2 260 3 2 5 2 2 2" xfId="23045" xr:uid="{97C7C0A1-5745-4AFC-909A-0691686D6FD9}"/>
    <cellStyle name="Comma 2 260 3 2 5 2 3" xfId="23046" xr:uid="{781FDF20-A673-4790-9FA0-9935721D536E}"/>
    <cellStyle name="Comma 2 260 3 2 5 3" xfId="21245" xr:uid="{1D90F494-59C1-42E7-AC38-C6320CEB5791}"/>
    <cellStyle name="Comma 2 260 3 2 5 3 2" xfId="23049" xr:uid="{C04D5E5E-E645-4850-B899-111CFF91AFA1}"/>
    <cellStyle name="Comma 2 260 3 2 5 4" xfId="23050" xr:uid="{0C1048D8-641D-49E4-8A1F-E2E899CCDFCA}"/>
    <cellStyle name="Comma 2 260 3 2 6" xfId="19161" xr:uid="{393D85AD-1154-4D4B-BB74-127E1DD2A1BA}"/>
    <cellStyle name="Comma 2 260 3 2 6 2" xfId="23051" xr:uid="{6B7442CA-5A6A-486C-A52B-2B704B0945E9}"/>
    <cellStyle name="Comma 2 260 3 2 6 2 2" xfId="23052" xr:uid="{9007AC1A-E078-462F-9732-296603AE4B07}"/>
    <cellStyle name="Comma 2 260 3 2 6 3" xfId="23053" xr:uid="{A62C43F7-32A9-4FF4-A9A9-99EF1740044E}"/>
    <cellStyle name="Comma 2 260 3 2 7" xfId="19163" xr:uid="{F9CD4A80-D2AB-4186-8B86-5F6BFA069877}"/>
    <cellStyle name="Comma 2 260 3 2 7 2" xfId="23055" xr:uid="{33DDC1AF-BA56-49F5-8F88-EBD0A0801479}"/>
    <cellStyle name="Comma 2 260 3 2 8" xfId="19165" xr:uid="{95DB842E-C747-4463-AA0C-A685E66DEB52}"/>
    <cellStyle name="Comma 2 260 3 2 9" xfId="19171" xr:uid="{A63D849C-FCD1-4676-9F35-E5D51E1B0756}"/>
    <cellStyle name="Comma 2 260 3 3" xfId="23058" xr:uid="{A137924D-9E4A-425E-A5AD-24F27DC2363C}"/>
    <cellStyle name="Comma 2 260 3 3 2" xfId="23061" xr:uid="{8C95278B-B187-4694-AEDF-ABEE6FD9EAF8}"/>
    <cellStyle name="Comma 2 260 3 3 2 2" xfId="23064" xr:uid="{8F54F92E-C214-4A8E-A795-B739495DAFFD}"/>
    <cellStyle name="Comma 2 260 3 3 2 2 2" xfId="23065" xr:uid="{3BA29E0D-F514-4494-97CC-0AE35AAFCDA7}"/>
    <cellStyle name="Comma 2 260 3 3 2 2 2 2" xfId="23067" xr:uid="{0F614EC6-CA0B-444F-8996-83E3A732E81E}"/>
    <cellStyle name="Comma 2 260 3 3 2 2 2 2 2" xfId="23069" xr:uid="{AB399CF3-19FF-4223-A7D4-DA9A30963C15}"/>
    <cellStyle name="Comma 2 260 3 3 2 2 2 2 2 2" xfId="23073" xr:uid="{3CFC1F11-1428-47AC-AFAF-23BA1113ED50}"/>
    <cellStyle name="Comma 2 260 3 3 2 2 2 2 3" xfId="15537" xr:uid="{33BB8BB2-3376-47E4-A50C-A6C63AC4E112}"/>
    <cellStyle name="Comma 2 260 3 3 2 2 2 3" xfId="23078" xr:uid="{EA0CE0C6-74DB-48DE-8736-C8F615104F9B}"/>
    <cellStyle name="Comma 2 260 3 3 2 2 2 3 2" xfId="23082" xr:uid="{ABBBE4B9-7F7C-48F4-B528-05DC6E199349}"/>
    <cellStyle name="Comma 2 260 3 3 2 2 2 4" xfId="23087" xr:uid="{BFC1B404-AF92-40B5-974C-B4298A2659C9}"/>
    <cellStyle name="Comma 2 260 3 3 2 2 3" xfId="23088" xr:uid="{8ED5D42B-EA4D-4947-B0F2-5CA6C708106B}"/>
    <cellStyle name="Comma 2 260 3 3 2 2 3 2" xfId="9354" xr:uid="{9F0AC54A-83BB-482C-BB0D-FA1BD3D8FFB9}"/>
    <cellStyle name="Comma 2 260 3 3 2 2 3 2 2" xfId="23090" xr:uid="{AECF96D8-D286-4C20-B580-E23ECD00F81B}"/>
    <cellStyle name="Comma 2 260 3 3 2 2 3 3" xfId="23093" xr:uid="{6CF63841-A3AF-4ECA-9894-200A00660E11}"/>
    <cellStyle name="Comma 2 260 3 3 2 2 4" xfId="23096" xr:uid="{850F125A-27C3-49AC-AFEB-A53B7152BDBF}"/>
    <cellStyle name="Comma 2 260 3 3 2 2 4 2" xfId="19229" xr:uid="{1844D8BE-8226-4BC8-AFB7-C68BDF8CCF20}"/>
    <cellStyle name="Comma 2 260 3 3 2 2 5" xfId="23099" xr:uid="{C08BCE85-3EBD-4682-84B5-33A797E9D2AA}"/>
    <cellStyle name="Comma 2 260 3 3 2 3" xfId="23100" xr:uid="{63AFFA0C-15A8-45B1-A148-88AD7B911DFB}"/>
    <cellStyle name="Comma 2 260 3 3 2 3 2" xfId="23101" xr:uid="{8BAD4AA8-AC58-488B-9E43-D88ACD163CD4}"/>
    <cellStyle name="Comma 2 260 3 3 2 3 2 2" xfId="23103" xr:uid="{FF85EAEF-264D-43E0-B37F-969FE415E06B}"/>
    <cellStyle name="Comma 2 260 3 3 2 3 2 2 2" xfId="903" xr:uid="{83C001E2-12DB-43B4-B9DE-B57D5369C10C}"/>
    <cellStyle name="Comma 2 260 3 3 2 3 2 3" xfId="23107" xr:uid="{22695C32-A70F-4816-A651-799B2973C1B1}"/>
    <cellStyle name="Comma 2 260 3 3 2 3 3" xfId="23108" xr:uid="{8CD76BB0-7281-453F-AD26-9508A883874C}"/>
    <cellStyle name="Comma 2 260 3 3 2 3 3 2" xfId="23110" xr:uid="{D6F637F9-B51D-47C5-A03D-E0824F4A4908}"/>
    <cellStyle name="Comma 2 260 3 3 2 3 4" xfId="23113" xr:uid="{F4B7F9A8-B998-4F92-9693-0929B3F76F3E}"/>
    <cellStyle name="Comma 2 260 3 3 2 4" xfId="23114" xr:uid="{20E8573E-472F-4B00-A6B0-2578DE200D61}"/>
    <cellStyle name="Comma 2 260 3 3 2 4 2" xfId="23116" xr:uid="{859C3D66-E430-49A4-9B29-D9C30D2D930F}"/>
    <cellStyle name="Comma 2 260 3 3 2 4 2 2" xfId="23119" xr:uid="{ABAB30CC-EEAB-4801-8A6D-70428663FD09}"/>
    <cellStyle name="Comma 2 260 3 3 2 4 3" xfId="22997" xr:uid="{B74180DD-A33F-488A-ABC5-B11B7558B916}"/>
    <cellStyle name="Comma 2 260 3 3 2 5" xfId="23120" xr:uid="{6FF1E2E1-F4EE-4351-831A-A1BB5C0E9ED8}"/>
    <cellStyle name="Comma 2 260 3 3 2 5 2" xfId="23122" xr:uid="{0F4DB129-84AF-45F0-B0EC-6B7E00BE87C1}"/>
    <cellStyle name="Comma 2 260 3 3 2 6" xfId="23125" xr:uid="{861C3F07-6567-4D1C-8D26-21AD83CB5C62}"/>
    <cellStyle name="Comma 2 260 3 3 2 7" xfId="23127" xr:uid="{2511F509-B131-4EF1-B98F-5B1671F871C7}"/>
    <cellStyle name="Comma 2 260 3 3 3" xfId="23130" xr:uid="{E82FCA02-4F5E-40D3-A0F4-641C987C8B60}"/>
    <cellStyle name="Comma 2 260 3 3 3 2" xfId="23132" xr:uid="{DED8EEB5-8F4C-48A9-9010-B7D7FD9A2335}"/>
    <cellStyle name="Comma 2 260 3 3 3 2 2" xfId="23133" xr:uid="{1C3442D2-BDF9-44B7-9DFC-D2BBB186994C}"/>
    <cellStyle name="Comma 2 260 3 3 3 2 2 2" xfId="23135" xr:uid="{3F067206-2889-468C-ACFA-450619DECA19}"/>
    <cellStyle name="Comma 2 260 3 3 3 2 2 2 2" xfId="23138" xr:uid="{B580444B-803B-4D4B-985A-53B22ECBA385}"/>
    <cellStyle name="Comma 2 260 3 3 3 2 2 3" xfId="23141" xr:uid="{EC59DC8B-EDE7-45EC-8392-87925C97A563}"/>
    <cellStyle name="Comma 2 260 3 3 3 2 3" xfId="23142" xr:uid="{D16C12BA-32E0-4FC6-959D-99674839C8A1}"/>
    <cellStyle name="Comma 2 260 3 3 3 2 3 2" xfId="23144" xr:uid="{709DD9BF-0705-468C-AC65-EDC75E8CD932}"/>
    <cellStyle name="Comma 2 260 3 3 3 2 4" xfId="23147" xr:uid="{6D3ED2EF-B1EE-4359-942A-039779D6089D}"/>
    <cellStyle name="Comma 2 260 3 3 3 3" xfId="23149" xr:uid="{566A53A4-6B92-4BE9-882F-FEB54A05840E}"/>
    <cellStyle name="Comma 2 260 3 3 3 3 2" xfId="23150" xr:uid="{1F2E802C-A859-4DF7-9CC8-D585048CF2C8}"/>
    <cellStyle name="Comma 2 260 3 3 3 3 2 2" xfId="23152" xr:uid="{1E235C91-17A9-43B2-8366-FEAD5634B2EE}"/>
    <cellStyle name="Comma 2 260 3 3 3 3 3" xfId="23154" xr:uid="{CD8BB13D-A74C-4272-974A-1D274A8103A9}"/>
    <cellStyle name="Comma 2 260 3 3 3 4" xfId="23156" xr:uid="{2D362ED0-8EC9-4D6F-9A69-C86D85BA741F}"/>
    <cellStyle name="Comma 2 260 3 3 3 4 2" xfId="23158" xr:uid="{DA8D1A5E-7F79-49EF-9761-DE5A6F6D9C70}"/>
    <cellStyle name="Comma 2 260 3 3 3 5" xfId="23161" xr:uid="{5182DB8A-5C66-4839-9620-65D39B6C05D1}"/>
    <cellStyle name="Comma 2 260 3 3 4" xfId="23162" xr:uid="{05D2D71D-29A2-4D6E-A78C-221AE907C7C2}"/>
    <cellStyle name="Comma 2 260 3 3 4 2" xfId="23163" xr:uid="{E8B84E55-8855-4B3F-B581-0C79B7AF4B30}"/>
    <cellStyle name="Comma 2 260 3 3 4 2 2" xfId="23164" xr:uid="{AD9D135A-CF93-4E95-945B-D3F73EBCAC04}"/>
    <cellStyle name="Comma 2 260 3 3 4 2 2 2" xfId="23167" xr:uid="{2F7496DC-95E6-4F76-A1DE-240A21AD9A5D}"/>
    <cellStyle name="Comma 2 260 3 3 4 2 3" xfId="23168" xr:uid="{C7FA4F95-E220-45A1-8EF3-A52910C36F12}"/>
    <cellStyle name="Comma 2 260 3 3 4 3" xfId="23169" xr:uid="{42ABEAFF-B575-4D04-956F-0AEC202AF096}"/>
    <cellStyle name="Comma 2 260 3 3 4 3 2" xfId="23170" xr:uid="{EBF2320B-5B1E-4DCB-9BD7-E34065CE4068}"/>
    <cellStyle name="Comma 2 260 3 3 4 4" xfId="23171" xr:uid="{691CDE62-EFA2-4648-81E4-E08F900171AD}"/>
    <cellStyle name="Comma 2 260 3 3 5" xfId="23172" xr:uid="{E97AE94E-8D63-49A2-AB36-3E3FB6E1DE3F}"/>
    <cellStyle name="Comma 2 260 3 3 5 2" xfId="23173" xr:uid="{8BF19330-EA77-4B79-B743-E4031F7F83F2}"/>
    <cellStyle name="Comma 2 260 3 3 5 2 2" xfId="23174" xr:uid="{8A75E5D1-CBD6-475B-873D-A47A25F13B9F}"/>
    <cellStyle name="Comma 2 260 3 3 5 3" xfId="23175" xr:uid="{D106DF69-F427-4813-993B-2C245D1509DA}"/>
    <cellStyle name="Comma 2 260 3 3 6" xfId="23176" xr:uid="{2E94A475-812C-4335-A52B-B7D6D662A971}"/>
    <cellStyle name="Comma 2 260 3 3 6 2" xfId="23177" xr:uid="{5F20633E-7AB2-4A82-B8C0-9D2537F13E93}"/>
    <cellStyle name="Comma 2 260 3 3 7" xfId="23178" xr:uid="{B2FEEC13-F782-4FDC-8F12-4484DDC1E453}"/>
    <cellStyle name="Comma 2 260 3 3 8" xfId="8942" xr:uid="{766E7F7D-9136-46A6-A32A-24ED62FEA5E0}"/>
    <cellStyle name="Comma 2 260 3 4" xfId="23181" xr:uid="{B110952A-B38C-4460-AED7-D5BBCDCD1635}"/>
    <cellStyle name="Comma 2 260 3 4 2" xfId="23184" xr:uid="{182154E4-B359-4A0A-B32C-7AC75A8D672F}"/>
    <cellStyle name="Comma 2 260 3 4 2 2" xfId="23185" xr:uid="{65997F0C-C9D8-4758-8D54-7ED54048DB82}"/>
    <cellStyle name="Comma 2 260 3 4 2 2 2" xfId="23186" xr:uid="{621F7812-09A4-4216-B129-5ACD9F6BD5EF}"/>
    <cellStyle name="Comma 2 260 3 4 2 2 2 2" xfId="23188" xr:uid="{61D7F55B-473D-4E2C-8365-CA9C91815773}"/>
    <cellStyle name="Comma 2 260 3 4 2 2 2 2 2" xfId="23190" xr:uid="{07EAEE97-7EE6-4687-A62E-77275DFBD066}"/>
    <cellStyle name="Comma 2 260 3 4 2 2 2 3" xfId="23194" xr:uid="{42F5FA7D-3877-42D4-AE6C-9DEC17EF5C66}"/>
    <cellStyle name="Comma 2 260 3 4 2 2 3" xfId="23195" xr:uid="{22DF897F-F578-4A7F-A70F-61EE272ECA7D}"/>
    <cellStyle name="Comma 2 260 3 4 2 2 3 2" xfId="12904" xr:uid="{3FD0190D-3C48-4267-85B2-69E32B4CAE99}"/>
    <cellStyle name="Comma 2 260 3 4 2 2 4" xfId="23200" xr:uid="{5A618A6B-18F8-4E17-82AD-7ED877AEA6D1}"/>
    <cellStyle name="Comma 2 260 3 4 2 3" xfId="23201" xr:uid="{E55FC07B-1C72-449F-B7D6-926338801513}"/>
    <cellStyle name="Comma 2 260 3 4 2 3 2" xfId="23202" xr:uid="{D79D87D9-455E-4FB0-9539-E4630A930519}"/>
    <cellStyle name="Comma 2 260 3 4 2 3 2 2" xfId="23204" xr:uid="{96CB9BC7-F229-46EE-B70C-3497CB049B23}"/>
    <cellStyle name="Comma 2 260 3 4 2 3 3" xfId="23205" xr:uid="{C5E52216-E12E-4BED-95BE-3FF5C01A396A}"/>
    <cellStyle name="Comma 2 260 3 4 2 4" xfId="23206" xr:uid="{74238A22-1724-474C-84EC-76B45F018C2D}"/>
    <cellStyle name="Comma 2 260 3 4 2 4 2" xfId="9433" xr:uid="{1C546134-119B-4975-A062-2E4FACB0104E}"/>
    <cellStyle name="Comma 2 260 3 4 2 5" xfId="23207" xr:uid="{86E444E9-8B39-408C-A74C-800ABCA5AEE3}"/>
    <cellStyle name="Comma 2 260 3 4 3" xfId="13030" xr:uid="{76D1D669-2683-4AA6-B811-89D4F2231576}"/>
    <cellStyle name="Comma 2 260 3 4 3 2" xfId="13034" xr:uid="{EEB0204C-1366-455C-B439-BE8D82EF4CC2}"/>
    <cellStyle name="Comma 2 260 3 4 3 2 2" xfId="23209" xr:uid="{33FBE3A0-8AC0-4E3D-A9B3-48B5D7CF9D03}"/>
    <cellStyle name="Comma 2 260 3 4 3 2 2 2" xfId="23213" xr:uid="{A7B07F41-68AA-462C-8FA0-721317AC9B24}"/>
    <cellStyle name="Comma 2 260 3 4 3 2 3" xfId="23215" xr:uid="{A80FAB30-C84B-4EB7-B17A-71DB620DB888}"/>
    <cellStyle name="Comma 2 260 3 4 3 3" xfId="23218" xr:uid="{47FF9561-1E26-4F45-843F-6D8A748D9CD1}"/>
    <cellStyle name="Comma 2 260 3 4 3 3 2" xfId="23220" xr:uid="{C0D33F3B-E7B3-44BC-A995-A7527AD1783A}"/>
    <cellStyle name="Comma 2 260 3 4 3 4" xfId="23223" xr:uid="{F4DB95E3-CD29-4C4E-968F-2248C806F86A}"/>
    <cellStyle name="Comma 2 260 3 4 4" xfId="13036" xr:uid="{783161B7-83EA-475D-B1C5-52A8DC02ECF1}"/>
    <cellStyle name="Comma 2 260 3 4 4 2" xfId="23224" xr:uid="{35DCA414-E804-404E-B402-ACE6848D21FE}"/>
    <cellStyle name="Comma 2 260 3 4 4 2 2" xfId="23225" xr:uid="{3D19EADD-6430-41A3-91F5-90A7E050DBC8}"/>
    <cellStyle name="Comma 2 260 3 4 4 3" xfId="23226" xr:uid="{DC92C85A-0567-48C0-A4FB-CD404F0AC840}"/>
    <cellStyle name="Comma 2 260 3 4 5" xfId="23227" xr:uid="{1D28DA28-7398-4FE5-A4F8-C7D1EA8F8F8A}"/>
    <cellStyle name="Comma 2 260 3 4 5 2" xfId="23228" xr:uid="{F9F93D3F-CC63-4CA8-8F8A-A17BF1864818}"/>
    <cellStyle name="Comma 2 260 3 4 6" xfId="23229" xr:uid="{DDC17C96-B9C4-4C51-8329-3E7AA126B376}"/>
    <cellStyle name="Comma 2 260 3 4 7" xfId="23230" xr:uid="{129EDCA2-0D72-4CEE-9119-B85C37C57C65}"/>
    <cellStyle name="Comma 2 260 3 5" xfId="7922" xr:uid="{A016D53E-2643-43A9-B127-AEA28420D038}"/>
    <cellStyle name="Comma 2 260 3 5 2" xfId="23231" xr:uid="{B734A3B2-B729-4175-95C6-D77685591671}"/>
    <cellStyle name="Comma 2 260 3 5 2 2" xfId="23232" xr:uid="{545BE8A4-BAC4-4248-A799-2B4010A306D1}"/>
    <cellStyle name="Comma 2 260 3 5 2 2 2" xfId="23233" xr:uid="{D26BE51B-574A-4EFC-B715-B1DBF8C21001}"/>
    <cellStyle name="Comma 2 260 3 5 2 2 2 2" xfId="23235" xr:uid="{C6B0E94C-0481-49C7-BE22-A3071508BB08}"/>
    <cellStyle name="Comma 2 260 3 5 2 2 3" xfId="23236" xr:uid="{AA9E4292-A83E-4A6F-A417-C50672CEC333}"/>
    <cellStyle name="Comma 2 260 3 5 2 3" xfId="23237" xr:uid="{CCC50AAA-FA0C-4788-BCF6-8147A52685C6}"/>
    <cellStyle name="Comma 2 260 3 5 2 3 2" xfId="23238" xr:uid="{9A372AFE-A2F4-49BC-8B69-5B3F4BC27983}"/>
    <cellStyle name="Comma 2 260 3 5 2 4" xfId="23239" xr:uid="{95BC55F4-599B-45E1-BE15-92AC87B46238}"/>
    <cellStyle name="Comma 2 260 3 5 3" xfId="13040" xr:uid="{1CDF4598-E923-441D-B732-61F3C86A2B89}"/>
    <cellStyle name="Comma 2 260 3 5 3 2" xfId="23240" xr:uid="{9221ADA5-58EF-4C0C-9804-953D2EE217F9}"/>
    <cellStyle name="Comma 2 260 3 5 3 2 2" xfId="23241" xr:uid="{B6E6C854-8F6A-4A6A-B305-909487DF12EE}"/>
    <cellStyle name="Comma 2 260 3 5 3 3" xfId="23242" xr:uid="{BD3D929B-EB5E-4B4B-A1D4-1C4B51363E5E}"/>
    <cellStyle name="Comma 2 260 3 5 4" xfId="23243" xr:uid="{09E9EFC8-C856-487D-82D0-FF31D5A799DE}"/>
    <cellStyle name="Comma 2 260 3 5 4 2" xfId="23244" xr:uid="{7D856574-B95E-40DE-825C-21EC7AC533C5}"/>
    <cellStyle name="Comma 2 260 3 5 5" xfId="23245" xr:uid="{7A91DB70-90C3-41E2-A700-61006349A2C8}"/>
    <cellStyle name="Comma 2 260 3 6" xfId="23246" xr:uid="{CF25AA01-F2D0-4A6A-AF22-E98C2C68CB0D}"/>
    <cellStyle name="Comma 2 260 3 6 2" xfId="23247" xr:uid="{DD796C80-DCD4-4DE6-BFD7-B82826E62FF9}"/>
    <cellStyle name="Comma 2 260 3 6 2 2" xfId="23248" xr:uid="{ADF8B936-4FFE-4829-86CF-854B517FEC0D}"/>
    <cellStyle name="Comma 2 260 3 6 2 2 2" xfId="23249" xr:uid="{E30F011B-1B44-4AA2-8452-8BFFF888E0BB}"/>
    <cellStyle name="Comma 2 260 3 6 2 3" xfId="22573" xr:uid="{720AA521-6F83-4765-8A18-4B9C85B00157}"/>
    <cellStyle name="Comma 2 260 3 6 3" xfId="23250" xr:uid="{0A90F66D-84EC-41C8-B657-8CECB3A27A97}"/>
    <cellStyle name="Comma 2 260 3 6 3 2" xfId="23251" xr:uid="{279EBC26-3FE5-4338-9311-DEAAB8A0994A}"/>
    <cellStyle name="Comma 2 260 3 6 4" xfId="23252" xr:uid="{24401513-1AD1-4BC3-8748-424AC394DA71}"/>
    <cellStyle name="Comma 2 260 3 7" xfId="16514" xr:uid="{0AB30327-1B9E-41F4-984A-99B092FFADEA}"/>
    <cellStyle name="Comma 2 260 3 7 2" xfId="157" xr:uid="{FF818900-C975-48F1-97A1-898C3A6D6007}"/>
    <cellStyle name="Comma 2 260 3 7 2 2" xfId="23254" xr:uid="{30F34550-0FB7-4FFD-AE0A-6698244FAE06}"/>
    <cellStyle name="Comma 2 260 3 7 3" xfId="23255" xr:uid="{D98D4A89-D6F1-462E-B0B1-FD6307FF47B8}"/>
    <cellStyle name="Comma 2 260 3 8" xfId="12229" xr:uid="{F3C047B5-8CDB-4984-AB69-658BCE1A1EAD}"/>
    <cellStyle name="Comma 2 260 3 8 2" xfId="23256" xr:uid="{9AC7ED72-9F0C-4747-8E35-1EC9BE21AFED}"/>
    <cellStyle name="Comma 2 260 3 9" xfId="23257" xr:uid="{5D85763C-8B51-41DC-B768-6115BCF54F4B}"/>
    <cellStyle name="Comma 2 260 4" xfId="20097" xr:uid="{687EB49E-4C46-4650-82C5-F27C3BDBB3FC}"/>
    <cellStyle name="Comma 2 260 4 2" xfId="23258" xr:uid="{DD24BA3D-AAB6-4DDE-B252-04C1A59B929B}"/>
    <cellStyle name="Comma 2 260 4 2 2" xfId="23259" xr:uid="{C86B8965-8E82-4F0F-A4DE-A1191FC443D4}"/>
    <cellStyle name="Comma 2 260 4 2 2 2" xfId="23260" xr:uid="{DC1B5F20-FD35-4943-8696-9A0B5CD26F52}"/>
    <cellStyle name="Comma 2 260 4 2 2 2 2" xfId="23261" xr:uid="{FFDB0DA7-A341-4535-8297-0AB4104FEC0F}"/>
    <cellStyle name="Comma 2 260 4 2 2 2 2 2" xfId="23263" xr:uid="{1954902E-C4E4-49F5-ABAF-828268D07CC9}"/>
    <cellStyle name="Comma 2 260 4 2 2 2 2 2 2" xfId="23265" xr:uid="{B0A1E522-0CBF-4EB4-8FA2-E5249CC7EB49}"/>
    <cellStyle name="Comma 2 260 4 2 2 2 2 2 2 2" xfId="23267" xr:uid="{542BECF8-CABE-47E6-A9E1-101504E6EAED}"/>
    <cellStyle name="Comma 2 260 4 2 2 2 2 2 3" xfId="23269" xr:uid="{49E31020-CC5A-489D-B784-5813DBCEC044}"/>
    <cellStyle name="Comma 2 260 4 2 2 2 2 3" xfId="23271" xr:uid="{ACF61DA9-DECE-4ED0-91FA-02EA0A5858F1}"/>
    <cellStyle name="Comma 2 260 4 2 2 2 2 3 2" xfId="23274" xr:uid="{DD07B619-52A7-4D8D-BF3E-F5E40702FF82}"/>
    <cellStyle name="Comma 2 260 4 2 2 2 2 4" xfId="23277" xr:uid="{727A88A0-F3AB-4E0B-9CC2-B11198951A00}"/>
    <cellStyle name="Comma 2 260 4 2 2 2 3" xfId="23278" xr:uid="{75BAD55D-BC32-45B8-9EE9-1F3A9B970AC8}"/>
    <cellStyle name="Comma 2 260 4 2 2 2 3 2" xfId="23280" xr:uid="{0BF39CBF-5F6E-4D0E-83B3-C24D600A131C}"/>
    <cellStyle name="Comma 2 260 4 2 2 2 3 2 2" xfId="23282" xr:uid="{F0A7557E-68B2-44C9-82B1-D61F4E542E6D}"/>
    <cellStyle name="Comma 2 260 4 2 2 2 3 3" xfId="23284" xr:uid="{C3B9A9FF-12C9-4114-9883-2BA3995981FE}"/>
    <cellStyle name="Comma 2 260 4 2 2 2 4" xfId="23287" xr:uid="{847BDF9F-6FD3-40C4-BD3C-429BAB9E1369}"/>
    <cellStyle name="Comma 2 260 4 2 2 2 4 2" xfId="23291" xr:uid="{BF6071D0-FCEE-4992-AECD-59F71C414018}"/>
    <cellStyle name="Comma 2 260 4 2 2 2 5" xfId="23294" xr:uid="{C98BC81F-78D4-499B-A5EE-3FAF0A704F10}"/>
    <cellStyle name="Comma 2 260 4 2 2 3" xfId="23295" xr:uid="{5CBF6DE2-9978-43F7-802C-C0DE26D3C34E}"/>
    <cellStyle name="Comma 2 260 4 2 2 3 2" xfId="23296" xr:uid="{A17B8E88-236D-4939-9E57-31744D7D3B55}"/>
    <cellStyle name="Comma 2 260 4 2 2 3 2 2" xfId="23298" xr:uid="{CE3B6976-07F3-4F80-8B45-9A4D796D004E}"/>
    <cellStyle name="Comma 2 260 4 2 2 3 2 2 2" xfId="23302" xr:uid="{C8C35BB4-288B-4B9B-91B8-0A01CEA45EA4}"/>
    <cellStyle name="Comma 2 260 4 2 2 3 2 3" xfId="23305" xr:uid="{83DB42AC-8FE6-4071-8981-7D80D3D8671A}"/>
    <cellStyle name="Comma 2 260 4 2 2 3 3" xfId="23306" xr:uid="{946FE0E2-B19B-4556-86DD-E053E7FAE212}"/>
    <cellStyle name="Comma 2 260 4 2 2 3 3 2" xfId="23308" xr:uid="{A9D08620-E2BD-4332-B674-6C09BBFFF683}"/>
    <cellStyle name="Comma 2 260 4 2 2 3 4" xfId="23311" xr:uid="{7B03DB3F-D65B-4ED4-8808-C48B1B8F828C}"/>
    <cellStyle name="Comma 2 260 4 2 2 4" xfId="14891" xr:uid="{597C5088-3D82-4112-A4B0-FC534651F038}"/>
    <cellStyle name="Comma 2 260 4 2 2 4 2" xfId="23313" xr:uid="{5CECE540-6B33-4864-9BDE-A101337A8F09}"/>
    <cellStyle name="Comma 2 260 4 2 2 4 2 2" xfId="4131" xr:uid="{0CE53C6E-383F-4FC4-A217-272552F3A57B}"/>
    <cellStyle name="Comma 2 260 4 2 2 4 3" xfId="23104" xr:uid="{A5B6D46F-1962-4325-8B84-5EE2C164841F}"/>
    <cellStyle name="Comma 2 260 4 2 2 5" xfId="23314" xr:uid="{FA3AF8CC-8761-4AC4-9802-CFFA0ED6FC46}"/>
    <cellStyle name="Comma 2 260 4 2 2 5 2" xfId="9382" xr:uid="{51D50104-71EC-4095-9EC3-301D88F40790}"/>
    <cellStyle name="Comma 2 260 4 2 2 6" xfId="23316" xr:uid="{2C74B32C-AA3B-4D83-8205-6BBFD1E0AD20}"/>
    <cellStyle name="Comma 2 260 4 2 2 7" xfId="23318" xr:uid="{1437410D-AB75-4B01-813A-A4670CD9E5C5}"/>
    <cellStyle name="Comma 2 260 4 2 3" xfId="23319" xr:uid="{BAACC2A7-39E9-4401-A4FC-F5653F504AEC}"/>
    <cellStyle name="Comma 2 260 4 2 3 2" xfId="23320" xr:uid="{EE7FADC8-BED2-49BB-A9B1-A6D2B0F5EB87}"/>
    <cellStyle name="Comma 2 260 4 2 3 2 2" xfId="23321" xr:uid="{16522C41-67FF-49FA-8E96-8BB0DDFE7883}"/>
    <cellStyle name="Comma 2 260 4 2 3 2 2 2" xfId="23324" xr:uid="{A4A7CCD0-5BBD-4D78-B3B6-2A9F5AE2F4AE}"/>
    <cellStyle name="Comma 2 260 4 2 3 2 2 2 2" xfId="23326" xr:uid="{D1A94EF0-E91B-4415-89E4-E90D229AA36C}"/>
    <cellStyle name="Comma 2 260 4 2 3 2 2 3" xfId="23328" xr:uid="{C298964F-660F-41EE-B825-D0460BB79983}"/>
    <cellStyle name="Comma 2 260 4 2 3 2 3" xfId="23329" xr:uid="{24443650-14C6-4F9F-A064-715B84D2EE60}"/>
    <cellStyle name="Comma 2 260 4 2 3 2 3 2" xfId="23331" xr:uid="{26E43FAC-D326-41C2-9638-830878CEDC12}"/>
    <cellStyle name="Comma 2 260 4 2 3 2 4" xfId="23334" xr:uid="{F50A77F7-59AA-4488-A347-733747DD6B2E}"/>
    <cellStyle name="Comma 2 260 4 2 3 3" xfId="23336" xr:uid="{39DA9DE9-1A69-4C97-97EC-E6522F5B6D04}"/>
    <cellStyle name="Comma 2 260 4 2 3 3 2" xfId="23338" xr:uid="{A0CE046F-A6C9-45E5-B850-ADAC075CD085}"/>
    <cellStyle name="Comma 2 260 4 2 3 3 2 2" xfId="23340" xr:uid="{337539CF-1118-4306-93F8-715445177DE0}"/>
    <cellStyle name="Comma 2 260 4 2 3 3 3" xfId="23342" xr:uid="{569818C8-94F4-417C-BEB4-C5A0B1E28DFD}"/>
    <cellStyle name="Comma 2 260 4 2 3 4" xfId="23344" xr:uid="{155D93F9-8D1D-4C4C-A740-715CCE44B16F}"/>
    <cellStyle name="Comma 2 260 4 2 3 4 2" xfId="23347" xr:uid="{A67EA0BB-89A1-484D-8BFF-F3C594BE7DED}"/>
    <cellStyle name="Comma 2 260 4 2 3 5" xfId="23349" xr:uid="{478FB084-0B7D-4370-AAC3-D0F13C29878C}"/>
    <cellStyle name="Comma 2 260 4 2 4" xfId="19316" xr:uid="{A6C66A10-306F-4B41-B4D6-32DBA18225E1}"/>
    <cellStyle name="Comma 2 260 4 2 4 2" xfId="23350" xr:uid="{06ADF45A-BEE3-48EB-A698-13D8C994F574}"/>
    <cellStyle name="Comma 2 260 4 2 4 2 2" xfId="23351" xr:uid="{B7846909-5F16-4E5F-BCA9-BAE988305E2F}"/>
    <cellStyle name="Comma 2 260 4 2 4 2 2 2" xfId="22169" xr:uid="{A7552A27-CD96-49C5-B37C-7958DAEFB534}"/>
    <cellStyle name="Comma 2 260 4 2 4 2 3" xfId="23352" xr:uid="{B4E3B589-9709-4C89-BAD5-E1D98C7FC49D}"/>
    <cellStyle name="Comma 2 260 4 2 4 3" xfId="23353" xr:uid="{87BFF33D-7C09-4A08-81CB-9062890DD4FC}"/>
    <cellStyle name="Comma 2 260 4 2 4 3 2" xfId="23354" xr:uid="{1AA10079-8343-43B3-9979-BAA87B96E507}"/>
    <cellStyle name="Comma 2 260 4 2 4 4" xfId="23355" xr:uid="{D565709F-5637-4498-87F4-319E1EEEDD3B}"/>
    <cellStyle name="Comma 2 260 4 2 5" xfId="19318" xr:uid="{5F064529-DE43-4E58-8BDD-3E09CB56BECF}"/>
    <cellStyle name="Comma 2 260 4 2 5 2" xfId="23356" xr:uid="{6DFCE9FB-D330-460C-9F10-0242B0BF512A}"/>
    <cellStyle name="Comma 2 260 4 2 5 2 2" xfId="23357" xr:uid="{0379DF23-39C0-47F1-A30C-D5CE01367ABE}"/>
    <cellStyle name="Comma 2 260 4 2 5 3" xfId="23358" xr:uid="{DBF7B3B1-C216-49C0-8917-746E96585323}"/>
    <cellStyle name="Comma 2 260 4 2 6" xfId="11323" xr:uid="{F7DFB5B2-84F8-4C38-82F1-9E4050B4694B}"/>
    <cellStyle name="Comma 2 260 4 2 6 2" xfId="23359" xr:uid="{904985B3-A101-4216-83F1-2C3E3548A868}"/>
    <cellStyle name="Comma 2 260 4 2 7" xfId="19320" xr:uid="{5CA99731-4E9F-4C30-AD3D-F2128C8DE13A}"/>
    <cellStyle name="Comma 2 260 4 2 8" xfId="19322" xr:uid="{E8E8C27E-7D85-4182-A4C2-3F1F69D0FEDB}"/>
    <cellStyle name="Comma 2 260 4 3" xfId="22012" xr:uid="{973E15B9-4463-4D81-93D8-F9EDB7938AFB}"/>
    <cellStyle name="Comma 2 260 4 3 2" xfId="22016" xr:uid="{35D97C53-BD33-4505-AA51-81CA022AEACD}"/>
    <cellStyle name="Comma 2 260 4 3 2 2" xfId="18100" xr:uid="{091C27EA-B571-432C-98FA-DF1ED764D0DA}"/>
    <cellStyle name="Comma 2 260 4 3 2 2 2" xfId="22019" xr:uid="{E9CF782F-0382-43F5-AF56-227D99F1B356}"/>
    <cellStyle name="Comma 2 260 4 3 2 2 2 2" xfId="23361" xr:uid="{41441720-31EC-401B-9284-2245896646F6}"/>
    <cellStyle name="Comma 2 260 4 3 2 2 2 2 2" xfId="8396" xr:uid="{F2D0A08A-9E64-414B-8A99-DF8FF9C59571}"/>
    <cellStyle name="Comma 2 260 4 3 2 2 2 3" xfId="16039" xr:uid="{931169EA-DDF3-4F54-9883-974B03D5B5A4}"/>
    <cellStyle name="Comma 2 260 4 3 2 2 3" xfId="23363" xr:uid="{AD29A0CF-1F7D-43CF-B0C7-89CBAA2D5A02}"/>
    <cellStyle name="Comma 2 260 4 3 2 2 3 2" xfId="23365" xr:uid="{11ADAEAC-F4DA-4757-9E7C-76798D475B6E}"/>
    <cellStyle name="Comma 2 260 4 3 2 2 4" xfId="23368" xr:uid="{A11EB740-B1F7-4727-9B60-22FA7C83B254}"/>
    <cellStyle name="Comma 2 260 4 3 2 3" xfId="18106" xr:uid="{EC82F2C8-DF23-461E-8945-CAA65CE43BED}"/>
    <cellStyle name="Comma 2 260 4 3 2 3 2" xfId="23373" xr:uid="{A88D183C-4A38-4844-8511-799BF34FB656}"/>
    <cellStyle name="Comma 2 260 4 3 2 3 2 2" xfId="23375" xr:uid="{CB253FA9-65A5-464D-B7AB-0017E134D83B}"/>
    <cellStyle name="Comma 2 260 4 3 2 3 3" xfId="23376" xr:uid="{F6BDA282-A822-4374-8095-15BFA543BA21}"/>
    <cellStyle name="Comma 2 260 4 3 2 4" xfId="18112" xr:uid="{670AF278-654D-4CC9-876D-CA58B4E51330}"/>
    <cellStyle name="Comma 2 260 4 3 2 4 2" xfId="23378" xr:uid="{78699E15-ADCB-4997-BE11-E9936950029E}"/>
    <cellStyle name="Comma 2 260 4 3 2 5" xfId="18117" xr:uid="{096DB0B3-AE39-43EA-BF45-05B01302AB64}"/>
    <cellStyle name="Comma 2 260 4 3 3" xfId="22021" xr:uid="{600851A4-1391-4040-9A21-2A668859EB72}"/>
    <cellStyle name="Comma 2 260 4 3 3 2" xfId="18265" xr:uid="{413273DA-AB97-430C-ADC3-F29D71055E46}"/>
    <cellStyle name="Comma 2 260 4 3 3 2 2" xfId="18320" xr:uid="{322A444E-084B-402A-BD97-AA2746114EA5}"/>
    <cellStyle name="Comma 2 260 4 3 3 2 2 2" xfId="18323" xr:uid="{7D6E4B36-A932-4EF6-BAFD-A543BD53FB1A}"/>
    <cellStyle name="Comma 2 260 4 3 3 2 3" xfId="18325" xr:uid="{B6FA228B-BEC2-4241-92CB-917D13EDD1A6}"/>
    <cellStyle name="Comma 2 260 4 3 3 3" xfId="18270" xr:uid="{DF6384B8-620F-4B7E-9B13-BC0CEB43FB73}"/>
    <cellStyle name="Comma 2 260 4 3 3 3 2" xfId="18327" xr:uid="{26594FF0-EE2C-43F9-90DD-66BCE938DAFD}"/>
    <cellStyle name="Comma 2 260 4 3 3 4" xfId="18274" xr:uid="{90686B1F-B3F9-4BDA-B54C-FA967514A217}"/>
    <cellStyle name="Comma 2 260 4 3 4" xfId="22023" xr:uid="{331AC298-D790-4F07-AA0A-91E6FC7CFAF4}"/>
    <cellStyle name="Comma 2 260 4 3 4 2" xfId="23379" xr:uid="{A3A4AFEA-6210-49C3-BD28-BBFA25DCE634}"/>
    <cellStyle name="Comma 2 260 4 3 4 2 2" xfId="23380" xr:uid="{EF8EB547-1BB4-48E8-B6A2-21517B7AB844}"/>
    <cellStyle name="Comma 2 260 4 3 4 3" xfId="23381" xr:uid="{500C78F5-C591-420E-BF01-662C51E6755E}"/>
    <cellStyle name="Comma 2 260 4 3 5" xfId="23382" xr:uid="{51EC91AD-5D14-49E5-BF91-C0D14A55294E}"/>
    <cellStyle name="Comma 2 260 4 3 5 2" xfId="23383" xr:uid="{DD97E763-6098-452C-80B4-9A53A286D507}"/>
    <cellStyle name="Comma 2 260 4 3 6" xfId="23384" xr:uid="{AE2BCFB9-D049-44C2-88AE-B9AA501B21C5}"/>
    <cellStyle name="Comma 2 260 4 3 7" xfId="23385" xr:uid="{8199FFAD-1E27-4824-95F5-AB866CC83DA0}"/>
    <cellStyle name="Comma 2 260 4 4" xfId="22027" xr:uid="{9A558CFD-D56F-4804-8D2C-554B7A09F858}"/>
    <cellStyle name="Comma 2 260 4 4 2" xfId="22029" xr:uid="{363F0864-631B-47B4-8F22-02760BC7747B}"/>
    <cellStyle name="Comma 2 260 4 4 2 2" xfId="18542" xr:uid="{2C6E099B-2AE2-41CA-870A-660EA7B0F1CA}"/>
    <cellStyle name="Comma 2 260 4 4 2 2 2" xfId="23386" xr:uid="{347712EA-7268-4548-9B61-3C4C743F159C}"/>
    <cellStyle name="Comma 2 260 4 4 2 2 2 2" xfId="23392" xr:uid="{5438DBAB-EC4F-4C2E-A1BC-760B1027902F}"/>
    <cellStyle name="Comma 2 260 4 4 2 2 3" xfId="23397" xr:uid="{0B9E6F28-4B7A-4CE3-B621-653643FA88EB}"/>
    <cellStyle name="Comma 2 260 4 4 2 3" xfId="18546" xr:uid="{4136241E-641B-47FB-B551-F3CBDA4FA7F4}"/>
    <cellStyle name="Comma 2 260 4 4 2 3 2" xfId="23402" xr:uid="{C22CE18F-7795-4763-A05D-F7935B332D55}"/>
    <cellStyle name="Comma 2 260 4 4 2 4" xfId="18549" xr:uid="{2C8CD5B4-7CE3-4E08-991A-E0319204BE08}"/>
    <cellStyle name="Comma 2 260 4 4 3" xfId="13048" xr:uid="{AB4092F8-E7BC-4C4D-8535-7A3D20B3D9D2}"/>
    <cellStyle name="Comma 2 260 4 4 3 2" xfId="23407" xr:uid="{6F18C50C-FB83-476D-BF8A-DA7E7E06C192}"/>
    <cellStyle name="Comma 2 260 4 4 3 2 2" xfId="18621" xr:uid="{04F33B29-B305-4D46-B45D-2BB58A6BEBCD}"/>
    <cellStyle name="Comma 2 260 4 4 3 3" xfId="23408" xr:uid="{BE698406-47BB-4979-8FB6-84807FE785B3}"/>
    <cellStyle name="Comma 2 260 4 4 4" xfId="23409" xr:uid="{FB27CDA6-EC87-4822-97F3-87C1B7F4D0E1}"/>
    <cellStyle name="Comma 2 260 4 4 4 2" xfId="23410" xr:uid="{764F3E13-E53C-4FBE-9F0E-79A67FFA1996}"/>
    <cellStyle name="Comma 2 260 4 4 5" xfId="23411" xr:uid="{AFDFEC7A-2168-43F4-B0C4-2F644BC6DC8C}"/>
    <cellStyle name="Comma 2 260 4 5" xfId="17014" xr:uid="{79F990BB-E0EE-481E-AC9E-1DDC584B89CC}"/>
    <cellStyle name="Comma 2 260 4 5 2" xfId="2293" xr:uid="{E11E940E-9F65-4053-A512-A43C03B3105D}"/>
    <cellStyle name="Comma 2 260 4 5 2 2" xfId="2298" xr:uid="{AD270483-7144-49E4-B1E8-2BD1AB66E1A5}"/>
    <cellStyle name="Comma 2 260 4 5 2 2 2" xfId="23413" xr:uid="{42D255F2-78C1-4EBF-90EC-E77CAABB6A66}"/>
    <cellStyle name="Comma 2 260 4 5 2 3" xfId="18751" xr:uid="{18FC55DF-86DF-42E1-B1B3-E3E2B474F1B2}"/>
    <cellStyle name="Comma 2 260 4 5 3" xfId="2308" xr:uid="{A1D72A5D-B296-44CC-A411-80FDFDC55327}"/>
    <cellStyle name="Comma 2 260 4 5 3 2" xfId="2314" xr:uid="{E4ED6AF2-7A99-413F-9923-20CA738AA625}"/>
    <cellStyle name="Comma 2 260 4 5 4" xfId="2322" xr:uid="{9FB036AA-00F7-4AB4-9F37-8B85F2F1A4E0}"/>
    <cellStyle name="Comma 2 260 4 6" xfId="22031" xr:uid="{7FB6C4D2-5051-434F-852E-D23960FC6DF7}"/>
    <cellStyle name="Comma 2 260 4 6 2" xfId="7089" xr:uid="{FCCB93DD-F4FF-45A5-8F39-EB0CB34B9DDB}"/>
    <cellStyle name="Comma 2 260 4 6 2 2" xfId="7095" xr:uid="{6601AA4B-5990-426F-BA99-BEFFA56A1B04}"/>
    <cellStyle name="Comma 2 260 4 6 3" xfId="7105" xr:uid="{594E0D40-B35C-42EB-9387-DAAE856EA873}"/>
    <cellStyle name="Comma 2 260 4 7" xfId="16517" xr:uid="{0BAE17E9-3237-4351-9E7E-D5EA69E471E5}"/>
    <cellStyle name="Comma 2 260 4 7 2" xfId="23414" xr:uid="{377F5F18-C0EF-4C6F-BAFA-F6236A863328}"/>
    <cellStyle name="Comma 2 260 4 8" xfId="23419" xr:uid="{1B7145C5-64F3-48D0-9D46-227F8473863A}"/>
    <cellStyle name="Comma 2 260 4 9" xfId="23420" xr:uid="{78EB54FF-7E74-4E61-AA7D-7D3AD2EACE73}"/>
    <cellStyle name="Comma 2 260 5" xfId="23421" xr:uid="{245FA276-A736-4BD2-9AF7-C2F30FE88339}"/>
    <cellStyle name="Comma 2 260 5 2" xfId="23422" xr:uid="{0B298863-5E3E-4CB0-8F4F-2F3E93D5470E}"/>
    <cellStyle name="Comma 2 260 5 2 2" xfId="18391" xr:uid="{0C5D26C8-C826-4209-AC9E-452421810AA7}"/>
    <cellStyle name="Comma 2 260 5 2 2 2" xfId="23423" xr:uid="{D41B35E2-BB8E-4606-9935-6C812F776637}"/>
    <cellStyle name="Comma 2 260 5 2 2 2 2" xfId="23424" xr:uid="{F466AA2B-221D-49E2-8F79-0B576E7C8D9C}"/>
    <cellStyle name="Comma 2 260 5 2 2 2 2 2" xfId="23426" xr:uid="{528DA3E9-6F0A-45B9-95D3-CD47FAEF8008}"/>
    <cellStyle name="Comma 2 260 5 2 2 2 2 2 2" xfId="23428" xr:uid="{514BFD1C-608A-4A5E-A4AB-75BEFD4AC092}"/>
    <cellStyle name="Comma 2 260 5 2 2 2 2 3" xfId="23430" xr:uid="{27DE4E8F-8DBA-4DBD-AC4A-E0D58FC44C63}"/>
    <cellStyle name="Comma 2 260 5 2 2 2 3" xfId="23431" xr:uid="{A5D4A324-7280-4E98-BBEF-265B414DA601}"/>
    <cellStyle name="Comma 2 260 5 2 2 2 3 2" xfId="23433" xr:uid="{1C84A1D5-EA37-40AB-BEA7-6690DD6463E0}"/>
    <cellStyle name="Comma 2 260 5 2 2 2 4" xfId="23436" xr:uid="{05B489DC-2B77-4793-B9A0-23C707445538}"/>
    <cellStyle name="Comma 2 260 5 2 2 3" xfId="23437" xr:uid="{28FF189F-A4BB-446F-AE91-BA9C6E30BBEA}"/>
    <cellStyle name="Comma 2 260 5 2 2 3 2" xfId="23438" xr:uid="{9A7B719D-DD45-4C73-9D7D-55FFE7BD0CF2}"/>
    <cellStyle name="Comma 2 260 5 2 2 3 2 2" xfId="23440" xr:uid="{96F9A17A-6D0B-46D2-9E9A-A4026E46E23C}"/>
    <cellStyle name="Comma 2 260 5 2 2 3 3" xfId="23441" xr:uid="{04C212EC-8BA6-4F4A-880B-3EA943BDB649}"/>
    <cellStyle name="Comma 2 260 5 2 2 4" xfId="23442" xr:uid="{1BA043E7-A9BE-4E2B-8CAB-9B403EA593C2}"/>
    <cellStyle name="Comma 2 260 5 2 2 4 2" xfId="23444" xr:uid="{DA98292B-A989-419C-89AE-4759D4CA651B}"/>
    <cellStyle name="Comma 2 260 5 2 2 5" xfId="23445" xr:uid="{4758D71A-5089-4C6B-ABB6-0D919FC24AA0}"/>
    <cellStyle name="Comma 2 260 5 2 3" xfId="18397" xr:uid="{BC4BBA02-2A30-45B6-B93B-A973D9F925EF}"/>
    <cellStyle name="Comma 2 260 5 2 3 2" xfId="23446" xr:uid="{6FE43B4C-8092-4D2F-B84A-C10D9CA1E724}"/>
    <cellStyle name="Comma 2 260 5 2 3 2 2" xfId="23448" xr:uid="{8053BA1E-8F03-46C1-8F9E-B44B06C140C9}"/>
    <cellStyle name="Comma 2 260 5 2 3 2 2 2" xfId="23451" xr:uid="{7F39A3DD-DC83-412D-A1BD-8D7217FCA6B0}"/>
    <cellStyle name="Comma 2 260 5 2 3 2 3" xfId="23452" xr:uid="{7F479744-4D7B-48D5-8053-8A9B6AF470CD}"/>
    <cellStyle name="Comma 2 260 5 2 3 3" xfId="23453" xr:uid="{37240964-84A9-4971-8D3B-431810FC4055}"/>
    <cellStyle name="Comma 2 260 5 2 3 3 2" xfId="23454" xr:uid="{9E222768-9D29-4919-986F-AFA77AAF895F}"/>
    <cellStyle name="Comma 2 260 5 2 3 4" xfId="23455" xr:uid="{BEC8E46C-6BD8-409F-A4A7-D8B528645EE4}"/>
    <cellStyle name="Comma 2 260 5 2 4" xfId="18399" xr:uid="{1C84DF95-93E4-4709-8125-3779AAE559E7}"/>
    <cellStyle name="Comma 2 260 5 2 4 2" xfId="23456" xr:uid="{DEC05C22-7592-4D95-9941-681F4B495BF2}"/>
    <cellStyle name="Comma 2 260 5 2 4 2 2" xfId="23457" xr:uid="{CD225ECF-F03F-4F07-B308-95157823DB9D}"/>
    <cellStyle name="Comma 2 260 5 2 4 3" xfId="23458" xr:uid="{B5E6A588-D2E6-465E-9919-93C7E3977A8D}"/>
    <cellStyle name="Comma 2 260 5 2 5" xfId="18402" xr:uid="{18187F1B-5AEF-4B4C-88EE-132CDAA9BB3A}"/>
    <cellStyle name="Comma 2 260 5 2 5 2" xfId="23459" xr:uid="{30EAC8F2-4574-4DD6-8A69-94E856D56245}"/>
    <cellStyle name="Comma 2 260 5 2 6" xfId="18408" xr:uid="{F9BC0C16-12B7-4018-9236-C0D371ABA3DB}"/>
    <cellStyle name="Comma 2 260 5 2 7" xfId="18411" xr:uid="{B1535E5F-A145-45C7-B987-7FBF7C9817E6}"/>
    <cellStyle name="Comma 2 260 5 3" xfId="22038" xr:uid="{A3424BC2-A6A2-4172-8466-A57D46DB6B11}"/>
    <cellStyle name="Comma 2 260 5 3 2" xfId="22040" xr:uid="{AB045CE6-900B-434B-B29B-C4A11B39B7E9}"/>
    <cellStyle name="Comma 2 260 5 3 2 2" xfId="22042" xr:uid="{6114772C-7A8C-4798-BD62-CA3CC3C0886A}"/>
    <cellStyle name="Comma 2 260 5 3 2 2 2" xfId="23462" xr:uid="{63CFBDD9-3D78-463E-87E9-013AC6603A90}"/>
    <cellStyle name="Comma 2 260 5 3 2 2 2 2" xfId="23465" xr:uid="{7CD53AF5-28F8-4361-BADD-A69FB14B5313}"/>
    <cellStyle name="Comma 2 260 5 3 2 2 3" xfId="23468" xr:uid="{8FD0984A-AF10-4522-9D71-7482DCCECDF8}"/>
    <cellStyle name="Comma 2 260 5 3 2 3" xfId="23469" xr:uid="{673AF281-AE87-43A9-BA99-4E223983F12B}"/>
    <cellStyle name="Comma 2 260 5 3 2 3 2" xfId="23474" xr:uid="{7E87E6A5-EC4A-42CA-9653-E75D9A59B350}"/>
    <cellStyle name="Comma 2 260 5 3 2 4" xfId="23475" xr:uid="{19F9CEF0-0B8F-434D-8AD5-A5787B7EF72F}"/>
    <cellStyle name="Comma 2 260 5 3 3" xfId="22044" xr:uid="{DB6F3583-3519-45CE-B964-D2A87EC6F5C7}"/>
    <cellStyle name="Comma 2 260 5 3 3 2" xfId="23476" xr:uid="{FBE021BA-CB38-4220-B8A4-526B56B0DCED}"/>
    <cellStyle name="Comma 2 260 5 3 3 2 2" xfId="23479" xr:uid="{3C7FD4A8-3277-4402-9BBB-92CC712DD491}"/>
    <cellStyle name="Comma 2 260 5 3 3 3" xfId="23480" xr:uid="{61790CBE-64D7-4E80-91BF-0038CCEBDD3A}"/>
    <cellStyle name="Comma 2 260 5 3 4" xfId="23481" xr:uid="{4A9E2234-EAC2-4309-86C1-F068E51D8F9D}"/>
    <cellStyle name="Comma 2 260 5 3 4 2" xfId="23482" xr:uid="{EBF59ADE-2355-4867-AEA0-C4A76F4737EE}"/>
    <cellStyle name="Comma 2 260 5 3 5" xfId="23483" xr:uid="{5003C8CF-1DC1-4DA0-9EEA-ED39BA000970}"/>
    <cellStyle name="Comma 2 260 5 4" xfId="22046" xr:uid="{FBE38BDE-5244-40D5-9C4D-834EAF7CD557}"/>
    <cellStyle name="Comma 2 260 5 4 2" xfId="15308" xr:uid="{6A87BA75-A348-471A-95EF-7C4EC3BAAD8F}"/>
    <cellStyle name="Comma 2 260 5 4 2 2" xfId="23484" xr:uid="{4371D2C1-7680-4B31-A926-DDDF210D69AE}"/>
    <cellStyle name="Comma 2 260 5 4 2 2 2" xfId="18528" xr:uid="{9DBB31D6-6874-43CF-B2BB-2D2275274BD5}"/>
    <cellStyle name="Comma 2 260 5 4 2 3" xfId="23485" xr:uid="{CA42018E-1079-428F-AECF-857C1F0887D8}"/>
    <cellStyle name="Comma 2 260 5 4 3" xfId="23486" xr:uid="{7E53BC3F-67A6-4A86-9336-3491CF8204CF}"/>
    <cellStyle name="Comma 2 260 5 4 3 2" xfId="23487" xr:uid="{48E21798-9213-4B88-8A58-186E2F9A880C}"/>
    <cellStyle name="Comma 2 260 5 4 4" xfId="23488" xr:uid="{FF5B9155-9CD6-4612-9460-1FFF762ACB77}"/>
    <cellStyle name="Comma 2 260 5 5" xfId="16896" xr:uid="{6AD430D4-4B17-40C1-88CD-2AE127B11384}"/>
    <cellStyle name="Comma 2 260 5 5 2" xfId="23489" xr:uid="{3C73765C-E0DD-4E7C-AE2E-EFAF31D4A97F}"/>
    <cellStyle name="Comma 2 260 5 5 2 2" xfId="23490" xr:uid="{2828CD41-0E4F-4631-A395-93FCF8084E2C}"/>
    <cellStyle name="Comma 2 260 5 5 3" xfId="23491" xr:uid="{B8F29EDC-D68F-4166-ACE0-E9530E372461}"/>
    <cellStyle name="Comma 2 260 5 6" xfId="23492" xr:uid="{4AC36FF1-33DE-475F-8139-1CC285FB2189}"/>
    <cellStyle name="Comma 2 260 5 6 2" xfId="18586" xr:uid="{FCBE6F03-460B-47AE-96EB-55FB726C10E8}"/>
    <cellStyle name="Comma 2 260 5 7" xfId="23493" xr:uid="{F2A0AD7D-83D7-47D6-B284-95E73486117E}"/>
    <cellStyle name="Comma 2 260 5 8" xfId="23494" xr:uid="{6A7A0A0C-3059-4996-9E6E-7D436061E630}"/>
    <cellStyle name="Comma 2 260 6" xfId="6443" xr:uid="{20843D26-0920-46F3-9876-7A1C5B5920C2}"/>
    <cellStyle name="Comma 2 260 6 2" xfId="6445" xr:uid="{2DE4FEDD-D6BB-465B-84FD-5A25651BBBA2}"/>
    <cellStyle name="Comma 2 260 6 2 2" xfId="19389" xr:uid="{0C0C277F-A805-46C5-8FB8-CACECE4C1E60}"/>
    <cellStyle name="Comma 2 260 6 2 2 2" xfId="23495" xr:uid="{9D60EA2A-1E40-40C6-B55D-89A78A2F6757}"/>
    <cellStyle name="Comma 2 260 6 2 2 2 2" xfId="23496" xr:uid="{11600E4F-B756-48A7-B6E1-A71124983202}"/>
    <cellStyle name="Comma 2 260 6 2 2 2 2 2" xfId="23499" xr:uid="{7C282608-29D3-49C9-A7A5-37DC27CECA3B}"/>
    <cellStyle name="Comma 2 260 6 2 2 2 3" xfId="23500" xr:uid="{3ACBF1CC-1759-45F2-AB98-D43690A2C3ED}"/>
    <cellStyle name="Comma 2 260 6 2 2 3" xfId="23501" xr:uid="{B9F7C69F-6D95-4138-AE91-98B19B5F8A91}"/>
    <cellStyle name="Comma 2 260 6 2 2 3 2" xfId="23503" xr:uid="{D69A3766-4A30-4A66-A866-D7AADA9362E6}"/>
    <cellStyle name="Comma 2 260 6 2 2 4" xfId="23504" xr:uid="{68D0F06C-7F8B-417F-9A92-4703D7D4D441}"/>
    <cellStyle name="Comma 2 260 6 2 3" xfId="19392" xr:uid="{04731C14-F244-4946-935B-3F0C4AB5258A}"/>
    <cellStyle name="Comma 2 260 6 2 3 2" xfId="23505" xr:uid="{B5939CE5-A650-4DDA-9C41-3748540843F4}"/>
    <cellStyle name="Comma 2 260 6 2 3 2 2" xfId="10787" xr:uid="{602C0E16-6FAA-4BDA-A152-6EBAD7FD86FB}"/>
    <cellStyle name="Comma 2 260 6 2 3 3" xfId="23506" xr:uid="{BC8DFC48-8661-4546-9061-B544FF594912}"/>
    <cellStyle name="Comma 2 260 6 2 4" xfId="19395" xr:uid="{7CCCFD55-278C-439B-9E81-26A94AE86290}"/>
    <cellStyle name="Comma 2 260 6 2 4 2" xfId="23509" xr:uid="{F5B53BEA-8F91-4642-8FB1-0DD7EF64FF91}"/>
    <cellStyle name="Comma 2 260 6 2 5" xfId="19398" xr:uid="{DEFA2BB9-DBF1-4DC4-A23F-FE449F575B81}"/>
    <cellStyle name="Comma 2 260 6 3" xfId="22051" xr:uid="{6832CB6B-D1F4-43DC-BB15-75F7940669B0}"/>
    <cellStyle name="Comma 2 260 6 3 2" xfId="22053" xr:uid="{47F6F448-281B-45F6-A9B7-2D65AACEF199}"/>
    <cellStyle name="Comma 2 260 6 3 2 2" xfId="23510" xr:uid="{88B6A4FA-D22C-4AE2-AC87-F17B09E085A4}"/>
    <cellStyle name="Comma 2 260 6 3 2 2 2" xfId="23511" xr:uid="{C1D2DA38-8157-415A-BB53-95A81E2CA165}"/>
    <cellStyle name="Comma 2 260 6 3 2 3" xfId="23512" xr:uid="{8625F1D4-03A9-4B12-B615-1D4BB87E9AB7}"/>
    <cellStyle name="Comma 2 260 6 3 3" xfId="23513" xr:uid="{4DA42811-7220-4B2A-9346-8D147CAABB62}"/>
    <cellStyle name="Comma 2 260 6 3 3 2" xfId="23514" xr:uid="{53A2599A-5204-457E-9B25-AFFE48BC42EC}"/>
    <cellStyle name="Comma 2 260 6 3 4" xfId="23515" xr:uid="{9F45C4E5-0477-4FB3-BA9F-67FA2428CC56}"/>
    <cellStyle name="Comma 2 260 6 4" xfId="22055" xr:uid="{245AA609-A815-4514-B489-309FFDCB5F47}"/>
    <cellStyle name="Comma 2 260 6 4 2" xfId="23516" xr:uid="{3C6866F5-CE38-4771-AC38-B536EF73C260}"/>
    <cellStyle name="Comma 2 260 6 4 2 2" xfId="23517" xr:uid="{373D946A-B72E-4C48-B979-A1700C3189A7}"/>
    <cellStyle name="Comma 2 260 6 4 3" xfId="23518" xr:uid="{4D6E1469-62A1-40A7-B75C-65021D7B3D88}"/>
    <cellStyle name="Comma 2 260 6 5" xfId="23520" xr:uid="{D292A5BE-082B-4BD3-BA5B-47558B4C7535}"/>
    <cellStyle name="Comma 2 260 6 5 2" xfId="23522" xr:uid="{CC5AB8B3-0F64-47E0-9BFC-33062B29DE95}"/>
    <cellStyle name="Comma 2 260 6 6" xfId="23524" xr:uid="{CE1BC132-F580-4F34-95AC-E54E3D0E456A}"/>
    <cellStyle name="Comma 2 260 6 7" xfId="23526" xr:uid="{22F89EAB-214B-4EAB-B502-B74935B75837}"/>
    <cellStyle name="Comma 2 260 7" xfId="3085" xr:uid="{ABE032B1-6912-43C0-83F6-3B5ADC6D2D83}"/>
    <cellStyle name="Comma 2 260 7 2" xfId="23527" xr:uid="{4DEA4DB5-00EC-4C18-ACC8-DD8301CB20E7}"/>
    <cellStyle name="Comma 2 260 7 2 2" xfId="23528" xr:uid="{8F104B25-1D8B-4616-9870-5E4882A60AF9}"/>
    <cellStyle name="Comma 2 260 7 2 2 2" xfId="23529" xr:uid="{F1003AE5-E2FB-40EE-9DF9-32C5EF50ED69}"/>
    <cellStyle name="Comma 2 260 7 2 2 2 2" xfId="23532" xr:uid="{D104E69A-891D-428A-B292-77318C11A9EA}"/>
    <cellStyle name="Comma 2 260 7 2 2 3" xfId="23533" xr:uid="{18956EE6-CA77-4E23-822D-5539486DA7C3}"/>
    <cellStyle name="Comma 2 260 7 2 3" xfId="23534" xr:uid="{5740B57F-212B-4C0E-ACBE-9FA61284592F}"/>
    <cellStyle name="Comma 2 260 7 2 3 2" xfId="6824" xr:uid="{7BA19296-66F6-40AA-8EF4-EFF93A736437}"/>
    <cellStyle name="Comma 2 260 7 2 4" xfId="23535" xr:uid="{49D7E242-890D-4A49-96BB-53099C7CDC08}"/>
    <cellStyle name="Comma 2 260 7 3" xfId="22060" xr:uid="{99CA1135-AC67-40EF-A047-DEFEEB7C0BF9}"/>
    <cellStyle name="Comma 2 260 7 3 2" xfId="23536" xr:uid="{DC9559BB-77B5-4678-B8F5-C60492F9EA5C}"/>
    <cellStyle name="Comma 2 260 7 3 2 2" xfId="23537" xr:uid="{977752FA-DF45-464D-A37A-C86AB7A5FA39}"/>
    <cellStyle name="Comma 2 260 7 3 3" xfId="23538" xr:uid="{6A41F6AA-300E-4EC3-84B5-C0EFF8900A2C}"/>
    <cellStyle name="Comma 2 260 7 4" xfId="23539" xr:uid="{BE5128BC-B2CC-4B6A-98F7-F80C4B19332E}"/>
    <cellStyle name="Comma 2 260 7 4 2" xfId="23540" xr:uid="{7A09D25C-2FE5-40BF-A0FD-7AA88F15F5CA}"/>
    <cellStyle name="Comma 2 260 7 5" xfId="23542" xr:uid="{619E9BF6-24C4-48A2-ACC9-F122EFFF8A95}"/>
    <cellStyle name="Comma 2 260 8" xfId="23543" xr:uid="{0BAB3713-7A91-4191-B6C2-5E31C5097347}"/>
    <cellStyle name="Comma 2 260 8 2" xfId="23544" xr:uid="{EBE594A4-FDED-46E9-995F-E9BC2E28F2E3}"/>
    <cellStyle name="Comma 2 260 8 2 2" xfId="23545" xr:uid="{2DAA89B3-99B6-4643-A812-9901B0134B22}"/>
    <cellStyle name="Comma 2 260 8 2 2 2" xfId="23551" xr:uid="{EE20DF17-1405-4948-A3BA-E3970E547DEA}"/>
    <cellStyle name="Comma 2 260 8 2 3" xfId="23552" xr:uid="{6604D6FD-BA6E-4F8A-BE93-62086DDCE1C3}"/>
    <cellStyle name="Comma 2 260 8 3" xfId="23553" xr:uid="{B3677F8F-9EFD-4201-8C9E-144EB778F521}"/>
    <cellStyle name="Comma 2 260 8 3 2" xfId="23554" xr:uid="{A6C75D2D-696A-46A1-BC47-0C0227310326}"/>
    <cellStyle name="Comma 2 260 8 4" xfId="23555" xr:uid="{D7D18576-2078-413C-A2FC-F5DF42578A68}"/>
    <cellStyle name="Comma 2 260 9" xfId="23556" xr:uid="{F4A9185B-167B-4232-ADFD-2F6DBE3AE7D5}"/>
    <cellStyle name="Comma 2 260 9 2" xfId="23557" xr:uid="{E59CDAFF-47D3-497E-9AAF-75C33ADF833F}"/>
    <cellStyle name="Comma 2 260 9 2 2" xfId="23558" xr:uid="{4BBC8C90-AF7A-4CA2-87E1-E7C028569F10}"/>
    <cellStyle name="Comma 2 260 9 3" xfId="23559" xr:uid="{919B348D-9E68-4C5C-B596-D9BDF27CF72F}"/>
    <cellStyle name="Comma 2 261" xfId="19499" xr:uid="{F7FB50FC-5367-45C0-8D10-CAEF34FC90A3}"/>
    <cellStyle name="Comma 2 261 10" xfId="9516" xr:uid="{375F3BAE-F81A-43EE-A6A6-3C1332CFE193}"/>
    <cellStyle name="Comma 2 261 11" xfId="9527" xr:uid="{758406F7-27F7-41D4-9655-0F319EF99056}"/>
    <cellStyle name="Comma 2 261 2" xfId="23560" xr:uid="{8A896A52-3196-4F51-BC11-36005EF52234}"/>
    <cellStyle name="Comma 2 261 2 10" xfId="15689" xr:uid="{6D5078DD-FE95-470F-8DD6-8643B5832701}"/>
    <cellStyle name="Comma 2 261 2 2" xfId="23561" xr:uid="{BF228DC9-A73A-4E54-B8F0-05F63CA7688E}"/>
    <cellStyle name="Comma 2 261 2 2 2" xfId="23562" xr:uid="{89345B61-CCB0-45B7-A38A-66600C6F89FB}"/>
    <cellStyle name="Comma 2 261 2 2 2 2" xfId="23563" xr:uid="{582F0149-428F-49C2-9273-5C27ACE4AEE9}"/>
    <cellStyle name="Comma 2 261 2 2 2 2 2" xfId="23564" xr:uid="{F368C076-8EA3-4471-ACB1-9DACC679A5E9}"/>
    <cellStyle name="Comma 2 261 2 2 2 2 2 2" xfId="23565" xr:uid="{6314AB27-75C7-4271-B35E-30702EAD7F34}"/>
    <cellStyle name="Comma 2 261 2 2 2 2 2 2 2" xfId="23566" xr:uid="{94A7A3E9-891D-4F20-8019-F5A70969280D}"/>
    <cellStyle name="Comma 2 261 2 2 2 2 2 2 2 2" xfId="23567" xr:uid="{1FFE0885-1CFF-4608-826C-AA500894FDF6}"/>
    <cellStyle name="Comma 2 261 2 2 2 2 2 2 2 2 2" xfId="10512" xr:uid="{6396167B-A1FA-4826-B75E-EE59D1871B7F}"/>
    <cellStyle name="Comma 2 261 2 2 2 2 2 2 2 3" xfId="23568" xr:uid="{8443716A-E586-42AD-B3DF-68AC9BE2397B}"/>
    <cellStyle name="Comma 2 261 2 2 2 2 2 2 3" xfId="10194" xr:uid="{C2AE6945-CF80-4982-B40C-3CCAE3EAA796}"/>
    <cellStyle name="Comma 2 261 2 2 2 2 2 2 3 2" xfId="23569" xr:uid="{A2F0355F-C01E-4032-83D0-19D3222EB7CD}"/>
    <cellStyle name="Comma 2 261 2 2 2 2 2 2 4" xfId="22282" xr:uid="{A4F18AF8-077C-482A-9A00-9CA0EB68B2CC}"/>
    <cellStyle name="Comma 2 261 2 2 2 2 2 3" xfId="23570" xr:uid="{21734B6A-A8DB-4C73-803C-29AEC388834A}"/>
    <cellStyle name="Comma 2 261 2 2 2 2 2 3 2" xfId="23571" xr:uid="{25222C9A-4B5D-4B82-A3E4-43EA5B16E1CB}"/>
    <cellStyle name="Comma 2 261 2 2 2 2 2 3 2 2" xfId="23572" xr:uid="{C713C85D-46AF-4AF0-873A-DB223C53F9C2}"/>
    <cellStyle name="Comma 2 261 2 2 2 2 2 3 3" xfId="23573" xr:uid="{92DC8881-8E12-498A-A5FB-320034948CCD}"/>
    <cellStyle name="Comma 2 261 2 2 2 2 2 4" xfId="23577" xr:uid="{604C7104-AAF9-4DAF-B5E4-647778255184}"/>
    <cellStyle name="Comma 2 261 2 2 2 2 2 4 2" xfId="23580" xr:uid="{209C7785-EBE3-4935-B3D7-23337C41B48A}"/>
    <cellStyle name="Comma 2 261 2 2 2 2 2 5" xfId="23585" xr:uid="{2BB73E24-0734-4582-8C7F-FD70A2B1DE68}"/>
    <cellStyle name="Comma 2 261 2 2 2 2 3" xfId="23586" xr:uid="{8C1EABAB-72B8-4B59-BC97-5A04714736AA}"/>
    <cellStyle name="Comma 2 261 2 2 2 2 3 2" xfId="23587" xr:uid="{885E7F45-668D-4307-91C0-94067B3A3D7B}"/>
    <cellStyle name="Comma 2 261 2 2 2 2 3 2 2" xfId="23588" xr:uid="{61839194-6149-426C-A21D-BB980449F7A9}"/>
    <cellStyle name="Comma 2 261 2 2 2 2 3 2 2 2" xfId="23591" xr:uid="{9A2CB92B-9D6E-4513-AD41-ED6CAE7F9DB5}"/>
    <cellStyle name="Comma 2 261 2 2 2 2 3 2 3" xfId="23592" xr:uid="{50927C65-624F-4E80-9B5E-947396E07D60}"/>
    <cellStyle name="Comma 2 261 2 2 2 2 3 3" xfId="23593" xr:uid="{885950FF-3283-4FA3-A13F-BC03D4B84B0D}"/>
    <cellStyle name="Comma 2 261 2 2 2 2 3 3 2" xfId="23594" xr:uid="{07E0B3E8-D6E9-4A67-9096-65D436001A82}"/>
    <cellStyle name="Comma 2 261 2 2 2 2 3 4" xfId="23597" xr:uid="{FCFCA434-BB8A-47BC-8841-F4A9CF56DD83}"/>
    <cellStyle name="Comma 2 261 2 2 2 2 4" xfId="23598" xr:uid="{443702F1-17D6-4533-BD4F-4EEF6771ABD7}"/>
    <cellStyle name="Comma 2 261 2 2 2 2 4 2" xfId="23599" xr:uid="{3B695AE1-6A9E-4AC8-A58D-2C3AF9C4FA18}"/>
    <cellStyle name="Comma 2 261 2 2 2 2 4 2 2" xfId="23600" xr:uid="{7D943752-B000-40B9-9EB0-0ABEFAB03F30}"/>
    <cellStyle name="Comma 2 261 2 2 2 2 4 3" xfId="23601" xr:uid="{4FC9CC1A-3EA6-4C74-8669-9FCF9B7F465B}"/>
    <cellStyle name="Comma 2 261 2 2 2 2 5" xfId="23602" xr:uid="{E3CDB37F-C1AA-4636-9EEF-D8CA4FB01641}"/>
    <cellStyle name="Comma 2 261 2 2 2 2 5 2" xfId="23603" xr:uid="{00D55095-43FF-431E-8C73-8CB974F652B9}"/>
    <cellStyle name="Comma 2 261 2 2 2 2 6" xfId="23605" xr:uid="{98204F39-0F64-4DE8-BBC7-969E0CCF62E5}"/>
    <cellStyle name="Comma 2 261 2 2 2 2 7" xfId="23606" xr:uid="{68BDBB2C-6263-4B02-8817-7572A5544003}"/>
    <cellStyle name="Comma 2 261 2 2 2 3" xfId="23607" xr:uid="{06B9F77F-C565-4959-B7AC-061973F51E2F}"/>
    <cellStyle name="Comma 2 261 2 2 2 3 2" xfId="23608" xr:uid="{6042815F-3472-4A9F-B8CB-E59E8B794DB1}"/>
    <cellStyle name="Comma 2 261 2 2 2 3 2 2" xfId="23609" xr:uid="{054FB3FB-86F9-4AC4-A173-A70343527C00}"/>
    <cellStyle name="Comma 2 261 2 2 2 3 2 2 2" xfId="16346" xr:uid="{8407EA09-62B6-4E32-B6B3-353DEF174ADE}"/>
    <cellStyle name="Comma 2 261 2 2 2 3 2 2 2 2" xfId="16348" xr:uid="{871F9E27-E800-4B4B-AB21-0DB742441DAA}"/>
    <cellStyle name="Comma 2 261 2 2 2 3 2 2 3" xfId="16354" xr:uid="{9CFFE867-3C78-4E1A-A04B-A2DE7CC8E027}"/>
    <cellStyle name="Comma 2 261 2 2 2 3 2 3" xfId="22561" xr:uid="{5BF7CF47-D49A-450C-AF54-003A4B9611A9}"/>
    <cellStyle name="Comma 2 261 2 2 2 3 2 3 2" xfId="16381" xr:uid="{3C1660BC-D5E2-462D-96CC-C0CFF89ACEA2}"/>
    <cellStyle name="Comma 2 261 2 2 2 3 2 4" xfId="13521" xr:uid="{FFD255EC-6389-4500-AB11-41B5A2A22B89}"/>
    <cellStyle name="Comma 2 261 2 2 2 3 3" xfId="23610" xr:uid="{E29FFDA0-FEE6-4D91-914C-842D558EBFC8}"/>
    <cellStyle name="Comma 2 261 2 2 2 3 3 2" xfId="23611" xr:uid="{C389E3E8-DBC7-4B94-B5EB-3502E7F20FAF}"/>
    <cellStyle name="Comma 2 261 2 2 2 3 3 2 2" xfId="16425" xr:uid="{C884136F-A5B9-402B-82AE-54E3A5D9D1E2}"/>
    <cellStyle name="Comma 2 261 2 2 2 3 3 3" xfId="23612" xr:uid="{B5AEAE8F-9FC4-412D-A61C-48DDA4990AE1}"/>
    <cellStyle name="Comma 2 261 2 2 2 3 4" xfId="23614" xr:uid="{1669BDF9-6B54-4ADC-913E-5779ACE0DF21}"/>
    <cellStyle name="Comma 2 261 2 2 2 3 4 2" xfId="23616" xr:uid="{99C7F396-592D-4470-9C45-DB2D7211A90C}"/>
    <cellStyle name="Comma 2 261 2 2 2 3 5" xfId="23618" xr:uid="{D7FBA4A3-50D9-43E0-9841-8FB2FAE191CC}"/>
    <cellStyle name="Comma 2 261 2 2 2 4" xfId="23620" xr:uid="{6576E3EE-E0C5-473A-975C-2CC39DE5AA1C}"/>
    <cellStyle name="Comma 2 261 2 2 2 4 2" xfId="23622" xr:uid="{DFF96375-8606-438E-B537-83C11B01CF91}"/>
    <cellStyle name="Comma 2 261 2 2 2 4 2 2" xfId="23623" xr:uid="{C3E344E7-3A2E-4977-8452-87C78543FE1A}"/>
    <cellStyle name="Comma 2 261 2 2 2 4 2 2 2" xfId="16531" xr:uid="{AF54C158-D2B5-4D82-AF96-98737B9BC0C6}"/>
    <cellStyle name="Comma 2 261 2 2 2 4 2 3" xfId="23624" xr:uid="{10230586-6729-41C3-A201-BFC699FC0740}"/>
    <cellStyle name="Comma 2 261 2 2 2 4 3" xfId="23625" xr:uid="{47FD9DF7-2DE1-4642-B495-DAC864DA2BA7}"/>
    <cellStyle name="Comma 2 261 2 2 2 4 3 2" xfId="23626" xr:uid="{6FA5FF1A-09BE-47BA-AE40-00AA0CE34713}"/>
    <cellStyle name="Comma 2 261 2 2 2 4 4" xfId="23628" xr:uid="{D7148842-1B93-4520-889C-DC1F20439066}"/>
    <cellStyle name="Comma 2 261 2 2 2 5" xfId="23630" xr:uid="{02F88F0C-1C0A-42D3-B560-DE387DDB24E2}"/>
    <cellStyle name="Comma 2 261 2 2 2 5 2" xfId="23631" xr:uid="{6A441C96-EA87-462C-92FF-C2EDF2BD2F2E}"/>
    <cellStyle name="Comma 2 261 2 2 2 5 2 2" xfId="23634" xr:uid="{62EA4395-0B57-4D5B-B31E-DA834EBF0CD9}"/>
    <cellStyle name="Comma 2 261 2 2 2 5 3" xfId="23635" xr:uid="{525109F9-4D5A-4767-9A7E-283A5232DC62}"/>
    <cellStyle name="Comma 2 261 2 2 2 6" xfId="23636" xr:uid="{5EA6CA3D-67A6-443A-9733-CE14D84DF9F9}"/>
    <cellStyle name="Comma 2 261 2 2 2 6 2" xfId="23637" xr:uid="{664CBC60-CED4-489B-AED2-584BD6A6BE11}"/>
    <cellStyle name="Comma 2 261 2 2 2 7" xfId="23638" xr:uid="{61DF061F-3537-453F-90D5-335135C92D7C}"/>
    <cellStyle name="Comma 2 261 2 2 2 8" xfId="23639" xr:uid="{579F2B12-1DFB-4EB8-AA57-1E2B14ED8139}"/>
    <cellStyle name="Comma 2 261 2 2 3" xfId="23640" xr:uid="{A9AFA9A8-7B9D-40E2-A166-173B81EAE8F1}"/>
    <cellStyle name="Comma 2 261 2 2 3 2" xfId="4465" xr:uid="{B094425D-4157-4398-ABB8-4AC660705C58}"/>
    <cellStyle name="Comma 2 261 2 2 3 2 2" xfId="4467" xr:uid="{CD5C0468-2C28-4785-907C-07C211B218CC}"/>
    <cellStyle name="Comma 2 261 2 2 3 2 2 2" xfId="4469" xr:uid="{9C13F1C9-C668-4204-9F5A-8742F70C54EE}"/>
    <cellStyle name="Comma 2 261 2 2 3 2 2 2 2" xfId="4471" xr:uid="{2B330A79-5B2C-4680-83A5-C3A7CE4F127B}"/>
    <cellStyle name="Comma 2 261 2 2 3 2 2 2 2 2" xfId="4476" xr:uid="{61159449-2A8F-4DDC-8815-3835EC0C8231}"/>
    <cellStyle name="Comma 2 261 2 2 3 2 2 2 3" xfId="4481" xr:uid="{C8899F55-42B5-4031-A446-68142BFA7ABA}"/>
    <cellStyle name="Comma 2 261 2 2 3 2 2 3" xfId="4496" xr:uid="{28ED34FE-8EFA-49C0-8947-993AC229561D}"/>
    <cellStyle name="Comma 2 261 2 2 3 2 2 3 2" xfId="4503" xr:uid="{76E5040C-1C84-4B3C-B910-A321B8154776}"/>
    <cellStyle name="Comma 2 261 2 2 3 2 2 4" xfId="4513" xr:uid="{DF4E05FA-04C0-480E-9A30-1A59A8B1C8E2}"/>
    <cellStyle name="Comma 2 261 2 2 3 2 3" xfId="4526" xr:uid="{1E8805D5-FC5D-48C0-B293-A8F5FA1D84B7}"/>
    <cellStyle name="Comma 2 261 2 2 3 2 3 2" xfId="4529" xr:uid="{6F301C98-C5C3-45F5-BD5F-EED6C6099F61}"/>
    <cellStyle name="Comma 2 261 2 2 3 2 3 2 2" xfId="4532" xr:uid="{E3773E79-BB31-4AFF-9F24-55F1C411337D}"/>
    <cellStyle name="Comma 2 261 2 2 3 2 3 3" xfId="4539" xr:uid="{EA34FEC1-66CC-41C9-8B17-698F710ADABB}"/>
    <cellStyle name="Comma 2 261 2 2 3 2 4" xfId="4552" xr:uid="{B844C57E-13D6-40FE-9085-2483AA7EBDC3}"/>
    <cellStyle name="Comma 2 261 2 2 3 2 4 2" xfId="4561" xr:uid="{7A57F0D2-3C84-4A0F-AB4B-94C0E59FD301}"/>
    <cellStyle name="Comma 2 261 2 2 3 2 5" xfId="4574" xr:uid="{C747299D-3718-4492-B184-7A26613B95F7}"/>
    <cellStyle name="Comma 2 261 2 2 3 3" xfId="4593" xr:uid="{B90F726F-6F33-4493-AF01-154DBBF251DD}"/>
    <cellStyle name="Comma 2 261 2 2 3 3 2" xfId="4595" xr:uid="{487103DB-42E9-44B2-984D-F766C9A2C671}"/>
    <cellStyle name="Comma 2 261 2 2 3 3 2 2" xfId="1849" xr:uid="{325533C9-D3C9-456E-959C-A3231E2CEBEB}"/>
    <cellStyle name="Comma 2 261 2 2 3 3 2 2 2" xfId="1860" xr:uid="{0674ABDB-6365-4B30-B109-F9C549EDB274}"/>
    <cellStyle name="Comma 2 261 2 2 3 3 2 3" xfId="1870" xr:uid="{FECF9FF9-107B-46D8-8855-7A9DFE419C36}"/>
    <cellStyle name="Comma 2 261 2 2 3 3 3" xfId="3799" xr:uid="{F8CA2D9F-641B-4D51-9E4A-E2D30C6596B2}"/>
    <cellStyle name="Comma 2 261 2 2 3 3 3 2" xfId="3805" xr:uid="{4DC48ABE-99D9-4DD9-9F41-3D208A68FC68}"/>
    <cellStyle name="Comma 2 261 2 2 3 3 4" xfId="3825" xr:uid="{35EDFDA8-4E7F-48A9-A185-0C2DCA5467C5}"/>
    <cellStyle name="Comma 2 261 2 2 3 4" xfId="4609" xr:uid="{331CBBF3-0487-4F71-8729-CB300123B276}"/>
    <cellStyle name="Comma 2 261 2 2 3 4 2" xfId="4611" xr:uid="{93696702-17C1-42BC-9BEB-53B872331D3B}"/>
    <cellStyle name="Comma 2 261 2 2 3 4 2 2" xfId="4613" xr:uid="{23CCC28C-A6BF-4B02-AA24-940D4271A29C}"/>
    <cellStyle name="Comma 2 261 2 2 3 4 3" xfId="1967" xr:uid="{11D4B293-E9CB-40D6-9CAF-A607F4D11D6E}"/>
    <cellStyle name="Comma 2 261 2 2 3 5" xfId="4620" xr:uid="{FE844577-BC81-4562-AFD7-5F69AA964BB6}"/>
    <cellStyle name="Comma 2 261 2 2 3 5 2" xfId="2442" xr:uid="{4047EBD1-5621-498D-B3A8-39C30F35C70A}"/>
    <cellStyle name="Comma 2 261 2 2 3 6" xfId="4622" xr:uid="{C94A2869-0CCE-4DC9-BC2F-EA1FDCAAE3B0}"/>
    <cellStyle name="Comma 2 261 2 2 3 7" xfId="4630" xr:uid="{B67F3EE0-ACC0-4BCF-8DC8-0312C9D31A99}"/>
    <cellStyle name="Comma 2 261 2 2 4" xfId="4119" xr:uid="{9A44FC25-1D4A-4D9B-82A4-CBAAD7D1D558}"/>
    <cellStyle name="Comma 2 261 2 2 4 2" xfId="4692" xr:uid="{7A0D93F4-8DB1-4A5C-BCBF-09D7C30AE7F7}"/>
    <cellStyle name="Comma 2 261 2 2 4 2 2" xfId="866" xr:uid="{94BFD3AA-5132-4BF8-B748-B84C319E417B}"/>
    <cellStyle name="Comma 2 261 2 2 4 2 2 2" xfId="57" xr:uid="{2227D623-B856-4A48-B7F1-293DCF777D66}"/>
    <cellStyle name="Comma 2 261 2 2 4 2 2 2 2" xfId="3132" xr:uid="{99F2F030-C526-4354-8EB7-C63D15A04536}"/>
    <cellStyle name="Comma 2 261 2 2 4 2 2 3" xfId="3141" xr:uid="{60C768E8-1CB5-46AF-9847-6F0455F0D7B9}"/>
    <cellStyle name="Comma 2 261 2 2 4 2 3" xfId="869" xr:uid="{C1199B0F-F092-4653-B9AD-E9D6E89B6CF1}"/>
    <cellStyle name="Comma 2 261 2 2 4 2 3 2" xfId="84" xr:uid="{DCD971FE-9BCE-4A63-9AD6-9387AA491786}"/>
    <cellStyle name="Comma 2 261 2 2 4 2 4" xfId="879" xr:uid="{6315D220-C187-407C-8D66-5C0258418585}"/>
    <cellStyle name="Comma 2 261 2 2 4 3" xfId="4718" xr:uid="{93C09C76-E7C6-408F-8424-777EEE05B90D}"/>
    <cellStyle name="Comma 2 261 2 2 4 3 2" xfId="1914" xr:uid="{8E5CD769-0AA9-4AF7-8B95-A70441DE832E}"/>
    <cellStyle name="Comma 2 261 2 2 4 3 2 2" xfId="3226" xr:uid="{310AB8DC-15BB-4D5A-84CA-967AA84ECF52}"/>
    <cellStyle name="Comma 2 261 2 2 4 3 3" xfId="1921" xr:uid="{83B8AEC3-5352-48CB-931F-D458E9AC5100}"/>
    <cellStyle name="Comma 2 261 2 2 4 4" xfId="4730" xr:uid="{4B06615D-3189-448F-8BBC-05699E540216}"/>
    <cellStyle name="Comma 2 261 2 2 4 4 2" xfId="4732" xr:uid="{60F26125-D273-45F6-A4FF-686335BFEB14}"/>
    <cellStyle name="Comma 2 261 2 2 4 5" xfId="1748" xr:uid="{1DC6A921-7FC2-4DCE-8569-86DF185B8B7C}"/>
    <cellStyle name="Comma 2 261 2 2 5" xfId="23641" xr:uid="{9EF9F200-6D93-4D05-B708-5FB01363700A}"/>
    <cellStyle name="Comma 2 261 2 2 5 2" xfId="4811" xr:uid="{E3A87009-B4C2-4320-9F9B-F1C65D4792E2}"/>
    <cellStyle name="Comma 2 261 2 2 5 2 2" xfId="4815" xr:uid="{41C6350B-D472-4EAF-889C-A99461D15ACE}"/>
    <cellStyle name="Comma 2 261 2 2 5 2 2 2" xfId="3391" xr:uid="{E2A6BB6D-02A9-402E-A5A9-0B5A98E9D645}"/>
    <cellStyle name="Comma 2 261 2 2 5 2 3" xfId="4833" xr:uid="{DDD9F069-D79E-44C8-BE38-28DEC0A95F90}"/>
    <cellStyle name="Comma 2 261 2 2 5 3" xfId="4843" xr:uid="{D8ED8FC3-D77F-4AE1-9D5A-287CC4A02648}"/>
    <cellStyle name="Comma 2 261 2 2 5 3 2" xfId="4846" xr:uid="{1D3F0171-F3C8-40F4-AFFF-F6BEB7CE9913}"/>
    <cellStyle name="Comma 2 261 2 2 5 4" xfId="4854" xr:uid="{797DBD0E-EF9C-4767-924D-439608E972DE}"/>
    <cellStyle name="Comma 2 261 2 2 6" xfId="23642" xr:uid="{4AE27FEE-D623-4D80-9AE0-29395AE52AC5}"/>
    <cellStyle name="Comma 2 261 2 2 6 2" xfId="4893" xr:uid="{38B38BC7-793E-49F8-8E93-376EF7106E8A}"/>
    <cellStyle name="Comma 2 261 2 2 6 2 2" xfId="4898" xr:uid="{D5A94FF6-1F34-46C1-A3C5-FB751CB4F541}"/>
    <cellStyle name="Comma 2 261 2 2 6 3" xfId="4905" xr:uid="{0F19E037-2E91-4E58-9E24-467F2B7D1C6F}"/>
    <cellStyle name="Comma 2 261 2 2 7" xfId="23644" xr:uid="{EE533605-E836-4B44-9843-E7448D5DCBFF}"/>
    <cellStyle name="Comma 2 261 2 2 7 2" xfId="4922" xr:uid="{450D614D-4B68-40D2-8D07-32C79BB7BCB7}"/>
    <cellStyle name="Comma 2 261 2 2 8" xfId="23645" xr:uid="{4CF78D44-41E9-4AAA-B61A-9395924E2050}"/>
    <cellStyle name="Comma 2 261 2 2 9" xfId="23646" xr:uid="{0F049BBC-283E-4D2D-BCAE-4BA8B762562F}"/>
    <cellStyle name="Comma 2 261 2 3" xfId="23649" xr:uid="{AF9845A4-2CC7-4E34-940E-B643CF32BE37}"/>
    <cellStyle name="Comma 2 261 2 3 2" xfId="23652" xr:uid="{F4429011-E5C8-47B2-A9C2-AF444A3504D4}"/>
    <cellStyle name="Comma 2 261 2 3 2 2" xfId="23655" xr:uid="{45352C71-5540-4CF9-B3DB-DF3A8D561EE8}"/>
    <cellStyle name="Comma 2 261 2 3 2 2 2" xfId="23657" xr:uid="{F0BEB10D-D36C-4E98-989E-E4EAD6611D5D}"/>
    <cellStyle name="Comma 2 261 2 3 2 2 2 2" xfId="23659" xr:uid="{1265F79A-DC0E-45F5-8189-556E8BBB44E5}"/>
    <cellStyle name="Comma 2 261 2 3 2 2 2 2 2" xfId="23661" xr:uid="{5499BF25-02FD-4957-875F-04074FDD87C9}"/>
    <cellStyle name="Comma 2 261 2 3 2 2 2 2 2 2" xfId="23663" xr:uid="{F491DDB9-6BAF-4F81-8FF5-C761494B7809}"/>
    <cellStyle name="Comma 2 261 2 3 2 2 2 2 3" xfId="13877" xr:uid="{99DF6ED3-96EE-4B24-AC31-22B387930C8F}"/>
    <cellStyle name="Comma 2 261 2 3 2 2 2 3" xfId="23665" xr:uid="{14B04D7E-454C-489E-9EC0-FF2AA0DF4962}"/>
    <cellStyle name="Comma 2 261 2 3 2 2 2 3 2" xfId="23667" xr:uid="{7A7D351D-C950-4DAD-B48B-D5E3CB294AE8}"/>
    <cellStyle name="Comma 2 261 2 3 2 2 2 4" xfId="22988" xr:uid="{00DED362-EB88-4697-8B4C-058C8A73EC01}"/>
    <cellStyle name="Comma 2 261 2 3 2 2 3" xfId="23669" xr:uid="{1B0EA28C-1B62-40A6-8A0E-F44D7F9562CF}"/>
    <cellStyle name="Comma 2 261 2 3 2 2 3 2" xfId="23671" xr:uid="{A6DB76AE-FDC1-4446-BC52-FBD23CCE1BB8}"/>
    <cellStyle name="Comma 2 261 2 3 2 2 3 2 2" xfId="23673" xr:uid="{C5F829CF-CD0E-43E9-B01C-E67BDED52536}"/>
    <cellStyle name="Comma 2 261 2 3 2 2 3 3" xfId="23675" xr:uid="{EC937144-0259-47C0-9DBB-F9A3FE174639}"/>
    <cellStyle name="Comma 2 261 2 3 2 2 4" xfId="23677" xr:uid="{A92728BB-D037-414D-A30C-68D72B07C2A7}"/>
    <cellStyle name="Comma 2 261 2 3 2 2 4 2" xfId="23679" xr:uid="{2D74C793-59E7-4ACE-9C00-EA0211BA42ED}"/>
    <cellStyle name="Comma 2 261 2 3 2 2 5" xfId="23681" xr:uid="{A86C1AE6-7003-46C4-9172-FF48DC4626DE}"/>
    <cellStyle name="Comma 2 261 2 3 2 3" xfId="23682" xr:uid="{1E257CE8-AC0B-48C7-A0F3-416388F3550E}"/>
    <cellStyle name="Comma 2 261 2 3 2 3 2" xfId="23684" xr:uid="{7DA00431-5190-48FC-8297-5FD0DC998078}"/>
    <cellStyle name="Comma 2 261 2 3 2 3 2 2" xfId="23686" xr:uid="{4FE8DF6E-6C43-46E7-B616-50354B249490}"/>
    <cellStyle name="Comma 2 261 2 3 2 3 2 2 2" xfId="23690" xr:uid="{52B1D274-F719-4E4E-81B3-548B581C9F4A}"/>
    <cellStyle name="Comma 2 261 2 3 2 3 2 3" xfId="23692" xr:uid="{A7FF3094-D197-42BD-9E7D-17D81C93843F}"/>
    <cellStyle name="Comma 2 261 2 3 2 3 3" xfId="23694" xr:uid="{BE27CB47-1B73-4DFF-A90A-7CCF3EB0D23D}"/>
    <cellStyle name="Comma 2 261 2 3 2 3 3 2" xfId="23696" xr:uid="{FF71B679-37D1-4D6D-8180-C29532B41291}"/>
    <cellStyle name="Comma 2 261 2 3 2 3 4" xfId="23699" xr:uid="{5BAA606D-89C1-4030-927E-B14A009F5782}"/>
    <cellStyle name="Comma 2 261 2 3 2 4" xfId="23701" xr:uid="{75618D55-F973-425D-8929-1AAB4A757F97}"/>
    <cellStyle name="Comma 2 261 2 3 2 4 2" xfId="23703" xr:uid="{1EFBD5F0-CDE2-4BB2-BAA0-F6F99A7271BF}"/>
    <cellStyle name="Comma 2 261 2 3 2 4 2 2" xfId="23705" xr:uid="{D881C35D-5760-496E-99EA-E3CCA5B9D572}"/>
    <cellStyle name="Comma 2 261 2 3 2 4 3" xfId="23707" xr:uid="{6B400FA1-04C8-4977-951F-3D4E34054180}"/>
    <cellStyle name="Comma 2 261 2 3 2 5" xfId="23708" xr:uid="{8B4E513F-BD67-4A83-B8B1-31D534AB7A2D}"/>
    <cellStyle name="Comma 2 261 2 3 2 5 2" xfId="23711" xr:uid="{E20CB45A-3DF1-4D33-956E-B7E9EFF67396}"/>
    <cellStyle name="Comma 2 261 2 3 2 6" xfId="23712" xr:uid="{6530113B-A4A1-4BAA-81A7-0A734FD2E1E0}"/>
    <cellStyle name="Comma 2 261 2 3 2 7" xfId="20900" xr:uid="{5493001C-FBF5-4C2D-8510-2B342B5505EE}"/>
    <cellStyle name="Comma 2 261 2 3 3" xfId="23715" xr:uid="{C5B53E60-F646-4D87-8FB5-28D7AEC000BE}"/>
    <cellStyle name="Comma 2 261 2 3 3 2" xfId="4989" xr:uid="{FDA71F4B-3967-4DCF-A4BD-F62396C56356}"/>
    <cellStyle name="Comma 2 261 2 3 3 2 2" xfId="4992" xr:uid="{5954457C-B26B-4793-8E66-9470949D8FDC}"/>
    <cellStyle name="Comma 2 261 2 3 3 2 2 2" xfId="4996" xr:uid="{B11617D8-C2C3-4952-9DDF-D359DD6CC658}"/>
    <cellStyle name="Comma 2 261 2 3 3 2 2 2 2" xfId="4335" xr:uid="{3497CB1D-58C9-4107-9719-F906DB8E62BD}"/>
    <cellStyle name="Comma 2 261 2 3 3 2 2 3" xfId="5000" xr:uid="{7826EBA8-2C26-4B83-A986-094DBB5A8FDA}"/>
    <cellStyle name="Comma 2 261 2 3 3 2 3" xfId="5007" xr:uid="{B4686ADC-13F1-41C6-BD6B-A8C8FA642C46}"/>
    <cellStyle name="Comma 2 261 2 3 3 2 3 2" xfId="5011" xr:uid="{33AC9410-16EA-4350-AFA5-FAA0BC81578F}"/>
    <cellStyle name="Comma 2 261 2 3 3 2 4" xfId="5020" xr:uid="{1E749A5B-39E0-4550-8AE5-D6EB086777CB}"/>
    <cellStyle name="Comma 2 261 2 3 3 3" xfId="5028" xr:uid="{8118A7DF-2380-4139-8DAA-94A59197D3FC}"/>
    <cellStyle name="Comma 2 261 2 3 3 3 2" xfId="5032" xr:uid="{283BA5F5-9A10-4F67-94F8-7B18887CD208}"/>
    <cellStyle name="Comma 2 261 2 3 3 3 2 2" xfId="5039" xr:uid="{1D2A075D-7C32-4610-9719-A6E6D0A24FC4}"/>
    <cellStyle name="Comma 2 261 2 3 3 3 3" xfId="3939" xr:uid="{D196264C-CFF9-4633-8083-1F9BA5356AF7}"/>
    <cellStyle name="Comma 2 261 2 3 3 4" xfId="5044" xr:uid="{43798844-D9BE-4438-A5A1-6AE069FFC18B}"/>
    <cellStyle name="Comma 2 261 2 3 3 4 2" xfId="5048" xr:uid="{B326A8EB-4486-4014-84FF-D49F4B8F4C20}"/>
    <cellStyle name="Comma 2 261 2 3 3 5" xfId="5052" xr:uid="{32C10386-15E1-42B6-8984-BC4946C9153A}"/>
    <cellStyle name="Comma 2 261 2 3 4" xfId="23716" xr:uid="{E62FBE23-3DE8-4D62-97D1-4A67AC606734}"/>
    <cellStyle name="Comma 2 261 2 3 4 2" xfId="5099" xr:uid="{22F244C0-61D4-4E39-97C5-D1FAF18AC954}"/>
    <cellStyle name="Comma 2 261 2 3 4 2 2" xfId="5102" xr:uid="{11F4B5F3-EDA7-4655-A56D-B3967013F6E7}"/>
    <cellStyle name="Comma 2 261 2 3 4 2 2 2" xfId="3722" xr:uid="{718240A4-2DA2-4A64-A3B9-BC6B49B28DAA}"/>
    <cellStyle name="Comma 2 261 2 3 4 2 3" xfId="5108" xr:uid="{16DD0EC5-78DB-423C-8987-95BF24DEA868}"/>
    <cellStyle name="Comma 2 261 2 3 4 3" xfId="5114" xr:uid="{BC69A877-467C-4E0C-B298-92574121AB4C}"/>
    <cellStyle name="Comma 2 261 2 3 4 3 2" xfId="5120" xr:uid="{834762AD-8121-4BDB-92AA-F55B5C8B6E4C}"/>
    <cellStyle name="Comma 2 261 2 3 4 4" xfId="5129" xr:uid="{12D1FA99-0672-473A-B973-93003E29D9BF}"/>
    <cellStyle name="Comma 2 261 2 3 5" xfId="23717" xr:uid="{06513561-2A86-4694-A7F8-057365B53679}"/>
    <cellStyle name="Comma 2 261 2 3 5 2" xfId="5168" xr:uid="{CBCE3FA5-70AE-4C97-89F5-E18205238E5C}"/>
    <cellStyle name="Comma 2 261 2 3 5 2 2" xfId="5174" xr:uid="{5C90DC7C-4CB9-4363-B57D-C17EDA49794D}"/>
    <cellStyle name="Comma 2 261 2 3 5 3" xfId="5191" xr:uid="{B1BAFAD7-090D-41AF-B409-1A08BA07A73E}"/>
    <cellStyle name="Comma 2 261 2 3 6" xfId="23718" xr:uid="{DD09B47A-0764-4358-8C55-0703B86FCE64}"/>
    <cellStyle name="Comma 2 261 2 3 6 2" xfId="5230" xr:uid="{479E3E81-1359-441F-9AB7-B048341FF91F}"/>
    <cellStyle name="Comma 2 261 2 3 7" xfId="23719" xr:uid="{0FB08A7F-E148-4461-858F-D324D68D7148}"/>
    <cellStyle name="Comma 2 261 2 3 8" xfId="23720" xr:uid="{32C1641E-18DC-4B74-86BF-F2E2EBB4870F}"/>
    <cellStyle name="Comma 2 261 2 4" xfId="23723" xr:uid="{EACDFD6C-55D7-488C-82E5-854E3C917D04}"/>
    <cellStyle name="Comma 2 261 2 4 2" xfId="23726" xr:uid="{6B89ECE8-0470-4E5B-8EFE-96343C9D7140}"/>
    <cellStyle name="Comma 2 261 2 4 2 2" xfId="23727" xr:uid="{4E38D48A-471B-47FA-9128-F80AD4F8C74E}"/>
    <cellStyle name="Comma 2 261 2 4 2 2 2" xfId="9907" xr:uid="{3B43791A-329B-4F51-BC86-B8A004C51941}"/>
    <cellStyle name="Comma 2 261 2 4 2 2 2 2" xfId="9910" xr:uid="{3D8FC355-A14A-4529-9C28-C4CC2C8ED3E7}"/>
    <cellStyle name="Comma 2 261 2 4 2 2 2 2 2" xfId="23729" xr:uid="{B36F165A-973E-4F30-9C54-58A1B012F28A}"/>
    <cellStyle name="Comma 2 261 2 4 2 2 2 3" xfId="23731" xr:uid="{3DB16358-1238-40F0-8220-5F725516EC32}"/>
    <cellStyle name="Comma 2 261 2 4 2 2 3" xfId="9914" xr:uid="{B0DE7293-3E8D-451B-BF58-EB71AA2BC1D5}"/>
    <cellStyle name="Comma 2 261 2 4 2 2 3 2" xfId="18241" xr:uid="{EA6F6D9D-A80C-4A98-8909-9446ED069590}"/>
    <cellStyle name="Comma 2 261 2 4 2 2 4" xfId="23733" xr:uid="{163F642D-8160-4194-83E4-6AA2EE2CF8A7}"/>
    <cellStyle name="Comma 2 261 2 4 2 3" xfId="23734" xr:uid="{EAD6E875-DE9E-4AB0-A26F-9B85FBEBB970}"/>
    <cellStyle name="Comma 2 261 2 4 2 3 2" xfId="9923" xr:uid="{CCF8ABE6-0AFD-4271-92EB-ACD2D8D344DD}"/>
    <cellStyle name="Comma 2 261 2 4 2 3 2 2" xfId="23737" xr:uid="{DB8FB0FE-7B21-4D4B-85A0-A52A6ABEC0A5}"/>
    <cellStyle name="Comma 2 261 2 4 2 3 3" xfId="23739" xr:uid="{6859C296-E7FA-45D1-8D4A-0B12B8350EA1}"/>
    <cellStyle name="Comma 2 261 2 4 2 4" xfId="23740" xr:uid="{32D5FD57-237F-4256-8731-074ED7F63CA6}"/>
    <cellStyle name="Comma 2 261 2 4 2 4 2" xfId="23742" xr:uid="{9BE672A1-5E01-4C9E-A6A2-5ECE283395C7}"/>
    <cellStyle name="Comma 2 261 2 4 2 5" xfId="23743" xr:uid="{AF9FAA55-0C31-4452-A227-5F621A67F880}"/>
    <cellStyle name="Comma 2 261 2 4 3" xfId="23744" xr:uid="{8D1F779B-73D0-42E3-82E4-09A25BA81BBD}"/>
    <cellStyle name="Comma 2 261 2 4 3 2" xfId="5262" xr:uid="{6E09D0DE-4A96-4B42-B616-1FC7C23606A8}"/>
    <cellStyle name="Comma 2 261 2 4 3 2 2" xfId="1266" xr:uid="{38E71BFE-CC99-4342-883E-9A0F77C66037}"/>
    <cellStyle name="Comma 2 261 2 4 3 2 2 2" xfId="183" xr:uid="{0C0E5B1E-D801-4CE3-BF80-F164CED8EBED}"/>
    <cellStyle name="Comma 2 261 2 4 3 2 3" xfId="1273" xr:uid="{D35E0F6F-D1C1-4A3C-AEBB-153E3883AD2C}"/>
    <cellStyle name="Comma 2 261 2 4 3 3" xfId="5265" xr:uid="{9B18ED83-8EFB-453A-8DA5-FAFABE59EF46}"/>
    <cellStyle name="Comma 2 261 2 4 3 3 2" xfId="5270" xr:uid="{CEBF613F-C89A-4AE7-A236-283B96B426BF}"/>
    <cellStyle name="Comma 2 261 2 4 3 4" xfId="5278" xr:uid="{495F5151-DADC-4E84-B1FD-E0B8E583EC40}"/>
    <cellStyle name="Comma 2 261 2 4 4" xfId="23745" xr:uid="{EBE08671-5B13-4C00-9AF0-AE7D458CDC1B}"/>
    <cellStyle name="Comma 2 261 2 4 4 2" xfId="5307" xr:uid="{76590912-ADA1-4C51-91F1-8593976AE068}"/>
    <cellStyle name="Comma 2 261 2 4 4 2 2" xfId="1345" xr:uid="{8F11E1DA-3C09-464E-A513-365BEB05A96C}"/>
    <cellStyle name="Comma 2 261 2 4 4 3" xfId="5315" xr:uid="{D1FF97B9-FE34-49EB-A308-90347487B528}"/>
    <cellStyle name="Comma 2 261 2 4 5" xfId="23746" xr:uid="{059AEB8B-E806-4733-A1CD-FD22AC1D0810}"/>
    <cellStyle name="Comma 2 261 2 4 5 2" xfId="1048" xr:uid="{8F79C998-0FA0-4078-8966-7B67207EBE01}"/>
    <cellStyle name="Comma 2 261 2 4 6" xfId="23747" xr:uid="{FE64A9C8-7C3E-450F-B52D-1FF104DD8C86}"/>
    <cellStyle name="Comma 2 261 2 4 7" xfId="23748" xr:uid="{6F93D5FD-B119-4F3D-A4E8-7FE8EDB4AEEC}"/>
    <cellStyle name="Comma 2 261 2 5" xfId="7943" xr:uid="{EF144265-E525-46E1-99B9-6D20BB193ACA}"/>
    <cellStyle name="Comma 2 261 2 5 2" xfId="23750" xr:uid="{184A30FC-5DD8-4AD7-8BE8-85B8B07CF349}"/>
    <cellStyle name="Comma 2 261 2 5 2 2" xfId="23751" xr:uid="{4B5EBA24-34F7-4E0B-9DE0-A17FD6AF5A8A}"/>
    <cellStyle name="Comma 2 261 2 5 2 2 2" xfId="13482" xr:uid="{7A987125-F255-4F0E-9FEC-C02F42A124F5}"/>
    <cellStyle name="Comma 2 261 2 5 2 2 2 2" xfId="13485" xr:uid="{2523BCDA-ACC7-4351-8D07-D5799E4555D4}"/>
    <cellStyle name="Comma 2 261 2 5 2 2 3" xfId="13488" xr:uid="{B8D5C042-D293-41EE-AFE1-9659CC245C8D}"/>
    <cellStyle name="Comma 2 261 2 5 2 3" xfId="23752" xr:uid="{9ABD6609-C7C9-4418-895E-C8AD843B1F24}"/>
    <cellStyle name="Comma 2 261 2 5 2 3 2" xfId="13500" xr:uid="{11A97CC8-F01B-4391-9AC7-F183C9ADF262}"/>
    <cellStyle name="Comma 2 261 2 5 2 4" xfId="23753" xr:uid="{47070979-81EF-4F69-A82E-E53D54AB7D91}"/>
    <cellStyle name="Comma 2 261 2 5 3" xfId="23755" xr:uid="{7A1B801B-512F-4F99-B463-242B9AB94926}"/>
    <cellStyle name="Comma 2 261 2 5 3 2" xfId="5373" xr:uid="{26D7DEDD-4403-4D92-A9EB-AAA348D65185}"/>
    <cellStyle name="Comma 2 261 2 5 3 2 2" xfId="5382" xr:uid="{53945E03-E414-4A6E-A367-CB0E9349E965}"/>
    <cellStyle name="Comma 2 261 2 5 3 3" xfId="5387" xr:uid="{7DB4628D-4905-46C0-8DB6-09D92877D6EB}"/>
    <cellStyle name="Comma 2 261 2 5 4" xfId="23757" xr:uid="{1BA7F327-8894-4868-88F4-D5FBFB256229}"/>
    <cellStyle name="Comma 2 261 2 5 4 2" xfId="5409" xr:uid="{650A55C4-CDF0-47D8-B199-1F1577FA0B23}"/>
    <cellStyle name="Comma 2 261 2 5 5" xfId="23760" xr:uid="{BC712930-CE48-491B-8B38-7D6B2AE90DD7}"/>
    <cellStyle name="Comma 2 261 2 6" xfId="23761" xr:uid="{94522A38-7EDE-4E65-A44A-B0C201F0E84A}"/>
    <cellStyle name="Comma 2 261 2 6 2" xfId="23762" xr:uid="{63AF40FC-67D0-4B2F-9CFE-1C3BA101FB63}"/>
    <cellStyle name="Comma 2 261 2 6 2 2" xfId="23763" xr:uid="{5B6D9012-2D04-4D73-9D21-034AECF90ED2}"/>
    <cellStyle name="Comma 2 261 2 6 2 2 2" xfId="15496" xr:uid="{B05B7E7F-3D03-4A3A-9EDD-526506E496CD}"/>
    <cellStyle name="Comma 2 261 2 6 2 3" xfId="22655" xr:uid="{FD0C8460-325F-473C-85B9-AEF6016A3815}"/>
    <cellStyle name="Comma 2 261 2 6 3" xfId="23764" xr:uid="{33CB386E-2F12-4DA9-8C64-442A21EA0517}"/>
    <cellStyle name="Comma 2 261 2 6 3 2" xfId="5450" xr:uid="{B086ED28-E4DD-477F-AC10-337D7253E3E2}"/>
    <cellStyle name="Comma 2 261 2 6 4" xfId="23765" xr:uid="{D57FCAEE-51E6-468E-8B39-305F2158C3E0}"/>
    <cellStyle name="Comma 2 261 2 7" xfId="23766" xr:uid="{BD53E65F-A157-43CB-B20D-8CEEA6800D4F}"/>
    <cellStyle name="Comma 2 261 2 7 2" xfId="23768" xr:uid="{162D5909-E722-4B19-8F7D-C658723F52D7}"/>
    <cellStyle name="Comma 2 261 2 7 2 2" xfId="23770" xr:uid="{5AC1909C-2C60-45BF-BDB3-350EAE4551B1}"/>
    <cellStyle name="Comma 2 261 2 7 3" xfId="23772" xr:uid="{E2A63C9A-84DF-48FE-8556-A8E5125E4BA0}"/>
    <cellStyle name="Comma 2 261 2 8" xfId="4745" xr:uid="{9DDED045-0AF9-4E92-B904-62104E109162}"/>
    <cellStyle name="Comma 2 261 2 8 2" xfId="7362" xr:uid="{7649857F-29B2-488A-A67D-BB16C8F13A2A}"/>
    <cellStyle name="Comma 2 261 2 9" xfId="7365" xr:uid="{DF182671-3B73-4ABE-B37C-956C3C62026F}"/>
    <cellStyle name="Comma 2 261 3" xfId="20101" xr:uid="{9F0B6EB4-1F80-4979-B2E6-75395F8F7B81}"/>
    <cellStyle name="Comma 2 261 3 2" xfId="23773" xr:uid="{75EFC897-8D19-482B-86A3-A8E61C2AFA6D}"/>
    <cellStyle name="Comma 2 261 3 2 2" xfId="2247" xr:uid="{CECBE7B9-1E43-414D-AF6F-1D5193CD2178}"/>
    <cellStyle name="Comma 2 261 3 2 2 2" xfId="23775" xr:uid="{0F00B68F-F0A2-4D74-807D-E31B4CFD601E}"/>
    <cellStyle name="Comma 2 261 3 2 2 2 2" xfId="23776" xr:uid="{CDBB2DEB-397C-408D-A329-73A2EFFFBF01}"/>
    <cellStyle name="Comma 2 261 3 2 2 2 2 2" xfId="23780" xr:uid="{107078E1-180D-4C5B-A191-EF1733697E6D}"/>
    <cellStyle name="Comma 2 261 3 2 2 2 2 2 2" xfId="23784" xr:uid="{D887E92A-2930-4D1D-BCE4-A16156DB5E22}"/>
    <cellStyle name="Comma 2 261 3 2 2 2 2 2 2 2" xfId="23787" xr:uid="{E7BB76EF-2552-455C-A2A2-BC5012ED6BDD}"/>
    <cellStyle name="Comma 2 261 3 2 2 2 2 2 3" xfId="23790" xr:uid="{319BF7A1-2974-4490-85B9-E2E5B152B5AB}"/>
    <cellStyle name="Comma 2 261 3 2 2 2 2 3" xfId="23794" xr:uid="{B91635B2-00FA-47BF-A895-015ECF1DB6C4}"/>
    <cellStyle name="Comma 2 261 3 2 2 2 2 3 2" xfId="23798" xr:uid="{9DEA151E-F5A1-4A7C-8D55-AAB4D2E7E16D}"/>
    <cellStyle name="Comma 2 261 3 2 2 2 2 4" xfId="23803" xr:uid="{075A1123-E591-448C-91E5-EE285D9FB061}"/>
    <cellStyle name="Comma 2 261 3 2 2 2 3" xfId="23804" xr:uid="{4A47DBEA-CE5E-4269-A447-962AAD90217F}"/>
    <cellStyle name="Comma 2 261 3 2 2 2 3 2" xfId="23808" xr:uid="{0EC21F99-36E4-473E-8B1B-F81CFBC4EF14}"/>
    <cellStyle name="Comma 2 261 3 2 2 2 3 2 2" xfId="23811" xr:uid="{03E2427D-8276-4E42-A978-F50DFF59026D}"/>
    <cellStyle name="Comma 2 261 3 2 2 2 3 3" xfId="20867" xr:uid="{AF8792C5-E697-4D08-AAB5-AA1A2CD5A969}"/>
    <cellStyle name="Comma 2 261 3 2 2 2 4" xfId="23812" xr:uid="{8B0A1920-CAC6-4544-8C8D-A8129B2C2F1D}"/>
    <cellStyle name="Comma 2 261 3 2 2 2 4 2" xfId="23817" xr:uid="{ADCD07AC-ACB9-40AE-87E8-B4AF910124F0}"/>
    <cellStyle name="Comma 2 261 3 2 2 2 5" xfId="23818" xr:uid="{D9D7D845-F021-4C2A-842E-2E4F90B727A4}"/>
    <cellStyle name="Comma 2 261 3 2 2 3" xfId="23819" xr:uid="{BA288DD7-A711-4B81-9E8B-35D4D9B9E971}"/>
    <cellStyle name="Comma 2 261 3 2 2 3 2" xfId="23820" xr:uid="{10B7DCA1-8AD0-45A4-9E21-5814C36EC285}"/>
    <cellStyle name="Comma 2 261 3 2 2 3 2 2" xfId="23824" xr:uid="{83E51FAB-4A2C-4BD8-B3DB-A3539AA90758}"/>
    <cellStyle name="Comma 2 261 3 2 2 3 2 2 2" xfId="23827" xr:uid="{603BB0EE-4E54-47B2-92AC-5C510D784D93}"/>
    <cellStyle name="Comma 2 261 3 2 2 3 2 3" xfId="23830" xr:uid="{57C52092-C057-4203-852E-2A366E9F4F61}"/>
    <cellStyle name="Comma 2 261 3 2 2 3 3" xfId="23831" xr:uid="{E52897FB-2670-4382-94BA-869682CBCE29}"/>
    <cellStyle name="Comma 2 261 3 2 2 3 3 2" xfId="23834" xr:uid="{151C4B20-A24B-4226-86D7-A761DF487E4C}"/>
    <cellStyle name="Comma 2 261 3 2 2 3 4" xfId="23836" xr:uid="{571F604B-68FB-4382-A90F-8920B99D5B42}"/>
    <cellStyle name="Comma 2 261 3 2 2 4" xfId="23838" xr:uid="{5F6FEAFC-07E8-4A68-820B-120176132927}"/>
    <cellStyle name="Comma 2 261 3 2 2 4 2" xfId="23840" xr:uid="{DF87543D-9172-4775-BD77-854A217B88D9}"/>
    <cellStyle name="Comma 2 261 3 2 2 4 2 2" xfId="9514" xr:uid="{6FE42E6C-D960-4164-BB38-B33A2B63A4F5}"/>
    <cellStyle name="Comma 2 261 3 2 2 4 3" xfId="23299" xr:uid="{ABE71981-E51E-4D21-9593-D492A51BCB6C}"/>
    <cellStyle name="Comma 2 261 3 2 2 5" xfId="23841" xr:uid="{D8E4FA3A-FCF0-4D66-ABA5-9A10C8AF5757}"/>
    <cellStyle name="Comma 2 261 3 2 2 5 2" xfId="23843" xr:uid="{875B1C08-1A94-4804-8B22-1E333CBC76AA}"/>
    <cellStyle name="Comma 2 261 3 2 2 6" xfId="23845" xr:uid="{783A037D-871A-4973-99AA-E63FB8328091}"/>
    <cellStyle name="Comma 2 261 3 2 2 7" xfId="23847" xr:uid="{55F085B5-CB5E-48A7-8888-2BE3689AD1B9}"/>
    <cellStyle name="Comma 2 261 3 2 3" xfId="2253" xr:uid="{F4EEA430-6AC2-4A06-A375-414FCA7352F9}"/>
    <cellStyle name="Comma 2 261 3 2 3 2" xfId="5559" xr:uid="{717C5B4C-EECF-4A58-8F3F-5F52C8A81A3D}"/>
    <cellStyle name="Comma 2 261 3 2 3 2 2" xfId="1097" xr:uid="{814895C6-FD54-4254-8B81-8B9D3722AEFD}"/>
    <cellStyle name="Comma 2 261 3 2 3 2 2 2" xfId="5564" xr:uid="{7F1E89CD-06CB-4478-8F0E-D6EDD240EA81}"/>
    <cellStyle name="Comma 2 261 3 2 3 2 2 2 2" xfId="5568" xr:uid="{7F30B754-7B04-4F5A-A406-149855B4083C}"/>
    <cellStyle name="Comma 2 261 3 2 3 2 2 3" xfId="5576" xr:uid="{9BF27D01-218F-48D7-85BC-FEEC4157D800}"/>
    <cellStyle name="Comma 2 261 3 2 3 2 3" xfId="5586" xr:uid="{268483B0-38A4-452F-B403-AA4B441BF6DD}"/>
    <cellStyle name="Comma 2 261 3 2 3 2 3 2" xfId="827" xr:uid="{14D8BA60-7828-45D0-9302-1711DC71046F}"/>
    <cellStyle name="Comma 2 261 3 2 3 2 4" xfId="5592" xr:uid="{6EE3BF9E-79C0-435C-AF41-F1C92C0D4A88}"/>
    <cellStyle name="Comma 2 261 3 2 3 3" xfId="5598" xr:uid="{CBCE4705-8358-467F-B779-93015D887666}"/>
    <cellStyle name="Comma 2 261 3 2 3 3 2" xfId="1198" xr:uid="{E412DB48-1148-4750-8520-2EE43CC9746E}"/>
    <cellStyle name="Comma 2 261 3 2 3 3 2 2" xfId="5602" xr:uid="{AC948F3C-E558-4F6E-9FFE-8395A3D0C90E}"/>
    <cellStyle name="Comma 2 261 3 2 3 3 3" xfId="4113" xr:uid="{459AD489-22EB-4259-A872-5EB5102739FE}"/>
    <cellStyle name="Comma 2 261 3 2 3 4" xfId="5608" xr:uid="{B4188470-CAE9-4D8B-B146-7B7E419E593F}"/>
    <cellStyle name="Comma 2 261 3 2 3 4 2" xfId="1278" xr:uid="{5D765593-9FF6-4F1B-B1B8-0EB294F6DB75}"/>
    <cellStyle name="Comma 2 261 3 2 3 5" xfId="5610" xr:uid="{67074B50-139E-4C8A-B4CE-DD2145772301}"/>
    <cellStyle name="Comma 2 261 3 2 4" xfId="23849" xr:uid="{4D1BCA01-EA53-4B96-9AF6-512B46CE5498}"/>
    <cellStyle name="Comma 2 261 3 2 4 2" xfId="5628" xr:uid="{92110904-B800-4753-BDA7-BF0B23CCF712}"/>
    <cellStyle name="Comma 2 261 3 2 4 2 2" xfId="28" xr:uid="{3E3FDF46-A58E-4499-B67C-1BBA83903CEE}"/>
    <cellStyle name="Comma 2 261 3 2 4 2 2 2" xfId="4509" xr:uid="{371E523E-03A0-4F73-88A4-59D80AFE88F6}"/>
    <cellStyle name="Comma 2 261 3 2 4 2 3" xfId="5630" xr:uid="{5F470FAC-68E9-4507-BA07-85B0DAF7518C}"/>
    <cellStyle name="Comma 2 261 3 2 4 3" xfId="5633" xr:uid="{B5E74B2D-69C2-4384-A4A2-8D92D4659FB9}"/>
    <cellStyle name="Comma 2 261 3 2 4 3 2" xfId="5635" xr:uid="{92E8BB30-8158-406E-9E6C-88BBD68752F7}"/>
    <cellStyle name="Comma 2 261 3 2 4 4" xfId="5638" xr:uid="{762EA808-7A11-43D9-8D1E-2D876C88B6B1}"/>
    <cellStyle name="Comma 2 261 3 2 5" xfId="21467" xr:uid="{0622E5B9-2611-47AE-B63D-C2D89744CFB6}"/>
    <cellStyle name="Comma 2 261 3 2 5 2" xfId="654" xr:uid="{37069F5E-070C-4AC2-9EF4-699F6DF4C0F6}"/>
    <cellStyle name="Comma 2 261 3 2 5 2 2" xfId="5678" xr:uid="{1F44B243-39F5-4EF3-A7D8-94A520D3F0CC}"/>
    <cellStyle name="Comma 2 261 3 2 5 3" xfId="658" xr:uid="{48AE37C0-4587-4779-84C1-7100F59DB3D7}"/>
    <cellStyle name="Comma 2 261 3 2 6" xfId="21469" xr:uid="{58EA4145-5415-48BD-8EEA-8F218F4B2339}"/>
    <cellStyle name="Comma 2 261 3 2 6 2" xfId="5655" xr:uid="{C6BC31A7-DF91-420B-938C-FABD04741501}"/>
    <cellStyle name="Comma 2 261 3 2 7" xfId="21471" xr:uid="{04B2F160-F6E9-4563-AC38-084C3DB6223C}"/>
    <cellStyle name="Comma 2 261 3 2 8" xfId="23850" xr:uid="{26807998-27A6-433B-85C5-4EE7819C291C}"/>
    <cellStyle name="Comma 2 261 3 3" xfId="23853" xr:uid="{81DAB939-2BE5-4E95-BA86-8DEB91F7E72F}"/>
    <cellStyle name="Comma 2 261 3 3 2" xfId="23857" xr:uid="{A3B0221B-C738-4F9D-AE34-3559EB6DDA62}"/>
    <cellStyle name="Comma 2 261 3 3 2 2" xfId="23858" xr:uid="{EDDA0C3F-267C-4559-B83F-9BF5B955424C}"/>
    <cellStyle name="Comma 2 261 3 3 2 2 2" xfId="23860" xr:uid="{C68BD7D2-8C43-40D1-B300-315F62A0A2A7}"/>
    <cellStyle name="Comma 2 261 3 3 2 2 2 2" xfId="23865" xr:uid="{20DC4930-CC72-4F17-ADEA-0ED7C5BC1642}"/>
    <cellStyle name="Comma 2 261 3 3 2 2 2 2 2" xfId="23869" xr:uid="{A0A6EAF0-78F4-46AC-8377-BA61CBB244D9}"/>
    <cellStyle name="Comma 2 261 3 3 2 2 2 3" xfId="23873" xr:uid="{6984100F-7BAC-450A-B128-E830201D1FAF}"/>
    <cellStyle name="Comma 2 261 3 3 2 2 3" xfId="23875" xr:uid="{D0C21CBD-ABD6-4886-B486-1C105A126FC0}"/>
    <cellStyle name="Comma 2 261 3 3 2 2 3 2" xfId="23879" xr:uid="{9C5DF97D-C51E-4A1A-8415-8027D64AC99E}"/>
    <cellStyle name="Comma 2 261 3 3 2 2 4" xfId="23883" xr:uid="{4C87E200-00E9-4017-883D-6D6D99ED4EDD}"/>
    <cellStyle name="Comma 2 261 3 3 2 3" xfId="23884" xr:uid="{E2299AB1-3DE6-4970-8E23-9BCC2597CEC9}"/>
    <cellStyle name="Comma 2 261 3 3 2 3 2" xfId="23886" xr:uid="{7011295B-E575-4F12-A17D-86DE08CEEF12}"/>
    <cellStyle name="Comma 2 261 3 3 2 3 2 2" xfId="23890" xr:uid="{A0294868-12E8-4999-9E47-B5EB5EB2399B}"/>
    <cellStyle name="Comma 2 261 3 3 2 3 3" xfId="23892" xr:uid="{7F3D6192-48BB-4D68-AD02-8C10E2798429}"/>
    <cellStyle name="Comma 2 261 3 3 2 4" xfId="23893" xr:uid="{C3DCCB1A-8C73-4F48-907B-1503C2FA24B6}"/>
    <cellStyle name="Comma 2 261 3 3 2 4 2" xfId="23896" xr:uid="{92B13AC9-48A9-4A26-AA42-73F563162241}"/>
    <cellStyle name="Comma 2 261 3 3 2 5" xfId="23897" xr:uid="{1B6B902C-7941-40AB-BEE4-474B435C4D05}"/>
    <cellStyle name="Comma 2 261 3 3 3" xfId="23899" xr:uid="{459CB18D-BEA3-4885-B9CD-149697DBCC9A}"/>
    <cellStyle name="Comma 2 261 3 3 3 2" xfId="5786" xr:uid="{1159DEB7-1576-4E76-ABB4-9A79D837A45C}"/>
    <cellStyle name="Comma 2 261 3 3 3 2 2" xfId="5789" xr:uid="{CB652659-AD67-4B50-A294-A48948EA2223}"/>
    <cellStyle name="Comma 2 261 3 3 3 2 2 2" xfId="5800" xr:uid="{16470173-A380-40E2-B82D-4F86A2A586D8}"/>
    <cellStyle name="Comma 2 261 3 3 3 2 3" xfId="5812" xr:uid="{E0CFE50B-DEE5-45CB-A74D-964E9F542765}"/>
    <cellStyle name="Comma 2 261 3 3 3 3" xfId="5818" xr:uid="{FA98CFF1-31A3-45A5-9A99-2BDFAB1F4F93}"/>
    <cellStyle name="Comma 2 261 3 3 3 3 2" xfId="5822" xr:uid="{123E061C-7CEF-4B33-8808-E0CECD8208FE}"/>
    <cellStyle name="Comma 2 261 3 3 3 4" xfId="5828" xr:uid="{97557AB4-5B93-4985-8CBE-7F7EF05D690E}"/>
    <cellStyle name="Comma 2 261 3 3 4" xfId="23900" xr:uid="{89126549-8DDA-42D8-9E07-CF10104E7216}"/>
    <cellStyle name="Comma 2 261 3 3 4 2" xfId="5844" xr:uid="{C0AE7C70-81AB-4958-8688-C99585A9890E}"/>
    <cellStyle name="Comma 2 261 3 3 4 2 2" xfId="5847" xr:uid="{FE5957A3-47C6-49DE-9199-3E26147BB31D}"/>
    <cellStyle name="Comma 2 261 3 3 4 3" xfId="5852" xr:uid="{B48DC0EA-A230-49DE-9507-2177C5A8456D}"/>
    <cellStyle name="Comma 2 261 3 3 5" xfId="21474" xr:uid="{7E907DEC-1253-4D1C-9ACC-E309C7FFE071}"/>
    <cellStyle name="Comma 2 261 3 3 5 2" xfId="772" xr:uid="{6A3BBDEA-02AC-4FF4-B2B2-E825D30160E4}"/>
    <cellStyle name="Comma 2 261 3 3 6" xfId="21476" xr:uid="{896BAE9F-FD50-4B23-B049-38CD2BC72AB7}"/>
    <cellStyle name="Comma 2 261 3 3 7" xfId="23901" xr:uid="{5606D157-B160-42AB-8A7A-BD33E042B9A7}"/>
    <cellStyle name="Comma 2 261 3 4" xfId="23904" xr:uid="{7DC98C52-B186-4D5D-8909-12769472A0EA}"/>
    <cellStyle name="Comma 2 261 3 4 2" xfId="23905" xr:uid="{8C73491E-1AB8-471E-9CBE-8FE9BA71C56C}"/>
    <cellStyle name="Comma 2 261 3 4 2 2" xfId="23906" xr:uid="{E6333390-7446-49C3-A535-E48CBE98C342}"/>
    <cellStyle name="Comma 2 261 3 4 2 2 2" xfId="23908" xr:uid="{E36BB12A-B6B0-4E83-899E-2A61803D9A93}"/>
    <cellStyle name="Comma 2 261 3 4 2 2 2 2" xfId="3547" xr:uid="{88DBE0B1-FEF0-4D5A-8838-5296E6CAB802}"/>
    <cellStyle name="Comma 2 261 3 4 2 2 3" xfId="23910" xr:uid="{4139A71E-383D-4779-AC78-396A8FE6439C}"/>
    <cellStyle name="Comma 2 261 3 4 2 3" xfId="23911" xr:uid="{6F110BAC-F887-42EC-A3B3-3374B62D6C2A}"/>
    <cellStyle name="Comma 2 261 3 4 2 3 2" xfId="23913" xr:uid="{813832CE-A145-4E01-9220-C7B8C5C1452C}"/>
    <cellStyle name="Comma 2 261 3 4 2 4" xfId="23914" xr:uid="{99C93CA8-6BAF-4109-BBBF-4803CB166C1F}"/>
    <cellStyle name="Comma 2 261 3 4 3" xfId="13066" xr:uid="{A85B3D80-99BF-4FF5-9208-208E39D01BC4}"/>
    <cellStyle name="Comma 2 261 3 4 3 2" xfId="5915" xr:uid="{438C0D10-900A-46A5-9341-53A70D5DA758}"/>
    <cellStyle name="Comma 2 261 3 4 3 2 2" xfId="307" xr:uid="{730FD73B-471C-4196-A05C-6BD1116D76AA}"/>
    <cellStyle name="Comma 2 261 3 4 3 3" xfId="5919" xr:uid="{156EFACB-7AAC-45EA-9239-CF923B187B66}"/>
    <cellStyle name="Comma 2 261 3 4 4" xfId="23915" xr:uid="{CD5D7A8F-B9A2-4589-82F4-6330C4A061CF}"/>
    <cellStyle name="Comma 2 261 3 4 4 2" xfId="5934" xr:uid="{DA84E3EB-7683-4170-BCC9-226C8347F127}"/>
    <cellStyle name="Comma 2 261 3 4 5" xfId="21479" xr:uid="{4C7F3D6D-6122-47F9-B795-951E964A7449}"/>
    <cellStyle name="Comma 2 261 3 5" xfId="23916" xr:uid="{49040CD7-65F6-40CA-B0AA-BCD71C0132C1}"/>
    <cellStyle name="Comma 2 261 3 5 2" xfId="23918" xr:uid="{0C7FA440-75E8-4D55-8BDF-9248E02FA27C}"/>
    <cellStyle name="Comma 2 261 3 5 2 2" xfId="23919" xr:uid="{7E6B17A6-7112-479E-ABC8-CA6A241DF52D}"/>
    <cellStyle name="Comma 2 261 3 5 2 2 2" xfId="23921" xr:uid="{423E950B-D100-4E3C-8135-A6F0B48578B6}"/>
    <cellStyle name="Comma 2 261 3 5 2 3" xfId="23922" xr:uid="{6F312C31-3CA8-45E0-A038-27BBBAE28FC5}"/>
    <cellStyle name="Comma 2 261 3 5 3" xfId="23925" xr:uid="{8F1A9709-7B15-4966-9E5B-AB44D0AD4E7F}"/>
    <cellStyle name="Comma 2 261 3 5 3 2" xfId="5963" xr:uid="{F26403CF-BCDF-4290-8086-50FD19F937F1}"/>
    <cellStyle name="Comma 2 261 3 5 4" xfId="23928" xr:uid="{84DA89F4-1F5D-4FB0-9A27-554FC4345D68}"/>
    <cellStyle name="Comma 2 261 3 6" xfId="23929" xr:uid="{0A2B1C40-0027-4458-BF67-A5AD3AD451DF}"/>
    <cellStyle name="Comma 2 261 3 6 2" xfId="23930" xr:uid="{E137C8A6-F7E1-476C-93AB-F875A9E821E2}"/>
    <cellStyle name="Comma 2 261 3 6 2 2" xfId="23931" xr:uid="{6093110D-2A5F-44C4-93BA-28C21680DDC4}"/>
    <cellStyle name="Comma 2 261 3 6 3" xfId="23932" xr:uid="{8E126CE4-F321-4DEE-AF48-6ABE00294178}"/>
    <cellStyle name="Comma 2 261 3 7" xfId="16523" xr:uid="{EB0E6B43-2DC6-442F-932E-FEB5483A8E63}"/>
    <cellStyle name="Comma 2 261 3 7 2" xfId="23934" xr:uid="{F0E83D7E-796E-4D64-8A6E-2CD7D401F27A}"/>
    <cellStyle name="Comma 2 261 3 8" xfId="7368" xr:uid="{AAF2D97A-7768-43E8-90F7-E21AC162A78F}"/>
    <cellStyle name="Comma 2 261 3 9" xfId="23935" xr:uid="{4FC02BA5-D721-43FE-8269-77FAA7832750}"/>
    <cellStyle name="Comma 2 261 4" xfId="23936" xr:uid="{3E49A839-3725-4D5B-8CEB-EB43DF62634F}"/>
    <cellStyle name="Comma 2 261 4 2" xfId="23937" xr:uid="{6C886570-82C2-4F40-B53B-36C719CC564E}"/>
    <cellStyle name="Comma 2 261 4 2 2" xfId="23939" xr:uid="{627ED139-5F5D-4955-AF14-B40EA172D8D9}"/>
    <cellStyle name="Comma 2 261 4 2 2 2" xfId="23940" xr:uid="{32A5652D-FBED-48FD-8C8C-608E88C0EB66}"/>
    <cellStyle name="Comma 2 261 4 2 2 2 2" xfId="23941" xr:uid="{840B2AF7-119D-47B2-988F-7B2A8D6CCB89}"/>
    <cellStyle name="Comma 2 261 4 2 2 2 2 2" xfId="23946" xr:uid="{83C20FA9-F241-4622-88FD-AB9BB98C2CF0}"/>
    <cellStyle name="Comma 2 261 4 2 2 2 2 2 2" xfId="23950" xr:uid="{AD20D673-ED67-435C-A348-0345121A2395}"/>
    <cellStyle name="Comma 2 261 4 2 2 2 2 3" xfId="23956" xr:uid="{3EC0F773-3BF9-401A-B759-81D681EF7677}"/>
    <cellStyle name="Comma 2 261 4 2 2 2 3" xfId="23959" xr:uid="{D019A87F-EF59-4382-BE54-6485129ED997}"/>
    <cellStyle name="Comma 2 261 4 2 2 2 3 2" xfId="23964" xr:uid="{E871E1D7-4FA7-4E66-BC2A-DD954E2F8B05}"/>
    <cellStyle name="Comma 2 261 4 2 2 2 4" xfId="16159" xr:uid="{80C020EE-2A7B-48A0-AB01-BF566C2FF8D4}"/>
    <cellStyle name="Comma 2 261 4 2 2 3" xfId="23965" xr:uid="{37EAC991-A743-4F7E-A135-C414C5AC1CC1}"/>
    <cellStyle name="Comma 2 261 4 2 2 3 2" xfId="23966" xr:uid="{48390781-7141-4D10-A7F7-EA41B71D7450}"/>
    <cellStyle name="Comma 2 261 4 2 2 3 2 2" xfId="23970" xr:uid="{2D71A95E-CEEE-4DF0-B1EF-93BE1E8559B1}"/>
    <cellStyle name="Comma 2 261 4 2 2 3 3" xfId="23972" xr:uid="{9DF9089D-193E-4E78-98B1-594C8377C84A}"/>
    <cellStyle name="Comma 2 261 4 2 2 4" xfId="23973" xr:uid="{3F157D7D-C8AF-4447-B9DC-78AA5260919E}"/>
    <cellStyle name="Comma 2 261 4 2 2 4 2" xfId="23975" xr:uid="{73730784-343D-4FDE-839A-1B4700DF0F41}"/>
    <cellStyle name="Comma 2 261 4 2 2 5" xfId="23976" xr:uid="{D140B44C-36FA-45D7-A719-BC1A47A519FC}"/>
    <cellStyle name="Comma 2 261 4 2 3" xfId="23978" xr:uid="{0EF86F5C-F675-4B3C-8422-2EB4635A5524}"/>
    <cellStyle name="Comma 2 261 4 2 3 2" xfId="6037" xr:uid="{C27096CC-685A-47CD-B86C-12D685F50EF9}"/>
    <cellStyle name="Comma 2 261 4 2 3 2 2" xfId="6039" xr:uid="{62CD9B04-BEB5-49C7-8C49-EAB6C406F0A2}"/>
    <cellStyle name="Comma 2 261 4 2 3 2 2 2" xfId="6048" xr:uid="{F7B4E95E-9B9B-405F-9271-25EC4DEBC151}"/>
    <cellStyle name="Comma 2 261 4 2 3 2 3" xfId="6053" xr:uid="{30F1750D-4FE8-4250-BB7D-6052EE9C6881}"/>
    <cellStyle name="Comma 2 261 4 2 3 3" xfId="6058" xr:uid="{9BAD9F34-5D3F-4CF0-8D89-F1AFDC8F7E1B}"/>
    <cellStyle name="Comma 2 261 4 2 3 3 2" xfId="6060" xr:uid="{863F784D-1B76-40CA-A362-7F1814975CE7}"/>
    <cellStyle name="Comma 2 261 4 2 3 4" xfId="6067" xr:uid="{654A94F4-A075-41F1-988F-8F68600DF7AF}"/>
    <cellStyle name="Comma 2 261 4 2 4" xfId="23979" xr:uid="{5649C990-07E0-499E-8D71-39717C87E71B}"/>
    <cellStyle name="Comma 2 261 4 2 4 2" xfId="6088" xr:uid="{80C3E54D-A88E-4FBC-B4A3-4E8E0ADC336F}"/>
    <cellStyle name="Comma 2 261 4 2 4 2 2" xfId="6091" xr:uid="{8B13EB39-21EE-45EE-B071-128179FD2C41}"/>
    <cellStyle name="Comma 2 261 4 2 4 3" xfId="6099" xr:uid="{2C799A34-D265-4EB5-98D0-6969CB80A88E}"/>
    <cellStyle name="Comma 2 261 4 2 5" xfId="21493" xr:uid="{89A5C138-DC55-4E94-BE7E-5A459AA8FADB}"/>
    <cellStyle name="Comma 2 261 4 2 5 2" xfId="6120" xr:uid="{EAF23C78-0CBC-472D-99E1-0EA4D8F82DD5}"/>
    <cellStyle name="Comma 2 261 4 2 6" xfId="21495" xr:uid="{48F23C97-DA1B-4D03-A454-A1CBDD65A9C5}"/>
    <cellStyle name="Comma 2 261 4 2 7" xfId="23980" xr:uid="{5B57E8DD-B147-48DF-BC58-A57F72C87167}"/>
    <cellStyle name="Comma 2 261 4 3" xfId="22070" xr:uid="{0697EEF3-860B-4996-B469-069B7FEEF992}"/>
    <cellStyle name="Comma 2 261 4 3 2" xfId="22072" xr:uid="{BF0F9065-F52F-4936-8F73-A051C7B81BD5}"/>
    <cellStyle name="Comma 2 261 4 3 2 2" xfId="22075" xr:uid="{90A836DD-A00B-4C57-8D2D-10C3CD0AB35B}"/>
    <cellStyle name="Comma 2 261 4 3 2 2 2" xfId="23982" xr:uid="{DFF0E6BF-8401-4C42-84BF-D0ED43723963}"/>
    <cellStyle name="Comma 2 261 4 3 2 2 2 2" xfId="23987" xr:uid="{8E0E00FC-7BAF-44B5-8E28-E48A74596E33}"/>
    <cellStyle name="Comma 2 261 4 3 2 2 3" xfId="23990" xr:uid="{FBD6DF20-A646-4AC5-B3D6-16B13E8A8D9C}"/>
    <cellStyle name="Comma 2 261 4 3 2 3" xfId="23992" xr:uid="{79270CA1-5E1F-4837-8036-E5831A24A354}"/>
    <cellStyle name="Comma 2 261 4 3 2 3 2" xfId="23994" xr:uid="{E2C8AFC5-B94A-49E2-8D1A-91ED2CC64354}"/>
    <cellStyle name="Comma 2 261 4 3 2 4" xfId="23996" xr:uid="{B58AE278-8BF2-473E-AFDD-8155A3188BAA}"/>
    <cellStyle name="Comma 2 261 4 3 3" xfId="22077" xr:uid="{F74ECFD6-7FEB-46E1-9BB7-ADEB22B6A19F}"/>
    <cellStyle name="Comma 2 261 4 3 3 2" xfId="6198" xr:uid="{706C3FF7-D003-45DD-BBCF-45241E80E8F8}"/>
    <cellStyle name="Comma 2 261 4 3 3 2 2" xfId="6207" xr:uid="{C86AE3A0-4BE3-45F1-AE05-A0A0AA1AF025}"/>
    <cellStyle name="Comma 2 261 4 3 3 3" xfId="6225" xr:uid="{B7750B3B-B904-40DB-83BD-DC5C931AE223}"/>
    <cellStyle name="Comma 2 261 4 3 4" xfId="23997" xr:uid="{6607F7D3-49BF-496F-B3B4-E6D6442B06D3}"/>
    <cellStyle name="Comma 2 261 4 3 4 2" xfId="6254" xr:uid="{99F297F5-8863-44B2-BCC3-29C8E4A12A83}"/>
    <cellStyle name="Comma 2 261 4 3 5" xfId="21498" xr:uid="{DA68F900-0B5D-44F3-8987-1EC0726B4CFC}"/>
    <cellStyle name="Comma 2 261 4 4" xfId="22079" xr:uid="{0CCC52D6-5E95-4BD0-AF7C-953FC143EA91}"/>
    <cellStyle name="Comma 2 261 4 4 2" xfId="22081" xr:uid="{DF7AD6B4-EE05-4E2E-9C62-61FCB4A3A431}"/>
    <cellStyle name="Comma 2 261 4 4 2 2" xfId="23998" xr:uid="{79D499BF-364B-4C9C-BC41-6587F61E8196}"/>
    <cellStyle name="Comma 2 261 4 4 2 2 2" xfId="18863" xr:uid="{03FA2A80-BC36-455E-849C-B759AB374D8B}"/>
    <cellStyle name="Comma 2 261 4 4 2 3" xfId="23999" xr:uid="{BF4261FF-743A-4E8B-BFE8-9271E2ADB406}"/>
    <cellStyle name="Comma 2 261 4 4 3" xfId="24000" xr:uid="{DF6F1C39-894A-46F2-9157-D3305BB2C482}"/>
    <cellStyle name="Comma 2 261 4 4 3 2" xfId="2875" xr:uid="{FB06C90E-8EC1-4B30-8B35-9042D2E9BC13}"/>
    <cellStyle name="Comma 2 261 4 4 4" xfId="24001" xr:uid="{68AAC369-01BE-4DDA-84AA-339A5A226877}"/>
    <cellStyle name="Comma 2 261 4 5" xfId="22083" xr:uid="{63F6C4E3-11B7-4FA1-B84E-95EDF7728DF3}"/>
    <cellStyle name="Comma 2 261 4 5 2" xfId="24002" xr:uid="{10710FB4-839B-4EA3-91D7-28B411DE319F}"/>
    <cellStyle name="Comma 2 261 4 5 2 2" xfId="24003" xr:uid="{6EFCEC13-71CF-4AEC-BDEA-AF62E3778463}"/>
    <cellStyle name="Comma 2 261 4 5 3" xfId="24004" xr:uid="{19DA45D2-EF94-4B83-99F7-48B9CD56C72F}"/>
    <cellStyle name="Comma 2 261 4 6" xfId="24005" xr:uid="{C8F750EF-03EF-4245-A3F1-898363D42642}"/>
    <cellStyle name="Comma 2 261 4 6 2" xfId="24006" xr:uid="{04CB041A-5B41-47FB-8E07-A78E37BC7383}"/>
    <cellStyle name="Comma 2 261 4 7" xfId="24007" xr:uid="{5942A0AB-6267-4BB7-B194-910AF38F8F5C}"/>
    <cellStyle name="Comma 2 261 4 8" xfId="24008" xr:uid="{527BD1DA-A885-47D7-870A-1785E01B5217}"/>
    <cellStyle name="Comma 2 261 5" xfId="24009" xr:uid="{2EA93F53-B6B7-4D49-9DE1-FBD382ADA579}"/>
    <cellStyle name="Comma 2 261 5 2" xfId="24010" xr:uid="{85E8CACC-A53A-42EC-8EA7-8E71BBEDB373}"/>
    <cellStyle name="Comma 2 261 5 2 2" xfId="24011" xr:uid="{0C2652F2-48A6-43F7-B6BE-C073263D1813}"/>
    <cellStyle name="Comma 2 261 5 2 2 2" xfId="24012" xr:uid="{28F60A70-C0D5-4F1D-9DA9-81E952CBB080}"/>
    <cellStyle name="Comma 2 261 5 2 2 2 2" xfId="24013" xr:uid="{4B7C8D5B-640A-4AD0-9F2D-1D13E4B2068C}"/>
    <cellStyle name="Comma 2 261 5 2 2 2 2 2" xfId="24016" xr:uid="{4A559648-5F1C-44F6-8C04-0B106EFCFC4B}"/>
    <cellStyle name="Comma 2 261 5 2 2 2 3" xfId="24018" xr:uid="{345F8516-8504-4120-B447-0784B1AB9A4C}"/>
    <cellStyle name="Comma 2 261 5 2 2 3" xfId="24023" xr:uid="{2E39EB24-F734-45C1-BCB8-6D63BD4488C3}"/>
    <cellStyle name="Comma 2 261 5 2 2 3 2" xfId="24024" xr:uid="{7DF75645-827F-427A-8B3B-3EB6DF084AEE}"/>
    <cellStyle name="Comma 2 261 5 2 2 4" xfId="22444" xr:uid="{91BE0446-1E36-42F0-860E-B6E7F5131281}"/>
    <cellStyle name="Comma 2 261 5 2 3" xfId="24025" xr:uid="{E3E6B203-8A65-4F34-B571-EC7CBFF23137}"/>
    <cellStyle name="Comma 2 261 5 2 3 2" xfId="6339" xr:uid="{0B167E08-560F-4677-A018-DBD08903233A}"/>
    <cellStyle name="Comma 2 261 5 2 3 2 2" xfId="6341" xr:uid="{24C7902F-AADA-46E3-A986-696D9C515FB7}"/>
    <cellStyle name="Comma 2 261 5 2 3 3" xfId="6349" xr:uid="{34B3DF7A-6900-4770-812D-B8817CBBA446}"/>
    <cellStyle name="Comma 2 261 5 2 4" xfId="24026" xr:uid="{22E0B5D6-B7B7-46F5-BA92-E367BB23EFCC}"/>
    <cellStyle name="Comma 2 261 5 2 4 2" xfId="6366" xr:uid="{97D68091-7CD9-4C7D-9843-12F3C387ECC6}"/>
    <cellStyle name="Comma 2 261 5 2 5" xfId="21507" xr:uid="{9F675382-F746-4754-9415-AC110B308D63}"/>
    <cellStyle name="Comma 2 261 5 3" xfId="22088" xr:uid="{14B27E4A-E797-4BAA-A7AA-E16A36EEC0E4}"/>
    <cellStyle name="Comma 2 261 5 3 2" xfId="22090" xr:uid="{5803AA7D-A59C-4A4F-AE7B-DFCBCBD9A76D}"/>
    <cellStyle name="Comma 2 261 5 3 2 2" xfId="24027" xr:uid="{D544ADBD-F32C-458B-8B88-1F77A72A05FA}"/>
    <cellStyle name="Comma 2 261 5 3 2 2 2" xfId="24029" xr:uid="{CECA230B-F62B-4BDC-81D4-522CD18AFC92}"/>
    <cellStyle name="Comma 2 261 5 3 2 3" xfId="24030" xr:uid="{90624BFB-EF3B-405D-8A62-D74373304FAA}"/>
    <cellStyle name="Comma 2 261 5 3 3" xfId="24031" xr:uid="{15490BB3-0E05-4AB2-9C55-9C850B649F6E}"/>
    <cellStyle name="Comma 2 261 5 3 3 2" xfId="6421" xr:uid="{72D22179-6045-4760-A01E-E15B4295530A}"/>
    <cellStyle name="Comma 2 261 5 3 4" xfId="24032" xr:uid="{0A3D6F21-49DE-4B84-B150-4E6022B617E9}"/>
    <cellStyle name="Comma 2 261 5 4" xfId="22092" xr:uid="{65DACB79-C993-4E48-98F3-3545323D8324}"/>
    <cellStyle name="Comma 2 261 5 4 2" xfId="24033" xr:uid="{10E5E07E-AD4C-456E-ACC8-B278072B0967}"/>
    <cellStyle name="Comma 2 261 5 4 2 2" xfId="24034" xr:uid="{AC719060-A089-495E-9F9F-B907CD7973BB}"/>
    <cellStyle name="Comma 2 261 5 4 3" xfId="24035" xr:uid="{F2763856-114A-47A9-8338-75C6267E43DF}"/>
    <cellStyle name="Comma 2 261 5 5" xfId="24036" xr:uid="{2F763961-204D-4FD6-8AA9-0AE0139E2817}"/>
    <cellStyle name="Comma 2 261 5 5 2" xfId="24037" xr:uid="{DFCF2A2D-5EB9-4E92-A841-4BBBA473B816}"/>
    <cellStyle name="Comma 2 261 5 6" xfId="24038" xr:uid="{9939AEA3-249C-4CE0-8CDD-58E2CCD92979}"/>
    <cellStyle name="Comma 2 261 5 7" xfId="24039" xr:uid="{F07B3318-0F52-4FFF-8A2D-82267A767056}"/>
    <cellStyle name="Comma 2 261 6" xfId="6448" xr:uid="{E93DAA6A-D93A-4D94-8C27-C91E9D19E1B8}"/>
    <cellStyle name="Comma 2 261 6 2" xfId="24040" xr:uid="{49B4BB19-0F9D-4678-AF9F-00C759D93480}"/>
    <cellStyle name="Comma 2 261 6 2 2" xfId="24041" xr:uid="{855E740C-F464-4EBD-9CBD-21C9329EA938}"/>
    <cellStyle name="Comma 2 261 6 2 2 2" xfId="24042" xr:uid="{01BCF5DC-0116-4461-AF7E-86EA5E3084B8}"/>
    <cellStyle name="Comma 2 261 6 2 2 2 2" xfId="24046" xr:uid="{5FC69B61-8FA4-421C-ABDD-DC8C8045BBA6}"/>
    <cellStyle name="Comma 2 261 6 2 2 3" xfId="24047" xr:uid="{1FE4DD69-E777-4C94-A6E8-A97283CF7BCD}"/>
    <cellStyle name="Comma 2 261 6 2 3" xfId="24048" xr:uid="{74476EC6-87F7-48C8-95A0-DDF1EF8CDB67}"/>
    <cellStyle name="Comma 2 261 6 2 3 2" xfId="6467" xr:uid="{3200DE1E-1455-474C-8902-0AD59C110BAF}"/>
    <cellStyle name="Comma 2 261 6 2 4" xfId="24049" xr:uid="{E13C5E65-0242-4EC4-8B13-AC4ABD87AC20}"/>
    <cellStyle name="Comma 2 261 6 3" xfId="22095" xr:uid="{E3C6EF38-D980-4078-B06D-71B401E0ADCC}"/>
    <cellStyle name="Comma 2 261 6 3 2" xfId="24050" xr:uid="{AF128978-927E-4791-966B-C0F4CE3F0FFC}"/>
    <cellStyle name="Comma 2 261 6 3 2 2" xfId="24051" xr:uid="{6EC234B6-A910-4ABD-A891-0EF09BF6F8E9}"/>
    <cellStyle name="Comma 2 261 6 3 3" xfId="24052" xr:uid="{C0FCF346-275F-42EE-AB98-B4C2721CB9B4}"/>
    <cellStyle name="Comma 2 261 6 4" xfId="24053" xr:uid="{0D227FF3-7B06-4205-8E96-5C61092A77BA}"/>
    <cellStyle name="Comma 2 261 6 4 2" xfId="24054" xr:uid="{539687AE-F563-4551-B129-26A8794E5FF7}"/>
    <cellStyle name="Comma 2 261 6 5" xfId="24057" xr:uid="{FAE7FE4C-07E9-4830-8FF0-F6C708C82135}"/>
    <cellStyle name="Comma 2 261 7" xfId="24058" xr:uid="{741FF617-3E0E-4A13-8C16-4BEC7A503904}"/>
    <cellStyle name="Comma 2 261 7 2" xfId="24059" xr:uid="{95070F8D-6933-42B4-BDC6-E139F7EB3BFB}"/>
    <cellStyle name="Comma 2 261 7 2 2" xfId="24060" xr:uid="{A2BB4C2C-ACB4-4CBD-9F5E-AE5958001DAC}"/>
    <cellStyle name="Comma 2 261 7 2 2 2" xfId="24061" xr:uid="{CFDD94B9-4195-498F-8C5C-98D96BF9B1E1}"/>
    <cellStyle name="Comma 2 261 7 2 3" xfId="24062" xr:uid="{53AFD659-630C-4AD9-AD54-9684E3A3A73E}"/>
    <cellStyle name="Comma 2 261 7 3" xfId="24063" xr:uid="{13CD7BBF-E830-42D7-9D56-EB446B5D3211}"/>
    <cellStyle name="Comma 2 261 7 3 2" xfId="24064" xr:uid="{874B2451-0FA9-4E79-97D4-AFBA50E01810}"/>
    <cellStyle name="Comma 2 261 7 4" xfId="24066" xr:uid="{2791724F-C79F-485F-BD13-36EEE0A9BF4E}"/>
    <cellStyle name="Comma 2 261 8" xfId="24067" xr:uid="{3E87865D-3E40-42D8-B438-9A8752B89C38}"/>
    <cellStyle name="Comma 2 261 8 2" xfId="24068" xr:uid="{BFECDF6D-50BB-420C-92B9-686C798EC289}"/>
    <cellStyle name="Comma 2 261 8 2 2" xfId="6000" xr:uid="{0C17327A-EEAD-4323-9D8E-A223D1D70E28}"/>
    <cellStyle name="Comma 2 261 8 3" xfId="24069" xr:uid="{AFFF64E7-D4E2-444F-B634-25EADB7B2C30}"/>
    <cellStyle name="Comma 2 261 9" xfId="24070" xr:uid="{9F73B45E-6CF5-4B29-8D8A-614627203E4D}"/>
    <cellStyle name="Comma 2 261 9 2" xfId="24071" xr:uid="{C59A12E4-606B-43C5-9124-AA62D75D92BD}"/>
    <cellStyle name="Comma 2 262" xfId="14159" xr:uid="{2A1447D3-1760-40FD-BCC9-177C4532E7F7}"/>
    <cellStyle name="Comma 2 262 10" xfId="24073" xr:uid="{208F647D-24E2-4748-955C-4D2460D827D0}"/>
    <cellStyle name="Comma 2 262 2" xfId="14162" xr:uid="{A6D166B3-73ED-4DC3-8251-8AD2E66DFC67}"/>
    <cellStyle name="Comma 2 262 2 2" xfId="24076" xr:uid="{3225F2E3-886B-4ED0-B107-EEA24B9705F5}"/>
    <cellStyle name="Comma 2 262 2 2 2" xfId="24080" xr:uid="{F086734A-A9E0-4D2F-A6E0-D830D4ABA00B}"/>
    <cellStyle name="Comma 2 262 2 2 2 2" xfId="24081" xr:uid="{34E7C544-D3B9-49D9-895C-AF899B3FD269}"/>
    <cellStyle name="Comma 2 262 2 2 2 2 2" xfId="24082" xr:uid="{8C55111B-029A-4D0F-9818-B4EA61F6DC3C}"/>
    <cellStyle name="Comma 2 262 2 2 2 2 2 2" xfId="24084" xr:uid="{78EE0E3A-A523-4449-BE26-979571BD52C7}"/>
    <cellStyle name="Comma 2 262 2 2 2 2 2 2 2" xfId="16465" xr:uid="{23709AAE-D79A-405C-8532-6DC591A709CC}"/>
    <cellStyle name="Comma 2 262 2 2 2 2 2 2 2 2" xfId="16468" xr:uid="{AD07ECDA-8AE6-4872-B867-6E3B8B9FEF16}"/>
    <cellStyle name="Comma 2 262 2 2 2 2 2 2 3" xfId="16470" xr:uid="{CF7DDD9E-8B73-4B74-8BD1-2D514FC39DC0}"/>
    <cellStyle name="Comma 2 262 2 2 2 2 2 3" xfId="24086" xr:uid="{634123F0-A43D-4803-9146-77501F345481}"/>
    <cellStyle name="Comma 2 262 2 2 2 2 2 3 2" xfId="16478" xr:uid="{62B30280-1392-4499-9A93-63AAFBAEED97}"/>
    <cellStyle name="Comma 2 262 2 2 2 2 2 4" xfId="20970" xr:uid="{4B235A85-95F8-4570-9909-01CE3E45944D}"/>
    <cellStyle name="Comma 2 262 2 2 2 2 3" xfId="24087" xr:uid="{A39FC62B-14DD-476D-A885-D61903F2853E}"/>
    <cellStyle name="Comma 2 262 2 2 2 2 3 2" xfId="24088" xr:uid="{1FC5DFDF-E098-4F2C-96FF-292938426E64}"/>
    <cellStyle name="Comma 2 262 2 2 2 2 3 2 2" xfId="16490" xr:uid="{4B2B0BBA-E95B-4F8C-8972-219FFF705D54}"/>
    <cellStyle name="Comma 2 262 2 2 2 2 3 3" xfId="24089" xr:uid="{128B38C2-F474-4BED-9FC0-B27AE1A9E1F9}"/>
    <cellStyle name="Comma 2 262 2 2 2 2 4" xfId="7138" xr:uid="{0EE084F3-2350-43E4-AC40-E51A5F89DC3F}"/>
    <cellStyle name="Comma 2 262 2 2 2 2 4 2" xfId="24090" xr:uid="{769EAE28-7ED6-4AD6-9F1D-B5E7F700E4B9}"/>
    <cellStyle name="Comma 2 262 2 2 2 2 5" xfId="24091" xr:uid="{E46E5E48-9366-49EB-8BFC-A8CECCC663AA}"/>
    <cellStyle name="Comma 2 262 2 2 2 3" xfId="24092" xr:uid="{CFCA5EB0-39C6-4292-B88E-C44CB8C66D74}"/>
    <cellStyle name="Comma 2 262 2 2 2 3 2" xfId="24093" xr:uid="{A83A65F0-BFC1-47C6-893C-473C6260C4B5}"/>
    <cellStyle name="Comma 2 262 2 2 2 3 2 2" xfId="24094" xr:uid="{A37CFD75-B493-4F9A-909E-E6CB3B1A7368}"/>
    <cellStyle name="Comma 2 262 2 2 2 3 2 2 2" xfId="16579" xr:uid="{BE31ADCC-6022-4C98-A3E2-CFDE9CD96A51}"/>
    <cellStyle name="Comma 2 262 2 2 2 3 2 3" xfId="24095" xr:uid="{DEE6535A-D297-4D52-95E5-E681AC5BFA45}"/>
    <cellStyle name="Comma 2 262 2 2 2 3 3" xfId="24096" xr:uid="{32700536-E7E7-4E8D-B0D4-1E2E13308670}"/>
    <cellStyle name="Comma 2 262 2 2 2 3 3 2" xfId="24097" xr:uid="{E870C70F-50B6-423E-87DE-E0ED3CF5F6F7}"/>
    <cellStyle name="Comma 2 262 2 2 2 3 4" xfId="24099" xr:uid="{FF7EB83E-4043-44BA-9865-754F683CDD7D}"/>
    <cellStyle name="Comma 2 262 2 2 2 4" xfId="24101" xr:uid="{8987F69A-D5FF-41D3-924B-9F33DA8F13D4}"/>
    <cellStyle name="Comma 2 262 2 2 2 4 2" xfId="20934" xr:uid="{D7E2B2DD-F0E5-4366-84C0-AE821869E7D5}"/>
    <cellStyle name="Comma 2 262 2 2 2 4 2 2" xfId="24102" xr:uid="{FD42E1A8-81D4-43EF-8CD4-122D74EE9181}"/>
    <cellStyle name="Comma 2 262 2 2 2 4 3" xfId="24103" xr:uid="{0AAA029D-8BF4-488C-9553-69AF0A67DE9F}"/>
    <cellStyle name="Comma 2 262 2 2 2 5" xfId="24104" xr:uid="{53A628BD-DEFA-4611-B684-8C60F2619D3B}"/>
    <cellStyle name="Comma 2 262 2 2 2 5 2" xfId="24105" xr:uid="{83AC7236-A88C-4544-9988-8F6F15EC97B2}"/>
    <cellStyle name="Comma 2 262 2 2 2 6" xfId="24106" xr:uid="{FAFBBB11-F4C6-46BE-9932-55F8232276C5}"/>
    <cellStyle name="Comma 2 262 2 2 2 7" xfId="24107" xr:uid="{A9A0C3EA-0ADC-4BA2-B3AB-C53B91D23F97}"/>
    <cellStyle name="Comma 2 262 2 2 3" xfId="24111" xr:uid="{E844F93A-F8D4-4A06-9739-AF0CFF3B8674}"/>
    <cellStyle name="Comma 2 262 2 2 3 2" xfId="1380" xr:uid="{B72DBFD6-9607-40B1-B502-50AAC1CD0F37}"/>
    <cellStyle name="Comma 2 262 2 2 3 2 2" xfId="6959" xr:uid="{C85F0BFB-EB65-4006-BC83-5639C446FDF0}"/>
    <cellStyle name="Comma 2 262 2 2 3 2 2 2" xfId="5858" xr:uid="{14E241FC-7E6D-423D-8B12-470D5D83E788}"/>
    <cellStyle name="Comma 2 262 2 2 3 2 2 2 2" xfId="6961" xr:uid="{417929C7-B96A-453D-B187-C156E2C3FB6E}"/>
    <cellStyle name="Comma 2 262 2 2 3 2 2 3" xfId="1726" xr:uid="{B947BB72-CAAA-48E8-BB8E-1162DC47BDD0}"/>
    <cellStyle name="Comma 2 262 2 2 3 2 3" xfId="6964" xr:uid="{AEA6179A-D88F-40C3-99C7-42B90A814778}"/>
    <cellStyle name="Comma 2 262 2 2 3 2 3 2" xfId="789" xr:uid="{138BFA87-9188-468B-BB9C-B2DF5B37FE10}"/>
    <cellStyle name="Comma 2 262 2 2 3 2 4" xfId="6969" xr:uid="{D91C8D70-D687-4D26-9DA6-38544A610818}"/>
    <cellStyle name="Comma 2 262 2 2 3 3" xfId="1383" xr:uid="{1606CF11-1651-46AE-919B-3D2B2AA99D7F}"/>
    <cellStyle name="Comma 2 262 2 2 3 3 2" xfId="3622" xr:uid="{AED75D97-159E-411E-9C14-389F52AF78CB}"/>
    <cellStyle name="Comma 2 262 2 2 3 3 2 2" xfId="3628" xr:uid="{8726CCE2-5638-49C8-BDC4-CD34B24ABA74}"/>
    <cellStyle name="Comma 2 262 2 2 3 3 3" xfId="3633" xr:uid="{2D7C4BB7-3ED5-418E-A9CE-58C4EB3FD77D}"/>
    <cellStyle name="Comma 2 262 2 2 3 4" xfId="1386" xr:uid="{091A0EFD-292C-462D-92BD-BF37B42B2548}"/>
    <cellStyle name="Comma 2 262 2 2 3 4 2" xfId="3653" xr:uid="{94087B21-12BE-48A6-ACAA-C9CD55D6204F}"/>
    <cellStyle name="Comma 2 262 2 2 3 5" xfId="1390" xr:uid="{A246486F-0758-4450-ABAD-1273FFEE0713}"/>
    <cellStyle name="Comma 2 262 2 2 4" xfId="24114" xr:uid="{6121B827-6966-4299-9226-BBDDE2963C05}"/>
    <cellStyle name="Comma 2 262 2 2 4 2" xfId="6976" xr:uid="{97FF0578-ABAD-4B41-BC25-BFCFBC50099E}"/>
    <cellStyle name="Comma 2 262 2 2 4 2 2" xfId="6978" xr:uid="{BCD6B239-E657-4480-93F1-712ED9A27025}"/>
    <cellStyle name="Comma 2 262 2 2 4 2 2 2" xfId="6667" xr:uid="{7DAC5712-C039-40CD-81B0-E6D4E2276EF7}"/>
    <cellStyle name="Comma 2 262 2 2 4 2 3" xfId="6980" xr:uid="{97FD5478-7771-434D-9277-C3943B8EA504}"/>
    <cellStyle name="Comma 2 262 2 2 4 3" xfId="6982" xr:uid="{9A92C22C-3EED-4963-8496-37E8CD10D32B}"/>
    <cellStyle name="Comma 2 262 2 2 4 3 2" xfId="3710" xr:uid="{8234DB27-1A4A-4615-91EE-77E9A4FF557C}"/>
    <cellStyle name="Comma 2 262 2 2 4 4" xfId="6984" xr:uid="{CB909DBC-0911-4374-BC7E-D31AD16EC679}"/>
    <cellStyle name="Comma 2 262 2 2 5" xfId="24118" xr:uid="{FC0434D4-B15B-49FA-B5A3-1E1EC9483CC3}"/>
    <cellStyle name="Comma 2 262 2 2 5 2" xfId="6992" xr:uid="{667F5705-C52A-4535-8429-509533927A03}"/>
    <cellStyle name="Comma 2 262 2 2 5 2 2" xfId="6994" xr:uid="{6FA39B12-B097-42A5-9D58-DA2D9A06CDA6}"/>
    <cellStyle name="Comma 2 262 2 2 5 3" xfId="6996" xr:uid="{9C26CB22-F2BE-4107-93D7-14EAAA525ABC}"/>
    <cellStyle name="Comma 2 262 2 2 6" xfId="24121" xr:uid="{0F61BF85-1B25-495C-8938-94E71C54E7D0}"/>
    <cellStyle name="Comma 2 262 2 2 6 2" xfId="7001" xr:uid="{CFD6BA02-5381-4FC2-9733-1D29E9DBAE9A}"/>
    <cellStyle name="Comma 2 262 2 2 7" xfId="24124" xr:uid="{A1817731-5DD5-4977-963C-47EB56264987}"/>
    <cellStyle name="Comma 2 262 2 2 8" xfId="24127" xr:uid="{89040744-E954-4E15-99C5-D45288EB9278}"/>
    <cellStyle name="Comma 2 262 2 3" xfId="24132" xr:uid="{698C9A3E-5C29-47C7-9D89-E7D06F23C4EC}"/>
    <cellStyle name="Comma 2 262 2 3 2" xfId="24139" xr:uid="{13936659-F51B-4FA1-BE89-CF1E7BA58ED7}"/>
    <cellStyle name="Comma 2 262 2 3 2 2" xfId="24140" xr:uid="{ACFEFF4A-805E-43EA-AD57-A9E094482C9F}"/>
    <cellStyle name="Comma 2 262 2 3 2 2 2" xfId="24145" xr:uid="{A1E5E90B-9037-4EF4-9D32-91F157AC0F71}"/>
    <cellStyle name="Comma 2 262 2 3 2 2 2 2" xfId="8322" xr:uid="{D1A8EA11-91D4-4773-A507-708DC4BD5399}"/>
    <cellStyle name="Comma 2 262 2 3 2 2 2 2 2" xfId="8330" xr:uid="{0F48DE09-1CCD-4EC2-9E06-4DCA5537B0AB}"/>
    <cellStyle name="Comma 2 262 2 3 2 2 2 3" xfId="887" xr:uid="{23FE2487-FED6-48C2-B8FE-09D3662D73B0}"/>
    <cellStyle name="Comma 2 262 2 3 2 2 3" xfId="24152" xr:uid="{538155C3-0664-4B5D-8486-E36DB7C28110}"/>
    <cellStyle name="Comma 2 262 2 3 2 2 3 2" xfId="9287" xr:uid="{9AE5C89D-6B94-48CF-A935-79B7618D9CA0}"/>
    <cellStyle name="Comma 2 262 2 3 2 2 4" xfId="24162" xr:uid="{C8DCCF24-09EE-4D80-9B81-40E4BB2C3DD6}"/>
    <cellStyle name="Comma 2 262 2 3 2 3" xfId="24163" xr:uid="{94C4CC32-AD44-423C-9443-7F7083478653}"/>
    <cellStyle name="Comma 2 262 2 3 2 3 2" xfId="24168" xr:uid="{81798D81-FA0F-4531-9DAE-BFF20BB98DBA}"/>
    <cellStyle name="Comma 2 262 2 3 2 3 2 2" xfId="11849" xr:uid="{AECB8EF2-2744-40E6-AF33-CBEE54891126}"/>
    <cellStyle name="Comma 2 262 2 3 2 3 3" xfId="24177" xr:uid="{C02632DA-6458-4E36-A74A-9E7743025949}"/>
    <cellStyle name="Comma 2 262 2 3 2 4" xfId="24186" xr:uid="{4AC6DC42-3231-4CEF-9403-D34A6D924413}"/>
    <cellStyle name="Comma 2 262 2 3 2 4 2" xfId="24191" xr:uid="{672C5109-13AC-42CB-9582-56BD474B5FE7}"/>
    <cellStyle name="Comma 2 262 2 3 2 5" xfId="23546" xr:uid="{B853B127-C739-46C3-88EE-8AD2F59A4D50}"/>
    <cellStyle name="Comma 2 262 2 3 3" xfId="24201" xr:uid="{DE59AA27-9751-4CCF-8647-23756B6BA59D}"/>
    <cellStyle name="Comma 2 262 2 3 3 2" xfId="7013" xr:uid="{EE5CA728-CFC3-4017-AF4A-9D620B901A34}"/>
    <cellStyle name="Comma 2 262 2 3 3 2 2" xfId="4550" xr:uid="{4E483E7D-BFBA-4C4A-8BFD-41C53876EE09}"/>
    <cellStyle name="Comma 2 262 2 3 3 2 2 2" xfId="4559" xr:uid="{2B47FE63-B883-4BB4-9B82-63112F5ADCE4}"/>
    <cellStyle name="Comma 2 262 2 3 3 2 3" xfId="4572" xr:uid="{89D3C147-9305-43A2-A356-22CD4738F125}"/>
    <cellStyle name="Comma 2 262 2 3 3 3" xfId="7015" xr:uid="{24EC1C24-DDAA-46A8-B836-6266355C7BBA}"/>
    <cellStyle name="Comma 2 262 2 3 3 3 2" xfId="3822" xr:uid="{2A4C9652-81AD-40C0-B3E2-9D14C5008F34}"/>
    <cellStyle name="Comma 2 262 2 3 3 4" xfId="7017" xr:uid="{D82C0E08-ABC5-42C7-AFC2-54B5C43D7532}"/>
    <cellStyle name="Comma 2 262 2 3 4" xfId="24204" xr:uid="{E1075735-0682-474C-B494-3F7E081E0B7D}"/>
    <cellStyle name="Comma 2 262 2 3 4 2" xfId="7035" xr:uid="{39B53FFB-2DBD-49C7-BD69-F0CA6CA6D1DC}"/>
    <cellStyle name="Comma 2 262 2 3 4 2 2" xfId="877" xr:uid="{9A3FADD3-99BD-4352-9D5F-9691DA492A97}"/>
    <cellStyle name="Comma 2 262 2 3 4 3" xfId="7041" xr:uid="{4897812C-3528-4DBF-B83A-95B33056359F}"/>
    <cellStyle name="Comma 2 262 2 3 5" xfId="24206" xr:uid="{E53E2EF5-837B-4894-8EFE-D77553E6F0CD}"/>
    <cellStyle name="Comma 2 262 2 3 5 2" xfId="7050" xr:uid="{4EE8A20F-F600-433A-9976-53B750C5B0EE}"/>
    <cellStyle name="Comma 2 262 2 3 6" xfId="24208" xr:uid="{A7DAC7CB-F561-4A3C-BF9F-49ABF36AF60B}"/>
    <cellStyle name="Comma 2 262 2 3 7" xfId="24210" xr:uid="{BE5FB610-232B-4D39-B1A6-A2605ED9B2CB}"/>
    <cellStyle name="Comma 2 262 2 4" xfId="3849" xr:uid="{2F0DA8FF-7EBB-4C74-A333-2FA4C7BCD354}"/>
    <cellStyle name="Comma 2 262 2 4 2" xfId="5153" xr:uid="{B52BCF8B-81EE-4C52-AA72-36C2B27C45DC}"/>
    <cellStyle name="Comma 2 262 2 4 2 2" xfId="24212" xr:uid="{EDBDB24E-543B-4A69-9CC5-81E29DEA72A8}"/>
    <cellStyle name="Comma 2 262 2 4 2 2 2" xfId="22236" xr:uid="{56448659-16BC-422F-A8A0-37F86AA06115}"/>
    <cellStyle name="Comma 2 262 2 4 2 2 2 2" xfId="22241" xr:uid="{D2165E70-92B3-454F-B618-C5EFED5E1A14}"/>
    <cellStyle name="Comma 2 262 2 4 2 2 3" xfId="22245" xr:uid="{DB61CEC8-F698-4FB5-A03B-47E992E041EE}"/>
    <cellStyle name="Comma 2 262 2 4 2 3" xfId="24214" xr:uid="{641C4BCF-016F-4516-B01A-CD259ADCF80E}"/>
    <cellStyle name="Comma 2 262 2 4 2 3 2" xfId="22295" xr:uid="{1410274E-FB70-4A0E-B1E6-4D80A7A5D606}"/>
    <cellStyle name="Comma 2 262 2 4 2 4" xfId="24215" xr:uid="{740E177D-BEED-4C98-92DA-E597FCC0A5BD}"/>
    <cellStyle name="Comma 2 262 2 4 3" xfId="24218" xr:uid="{4DFF4829-6E5D-434D-8B5E-219D333E7954}"/>
    <cellStyle name="Comma 2 262 2 4 3 2" xfId="7064" xr:uid="{7B1EDBC7-9D9A-40B9-A60E-560228CBEA79}"/>
    <cellStyle name="Comma 2 262 2 4 3 2 2" xfId="5016" xr:uid="{DBFA8DC6-BE9D-4075-99C4-386F6701DFEE}"/>
    <cellStyle name="Comma 2 262 2 4 3 3" xfId="7066" xr:uid="{6969F35F-48E4-41FE-8F9F-DCA3C8E752D8}"/>
    <cellStyle name="Comma 2 262 2 4 4" xfId="24219" xr:uid="{5F8945E1-DF62-4A2D-83B8-53972EF9DBEB}"/>
    <cellStyle name="Comma 2 262 2 4 4 2" xfId="7070" xr:uid="{5ED5177E-F5FA-4E85-B040-CFA6F4D955F7}"/>
    <cellStyle name="Comma 2 262 2 4 5" xfId="24220" xr:uid="{48CBEC4C-4B55-4EBD-8B76-94232C225D0C}"/>
    <cellStyle name="Comma 2 262 2 5" xfId="5162" xr:uid="{FA15AC0E-0CFD-4CB3-8EAA-D3186270FD85}"/>
    <cellStyle name="Comma 2 262 2 5 2" xfId="24222" xr:uid="{216C0A42-24DE-4CC5-A8A2-E7CC50561BB1}"/>
    <cellStyle name="Comma 2 262 2 5 2 2" xfId="24223" xr:uid="{5CF2E763-8D0B-407A-8930-BBD305AA9594}"/>
    <cellStyle name="Comma 2 262 2 5 2 2 2" xfId="22516" xr:uid="{DEBC26AC-2E74-403C-8B89-17450CE9F6D0}"/>
    <cellStyle name="Comma 2 262 2 5 2 3" xfId="24226" xr:uid="{D68EA3AE-7271-42B9-AB15-CD327A23670E}"/>
    <cellStyle name="Comma 2 262 2 5 3" xfId="24228" xr:uid="{A3772E95-9E8C-4C5F-AE7F-FCE1E908FCBE}"/>
    <cellStyle name="Comma 2 262 2 5 3 2" xfId="2238" xr:uid="{D27817C9-675F-427D-92EB-466FABD28547}"/>
    <cellStyle name="Comma 2 262 2 5 4" xfId="24229" xr:uid="{88F56C09-0F8A-48AC-8D0B-F927C61303C9}"/>
    <cellStyle name="Comma 2 262 2 6" xfId="24232" xr:uid="{E22053F5-E4B3-4382-B25E-5B6B5261D8D5}"/>
    <cellStyle name="Comma 2 262 2 6 2" xfId="24234" xr:uid="{5FBBDF55-89C6-4D99-91A2-B29589FF7670}"/>
    <cellStyle name="Comma 2 262 2 6 2 2" xfId="24235" xr:uid="{8181A4C1-4025-4166-9FFD-BE5E5C8E7D64}"/>
    <cellStyle name="Comma 2 262 2 6 3" xfId="24237" xr:uid="{11753674-6075-426D-8763-BF6ACF9BB70D}"/>
    <cellStyle name="Comma 2 262 2 7" xfId="24238" xr:uid="{5410FD32-2DE7-453A-AF09-9C9C7FD9A6A2}"/>
    <cellStyle name="Comma 2 262 2 7 2" xfId="24240" xr:uid="{DC617974-F751-4491-A811-679691DFC14F}"/>
    <cellStyle name="Comma 2 262 2 8" xfId="7376" xr:uid="{1747D1E3-DC62-474E-A0C4-48CAE527C1DF}"/>
    <cellStyle name="Comma 2 262 2 9" xfId="24241" xr:uid="{33185DC0-DF56-4F47-8DAF-0A6AFD7E382C}"/>
    <cellStyle name="Comma 2 262 3" xfId="24242" xr:uid="{A96ECBBB-DEE6-4151-9E37-F5EDEBA7013C}"/>
    <cellStyle name="Comma 2 262 3 2" xfId="1973" xr:uid="{27CA66D9-783B-40C1-BD71-EB4232BD61AB}"/>
    <cellStyle name="Comma 2 262 3 2 2" xfId="1979" xr:uid="{A3CC336D-B07E-454C-8ECB-A470416DEFD2}"/>
    <cellStyle name="Comma 2 262 3 2 2 2" xfId="24243" xr:uid="{D999CF2D-B2ED-427B-8BFF-CC904A9C7350}"/>
    <cellStyle name="Comma 2 262 3 2 2 2 2" xfId="24244" xr:uid="{1CD48261-6451-4411-A95D-D498746A77C5}"/>
    <cellStyle name="Comma 2 262 3 2 2 2 2 2" xfId="24245" xr:uid="{26703294-0944-4477-8D8A-F3CFBD10ECED}"/>
    <cellStyle name="Comma 2 262 3 2 2 2 2 2 2" xfId="24247" xr:uid="{0B524F1B-B872-4AEC-8357-DA5A311AA453}"/>
    <cellStyle name="Comma 2 262 3 2 2 2 2 3" xfId="24248" xr:uid="{F093C268-21D4-4BC5-9782-E612588205F0}"/>
    <cellStyle name="Comma 2 262 3 2 2 2 3" xfId="24249" xr:uid="{9B0D5324-7595-4079-8B2B-A953CD8B4E43}"/>
    <cellStyle name="Comma 2 262 3 2 2 2 3 2" xfId="24250" xr:uid="{09AE5703-DD7F-436F-8539-DC0D84AC94CD}"/>
    <cellStyle name="Comma 2 262 3 2 2 2 4" xfId="24251" xr:uid="{3C256E59-2D3C-4CD4-A059-DD33C9A48739}"/>
    <cellStyle name="Comma 2 262 3 2 2 3" xfId="9424" xr:uid="{114FB34A-6FCD-40BA-9453-A8B00CA4720A}"/>
    <cellStyle name="Comma 2 262 3 2 2 3 2" xfId="24252" xr:uid="{7C7A19F4-3A03-4878-B936-AF448F6FFA92}"/>
    <cellStyle name="Comma 2 262 3 2 2 3 2 2" xfId="24253" xr:uid="{671C84F5-0301-421D-8CF8-17A1C330F1D6}"/>
    <cellStyle name="Comma 2 262 3 2 2 3 3" xfId="24254" xr:uid="{D6658E59-D246-4869-A335-2CDEBF07358D}"/>
    <cellStyle name="Comma 2 262 3 2 2 4" xfId="24255" xr:uid="{1BDD7397-512A-407D-869A-EDBE5EBAB4E2}"/>
    <cellStyle name="Comma 2 262 3 2 2 4 2" xfId="24257" xr:uid="{60F06FD6-B9FD-4B68-A132-73BB30BE2736}"/>
    <cellStyle name="Comma 2 262 3 2 2 5" xfId="24258" xr:uid="{605ACE6E-492F-4702-AE66-FF0D99BFC9EB}"/>
    <cellStyle name="Comma 2 262 3 2 3" xfId="24261" xr:uid="{C0B19A7E-70C5-46E3-913F-87DB68F26DC5}"/>
    <cellStyle name="Comma 2 262 3 2 3 2" xfId="2302" xr:uid="{B386E42F-E1D8-45A5-8E6D-9D126C2DD812}"/>
    <cellStyle name="Comma 2 262 3 2 3 2 2" xfId="2309" xr:uid="{E2F288C9-2175-4708-916E-87A7065E19EA}"/>
    <cellStyle name="Comma 2 262 3 2 3 2 2 2" xfId="5138" xr:uid="{49C6EE92-E334-45B3-A835-6EE05646DE0C}"/>
    <cellStyle name="Comma 2 262 3 2 3 2 3" xfId="7084" xr:uid="{6C34B018-7CD8-44C1-8A0A-F5A6B1A455E6}"/>
    <cellStyle name="Comma 2 262 3 2 3 3" xfId="2317" xr:uid="{EDB2E52E-457E-49A3-B6CA-C0E14497CAF0}"/>
    <cellStyle name="Comma 2 262 3 2 3 3 2" xfId="2323" xr:uid="{D6AC97B8-6EE4-402B-A669-E60F54487F6E}"/>
    <cellStyle name="Comma 2 262 3 2 3 4" xfId="2345" xr:uid="{12D49BC5-E8A9-45F0-8E88-B9058AB03871}"/>
    <cellStyle name="Comma 2 262 3 2 4" xfId="24263" xr:uid="{759CFE03-FED7-40E5-AF00-A662E8AB35B8}"/>
    <cellStyle name="Comma 2 262 3 2 4 2" xfId="7108" xr:uid="{F7562142-1D58-4634-BEFE-B123F1AF289D}"/>
    <cellStyle name="Comma 2 262 3 2 4 2 2" xfId="7114" xr:uid="{77C04217-290F-492E-BAEA-5C4A4381E77A}"/>
    <cellStyle name="Comma 2 262 3 2 4 3" xfId="7121" xr:uid="{1BC8B168-C68F-4EA5-BAF0-8924D8041859}"/>
    <cellStyle name="Comma 2 262 3 2 5" xfId="21531" xr:uid="{F96BD272-154F-4983-8F15-ED05B6158249}"/>
    <cellStyle name="Comma 2 262 3 2 5 2" xfId="7125" xr:uid="{D01D5D1A-51A8-4ACD-A64C-4018EF06F303}"/>
    <cellStyle name="Comma 2 262 3 2 6" xfId="21533" xr:uid="{1BDCB7D7-776C-4614-B8AE-27785BFBBD19}"/>
    <cellStyle name="Comma 2 262 3 2 7" xfId="24264" xr:uid="{A72CEA4B-35B0-435F-9AFE-9DE152CCF110}"/>
    <cellStyle name="Comma 2 262 3 3" xfId="1992" xr:uid="{16CA4505-835D-45E7-85E5-071675CFF29B}"/>
    <cellStyle name="Comma 2 262 3 3 2" xfId="1993" xr:uid="{74FF1883-E803-479B-86C2-87F47436EB37}"/>
    <cellStyle name="Comma 2 262 3 3 2 2" xfId="24265" xr:uid="{06BC3155-AB7F-4450-B4E4-9D4C46A21039}"/>
    <cellStyle name="Comma 2 262 3 3 2 2 2" xfId="24268" xr:uid="{72050496-0FE3-4A59-9314-3AE32016A3D6}"/>
    <cellStyle name="Comma 2 262 3 3 2 2 2 2" xfId="24274" xr:uid="{E3B9C2E9-062D-41EA-9F6E-53E704760F3E}"/>
    <cellStyle name="Comma 2 262 3 3 2 2 3" xfId="24277" xr:uid="{23A5F15D-4B5E-4F54-BAAB-CA1306915518}"/>
    <cellStyle name="Comma 2 262 3 3 2 3" xfId="24278" xr:uid="{7B18DC7E-92DF-4A35-A93A-6EF3700EA05B}"/>
    <cellStyle name="Comma 2 262 3 3 2 3 2" xfId="24281" xr:uid="{1AC06C9B-AA11-49B2-B316-1349BE75FE03}"/>
    <cellStyle name="Comma 2 262 3 3 2 4" xfId="24282" xr:uid="{E502EF99-9AC8-45CD-BA1A-F768714FF965}"/>
    <cellStyle name="Comma 2 262 3 3 3" xfId="24284" xr:uid="{E42D7B98-9292-4F46-892F-843C1CC89A88}"/>
    <cellStyle name="Comma 2 262 3 3 3 2" xfId="7160" xr:uid="{2DE7A97E-32AE-4164-8BB2-49B444BB5475}"/>
    <cellStyle name="Comma 2 262 3 3 3 2 2" xfId="5590" xr:uid="{C70DFD7E-334B-4242-90E6-87606BC68FBA}"/>
    <cellStyle name="Comma 2 262 3 3 3 3" xfId="7162" xr:uid="{6C245BA8-EEB5-4FCD-BAFC-0763F4C2099D}"/>
    <cellStyle name="Comma 2 262 3 3 4" xfId="24285" xr:uid="{1C326D4C-5C4D-40E0-9993-C1909CFAF6DB}"/>
    <cellStyle name="Comma 2 262 3 3 4 2" xfId="7166" xr:uid="{36766C95-0A40-4229-A3AA-E3C26A73C2C1}"/>
    <cellStyle name="Comma 2 262 3 3 5" xfId="21536" xr:uid="{ACC67506-1886-4094-B0F8-DEC0D6F599AA}"/>
    <cellStyle name="Comma 2 262 3 4" xfId="2001" xr:uid="{FAEE8BD2-F314-4DD0-BE3D-A75DB3D645A5}"/>
    <cellStyle name="Comma 2 262 3 4 2" xfId="2004" xr:uid="{B2228FEA-4105-44E6-899A-1DE9DEB1B7E9}"/>
    <cellStyle name="Comma 2 262 3 4 2 2" xfId="24288" xr:uid="{DA25B868-C987-4379-8346-2FC4B71999EA}"/>
    <cellStyle name="Comma 2 262 3 4 2 2 2" xfId="22896" xr:uid="{B3E477C6-6186-4BAE-9D20-45DA7103849E}"/>
    <cellStyle name="Comma 2 262 3 4 2 3" xfId="24291" xr:uid="{B3923856-61E9-4975-A1E0-59FB36EF61F1}"/>
    <cellStyle name="Comma 2 262 3 4 3" xfId="24292" xr:uid="{2629F6C2-B53B-4D20-AE06-5BDE324EA173}"/>
    <cellStyle name="Comma 2 262 3 4 3 2" xfId="7180" xr:uid="{392DE6A3-92A0-49E0-99D9-3C92A21EEBD1}"/>
    <cellStyle name="Comma 2 262 3 4 4" xfId="10955" xr:uid="{2964048A-C7C0-4057-8122-4D38385BBF05}"/>
    <cellStyle name="Comma 2 262 3 5" xfId="2009" xr:uid="{E840194F-D7F5-49CC-BAD7-08C9E4FB3772}"/>
    <cellStyle name="Comma 2 262 3 5 2" xfId="2010" xr:uid="{F942AB28-1BA5-455C-B256-B93955A28AD5}"/>
    <cellStyle name="Comma 2 262 3 5 2 2" xfId="24293" xr:uid="{F660D15F-CF14-49B7-B857-BAC93C46A6F9}"/>
    <cellStyle name="Comma 2 262 3 5 3" xfId="24294" xr:uid="{601226EE-B0D2-4C39-89E8-FE913C146613}"/>
    <cellStyle name="Comma 2 262 3 6" xfId="2016" xr:uid="{8344302A-C415-42E8-B1B0-E349644F1B42}"/>
    <cellStyle name="Comma 2 262 3 6 2" xfId="2017" xr:uid="{95C05DF1-DA5A-4032-BDB6-4745A7A488F0}"/>
    <cellStyle name="Comma 2 262 3 7" xfId="2019" xr:uid="{CC621C64-86F2-4C8D-8D74-201496C205ED}"/>
    <cellStyle name="Comma 2 262 3 8" xfId="2025" xr:uid="{9D6BC99E-73E8-4B01-A8B1-C952DD5F40E8}"/>
    <cellStyle name="Comma 2 262 4" xfId="2869" xr:uid="{851F326E-FC60-45BC-9661-CA5218EDF391}"/>
    <cellStyle name="Comma 2 262 4 2" xfId="2481" xr:uid="{EE8F99CB-787E-4C51-9CA9-66E3607645F0}"/>
    <cellStyle name="Comma 2 262 4 2 2" xfId="2493" xr:uid="{AF65D47D-3AB3-40DC-B83C-6208F8983757}"/>
    <cellStyle name="Comma 2 262 4 2 2 2" xfId="24298" xr:uid="{466C0E82-94B8-4DDC-AC3A-ABBB8CA67BA8}"/>
    <cellStyle name="Comma 2 262 4 2 2 2 2" xfId="24300" xr:uid="{E547C4C0-3C63-4A92-AF9C-C6FEE5E089FA}"/>
    <cellStyle name="Comma 2 262 4 2 2 2 2 2" xfId="24302" xr:uid="{D17207B8-7F45-4827-A7A2-98CBF5D0B271}"/>
    <cellStyle name="Comma 2 262 4 2 2 2 3" xfId="24309" xr:uid="{A29E310A-8DEC-43A9-8704-3B6143E3C79B}"/>
    <cellStyle name="Comma 2 262 4 2 2 3" xfId="24313" xr:uid="{6DFBA7C8-1079-4039-8C3C-96C2DA1A6511}"/>
    <cellStyle name="Comma 2 262 4 2 2 3 2" xfId="24315" xr:uid="{0853EB77-7CD1-4F80-848D-57564867BD40}"/>
    <cellStyle name="Comma 2 262 4 2 2 4" xfId="24319" xr:uid="{BD0E1AB2-4A44-43EF-8EBD-2D6105E4BE88}"/>
    <cellStyle name="Comma 2 262 4 2 3" xfId="24322" xr:uid="{D7743323-57EA-4287-9890-C58B5C97A705}"/>
    <cellStyle name="Comma 2 262 4 2 3 2" xfId="631" xr:uid="{C899B861-40F7-4C77-9F2F-B0DAB955B096}"/>
    <cellStyle name="Comma 2 262 4 2 3 2 2" xfId="2996" xr:uid="{899B64FB-1D4D-4149-B1BB-CBF59B9E08B5}"/>
    <cellStyle name="Comma 2 262 4 2 3 3" xfId="638" xr:uid="{533C81E4-1C70-45C2-8089-45DE958D3597}"/>
    <cellStyle name="Comma 2 262 4 2 4" xfId="24324" xr:uid="{08A0E8B1-1915-4BEC-BD12-941D63340531}"/>
    <cellStyle name="Comma 2 262 4 2 4 2" xfId="3034" xr:uid="{FD57C8F4-0DEB-4007-BD13-BFD32F8FD8F9}"/>
    <cellStyle name="Comma 2 262 4 2 5" xfId="21547" xr:uid="{3FD59F26-7C10-47E3-B6B3-DC97F6308A56}"/>
    <cellStyle name="Comma 2 262 4 3" xfId="2500" xr:uid="{CDADF978-8F00-4457-BD60-DA0D29A4F49A}"/>
    <cellStyle name="Comma 2 262 4 3 2" xfId="2509" xr:uid="{4CFD26B1-4734-4AA9-8E78-6511BD69EAF1}"/>
    <cellStyle name="Comma 2 262 4 3 2 2" xfId="24326" xr:uid="{31FDF04E-47EB-466F-8463-FF38EFB1D022}"/>
    <cellStyle name="Comma 2 262 4 3 2 2 2" xfId="24330" xr:uid="{76E6B61D-885C-4E18-A8E3-D8AF1B7CF26F}"/>
    <cellStyle name="Comma 2 262 4 3 2 3" xfId="24332" xr:uid="{C62FF22B-E176-44A4-8B83-ABC08D2E3C1A}"/>
    <cellStyle name="Comma 2 262 4 3 3" xfId="24334" xr:uid="{6267AB94-2976-4705-909A-1E72D61D731B}"/>
    <cellStyle name="Comma 2 262 4 3 3 2" xfId="3149" xr:uid="{08878F25-51D2-4CE4-AECD-E4C4034A3778}"/>
    <cellStyle name="Comma 2 262 4 3 4" xfId="24336" xr:uid="{9EBDBD9B-C4B2-4958-882D-D9FA93BB33A5}"/>
    <cellStyle name="Comma 2 262 4 4" xfId="2521" xr:uid="{403B17F6-31F0-4E27-86AD-ABE2AFB53CA2}"/>
    <cellStyle name="Comma 2 262 4 4 2" xfId="2528" xr:uid="{D28AA8BB-E8A6-4C3B-8F0C-B6FB5E34E08D}"/>
    <cellStyle name="Comma 2 262 4 4 2 2" xfId="24338" xr:uid="{B4A5EF41-B38B-4BAA-92F4-36D2964EF802}"/>
    <cellStyle name="Comma 2 262 4 4 3" xfId="24340" xr:uid="{21C43A7E-1075-4ED4-95C5-81EE91805B27}"/>
    <cellStyle name="Comma 2 262 4 5" xfId="2535" xr:uid="{A1944EE2-58FB-449A-BAB9-7673C090C49A}"/>
    <cellStyle name="Comma 2 262 4 5 2" xfId="2544" xr:uid="{9BE5310E-8D33-4F81-ACFA-1405FED34254}"/>
    <cellStyle name="Comma 2 262 4 6" xfId="2551" xr:uid="{43A4AEF0-7FEE-4045-9B49-0DC61DB9B3CE}"/>
    <cellStyle name="Comma 2 262 4 7" xfId="2681" xr:uid="{4474D4E7-6ED2-40AB-BCCC-9F7F80176CD1}"/>
    <cellStyle name="Comma 2 262 5" xfId="3283" xr:uid="{2CE9F77E-709B-4464-A064-309711F2F9D7}"/>
    <cellStyle name="Comma 2 262 5 2" xfId="17256" xr:uid="{411B14C7-5BF3-4AE0-AED8-ED13EE1352F1}"/>
    <cellStyle name="Comma 2 262 5 2 2" xfId="17261" xr:uid="{E4BEE1C0-E3F0-46DF-85DB-102A1C8E2761}"/>
    <cellStyle name="Comma 2 262 5 2 2 2" xfId="24341" xr:uid="{8CA509D3-5693-4771-8D9C-FAC4673A7FE4}"/>
    <cellStyle name="Comma 2 262 5 2 2 2 2" xfId="24342" xr:uid="{C47B0DC0-8ED1-4386-8E34-E46D5EA591E7}"/>
    <cellStyle name="Comma 2 262 5 2 2 3" xfId="24343" xr:uid="{7C7789AE-4864-4AD6-82FA-1A4F13CFCED9}"/>
    <cellStyle name="Comma 2 262 5 2 3" xfId="24344" xr:uid="{7E45BD80-A62F-4134-9EF7-631124E655D6}"/>
    <cellStyle name="Comma 2 262 5 2 3 2" xfId="3261" xr:uid="{1A66ED9A-EF1B-43B3-92D1-FEECD469C3B0}"/>
    <cellStyle name="Comma 2 262 5 2 4" xfId="24345" xr:uid="{B1399652-2A84-4B21-A47D-59CE45D4EC84}"/>
    <cellStyle name="Comma 2 262 5 3" xfId="17266" xr:uid="{117DB560-1905-4407-9132-0AF87EE8C68A}"/>
    <cellStyle name="Comma 2 262 5 3 2" xfId="17272" xr:uid="{A25B06DC-A524-43C8-88FA-3304B74CD73B}"/>
    <cellStyle name="Comma 2 262 5 3 2 2" xfId="24346" xr:uid="{992BB081-4683-4F77-A595-58DD4B4986C4}"/>
    <cellStyle name="Comma 2 262 5 3 3" xfId="24347" xr:uid="{BE3CB42F-362E-46C3-95FE-229A68FE3303}"/>
    <cellStyle name="Comma 2 262 5 4" xfId="17277" xr:uid="{5CED6A91-4015-4266-9FCA-E7751146C88A}"/>
    <cellStyle name="Comma 2 262 5 4 2" xfId="17282" xr:uid="{BC2DA55A-BAAE-41C2-9A66-323FF7F6CF47}"/>
    <cellStyle name="Comma 2 262 5 5" xfId="17287" xr:uid="{379701F5-53EF-48A8-822C-F3C1FDE3AF72}"/>
    <cellStyle name="Comma 2 262 6" xfId="24348" xr:uid="{85B29926-43F6-45E1-B85A-999B424F4BB8}"/>
    <cellStyle name="Comma 2 262 6 2" xfId="24354" xr:uid="{A9F4C51C-159D-4C8B-8B54-469C81CDC1DB}"/>
    <cellStyle name="Comma 2 262 6 2 2" xfId="24359" xr:uid="{7B6321C3-7C99-46DB-8F90-1CC57C757FB0}"/>
    <cellStyle name="Comma 2 262 6 2 2 2" xfId="24360" xr:uid="{916F5F77-DB96-4EE7-AA6D-2D9D5EEEE01D}"/>
    <cellStyle name="Comma 2 262 6 2 3" xfId="24361" xr:uid="{F2BC88D1-B84C-4875-9543-37039640D927}"/>
    <cellStyle name="Comma 2 262 6 3" xfId="24366" xr:uid="{E439B530-BF45-4ADB-831C-7D037B7FE568}"/>
    <cellStyle name="Comma 2 262 6 3 2" xfId="24371" xr:uid="{C381E6FC-EB3C-46AB-933A-69BF79C31CC1}"/>
    <cellStyle name="Comma 2 262 6 4" xfId="24376" xr:uid="{378B5871-CF1F-48AD-969D-0F2B27B63AB6}"/>
    <cellStyle name="Comma 2 262 7" xfId="24377" xr:uid="{BE92F477-94B6-4426-BCB0-CD54FA1C1C23}"/>
    <cellStyle name="Comma 2 262 7 2" xfId="24383" xr:uid="{757D5533-43C9-4A7B-B040-DA2ABBEF6FF3}"/>
    <cellStyle name="Comma 2 262 7 2 2" xfId="24387" xr:uid="{C3A97075-3972-4779-9D85-EF9233DAF2D0}"/>
    <cellStyle name="Comma 2 262 7 3" xfId="24392" xr:uid="{8F0BAA38-F979-4B9A-91A6-1C3B996A0CFE}"/>
    <cellStyle name="Comma 2 262 8" xfId="24393" xr:uid="{D5C5C6DE-F1BD-463C-B491-5152A0B79512}"/>
    <cellStyle name="Comma 2 262 8 2" xfId="24398" xr:uid="{B4EA961E-657A-4736-8F05-DCD45A3719BD}"/>
    <cellStyle name="Comma 2 262 9" xfId="24399" xr:uid="{D773BFD7-BC83-4D7E-87D7-B8013E4FBDCA}"/>
    <cellStyle name="Comma 2 263" xfId="14165" xr:uid="{4A987A07-DEBD-46BD-8424-8FF76327B4F4}"/>
    <cellStyle name="Comma 2 263 2" xfId="1498" xr:uid="{1335FF44-858D-464E-894F-54FBBCC1378A}"/>
    <cellStyle name="Comma 2 263 2 2" xfId="24400" xr:uid="{70C314CE-8CBA-4A57-BDF8-0A74C4D5B887}"/>
    <cellStyle name="Comma 2 263 2 2 2" xfId="3305" xr:uid="{DBCC1B94-B7FF-4C9E-A01A-7F95B2440069}"/>
    <cellStyle name="Comma 2 263 2 2 2 2" xfId="24401" xr:uid="{CC27585E-87C4-4737-9292-33CEF7D565F8}"/>
    <cellStyle name="Comma 2 263 2 2 2 2 2" xfId="24402" xr:uid="{18EE5BBA-F5CC-4264-8484-A3F816F96AB6}"/>
    <cellStyle name="Comma 2 263 2 2 2 2 2 2" xfId="24403" xr:uid="{22FF60F4-7CE8-4C78-ADC4-95EA87BCFD20}"/>
    <cellStyle name="Comma 2 263 2 2 2 2 2 2 2" xfId="24406" xr:uid="{F414A35E-06DD-4733-BF97-789DD5CE9490}"/>
    <cellStyle name="Comma 2 263 2 2 2 2 2 3" xfId="24410" xr:uid="{6F5769FB-9BB4-48B0-A88B-807EE2D31F9A}"/>
    <cellStyle name="Comma 2 263 2 2 2 2 3" xfId="24412" xr:uid="{CE24C648-C504-49C4-BF3F-B53ECAB4DD5A}"/>
    <cellStyle name="Comma 2 263 2 2 2 2 3 2" xfId="24413" xr:uid="{E8FFCA72-0E7C-4714-99FA-7C2AB71DA5A8}"/>
    <cellStyle name="Comma 2 263 2 2 2 2 4" xfId="15389" xr:uid="{CAA99403-58C9-4CBE-8E1D-6CC7C621A962}"/>
    <cellStyle name="Comma 2 263 2 2 2 3" xfId="24415" xr:uid="{78F40993-E039-4B95-B0D7-296B9521BD2C}"/>
    <cellStyle name="Comma 2 263 2 2 2 3 2" xfId="24416" xr:uid="{2786EF60-7533-46F8-9C17-1D983A9B357B}"/>
    <cellStyle name="Comma 2 263 2 2 2 3 2 2" xfId="24417" xr:uid="{513712EB-86BD-444D-B77F-0282F319A587}"/>
    <cellStyle name="Comma 2 263 2 2 2 3 3" xfId="24419" xr:uid="{24ED097D-F0A7-4CBB-8AB8-B3832FF6E4AA}"/>
    <cellStyle name="Comma 2 263 2 2 2 4" xfId="24420" xr:uid="{A86B1232-CCD7-4C9C-8501-1431F4D5F4E2}"/>
    <cellStyle name="Comma 2 263 2 2 2 4 2" xfId="24421" xr:uid="{A92FD592-3C51-442A-8CC7-E7841E8B14AA}"/>
    <cellStyle name="Comma 2 263 2 2 2 5" xfId="24422" xr:uid="{8FC201EB-AA1C-444C-9D10-D8CF3467CF87}"/>
    <cellStyle name="Comma 2 263 2 2 3" xfId="24423" xr:uid="{CF924164-04B5-4854-BC5D-B25023208F62}"/>
    <cellStyle name="Comma 2 263 2 2 3 2" xfId="24424" xr:uid="{9B209A08-15DF-4CC6-8A44-1A3E3FB3F15D}"/>
    <cellStyle name="Comma 2 263 2 2 3 2 2" xfId="24425" xr:uid="{B41AE21E-2609-4236-BDB3-871286ACB07C}"/>
    <cellStyle name="Comma 2 263 2 2 3 2 2 2" xfId="4890" xr:uid="{324E5258-41D1-44F1-A69C-FB13C7F411A7}"/>
    <cellStyle name="Comma 2 263 2 2 3 2 3" xfId="24426" xr:uid="{D5B12428-4C76-4F13-BFFC-A07A4BAEDF56}"/>
    <cellStyle name="Comma 2 263 2 2 3 3" xfId="24427" xr:uid="{B1751C15-6496-4CEB-B562-6E8DF7692548}"/>
    <cellStyle name="Comma 2 263 2 2 3 3 2" xfId="24428" xr:uid="{C93F0CC8-A654-4905-8C4C-F608E9809988}"/>
    <cellStyle name="Comma 2 263 2 2 3 4" xfId="21269" xr:uid="{69BA954F-246C-48E2-9549-E707675A9681}"/>
    <cellStyle name="Comma 2 263 2 2 4" xfId="11656" xr:uid="{0A732B17-2EE9-4658-A90F-BF6207B012A7}"/>
    <cellStyle name="Comma 2 263 2 2 4 2" xfId="24431" xr:uid="{B4AF9CFF-53C1-4043-AF96-25D3E319AA56}"/>
    <cellStyle name="Comma 2 263 2 2 4 2 2" xfId="24432" xr:uid="{030E34F3-1CFC-43EB-9303-4E53E12B3518}"/>
    <cellStyle name="Comma 2 263 2 2 4 3" xfId="24433" xr:uid="{C5DD11D2-1603-43A7-80F7-D55EE8904D77}"/>
    <cellStyle name="Comma 2 263 2 2 5" xfId="24434" xr:uid="{B4DAB382-6C52-48B7-B1A2-26D00A0C4E35}"/>
    <cellStyle name="Comma 2 263 2 2 5 2" xfId="24435" xr:uid="{A6A67C0F-5AC9-4A70-B2D7-EEEEDA012E77}"/>
    <cellStyle name="Comma 2 263 2 2 6" xfId="24436" xr:uid="{88BB5DA0-90ED-4F1B-86EF-3E54643B28F1}"/>
    <cellStyle name="Comma 2 263 2 2 7" xfId="24437" xr:uid="{77451932-DEAC-4D75-A4AF-140D80E33788}"/>
    <cellStyle name="Comma 2 263 2 3" xfId="24440" xr:uid="{BE3565AE-CC75-490E-9843-7039317F4373}"/>
    <cellStyle name="Comma 2 263 2 3 2" xfId="24441" xr:uid="{A4C09325-85F5-47CC-A8FD-5713DFD84EA8}"/>
    <cellStyle name="Comma 2 263 2 3 2 2" xfId="24442" xr:uid="{0C992EEF-D81E-4723-B14E-2DC8CB328C93}"/>
    <cellStyle name="Comma 2 263 2 3 2 2 2" xfId="24443" xr:uid="{9221AC29-15E4-495A-9BDE-7DAABFA2B39F}"/>
    <cellStyle name="Comma 2 263 2 3 2 2 2 2" xfId="24444" xr:uid="{78CA677C-CDAC-4527-BAC9-DEA9E51EC3AD}"/>
    <cellStyle name="Comma 2 263 2 3 2 2 3" xfId="24445" xr:uid="{FF1F1AD0-426A-4359-B1E3-B41FB0F15071}"/>
    <cellStyle name="Comma 2 263 2 3 2 3" xfId="24446" xr:uid="{E447AC61-582C-41C3-90C6-3121A43AD3CA}"/>
    <cellStyle name="Comma 2 263 2 3 2 3 2" xfId="24447" xr:uid="{6F75127C-CBD1-4CE9-ADFF-8A8D1BF539CC}"/>
    <cellStyle name="Comma 2 263 2 3 2 4" xfId="24448" xr:uid="{08DF4012-0DFF-4B59-BD59-DC656AB84805}"/>
    <cellStyle name="Comma 2 263 2 3 3" xfId="24449" xr:uid="{96A9E49A-55CC-4A69-8F9C-C10304C52302}"/>
    <cellStyle name="Comma 2 263 2 3 3 2" xfId="24450" xr:uid="{737D4311-8516-4C94-85BC-56E62DEBFFA8}"/>
    <cellStyle name="Comma 2 263 2 3 3 2 2" xfId="24451" xr:uid="{4B224450-5698-47F3-B928-02B73100E677}"/>
    <cellStyle name="Comma 2 263 2 3 3 3" xfId="24453" xr:uid="{32F173DA-6B29-491D-B1F1-FB0DA300ADC4}"/>
    <cellStyle name="Comma 2 263 2 3 4" xfId="24454" xr:uid="{E2955EC5-6B0E-4B44-8674-D6B3152B6199}"/>
    <cellStyle name="Comma 2 263 2 3 4 2" xfId="24455" xr:uid="{CF9D844A-2EC2-4879-B387-4F71E40BD129}"/>
    <cellStyle name="Comma 2 263 2 3 5" xfId="24456" xr:uid="{5C3115DA-1559-4A21-92A2-BA91D992C369}"/>
    <cellStyle name="Comma 2 263 2 4" xfId="5184" xr:uid="{0E54BB2D-57AF-43DE-A3D5-CFC4CC1C73CC}"/>
    <cellStyle name="Comma 2 263 2 4 2" xfId="24457" xr:uid="{9DA7221C-9CC2-44D8-8F15-CC6CE45CE9DA}"/>
    <cellStyle name="Comma 2 263 2 4 2 2" xfId="24458" xr:uid="{48CD6CA0-B6F5-473C-8624-CD0931E8A30D}"/>
    <cellStyle name="Comma 2 263 2 4 2 2 2" xfId="23604" xr:uid="{AD2D0043-55DC-4400-B7AF-4E24A058EDF3}"/>
    <cellStyle name="Comma 2 263 2 4 2 3" xfId="24459" xr:uid="{21107693-09A6-40BC-8086-3FC8135D049A}"/>
    <cellStyle name="Comma 2 263 2 4 3" xfId="24460" xr:uid="{21D97A99-9603-4CE6-87E9-4B19A37A9715}"/>
    <cellStyle name="Comma 2 263 2 4 3 2" xfId="24461" xr:uid="{476EFC5B-CCA2-41C2-B154-DF795D3D9A07}"/>
    <cellStyle name="Comma 2 263 2 4 4" xfId="24462" xr:uid="{FF740783-63A6-4144-BDF0-F89224138848}"/>
    <cellStyle name="Comma 2 263 2 5" xfId="24463" xr:uid="{3E4C266B-269D-40BB-BEC9-A72657295CD5}"/>
    <cellStyle name="Comma 2 263 2 5 2" xfId="24464" xr:uid="{D7F988DE-38C6-4080-A9E6-349277AEA495}"/>
    <cellStyle name="Comma 2 263 2 5 2 2" xfId="24465" xr:uid="{B469E5EE-8004-4155-AF0C-4743D4238800}"/>
    <cellStyle name="Comma 2 263 2 5 3" xfId="24466" xr:uid="{F5CBDEC4-44C2-40B4-ADC4-08E9F1041A0E}"/>
    <cellStyle name="Comma 2 263 2 6" xfId="7382" xr:uid="{CA5E7707-F7E1-43F8-B51D-F2F650B0C5C5}"/>
    <cellStyle name="Comma 2 263 2 6 2" xfId="7966" xr:uid="{8FD943EE-F99E-42A0-AD12-E6BF4645D81F}"/>
    <cellStyle name="Comma 2 263 2 7" xfId="7970" xr:uid="{8987104F-4362-4C18-99E3-322B241DB0A2}"/>
    <cellStyle name="Comma 2 263 2 8" xfId="24467" xr:uid="{B4EA90BA-7B0B-4295-A3A6-54B11C234675}"/>
    <cellStyle name="Comma 2 263 3" xfId="1509" xr:uid="{D48534EA-EC4F-4CE8-B06C-D131FF455FB6}"/>
    <cellStyle name="Comma 2 263 3 2" xfId="24468" xr:uid="{FA086213-BA39-46F3-B22B-A3C5E561F364}"/>
    <cellStyle name="Comma 2 263 3 2 2" xfId="19630" xr:uid="{D7E0E122-CF13-40B9-A31E-DF089C41BCE5}"/>
    <cellStyle name="Comma 2 263 3 2 2 2" xfId="19632" xr:uid="{EA262D33-10F2-4E74-AC95-7A7C87C44395}"/>
    <cellStyle name="Comma 2 263 3 2 2 2 2" xfId="19634" xr:uid="{D6BCB546-3D35-464A-A309-3223839E58BA}"/>
    <cellStyle name="Comma 2 263 3 2 2 2 2 2" xfId="19637" xr:uid="{533627FE-0C85-491C-942B-0D9634A4996A}"/>
    <cellStyle name="Comma 2 263 3 2 2 2 3" xfId="19640" xr:uid="{3B2A79CF-0DEC-4879-9CF3-E3066150A786}"/>
    <cellStyle name="Comma 2 263 3 2 2 3" xfId="19643" xr:uid="{25AFADFA-A8F2-4564-AF9F-5C7003CF856C}"/>
    <cellStyle name="Comma 2 263 3 2 2 3 2" xfId="19646" xr:uid="{F2E562A4-D151-4517-A342-A6BC2F677F2C}"/>
    <cellStyle name="Comma 2 263 3 2 2 4" xfId="19648" xr:uid="{C47E51CB-C2AD-438C-87A2-4CC60B256CE2}"/>
    <cellStyle name="Comma 2 263 3 2 3" xfId="19650" xr:uid="{82EE6B75-BA4B-4C17-BDF3-1A3B483FA1ED}"/>
    <cellStyle name="Comma 2 263 3 2 3 2" xfId="19652" xr:uid="{D7D8D314-370D-428C-BCE7-A894DF1FB07D}"/>
    <cellStyle name="Comma 2 263 3 2 3 2 2" xfId="19654" xr:uid="{270C7A1A-1D05-4A49-A554-ABB6721CD948}"/>
    <cellStyle name="Comma 2 263 3 2 3 3" xfId="19657" xr:uid="{5DDB6253-FDAF-44C1-8B35-B0EED1C91A8E}"/>
    <cellStyle name="Comma 2 263 3 2 4" xfId="19659" xr:uid="{3D5F6525-ABBC-4BD1-A608-E42E97228FB5}"/>
    <cellStyle name="Comma 2 263 3 2 4 2" xfId="19661" xr:uid="{96452ACB-C5CC-4E2F-B8F8-2A1DCDAA0142}"/>
    <cellStyle name="Comma 2 263 3 2 5" xfId="19663" xr:uid="{87CB2830-A578-4047-ADFF-7D124A4E1339}"/>
    <cellStyle name="Comma 2 263 3 3" xfId="24469" xr:uid="{F99AD100-54DE-4582-83C9-7F5E04377E2A}"/>
    <cellStyle name="Comma 2 263 3 3 2" xfId="19682" xr:uid="{66DF1422-6659-4785-9CB7-F58DE1AA6359}"/>
    <cellStyle name="Comma 2 263 3 3 2 2" xfId="19684" xr:uid="{F3C5D955-B291-420B-AFBB-C1B4B92164D0}"/>
    <cellStyle name="Comma 2 263 3 3 2 2 2" xfId="19686" xr:uid="{CBFEF7F8-83EC-4D6D-9CBC-8BEA08E12553}"/>
    <cellStyle name="Comma 2 263 3 3 2 3" xfId="19688" xr:uid="{3E91E07E-4408-41A2-BE78-8DE00B5CEC0D}"/>
    <cellStyle name="Comma 2 263 3 3 3" xfId="19690" xr:uid="{B08D9440-74E3-41E3-93DC-1D22EA5FC938}"/>
    <cellStyle name="Comma 2 263 3 3 3 2" xfId="19692" xr:uid="{63BF9534-5A16-4C88-8C0C-862913232B31}"/>
    <cellStyle name="Comma 2 263 3 3 4" xfId="19694" xr:uid="{A1FBE675-EA24-4203-8A9F-F18A8C3631CE}"/>
    <cellStyle name="Comma 2 263 3 4" xfId="24470" xr:uid="{B6F14894-9E22-4A25-9329-1F3364410DF9}"/>
    <cellStyle name="Comma 2 263 3 4 2" xfId="19704" xr:uid="{839EEA69-A707-42EA-B8FC-DAC83832A5F3}"/>
    <cellStyle name="Comma 2 263 3 4 2 2" xfId="19706" xr:uid="{D1D901E3-741D-42F0-B9F1-CB66E4F23D5F}"/>
    <cellStyle name="Comma 2 263 3 4 3" xfId="19708" xr:uid="{2D43F1B3-082F-46EB-9422-BB2CABFCB90F}"/>
    <cellStyle name="Comma 2 263 3 5" xfId="24471" xr:uid="{52D5723F-379E-4817-8187-7C2351F914F8}"/>
    <cellStyle name="Comma 2 263 3 5 2" xfId="19715" xr:uid="{AF77E591-65E4-4743-AC23-440E5466A214}"/>
    <cellStyle name="Comma 2 263 3 6" xfId="7974" xr:uid="{1B9C69FC-3A43-4943-A517-22BE12116A7C}"/>
    <cellStyle name="Comma 2 263 3 7" xfId="24472" xr:uid="{9474B5BE-D1AA-4FDB-8DC1-EEE7EB855625}"/>
    <cellStyle name="Comma 2 263 4" xfId="3597" xr:uid="{80926AD8-7698-4447-B4F0-FDC5C8786312}"/>
    <cellStyle name="Comma 2 263 4 2" xfId="24473" xr:uid="{62018483-2957-4B85-AC1E-BA6281156313}"/>
    <cellStyle name="Comma 2 263 4 2 2" xfId="19763" xr:uid="{9B2B59AE-EC1B-4540-AF3F-FFF8F8D8FD7E}"/>
    <cellStyle name="Comma 2 263 4 2 2 2" xfId="19765" xr:uid="{773177F6-ECD4-41AA-B936-D61A169309F9}"/>
    <cellStyle name="Comma 2 263 4 2 2 2 2" xfId="15281" xr:uid="{E72697CC-D69B-494B-A6F9-41404799CBAA}"/>
    <cellStyle name="Comma 2 263 4 2 2 3" xfId="19767" xr:uid="{3C668427-C516-4DCA-B910-C6BC32E3679A}"/>
    <cellStyle name="Comma 2 263 4 2 3" xfId="19769" xr:uid="{D53545F8-6BAB-453B-9078-386D587A08BF}"/>
    <cellStyle name="Comma 2 263 4 2 3 2" xfId="19771" xr:uid="{1BF32023-D7B0-4C35-A45C-A2E3A9561CF1}"/>
    <cellStyle name="Comma 2 263 4 2 4" xfId="19773" xr:uid="{9A093507-83D4-4811-9807-1469EE0C88D0}"/>
    <cellStyle name="Comma 2 263 4 3" xfId="18465" xr:uid="{03F278FA-D754-4D32-A3C4-9CB9801C117C}"/>
    <cellStyle name="Comma 2 263 4 3 2" xfId="19779" xr:uid="{9345B244-EC2E-42E5-B397-713FF3B43533}"/>
    <cellStyle name="Comma 2 263 4 3 2 2" xfId="19781" xr:uid="{EA5552C1-078B-4E9A-9A6A-7EF55FC5DC35}"/>
    <cellStyle name="Comma 2 263 4 3 3" xfId="19783" xr:uid="{A0530E07-BB7A-4D61-97DC-BD562C099D16}"/>
    <cellStyle name="Comma 2 263 4 4" xfId="18486" xr:uid="{EC5B89CF-0877-43FA-922A-DF9DE601F246}"/>
    <cellStyle name="Comma 2 263 4 4 2" xfId="19790" xr:uid="{F79FEAD7-E6F1-44EE-A6AD-7884BFC7344C}"/>
    <cellStyle name="Comma 2 263 4 5" xfId="18496" xr:uid="{6E984884-4CE9-4D65-BFCA-A486EEAD41B5}"/>
    <cellStyle name="Comma 2 263 5" xfId="3782" xr:uid="{33A67764-58B3-47E6-95F5-0B4347178841}"/>
    <cellStyle name="Comma 2 263 5 2" xfId="3787" xr:uid="{7DCA8090-5A56-4F7A-8918-462082E1331A}"/>
    <cellStyle name="Comma 2 263 5 2 2" xfId="750" xr:uid="{F2C50FB7-8952-4558-9886-649DF889C490}"/>
    <cellStyle name="Comma 2 263 5 2 2 2" xfId="19831" xr:uid="{0DB2F7DC-3F7C-426F-A669-D2B0BCBBFEFA}"/>
    <cellStyle name="Comma 2 263 5 2 3" xfId="19833" xr:uid="{1453EC6B-4089-47BD-9813-6A3C18103527}"/>
    <cellStyle name="Comma 2 263 5 3" xfId="993" xr:uid="{FEDADF0C-191F-4C3F-8386-653741E288E7}"/>
    <cellStyle name="Comma 2 263 5 3 2" xfId="19838" xr:uid="{393593E4-3412-4D61-AD34-6DBE1C4547EE}"/>
    <cellStyle name="Comma 2 263 5 4" xfId="11476" xr:uid="{8B4BDC33-B1D3-4276-91DD-53F1B48E3291}"/>
    <cellStyle name="Comma 2 263 6" xfId="3923" xr:uid="{63A23570-C267-4D97-9009-6F76E71C8FF5}"/>
    <cellStyle name="Comma 2 263 6 2" xfId="3928" xr:uid="{723E9757-42C5-4546-907B-1F51CA72B3C5}"/>
    <cellStyle name="Comma 2 263 6 2 2" xfId="19854" xr:uid="{686C108C-68DD-46CF-8D28-953D9326F477}"/>
    <cellStyle name="Comma 2 263 6 3" xfId="24474" xr:uid="{ED8E12B2-E00C-41D4-9229-0162811D671C}"/>
    <cellStyle name="Comma 2 263 7" xfId="4002" xr:uid="{19254AE2-5463-435A-8407-294629EA8CDA}"/>
    <cellStyle name="Comma 2 263 7 2" xfId="24475" xr:uid="{8B901BEA-1FDD-4DF9-90DF-119D04B59348}"/>
    <cellStyle name="Comma 2 263 8" xfId="24476" xr:uid="{0E3D8F6E-7DC1-44DD-9362-5FAB6F902CFC}"/>
    <cellStyle name="Comma 2 263 9" xfId="24477" xr:uid="{D6FD6951-7EE7-4178-BA80-0D95ACFD9C2C}"/>
    <cellStyle name="Comma 2 264" xfId="12600" xr:uid="{8D20B503-E314-4EFB-963B-B12AB6C8C7AD}"/>
    <cellStyle name="Comma 2 264 2" xfId="426" xr:uid="{5C2E8C1F-465B-4783-BB41-A4AF149CD583}"/>
    <cellStyle name="Comma 2 264 2 2" xfId="3889" xr:uid="{7727CA2C-6018-463E-A932-B044A6479757}"/>
    <cellStyle name="Comma 2 264 2 2 2" xfId="7470" xr:uid="{129798B4-BF37-43C8-986A-EC13803402B4}"/>
    <cellStyle name="Comma 2 264 2 2 2 2" xfId="12603" xr:uid="{48D5C517-D50E-42F6-BEF1-84EA47F641C3}"/>
    <cellStyle name="Comma 2 264 2 2 2 2 2" xfId="6781" xr:uid="{E09B57FA-7FC8-4AC7-AC14-340922D05DA8}"/>
    <cellStyle name="Comma 2 264 2 2 2 2 2 2" xfId="19516" xr:uid="{F6997CD1-F410-452B-8BD7-6FFF32C23FB0}"/>
    <cellStyle name="Comma 2 264 2 2 2 2 3" xfId="19606" xr:uid="{57622EC8-AD55-4F6B-AE58-1EE66AE0E9D7}"/>
    <cellStyle name="Comma 2 264 2 2 2 3" xfId="19731" xr:uid="{7DC2DDA8-8C7F-44A9-BFC9-37B95D78A4B1}"/>
    <cellStyle name="Comma 2 264 2 2 2 3 2" xfId="14091" xr:uid="{D3E4259C-78FD-4BA9-B4DF-B1A65ADD5797}"/>
    <cellStyle name="Comma 2 264 2 2 2 4" xfId="19804" xr:uid="{6FD4BD6B-6324-40D6-A238-2C739590C394}"/>
    <cellStyle name="Comma 2 264 2 2 3" xfId="12607" xr:uid="{E4DBF45B-9777-4130-B610-8F05A663FD4D}"/>
    <cellStyle name="Comma 2 264 2 2 3 2" xfId="19879" xr:uid="{D199229E-AE84-4FF6-BC61-5093F338157C}"/>
    <cellStyle name="Comma 2 264 2 2 3 2 2" xfId="19883" xr:uid="{934EF25E-0379-4C12-AFEE-88BA61DF257F}"/>
    <cellStyle name="Comma 2 264 2 2 3 3" xfId="19999" xr:uid="{F1B9AA5E-DD2E-4209-98CF-7F31A742022E}"/>
    <cellStyle name="Comma 2 264 2 2 4" xfId="20106" xr:uid="{4778C27A-09C2-43A9-8F6A-044A2177B4B5}"/>
    <cellStyle name="Comma 2 264 2 2 4 2" xfId="20110" xr:uid="{DA9AA8B0-EF60-4E2E-8579-382D10121F5E}"/>
    <cellStyle name="Comma 2 264 2 2 5" xfId="20174" xr:uid="{ADF119A2-BEF5-419B-A6DB-35EDE19DD975}"/>
    <cellStyle name="Comma 2 264 2 3" xfId="7475" xr:uid="{60B6FF25-D165-4ED7-A90A-28E1C29DBB10}"/>
    <cellStyle name="Comma 2 264 2 3 2" xfId="12610" xr:uid="{BE441417-DC96-4668-AAB1-46511597C520}"/>
    <cellStyle name="Comma 2 264 2 3 2 2" xfId="20275" xr:uid="{2C30FF61-32B6-4581-863A-E819650C5D65}"/>
    <cellStyle name="Comma 2 264 2 3 2 2 2" xfId="20277" xr:uid="{6CDB1B1B-960E-4D33-94EF-18C02DBAE655}"/>
    <cellStyle name="Comma 2 264 2 3 2 3" xfId="20341" xr:uid="{9FC4E285-1F0F-4850-8AD8-A7DD41DF1CCA}"/>
    <cellStyle name="Comma 2 264 2 3 3" xfId="20412" xr:uid="{FB0B27E9-DB09-4EB1-89DF-EB704C22E754}"/>
    <cellStyle name="Comma 2 264 2 3 3 2" xfId="20416" xr:uid="{B2510EC8-F62D-4BB6-94E3-CCBCEFAE0272}"/>
    <cellStyle name="Comma 2 264 2 3 4" xfId="20511" xr:uid="{3943B6FB-8BE7-4485-ACE8-6EB014BFF6BE}"/>
    <cellStyle name="Comma 2 264 2 4" xfId="12615" xr:uid="{6A3934CD-FED7-441D-8783-C43BF2C28FF0}"/>
    <cellStyle name="Comma 2 264 2 4 2" xfId="20653" xr:uid="{4912066D-152D-43F4-A88D-30C135E48050}"/>
    <cellStyle name="Comma 2 264 2 4 2 2" xfId="20656" xr:uid="{5954DD02-BFDB-4D37-9A83-3201680D26B4}"/>
    <cellStyle name="Comma 2 264 2 4 3" xfId="20724" xr:uid="{E482AAAB-E88C-4443-A33F-6EB3AE3E5F11}"/>
    <cellStyle name="Comma 2 264 2 5" xfId="20809" xr:uid="{034C58A9-3AA8-4A82-A134-13D76F6EAACB}"/>
    <cellStyle name="Comma 2 264 2 5 2" xfId="20812" xr:uid="{6F9DAEED-0A95-488D-A213-24635B6074E9}"/>
    <cellStyle name="Comma 2 264 2 6" xfId="7982" xr:uid="{C80AD73F-19CC-410C-B3E5-2120E4B9F9B4}"/>
    <cellStyle name="Comma 2 264 2 7" xfId="20899" xr:uid="{E9833808-AC78-4C23-A9D5-762B94EB0714}"/>
    <cellStyle name="Comma 2 264 3" xfId="444" xr:uid="{BEC35A38-C48E-41F8-B6AE-B30BF9360DCF}"/>
    <cellStyle name="Comma 2 264 3 2" xfId="3498" xr:uid="{4F80308D-B3B4-4796-B19D-DBA0B6BCB4D1}"/>
    <cellStyle name="Comma 2 264 3 2 2" xfId="12618" xr:uid="{B9F2D699-8A07-4907-A087-360642D96178}"/>
    <cellStyle name="Comma 2 264 3 2 2 2" xfId="19953" xr:uid="{739922A3-1161-489D-A1F8-E565F829790C}"/>
    <cellStyle name="Comma 2 264 3 2 2 2 2" xfId="19956" xr:uid="{E06EA6B7-A5AC-4900-B7DA-0B8B382A427A}"/>
    <cellStyle name="Comma 2 264 3 2 2 3" xfId="19959" xr:uid="{09C9DCF9-481B-4E06-B53E-7EB0369D61A5}"/>
    <cellStyle name="Comma 2 264 3 2 3" xfId="19962" xr:uid="{4C776843-8282-4042-B461-8BA74445F782}"/>
    <cellStyle name="Comma 2 264 3 2 3 2" xfId="19967" xr:uid="{6B7E3453-2CBE-4378-AD88-584BD230DB00}"/>
    <cellStyle name="Comma 2 264 3 2 4" xfId="7592" xr:uid="{F03259FC-8FC2-4872-AA2D-FD4FA77404B0}"/>
    <cellStyle name="Comma 2 264 3 3" xfId="12622" xr:uid="{FEEA79FC-AA09-49E2-AE2E-564C08D69D0D}"/>
    <cellStyle name="Comma 2 264 3 3 2" xfId="19976" xr:uid="{680E3D3C-21EF-4280-BF65-5C68A93683AA}"/>
    <cellStyle name="Comma 2 264 3 3 2 2" xfId="19979" xr:uid="{BD18B080-BBF0-4031-9391-AFD6C72145BB}"/>
    <cellStyle name="Comma 2 264 3 3 3" xfId="19982" xr:uid="{22CDE236-E5A5-41BC-8C9E-CDADD798AF10}"/>
    <cellStyle name="Comma 2 264 3 4" xfId="21310" xr:uid="{604A9FB4-54E9-4799-809C-1CABCD6DB9F5}"/>
    <cellStyle name="Comma 2 264 3 4 2" xfId="19989" xr:uid="{80FB9430-3C35-4A52-8E07-B225BCE07E4F}"/>
    <cellStyle name="Comma 2 264 3 5" xfId="21389" xr:uid="{6D449134-E94B-4A82-A59F-1F65A37BAB2E}"/>
    <cellStyle name="Comma 2 264 4" xfId="12627" xr:uid="{BA6DB492-AB32-4A50-8F1A-B65F6EEC9858}"/>
    <cellStyle name="Comma 2 264 4 2" xfId="12632" xr:uid="{AE3C12FF-AF60-4F6B-B7D4-EC5794BB06D0}"/>
    <cellStyle name="Comma 2 264 4 2 2" xfId="20033" xr:uid="{593901FD-7119-4A09-8455-BA1B21F75062}"/>
    <cellStyle name="Comma 2 264 4 2 2 2" xfId="20036" xr:uid="{A13CAC72-4688-4808-87AE-128507ACDD00}"/>
    <cellStyle name="Comma 2 264 4 2 3" xfId="20039" xr:uid="{FA9D41E6-1330-4626-816B-58551F7382A7}"/>
    <cellStyle name="Comma 2 264 4 3" xfId="21583" xr:uid="{B432A604-B8FA-4B2D-963B-0D254883A8E1}"/>
    <cellStyle name="Comma 2 264 4 3 2" xfId="20044" xr:uid="{AFBCFDDB-1BB2-42D4-9A23-4403E980C0FC}"/>
    <cellStyle name="Comma 2 264 4 4" xfId="21649" xr:uid="{E52522D2-D868-49F1-AF2B-7B2F0EE2B882}"/>
    <cellStyle name="Comma 2 264 5" xfId="835" xr:uid="{CF46A74F-7953-4802-B380-2AE432281EA7}"/>
    <cellStyle name="Comma 2 264 5 2" xfId="4107" xr:uid="{126ED547-DCA7-4EFD-AB9B-1E3784E65ECC}"/>
    <cellStyle name="Comma 2 264 5 2 2" xfId="20068" xr:uid="{D1FB310E-CA28-4641-8595-171328DD0EAB}"/>
    <cellStyle name="Comma 2 264 5 3" xfId="21820" xr:uid="{9DC4CF0B-06AE-4078-84F6-AF1885519FB4}"/>
    <cellStyle name="Comma 2 264 6" xfId="1696" xr:uid="{6667A443-668E-4B31-862A-880971AA623F}"/>
    <cellStyle name="Comma 2 264 6 2" xfId="21900" xr:uid="{207CB6D9-41E4-4183-B04D-8DD6A46CDA28}"/>
    <cellStyle name="Comma 2 264 7" xfId="22006" xr:uid="{E266842D-2F80-4DA5-A40A-283CA7573815}"/>
    <cellStyle name="Comma 2 264 8" xfId="22064" xr:uid="{4B287456-EA55-4385-8582-73982679F39C}"/>
    <cellStyle name="Comma 2 265" xfId="12635" xr:uid="{CB7F09E9-3456-4B53-A1C0-C96F5916E50E}"/>
    <cellStyle name="Comma 2 265 2" xfId="1567" xr:uid="{C6182259-AFAC-4E57-BAF4-0DB5F794F01B}"/>
    <cellStyle name="Comma 2 265 2 2" xfId="7550" xr:uid="{69031712-8D63-4FBA-A29C-0C4A1A310B89}"/>
    <cellStyle name="Comma 2 265 2 2 2" xfId="10484" xr:uid="{628C9898-68CB-4D59-809E-B9DAFC78FD18}"/>
    <cellStyle name="Comma 2 265 2 2 2 2" xfId="24478" xr:uid="{E32486D6-5A80-4D1C-8AE2-6B39EBE2333A}"/>
    <cellStyle name="Comma 2 265 2 2 2 2 2" xfId="14395" xr:uid="{66932F4F-830E-4300-AB48-33ABB7197488}"/>
    <cellStyle name="Comma 2 265 2 2 2 3" xfId="24479" xr:uid="{C6433F22-A2E7-4D35-93AC-5F18F49BF915}"/>
    <cellStyle name="Comma 2 265 2 2 3" xfId="24480" xr:uid="{10B633B0-1190-456B-A20B-6EFA4E66C0BE}"/>
    <cellStyle name="Comma 2 265 2 2 3 2" xfId="362" xr:uid="{62A8A9A5-BE22-4149-A82B-770F27D6335D}"/>
    <cellStyle name="Comma 2 265 2 2 4" xfId="24481" xr:uid="{212CC2E6-072A-4A01-9B85-F94A5C889AAD}"/>
    <cellStyle name="Comma 2 265 2 3" xfId="12638" xr:uid="{A7D6B161-124E-4CCA-A2E4-CF92F44F9374}"/>
    <cellStyle name="Comma 2 265 2 3 2" xfId="24482" xr:uid="{66C2C345-6590-4E9C-A389-FDEE12CCA94E}"/>
    <cellStyle name="Comma 2 265 2 3 2 2" xfId="24483" xr:uid="{41C0A731-0725-4EE8-AC61-9F56607D4515}"/>
    <cellStyle name="Comma 2 265 2 3 3" xfId="24484" xr:uid="{A6F96F6A-2280-47B3-BEBA-DE754B8024D1}"/>
    <cellStyle name="Comma 2 265 2 4" xfId="24485" xr:uid="{8588E174-C16A-4477-ADD2-6CC4425A9FC9}"/>
    <cellStyle name="Comma 2 265 2 4 2" xfId="24486" xr:uid="{5ECC1B46-20F8-4076-8351-1E3A6C20485B}"/>
    <cellStyle name="Comma 2 265 2 5" xfId="24488" xr:uid="{AEC1E405-2A7A-44BF-AD87-AF439FA3A822}"/>
    <cellStyle name="Comma 2 265 3" xfId="1572" xr:uid="{D17171F1-8086-4A5A-BBBF-9520F9B44720}"/>
    <cellStyle name="Comma 2 265 3 2" xfId="12641" xr:uid="{FBA649FD-2632-4A3A-9BA2-243467EB7528}"/>
    <cellStyle name="Comma 2 265 3 2 2" xfId="20136" xr:uid="{21DB7365-7504-4366-85BF-3AB713E49279}"/>
    <cellStyle name="Comma 2 265 3 2 2 2" xfId="20139" xr:uid="{544BDEA1-95BD-47DA-987C-685AE03518CC}"/>
    <cellStyle name="Comma 2 265 3 2 3" xfId="20142" xr:uid="{C938F87A-A189-4136-B08D-C0821B620ABF}"/>
    <cellStyle name="Comma 2 265 3 3" xfId="24490" xr:uid="{E20B39EC-3D93-4C8B-A466-ED90B587390E}"/>
    <cellStyle name="Comma 2 265 3 3 2" xfId="20148" xr:uid="{63031247-A6EB-466A-B49C-EAA162E213DF}"/>
    <cellStyle name="Comma 2 265 3 4" xfId="12405" xr:uid="{A8E25C1C-EA49-4BFE-A2EE-2EAAB460B4EA}"/>
    <cellStyle name="Comma 2 265 4" xfId="12645" xr:uid="{3FBFB3F2-2932-4053-A4C6-7242688AB818}"/>
    <cellStyle name="Comma 2 265 4 2" xfId="24493" xr:uid="{42EE0605-707B-49A2-8D5E-BA3DC396E117}"/>
    <cellStyle name="Comma 2 265 4 2 2" xfId="20166" xr:uid="{384105D6-1F5C-48D5-AA97-20E230C52991}"/>
    <cellStyle name="Comma 2 265 4 3" xfId="24495" xr:uid="{72EA0438-A4E0-4463-AEF9-9A137FF47964}"/>
    <cellStyle name="Comma 2 265 5" xfId="4218" xr:uid="{36F5D31B-7DC1-42AC-AB3D-452CA1DC7755}"/>
    <cellStyle name="Comma 2 265 5 2" xfId="24497" xr:uid="{814E52B4-DE1A-4334-94A7-C396510D7822}"/>
    <cellStyle name="Comma 2 265 6" xfId="24498" xr:uid="{B9B4B3B8-0B50-4309-9BB9-737EB0A100AE}"/>
    <cellStyle name="Comma 2 265 7" xfId="24499" xr:uid="{CD4BE5FA-B53A-41F6-9C02-46B8F646BEA0}"/>
    <cellStyle name="Comma 2 266" xfId="12649" xr:uid="{F2067F14-9064-42E5-AFCE-60EBECC6B8AE}"/>
    <cellStyle name="Comma 2 266 2" xfId="1596" xr:uid="{3F5E7FB4-C626-4129-B98F-0C7B3427F181}"/>
    <cellStyle name="Comma 2 266 2 2" xfId="12654" xr:uid="{742B38F3-4DB2-4D40-9F76-1E500E172ED8}"/>
    <cellStyle name="Comma 2 266 2 2 2" xfId="2255" xr:uid="{139B1F0A-0A0A-431E-B71A-CF3E99A531C4}"/>
    <cellStyle name="Comma 2 266 2 2 2 2" xfId="2259" xr:uid="{F18A138A-696A-4B1E-A2DE-9BE7B401221A}"/>
    <cellStyle name="Comma 2 266 2 2 3" xfId="2266" xr:uid="{4597CACF-3FB5-499F-9DFD-0DE38FDEF8E5}"/>
    <cellStyle name="Comma 2 266 2 3" xfId="24500" xr:uid="{3FFBE57E-9499-47BB-BC16-3DE821E5D101}"/>
    <cellStyle name="Comma 2 266 2 3 2" xfId="2340" xr:uid="{B09824D7-B479-4197-B30C-696AFF203E58}"/>
    <cellStyle name="Comma 2 266 2 4" xfId="24501" xr:uid="{F0D1EE23-6971-4C7C-8C76-D622757AB073}"/>
    <cellStyle name="Comma 2 266 3" xfId="1601" xr:uid="{60A34362-174F-4449-BF5C-AB6AC28E6287}"/>
    <cellStyle name="Comma 2 266 3 2" xfId="24503" xr:uid="{7C2A34D5-B8E1-4620-AFD4-1D41CBA7251D}"/>
    <cellStyle name="Comma 2 266 3 2 2" xfId="20208" xr:uid="{7278BD93-0DA4-4922-8310-A52F0C5F32EE}"/>
    <cellStyle name="Comma 2 266 3 3" xfId="24505" xr:uid="{7DF434B5-7B0C-47C2-9C1C-3DA9E622A71B}"/>
    <cellStyle name="Comma 2 266 4" xfId="24507" xr:uid="{4DD56F4E-3441-4361-93D6-9CDB70650227}"/>
    <cellStyle name="Comma 2 266 4 2" xfId="24509" xr:uid="{ABB878FC-9400-47B3-8A3C-34C21F53C094}"/>
    <cellStyle name="Comma 2 266 5" xfId="24510" xr:uid="{8817D33D-3658-4844-BAC9-5F254565B092}"/>
    <cellStyle name="Comma 2 267" xfId="12660" xr:uid="{3E4DC66B-F99C-4025-83C6-FAEFDAF34580}"/>
    <cellStyle name="Comma 2 267 2" xfId="1638" xr:uid="{A80932FC-6C7D-480A-9B2E-2F801E41C48D}"/>
    <cellStyle name="Comma 2 267 2 2" xfId="21185" xr:uid="{EA238095-EE75-4A69-A77A-0037F5C7FACD}"/>
    <cellStyle name="Comma 2 267 2 2 2" xfId="21657" xr:uid="{8FA71C24-9E0C-4995-B90E-F144084D5A52}"/>
    <cellStyle name="Comma 2 267 2 3" xfId="21659" xr:uid="{BAED8581-1585-4902-8C9D-F2C33E7B8B9B}"/>
    <cellStyle name="Comma 2 267 3" xfId="1642" xr:uid="{6E2CFE2E-CB73-4520-905E-516160F49AA4}"/>
    <cellStyle name="Comma 2 267 3 2" xfId="21663" xr:uid="{F1C3DCDB-38AE-4268-AA13-AC1D3379DE58}"/>
    <cellStyle name="Comma 2 267 4" xfId="24513" xr:uid="{C642EB8F-4390-4E1C-BE44-B49EC1D52773}"/>
    <cellStyle name="Comma 2 268" xfId="8307" xr:uid="{1ED59726-757D-401C-9B02-56761F805CDD}"/>
    <cellStyle name="Comma 2 268 2" xfId="1298" xr:uid="{3FEF1D79-45A8-45C5-8033-4CB66D9C5E5A}"/>
    <cellStyle name="Comma 2 268 2 2" xfId="21672" xr:uid="{AA6A7EDB-1BB1-4D71-AFA7-DF0F2A8E22DF}"/>
    <cellStyle name="Comma 2 268 3" xfId="1303" xr:uid="{D1AA57CF-F511-4CA9-B33C-57F306BBC435}"/>
    <cellStyle name="Comma 2 269" xfId="12664" xr:uid="{2B4E6189-11F1-452A-B2EE-F539792730CF}"/>
    <cellStyle name="Comma 2 269 2" xfId="24516" xr:uid="{992E2BF1-EBB0-482F-9D84-1A4DD5AC4D8A}"/>
    <cellStyle name="Comma 2 27" xfId="24519" xr:uid="{A19D6429-38D6-4A8D-9708-7734CAA7F4F8}"/>
    <cellStyle name="Comma 2 27 2" xfId="24523" xr:uid="{920E72A7-6CE6-4EBB-8298-386D4EF6BBB5}"/>
    <cellStyle name="Comma 2 27 3" xfId="24527" xr:uid="{C383944F-BDB5-42F7-B1CA-AE341292EE36}"/>
    <cellStyle name="Comma 2 270" xfId="12636" xr:uid="{72590D6C-2A01-41F3-87C3-3A17DCC4FCDB}"/>
    <cellStyle name="Comma 2 271" xfId="12650" xr:uid="{9C1A561F-B798-4869-BB2E-A3298A28F1B9}"/>
    <cellStyle name="Comma 2 272" xfId="12661" xr:uid="{7B3E64C5-6B60-4770-B5D4-0E5DFEEA43E6}"/>
    <cellStyle name="Comma 2 273" xfId="8308" xr:uid="{0CD71019-B6E4-4FDE-8A5F-25369C706B85}"/>
    <cellStyle name="Comma 2 274" xfId="12665" xr:uid="{236272D3-F9FD-4031-B9BE-DAA858658A52}"/>
    <cellStyle name="Comma 2 275" xfId="15835" xr:uid="{EDFCBF19-D3A4-4DC4-892A-2D0589438FF3}"/>
    <cellStyle name="Comma 2 276" xfId="12" xr:uid="{635EE655-C37D-41D3-B42D-7AACB8FF3EA5}"/>
    <cellStyle name="Comma 2 28" xfId="24533" xr:uid="{59802136-FDFA-41E1-BFEB-CC51B5A05EFC}"/>
    <cellStyle name="Comma 2 28 2" xfId="24535" xr:uid="{D4B74D6A-2833-4D44-8DA2-EC824CEB5605}"/>
    <cellStyle name="Comma 2 28 3" xfId="24539" xr:uid="{4DEF43B4-E297-402F-990C-E148F0805AB3}"/>
    <cellStyle name="Comma 2 29" xfId="11984" xr:uid="{190A67FB-39C1-4CD2-AE25-7D6156EC6BCD}"/>
    <cellStyle name="Comma 2 29 2" xfId="11987" xr:uid="{1D744229-135E-4E88-BDC1-3E87F36AA901}"/>
    <cellStyle name="Comma 2 29 3" xfId="11995" xr:uid="{28F886BB-7980-49BD-BDE6-75318310C93F}"/>
    <cellStyle name="Comma 2 3" xfId="19334" xr:uid="{E58FB71C-AADC-462C-AA45-9F2A45918EBE}"/>
    <cellStyle name="Comma 2 3 10" xfId="3884" xr:uid="{F782CF4B-4271-496B-B9F7-DFD331F65967}"/>
    <cellStyle name="Comma 2 3 100" xfId="24543" xr:uid="{46D4A682-9AAE-44F0-89B8-C36A7056FAB0}"/>
    <cellStyle name="Comma 2 3 101" xfId="24544" xr:uid="{8BA1DCC2-25EA-47BC-BC16-7970E566B369}"/>
    <cellStyle name="Comma 2 3 102" xfId="24545" xr:uid="{640F7FAA-A77A-484A-8688-94BA19E7F5D8}"/>
    <cellStyle name="Comma 2 3 103" xfId="24546" xr:uid="{375E8DA8-E60B-4069-8DF5-89B23C92884E}"/>
    <cellStyle name="Comma 2 3 104" xfId="12858" xr:uid="{7AFB98D9-DF86-4422-B4EF-3BE734CF3D9D}"/>
    <cellStyle name="Comma 2 3 105" xfId="12861" xr:uid="{806E0FBD-2E07-4488-861A-B28C97B40092}"/>
    <cellStyle name="Comma 2 3 106" xfId="24547" xr:uid="{2D449705-1411-49AF-8250-C9DBA7D7F3CD}"/>
    <cellStyle name="Comma 2 3 107" xfId="21147" xr:uid="{49B292FB-AA9D-4791-906E-2B5ED99E15BB}"/>
    <cellStyle name="Comma 2 3 108" xfId="21152" xr:uid="{EDD02D03-9FC7-45ED-8918-F6F2A13549C7}"/>
    <cellStyle name="Comma 2 3 109" xfId="24550" xr:uid="{5E027DBF-BF4F-4112-BEA5-1CEB5F5571CF}"/>
    <cellStyle name="Comma 2 3 11" xfId="15435" xr:uid="{AF4ECD2E-8265-429D-A450-AE49A98E356F}"/>
    <cellStyle name="Comma 2 3 110" xfId="12862" xr:uid="{78C8F7EB-0691-4BB4-ACA4-5DD20ABF3FCE}"/>
    <cellStyle name="Comma 2 3 111" xfId="24548" xr:uid="{1C21D1D4-CCE7-4138-919E-FC46EC1F2E1D}"/>
    <cellStyle name="Comma 2 3 112" xfId="21148" xr:uid="{3416123F-EC2E-4D63-93CC-5689439D6556}"/>
    <cellStyle name="Comma 2 3 113" xfId="21153" xr:uid="{3AD29AE5-A68D-412E-8421-FC64D39BDD7C}"/>
    <cellStyle name="Comma 2 3 114" xfId="24551" xr:uid="{3F9E64AE-0C66-4806-9791-68B6A249C1F6}"/>
    <cellStyle name="Comma 2 3 115" xfId="24552" xr:uid="{3EB7FFB9-7176-4E1E-BB81-C28391C253B8}"/>
    <cellStyle name="Comma 2 3 116" xfId="24554" xr:uid="{E5D91544-B5B4-4D89-85C2-BC44B5900D61}"/>
    <cellStyle name="Comma 2 3 117" xfId="24557" xr:uid="{BE38EED4-4319-4FBB-B64D-ECFF845DD976}"/>
    <cellStyle name="Comma 2 3 118" xfId="24561" xr:uid="{B507D469-E7F2-4E27-AE4F-399FCE8C3D0D}"/>
    <cellStyle name="Comma 2 3 119" xfId="24563" xr:uid="{FF12DF07-B9B7-4E54-98D0-1D3C544434CD}"/>
    <cellStyle name="Comma 2 3 12" xfId="11409" xr:uid="{28183C43-9DE6-4BB9-92CE-FC86BF09E002}"/>
    <cellStyle name="Comma 2 3 120" xfId="24553" xr:uid="{3BB9DC01-DBDF-48A4-8CF6-7F3C38CF5637}"/>
    <cellStyle name="Comma 2 3 121" xfId="24555" xr:uid="{BBC1308B-CE90-4D2C-B5F9-511F2AF1C039}"/>
    <cellStyle name="Comma 2 3 122" xfId="24558" xr:uid="{DF71D626-22B5-41C2-B903-9C12F98BE647}"/>
    <cellStyle name="Comma 2 3 123" xfId="24562" xr:uid="{9DECAE61-44F9-4396-B890-462CC83B132E}"/>
    <cellStyle name="Comma 2 3 124" xfId="24564" xr:uid="{224B4375-6B97-496F-B056-E93C03AD004A}"/>
    <cellStyle name="Comma 2 3 125" xfId="24565" xr:uid="{02D8BB26-1F86-4FAE-8CD3-F8C8B39FFFFF}"/>
    <cellStyle name="Comma 2 3 126" xfId="24568" xr:uid="{B76F284D-6F2D-4324-8A74-A0E4ADD74816}"/>
    <cellStyle name="Comma 2 3 127" xfId="24571" xr:uid="{021DD79C-FB2D-434C-896E-527427951F12}"/>
    <cellStyle name="Comma 2 3 128" xfId="24576" xr:uid="{CBC05776-FA9B-4347-BF2E-478CDBDA277F}"/>
    <cellStyle name="Comma 2 3 129" xfId="14038" xr:uid="{51D8DF64-C6BD-40AA-A1DB-1CD4CCBC885C}"/>
    <cellStyle name="Comma 2 3 13" xfId="11414" xr:uid="{A59F6951-425A-4697-AF5F-BBC8088B350C}"/>
    <cellStyle name="Comma 2 3 130" xfId="24566" xr:uid="{F2701CDC-3262-49FC-B567-B9F7D9D72578}"/>
    <cellStyle name="Comma 2 3 131" xfId="24569" xr:uid="{87CF8F74-3208-4AF0-BC48-F9B6116D1175}"/>
    <cellStyle name="Comma 2 3 132" xfId="24572" xr:uid="{BC53B07C-D021-4E49-9357-1E528AB0FB2D}"/>
    <cellStyle name="Comma 2 3 133" xfId="24577" xr:uid="{EDE67018-E7ED-483D-99A7-A5991BC97DEB}"/>
    <cellStyle name="Comma 2 3 134" xfId="14039" xr:uid="{4C1430B0-019A-4AD6-805B-E34F92A4C79B}"/>
    <cellStyle name="Comma 2 3 135" xfId="9801" xr:uid="{CCF917FA-EA46-457A-8B76-3853FC324AAB}"/>
    <cellStyle name="Comma 2 3 136" xfId="24578" xr:uid="{350EF6F3-BC7A-4495-BDEF-A10B982AF404}"/>
    <cellStyle name="Comma 2 3 137" xfId="24580" xr:uid="{B419D1D6-2D14-4A45-943E-1EEBF9646B50}"/>
    <cellStyle name="Comma 2 3 138" xfId="24582" xr:uid="{E7C1EB6B-7768-40A8-8772-4A5B77C37820}"/>
    <cellStyle name="Comma 2 3 139" xfId="24584" xr:uid="{F5FB08C8-2259-4B74-B6C4-03B529E8AD8F}"/>
    <cellStyle name="Comma 2 3 14" xfId="24586" xr:uid="{A1398556-78E2-4E22-9B9B-FCB279B52B45}"/>
    <cellStyle name="Comma 2 3 140" xfId="9802" xr:uid="{6C7A450C-04B8-4CC1-AC7D-1564AD792941}"/>
    <cellStyle name="Comma 2 3 141" xfId="24579" xr:uid="{77E24C24-0529-4862-B1A4-5856088F9C10}"/>
    <cellStyle name="Comma 2 3 142" xfId="24581" xr:uid="{33F0DD83-5977-40FD-B022-4E40F613DC7E}"/>
    <cellStyle name="Comma 2 3 143" xfId="24583" xr:uid="{C32D8A4F-9D48-43CD-8894-10B2D85DB80E}"/>
    <cellStyle name="Comma 2 3 144" xfId="24585" xr:uid="{941D82E6-BF22-46C4-8372-061E37991840}"/>
    <cellStyle name="Comma 2 3 145" xfId="24587" xr:uid="{CD2363F8-0974-47C5-B7AA-CEC5FA053493}"/>
    <cellStyle name="Comma 2 3 146" xfId="24589" xr:uid="{2B18B482-D07D-4CA8-B7B1-B69A0ED93854}"/>
    <cellStyle name="Comma 2 3 147" xfId="24591" xr:uid="{FEE0197E-03E1-4E7D-8FCE-05581B9758D9}"/>
    <cellStyle name="Comma 2 3 148" xfId="24593" xr:uid="{43CB5782-0052-4A6C-8C71-21C7CE3E74B0}"/>
    <cellStyle name="Comma 2 3 149" xfId="12865" xr:uid="{6763DFB1-57FA-435E-B6D1-D25215138E75}"/>
    <cellStyle name="Comma 2 3 15" xfId="24597" xr:uid="{CC88C012-2C1E-45E6-9B85-274D43C0BAB3}"/>
    <cellStyle name="Comma 2 3 150" xfId="24588" xr:uid="{8756D283-3A46-4BCF-BC83-94C2C8C5633C}"/>
    <cellStyle name="Comma 2 3 151" xfId="24590" xr:uid="{0BA089F6-4035-4369-85DD-EF48771701D7}"/>
    <cellStyle name="Comma 2 3 152" xfId="24592" xr:uid="{BFCB1664-5782-4480-B772-79AAE3D5C6BD}"/>
    <cellStyle name="Comma 2 3 153" xfId="24594" xr:uid="{C7B9C289-1956-4A67-B787-0717C9CEDE1E}"/>
    <cellStyle name="Comma 2 3 154" xfId="12866" xr:uid="{180A7364-11D4-428B-AF56-E85D39019914}"/>
    <cellStyle name="Comma 2 3 155" xfId="24599" xr:uid="{FD49AD90-6BB7-4F6F-9C70-125F565FF003}"/>
    <cellStyle name="Comma 2 3 156" xfId="24601" xr:uid="{6B09D13E-7E7D-4C4C-A27E-7EC659F18E30}"/>
    <cellStyle name="Comma 2 3 157" xfId="21155" xr:uid="{69B401B5-9421-41FE-9623-9DC58332FC77}"/>
    <cellStyle name="Comma 2 3 158" xfId="24604" xr:uid="{C25C4D55-CB91-4130-ACBF-5A64B7EC7DB3}"/>
    <cellStyle name="Comma 2 3 159" xfId="24606" xr:uid="{BF7160F6-DA0F-47A2-8FCE-1121E0680276}"/>
    <cellStyle name="Comma 2 3 16" xfId="17407" xr:uid="{C599F762-021B-44D3-9205-D6E2047248F1}"/>
    <cellStyle name="Comma 2 3 160" xfId="24600" xr:uid="{3BCD135F-1149-4A11-A89D-BBC525443C84}"/>
    <cellStyle name="Comma 2 3 161" xfId="24602" xr:uid="{BBF1C602-E6BB-4826-A281-316195B4768A}"/>
    <cellStyle name="Comma 2 3 162" xfId="21156" xr:uid="{87C44150-84F0-4630-9862-0C9D05D8CAE6}"/>
    <cellStyle name="Comma 2 3 163" xfId="24605" xr:uid="{EAEE5D46-C176-4EBB-BD00-40BB695E51A9}"/>
    <cellStyle name="Comma 2 3 164" xfId="24607" xr:uid="{311C9C2F-310B-46F6-80BE-DBEA3EE0DF41}"/>
    <cellStyle name="Comma 2 3 165" xfId="24608" xr:uid="{9879279A-982C-473C-A816-EC358380B966}"/>
    <cellStyle name="Comma 2 3 166" xfId="24610" xr:uid="{70DB1637-FDDB-46F9-A1E3-96939829814D}"/>
    <cellStyle name="Comma 2 3 167" xfId="24612" xr:uid="{91180CF5-A424-41D1-A852-AE83EF5DAD4D}"/>
    <cellStyle name="Comma 2 3 168" xfId="24614" xr:uid="{A2486B53-23B3-4C3B-8DD7-E158F05FA066}"/>
    <cellStyle name="Comma 2 3 169" xfId="24616" xr:uid="{E92CBC00-A8FE-4EFC-845F-AF8CA4650504}"/>
    <cellStyle name="Comma 2 3 17" xfId="17413" xr:uid="{ED9E6306-2DD8-4A23-B3E9-89BE42F8DD3F}"/>
    <cellStyle name="Comma 2 3 170" xfId="24609" xr:uid="{D95E3291-01F5-4914-BBF1-7D0282E33CB7}"/>
    <cellStyle name="Comma 2 3 171" xfId="24611" xr:uid="{6349782B-F3BA-4DDC-9512-31C34F090A06}"/>
    <cellStyle name="Comma 2 3 172" xfId="24613" xr:uid="{9B485B14-614F-4832-8AA7-94B0F9D1A586}"/>
    <cellStyle name="Comma 2 3 173" xfId="24615" xr:uid="{99887943-AE37-4352-B70E-27C2E4A2764D}"/>
    <cellStyle name="Comma 2 3 174" xfId="24617" xr:uid="{489FCD92-DE46-45E3-B032-0418BB518B3C}"/>
    <cellStyle name="Comma 2 3 175" xfId="24618" xr:uid="{F1605F00-4422-48ED-8EEF-3AA8062564CC}"/>
    <cellStyle name="Comma 2 3 176" xfId="24621" xr:uid="{C8F0E797-DCE3-4367-982A-13A378C40FC1}"/>
    <cellStyle name="Comma 2 3 177" xfId="24624" xr:uid="{F60C8F32-E0D0-42DA-8EEE-15E3C139D20C}"/>
    <cellStyle name="Comma 2 3 178" xfId="24630" xr:uid="{67852F14-CFAF-4E08-A4F1-AA60424E52A5}"/>
    <cellStyle name="Comma 2 3 179" xfId="14046" xr:uid="{AAF09B73-1A0E-4ED9-B991-DDFDB9F01DD0}"/>
    <cellStyle name="Comma 2 3 18" xfId="24632" xr:uid="{3F5EF8A9-2119-4730-9B6B-783AA6562423}"/>
    <cellStyle name="Comma 2 3 180" xfId="24619" xr:uid="{DFB89B7C-D33F-4E9C-98DB-B857B89C04E6}"/>
    <cellStyle name="Comma 2 3 181" xfId="24622" xr:uid="{DD2DE8D6-3752-4D6E-B851-3A1610857619}"/>
    <cellStyle name="Comma 2 3 182" xfId="24625" xr:uid="{46D856CD-440C-4F30-807C-4EEDAAC4C0F7}"/>
    <cellStyle name="Comma 2 3 183" xfId="24631" xr:uid="{7818EDAE-986D-4705-A24A-358FD7FA5103}"/>
    <cellStyle name="Comma 2 3 184" xfId="14047" xr:uid="{121BC623-6569-4DB5-8599-7899CB9AD1AF}"/>
    <cellStyle name="Comma 2 3 185" xfId="24634" xr:uid="{41DC2DF8-857F-4E9F-9B4C-3046F1DB22B2}"/>
    <cellStyle name="Comma 2 3 186" xfId="24636" xr:uid="{638C88FA-4994-4EF2-ADAE-1156FE7613C1}"/>
    <cellStyle name="Comma 2 3 187" xfId="8232" xr:uid="{E4002DFD-2AB8-47F0-BF33-736363DD254A}"/>
    <cellStyle name="Comma 2 3 188" xfId="24638" xr:uid="{D79F1615-DDA2-43DB-87B9-F95F1BB148BB}"/>
    <cellStyle name="Comma 2 3 189" xfId="24640" xr:uid="{13540194-A179-45E8-945B-6A70B8FBC691}"/>
    <cellStyle name="Comma 2 3 19" xfId="24642" xr:uid="{42F3310C-25F3-4409-8062-2EC9B21FA78D}"/>
    <cellStyle name="Comma 2 3 190" xfId="24635" xr:uid="{40CE8086-A96E-4C29-9517-15BFB9A9077F}"/>
    <cellStyle name="Comma 2 3 191" xfId="24637" xr:uid="{AA008750-5400-4B03-8A4C-35C1F7AEC048}"/>
    <cellStyle name="Comma 2 3 192" xfId="8233" xr:uid="{BC8A8E60-DFFF-4F85-9B63-A3AE761F208D}"/>
    <cellStyle name="Comma 2 3 193" xfId="24639" xr:uid="{6F140655-F35D-4254-8CA8-DEFBFF41C641}"/>
    <cellStyle name="Comma 2 3 194" xfId="24641" xr:uid="{EACFC90E-C29B-4110-877D-FD99713B1BC6}"/>
    <cellStyle name="Comma 2 3 195" xfId="24644" xr:uid="{E27F5A6A-F825-4ED2-BFCA-38F959A918CA}"/>
    <cellStyle name="Comma 2 3 196" xfId="24645" xr:uid="{52C0BF65-54D2-4D14-BFF2-A1A51729342B}"/>
    <cellStyle name="Comma 2 3 197" xfId="24646" xr:uid="{662CF848-2314-4471-BE4D-32025B86D685}"/>
    <cellStyle name="Comma 2 3 2" xfId="24647" xr:uid="{35BC69B4-7869-4395-BD53-89C31D58DB2B}"/>
    <cellStyle name="Comma 2 3 20" xfId="24598" xr:uid="{47F3C3F5-7F56-4B7D-B21D-11EBD9D21040}"/>
    <cellStyle name="Comma 2 3 21" xfId="17408" xr:uid="{55B21CAE-8E37-42D8-BF50-5C1F42F83029}"/>
    <cellStyle name="Comma 2 3 22" xfId="17414" xr:uid="{209E03D7-ABBF-4652-ACB0-ACEB3F37FBBD}"/>
    <cellStyle name="Comma 2 3 23" xfId="24633" xr:uid="{345C419C-D997-450B-9042-68404FECFBF3}"/>
    <cellStyle name="Comma 2 3 24" xfId="24643" xr:uid="{EE7EF811-CD41-4BD2-BC6C-5D1C6255BA4B}"/>
    <cellStyle name="Comma 2 3 25" xfId="24648" xr:uid="{0A0541C5-3C4E-4BD5-91CB-F12C9F7D52E6}"/>
    <cellStyle name="Comma 2 3 26" xfId="24650" xr:uid="{08B4DBA6-7920-457F-92AD-319EB2FF3ADA}"/>
    <cellStyle name="Comma 2 3 27" xfId="24652" xr:uid="{2986F1C0-A46A-41BC-B04B-BABBB9E0FDCA}"/>
    <cellStyle name="Comma 2 3 28" xfId="24286" xr:uid="{991A7B40-E3AA-40C0-9925-EBE798AF094E}"/>
    <cellStyle name="Comma 2 3 29" xfId="24289" xr:uid="{2625FBBF-DC4B-4DB1-AE21-D1C782E23907}"/>
    <cellStyle name="Comma 2 3 3" xfId="5342" xr:uid="{8DEC7F3B-CA31-4706-80D7-0EB325D0EE20}"/>
    <cellStyle name="Comma 2 3 30" xfId="24649" xr:uid="{2CBB3FC0-C3DD-4DC1-B071-6DFE655BEB63}"/>
    <cellStyle name="Comma 2 3 31" xfId="24651" xr:uid="{5CAFC07D-AD68-48FD-AA57-7AF4632F14DC}"/>
    <cellStyle name="Comma 2 3 32" xfId="24653" xr:uid="{9EFABA1D-BEDC-4D82-9161-55D4522BA1AF}"/>
    <cellStyle name="Comma 2 3 33" xfId="24287" xr:uid="{95174456-0600-4319-8FD1-0D0CF8870916}"/>
    <cellStyle name="Comma 2 3 34" xfId="24290" xr:uid="{DA74F0AC-5FA9-467D-9BE9-51F0757D12DF}"/>
    <cellStyle name="Comma 2 3 35" xfId="24654" xr:uid="{841CA142-4827-4C1E-888D-5E1F6D6BA9B1}"/>
    <cellStyle name="Comma 2 3 36" xfId="24656" xr:uid="{B12EDBFA-8ADC-4567-B64C-E4DDACDA530B}"/>
    <cellStyle name="Comma 2 3 37" xfId="24658" xr:uid="{8E04286B-EE66-405F-A62F-7320DFB2589B}"/>
    <cellStyle name="Comma 2 3 38" xfId="24660" xr:uid="{8DD180CB-79DD-4EB4-AD4E-4C01899EAB87}"/>
    <cellStyle name="Comma 2 3 39" xfId="14241" xr:uid="{D2629E4B-3FA8-4CB1-9E99-3ABCC09E5048}"/>
    <cellStyle name="Comma 2 3 4" xfId="5353" xr:uid="{7EF6250E-417E-4A85-9666-4073EF646DDB}"/>
    <cellStyle name="Comma 2 3 40" xfId="24655" xr:uid="{C0327448-EE89-40D5-9845-213F3A77A139}"/>
    <cellStyle name="Comma 2 3 41" xfId="24657" xr:uid="{DCC91456-A592-4774-BC4E-FDEAED700288}"/>
    <cellStyle name="Comma 2 3 42" xfId="24659" xr:uid="{4991F023-72E6-4899-A795-C0AB69D7E90C}"/>
    <cellStyle name="Comma 2 3 43" xfId="24661" xr:uid="{82065707-80B6-4265-91A1-17A006550BE7}"/>
    <cellStyle name="Comma 2 3 44" xfId="14242" xr:uid="{7AADC770-4E3F-4650-B14B-7D5CA0CF4B08}"/>
    <cellStyle name="Comma 2 3 45" xfId="24662" xr:uid="{2A1FE17C-2E2E-419D-9B18-37EF388BC6FB}"/>
    <cellStyle name="Comma 2 3 46" xfId="24664" xr:uid="{70448376-1802-4240-9463-2B0AF298CE52}"/>
    <cellStyle name="Comma 2 3 47" xfId="24666" xr:uid="{67FED96A-C2BD-4457-8CBD-7BEDABF47D7A}"/>
    <cellStyle name="Comma 2 3 48" xfId="24668" xr:uid="{1A55C4D8-4F0F-4B08-A235-325BC196EFDF}"/>
    <cellStyle name="Comma 2 3 49" xfId="4858" xr:uid="{3E028DC1-D22C-4826-95BF-CEF541015D8D}"/>
    <cellStyle name="Comma 2 3 5" xfId="24672" xr:uid="{6B970937-29F8-43A9-9782-48916EDD5ACC}"/>
    <cellStyle name="Comma 2 3 50" xfId="24663" xr:uid="{746ACD50-C4F2-475E-A91D-74A3D96EB510}"/>
    <cellStyle name="Comma 2 3 51" xfId="24665" xr:uid="{CAF86E04-8DF2-4D08-AD98-1F9F34C32F4C}"/>
    <cellStyle name="Comma 2 3 52" xfId="24667" xr:uid="{32F1697E-8168-4FFE-8E0F-6BC5ADA87F62}"/>
    <cellStyle name="Comma 2 3 53" xfId="24669" xr:uid="{A3DFFF8D-5E5D-4702-AA22-B8F443ADBE74}"/>
    <cellStyle name="Comma 2 3 54" xfId="4859" xr:uid="{B10295CF-B535-4C01-A6E8-E75D89F8998F}"/>
    <cellStyle name="Comma 2 3 55" xfId="24673" xr:uid="{37F9A8EE-1D1B-4970-AA89-AE570A2E5DBE}"/>
    <cellStyle name="Comma 2 3 56" xfId="24675" xr:uid="{DAC7F9C1-C3B7-401C-B3FE-44D7B73D3BF8}"/>
    <cellStyle name="Comma 2 3 57" xfId="11419" xr:uid="{9C975D81-345D-43CB-BE65-95D58DE3653C}"/>
    <cellStyle name="Comma 2 3 58" xfId="24677" xr:uid="{63BDEC5F-E0B0-4DEE-9A16-30907F64645D}"/>
    <cellStyle name="Comma 2 3 59" xfId="24679" xr:uid="{0C7D1BDC-4BEB-4F95-ADB1-C51567044B33}"/>
    <cellStyle name="Comma 2 3 6" xfId="1902" xr:uid="{9501DBA0-5B4B-4614-888D-947C28DB3C31}"/>
    <cellStyle name="Comma 2 3 60" xfId="24674" xr:uid="{5945F22C-320B-4D39-B0C4-621D138D7263}"/>
    <cellStyle name="Comma 2 3 61" xfId="24676" xr:uid="{B75BBA97-50E0-4BE6-9598-3934EC45CA75}"/>
    <cellStyle name="Comma 2 3 62" xfId="11420" xr:uid="{0515297B-B684-4489-98F3-2FDE91738BBA}"/>
    <cellStyle name="Comma 2 3 63" xfId="24678" xr:uid="{FAD636EC-ECBE-4DB9-B48C-F0A1509E09F0}"/>
    <cellStyle name="Comma 2 3 64" xfId="24680" xr:uid="{839E1306-E6FD-4F7F-89A8-23A19CF3E9EC}"/>
    <cellStyle name="Comma 2 3 65" xfId="24683" xr:uid="{54A45E4E-500B-4F0C-8CB9-20F844E84ACA}"/>
    <cellStyle name="Comma 2 3 66" xfId="17423" xr:uid="{88232874-F823-463A-9A2B-57AD67DBE576}"/>
    <cellStyle name="Comma 2 3 67" xfId="17431" xr:uid="{527A6227-83FF-4025-9223-B051F53D4E30}"/>
    <cellStyle name="Comma 2 3 68" xfId="24685" xr:uid="{ED9B98F3-83A7-4C8C-90A8-8A17AE631A91}"/>
    <cellStyle name="Comma 2 3 69" xfId="24687" xr:uid="{633DE190-B6B6-46E6-9B78-D9DD70097CBE}"/>
    <cellStyle name="Comma 2 3 7" xfId="1907" xr:uid="{1433E67D-8A7A-445B-B434-BB957E514DFB}"/>
    <cellStyle name="Comma 2 3 70" xfId="24684" xr:uid="{41CF017E-0135-414C-864A-DE8F4228E742}"/>
    <cellStyle name="Comma 2 3 71" xfId="17424" xr:uid="{2F34D26A-B3B5-43C4-A9B7-7411C463C684}"/>
    <cellStyle name="Comma 2 3 72" xfId="17432" xr:uid="{188A4F66-DB87-4D3E-8B01-6F0530B1E764}"/>
    <cellStyle name="Comma 2 3 73" xfId="24686" xr:uid="{39443C4C-E561-47B2-9F90-75D988692865}"/>
    <cellStyle name="Comma 2 3 74" xfId="24688" xr:uid="{C42385F1-12AC-4E62-AF7A-D5E6F259C810}"/>
    <cellStyle name="Comma 2 3 75" xfId="24689" xr:uid="{6EC7489B-DFD5-4278-9D83-455058557A63}"/>
    <cellStyle name="Comma 2 3 76" xfId="24691" xr:uid="{6FD8A1E4-78C9-4FC2-B995-BF412DAC69EA}"/>
    <cellStyle name="Comma 2 3 77" xfId="7175" xr:uid="{E9677F00-4517-460F-9930-BF3F67DEED38}"/>
    <cellStyle name="Comma 2 3 78" xfId="7178" xr:uid="{E5E3C907-D656-466F-9D7F-8CFBAC5F7F59}"/>
    <cellStyle name="Comma 2 3 79" xfId="24693" xr:uid="{BBA66DF6-63A7-4676-BDEB-CF2C8F8118AD}"/>
    <cellStyle name="Comma 2 3 8" xfId="24695" xr:uid="{342795C8-DF06-4FC1-A498-E001E682B1F0}"/>
    <cellStyle name="Comma 2 3 80" xfId="24690" xr:uid="{247126A5-EB02-4340-941A-DF73BB587804}"/>
    <cellStyle name="Comma 2 3 81" xfId="24692" xr:uid="{9E98ED20-FC37-493C-B051-EAD4940F4A3E}"/>
    <cellStyle name="Comma 2 3 82" xfId="7176" xr:uid="{BA0AD9FD-4AB9-4F68-BE71-1BCDD2BA35B4}"/>
    <cellStyle name="Comma 2 3 83" xfId="7179" xr:uid="{4B9320CE-5474-46BE-9C37-BA1991DB9C1F}"/>
    <cellStyle name="Comma 2 3 84" xfId="24694" xr:uid="{27AEA546-5F7A-4A05-91D5-94B4359D0356}"/>
    <cellStyle name="Comma 2 3 85" xfId="24696" xr:uid="{5C106611-E566-4299-BC4E-87933466B9AD}"/>
    <cellStyle name="Comma 2 3 86" xfId="24698" xr:uid="{50DA6279-6CE7-49E9-8D00-9EF8E6147DE6}"/>
    <cellStyle name="Comma 2 3 87" xfId="24700" xr:uid="{BD3452FC-6F9C-4476-B152-A0957614CC60}"/>
    <cellStyle name="Comma 2 3 88" xfId="24702" xr:uid="{126AA0A5-6C74-49FC-A491-ADFAEC60BEE6}"/>
    <cellStyle name="Comma 2 3 89" xfId="20706" xr:uid="{975E9D44-AD1C-4F20-981E-9288F1640984}"/>
    <cellStyle name="Comma 2 3 9" xfId="24704" xr:uid="{23C00FD3-DD32-4207-8261-6F920CA6A7F5}"/>
    <cellStyle name="Comma 2 3 90" xfId="24697" xr:uid="{0FF8D650-FDA5-4080-8EBC-5D54DA53A732}"/>
    <cellStyle name="Comma 2 3 91" xfId="24699" xr:uid="{51A1F2B0-5AC6-4B2A-A04F-553148AE03F0}"/>
    <cellStyle name="Comma 2 3 92" xfId="24701" xr:uid="{15AB2FBC-49DD-4434-8795-86BEC4BB49DD}"/>
    <cellStyle name="Comma 2 3 93" xfId="24703" xr:uid="{A39B3B52-F0DE-4B24-AB77-54AFC3AC02BD}"/>
    <cellStyle name="Comma 2 3 94" xfId="20707" xr:uid="{6C9B9AEF-5BDE-4455-A388-376EEC8EBD7F}"/>
    <cellStyle name="Comma 2 3 95" xfId="20709" xr:uid="{6D5F1913-56AE-4789-845B-F757EF07E435}"/>
    <cellStyle name="Comma 2 3 96" xfId="24705" xr:uid="{B6382207-D67E-426A-88EC-D49CCFA1B677}"/>
    <cellStyle name="Comma 2 3 97" xfId="24706" xr:uid="{C30E149A-F390-4626-A8B1-3DA30D38B194}"/>
    <cellStyle name="Comma 2 3 98" xfId="24708" xr:uid="{A380E7F0-E57D-47B7-BED3-58515182F4C5}"/>
    <cellStyle name="Comma 2 3 99" xfId="24710" xr:uid="{5CB8985D-CD8D-48A2-B6C1-BABAE6915BCE}"/>
    <cellStyle name="Comma 2 30" xfId="19487" xr:uid="{0FB5D186-4922-43E1-AD69-80DCB317BBF0}"/>
    <cellStyle name="Comma 2 30 2" xfId="19490" xr:uid="{57B66B3F-8F39-481E-888B-CD087C865492}"/>
    <cellStyle name="Comma 2 30 3" xfId="19494" xr:uid="{9EF92CDC-3728-4D9D-944D-05F76E484BAC}"/>
    <cellStyle name="Comma 2 31" xfId="10781" xr:uid="{A6E65D48-2088-4A87-B0AF-D69454E1AC9E}"/>
    <cellStyle name="Comma 2 31 2" xfId="22110" xr:uid="{BCE9710D-0520-4152-B445-64426F246B04}"/>
    <cellStyle name="Comma 2 31 3" xfId="22114" xr:uid="{7FA3C76F-F10D-4162-A2D3-1A48220080F7}"/>
    <cellStyle name="Comma 2 32" xfId="24520" xr:uid="{0CF6CD62-43FF-4053-A821-486440A63C63}"/>
    <cellStyle name="Comma 2 32 2" xfId="24524" xr:uid="{1D74961A-A132-4830-8ADA-DBE0718E07C2}"/>
    <cellStyle name="Comma 2 32 3" xfId="24528" xr:uid="{A6F6E596-04A2-4C44-BEBA-AF82F5DAE378}"/>
    <cellStyle name="Comma 2 33" xfId="24534" xr:uid="{4069CC84-E9FE-45C6-99FD-A3472ED97F9E}"/>
    <cellStyle name="Comma 2 33 2" xfId="24536" xr:uid="{187FC5BF-3BA8-4F90-9A04-589A4D97F174}"/>
    <cellStyle name="Comma 2 33 3" xfId="24540" xr:uid="{93185227-47F9-44F7-99A8-76D1985A10F6}"/>
    <cellStyle name="Comma 2 34" xfId="11985" xr:uid="{42B4D38B-294F-436D-A329-072D43FD4F14}"/>
    <cellStyle name="Comma 2 34 2" xfId="11988" xr:uid="{86B5CBF3-1244-4152-BE82-987BC7D7AA44}"/>
    <cellStyle name="Comma 2 34 3" xfId="11996" xr:uid="{291A42A6-DBE0-4B69-B1DA-DCF79523B349}"/>
    <cellStyle name="Comma 2 35" xfId="12003" xr:uid="{B6F44727-93DF-4E9B-BB6F-6E022C355C7E}"/>
    <cellStyle name="Comma 2 35 2" xfId="12006" xr:uid="{230A5305-B55B-497F-B240-3F5449F634BD}"/>
    <cellStyle name="Comma 2 35 3" xfId="24711" xr:uid="{33397E1C-5284-4A30-98A9-C5D4F3EFB763}"/>
    <cellStyle name="Comma 2 36" xfId="12012" xr:uid="{3B1A2C3C-105C-4B87-9F58-E8AE052BF23D}"/>
    <cellStyle name="Comma 2 36 2" xfId="10905" xr:uid="{D16D4342-FE32-4C0F-94CA-AA8236760FDA}"/>
    <cellStyle name="Comma 2 36 3" xfId="24714" xr:uid="{1E7E7FEB-10F9-4E2F-B24C-57723E9C86BC}"/>
    <cellStyle name="Comma 2 37" xfId="20544" xr:uid="{5E0122A5-F6A3-4774-834F-2069B4FCA3CB}"/>
    <cellStyle name="Comma 2 37 2" xfId="20548" xr:uid="{02B667F1-032E-4F93-8312-331880584880}"/>
    <cellStyle name="Comma 2 37 3" xfId="20551" xr:uid="{B082A38A-29F9-4E11-9935-7976A3BEDB7E}"/>
    <cellStyle name="Comma 2 38" xfId="20557" xr:uid="{98E77935-85EC-4D8C-B8B7-4BC332D3CD13}"/>
    <cellStyle name="Comma 2 38 2" xfId="20559" xr:uid="{F7123C6A-9D40-4AE8-AD71-1B3E381DFA6C}"/>
    <cellStyle name="Comma 2 38 3" xfId="24716" xr:uid="{5EF63BF2-2D55-41E4-B6FA-F3FE41258F05}"/>
    <cellStyle name="Comma 2 39" xfId="20567" xr:uid="{99C5AFBA-7DCB-4C78-8024-7CD38224203A}"/>
    <cellStyle name="Comma 2 39 2" xfId="24720" xr:uid="{C1527CA4-F7B0-4046-A9E0-BC59DB15250E}"/>
    <cellStyle name="Comma 2 39 3" xfId="24724" xr:uid="{4C1048CA-5490-4BD7-9A9A-7F91C6A55746}"/>
    <cellStyle name="Comma 2 4" xfId="24728" xr:uid="{41458B0C-CC70-4513-AC76-F67B37EC0774}"/>
    <cellStyle name="Comma 2 4 10" xfId="24730" xr:uid="{1E6BB2A6-84CC-4B85-B79E-2D0C5A22A3AD}"/>
    <cellStyle name="Comma 2 4 100" xfId="24731" xr:uid="{847A3E24-726E-4250-AEC4-152B8C3B2129}"/>
    <cellStyle name="Comma 2 4 101" xfId="24732" xr:uid="{08DF5CF9-CDF3-4169-A6DE-76A24136369E}"/>
    <cellStyle name="Comma 2 4 102" xfId="24733" xr:uid="{006C9798-13E1-43B1-AA37-33E6A3AB244F}"/>
    <cellStyle name="Comma 2 4 103" xfId="24734" xr:uid="{631B7FF8-DB65-4C1F-9E75-80A9EAAE2594}"/>
    <cellStyle name="Comma 2 4 104" xfId="12876" xr:uid="{8A041AAB-3918-451A-BCD5-8AD89A9B819F}"/>
    <cellStyle name="Comma 2 4 105" xfId="24735" xr:uid="{83BC0CA0-61BF-4AA2-8931-2B92561B8F5C}"/>
    <cellStyle name="Comma 2 4 106" xfId="24737" xr:uid="{D9F40C4F-D285-4899-8FB5-3E5D864D8C2B}"/>
    <cellStyle name="Comma 2 4 107" xfId="21174" xr:uid="{E57EF6DE-9DF0-4EB2-A80F-1660C01FD6FB}"/>
    <cellStyle name="Comma 2 4 108" xfId="24739" xr:uid="{C4EF2609-17A2-48E2-B35C-C4CC861A7778}"/>
    <cellStyle name="Comma 2 4 109" xfId="24741" xr:uid="{745FF59B-93A8-44E4-A195-EB199D9BA55D}"/>
    <cellStyle name="Comma 2 4 11" xfId="725" xr:uid="{BE8953B3-2D63-4328-B2BF-5742285D0E25}"/>
    <cellStyle name="Comma 2 4 110" xfId="24736" xr:uid="{779D1FB3-0B21-4F86-9BEE-DD4DB32DF7D8}"/>
    <cellStyle name="Comma 2 4 111" xfId="24738" xr:uid="{2A4BEAE8-2883-4716-8CEC-E917CDAC4BBC}"/>
    <cellStyle name="Comma 2 4 112" xfId="21175" xr:uid="{4C73B8C5-E727-4C60-9A02-CA62E8060DEA}"/>
    <cellStyle name="Comma 2 4 113" xfId="24740" xr:uid="{C13D6007-5204-4F07-A2A1-BF20BCE90B1D}"/>
    <cellStyle name="Comma 2 4 114" xfId="24742" xr:uid="{6CB3A812-5202-42EF-B9FF-ED6EDCE8D83D}"/>
    <cellStyle name="Comma 2 4 115" xfId="24743" xr:uid="{EDB17FCF-DA85-4275-A0D0-5EFCDCEE223F}"/>
    <cellStyle name="Comma 2 4 116" xfId="24745" xr:uid="{B6242F6D-139C-49CE-B3C1-3E52440DCD0F}"/>
    <cellStyle name="Comma 2 4 117" xfId="24748" xr:uid="{79D40E64-1008-4589-9A40-0F832F7754FA}"/>
    <cellStyle name="Comma 2 4 118" xfId="24750" xr:uid="{722AFFB4-637F-4526-AAF2-A637E7265634}"/>
    <cellStyle name="Comma 2 4 119" xfId="24752" xr:uid="{B6C556A9-DB83-470D-889E-C446E47BE4FC}"/>
    <cellStyle name="Comma 2 4 12" xfId="24754" xr:uid="{8EA20859-0F27-4255-9527-E74A32FE640D}"/>
    <cellStyle name="Comma 2 4 120" xfId="24744" xr:uid="{157BDD2B-FD67-4F48-8B22-707E69B7F14B}"/>
    <cellStyle name="Comma 2 4 121" xfId="24746" xr:uid="{BB9267A5-F5CE-4E1A-8AE4-FD4DD636130A}"/>
    <cellStyle name="Comma 2 4 122" xfId="24749" xr:uid="{F599075F-886C-4FEA-B4A2-FE0ED59D9043}"/>
    <cellStyle name="Comma 2 4 123" xfId="24751" xr:uid="{3FE4D554-9403-458F-BAEB-87772F119209}"/>
    <cellStyle name="Comma 2 4 124" xfId="24753" xr:uid="{A2BF644E-72C2-402B-9F05-777658E8DC59}"/>
    <cellStyle name="Comma 2 4 125" xfId="24755" xr:uid="{DD20E792-3480-4C26-81BB-56FB757A1115}"/>
    <cellStyle name="Comma 2 4 126" xfId="24758" xr:uid="{9426EE85-19B5-4FB8-9795-FEAB5F988231}"/>
    <cellStyle name="Comma 2 4 127" xfId="24761" xr:uid="{BCAC821B-DD5B-4045-BB19-CE13BC5A2CCB}"/>
    <cellStyle name="Comma 2 4 128" xfId="24765" xr:uid="{F67EA7AA-179A-4EC5-B89C-5A2C76BAD822}"/>
    <cellStyle name="Comma 2 4 129" xfId="14054" xr:uid="{FD5DD136-75FA-44D8-892F-AAA2D72BAA86}"/>
    <cellStyle name="Comma 2 4 13" xfId="24767" xr:uid="{B88FBFE4-5468-42E8-A073-3BB71ADD8493}"/>
    <cellStyle name="Comma 2 4 130" xfId="24756" xr:uid="{7AAF3C92-AEC6-4A0A-ACB9-6C72B7D01066}"/>
    <cellStyle name="Comma 2 4 131" xfId="24759" xr:uid="{6401961E-8C8D-426F-993C-09DA6210EA42}"/>
    <cellStyle name="Comma 2 4 132" xfId="24762" xr:uid="{4AA6F084-4374-418E-A66D-37AC1AF36A16}"/>
    <cellStyle name="Comma 2 4 133" xfId="24766" xr:uid="{A24B19EC-0302-4C33-9546-6725B575BC44}"/>
    <cellStyle name="Comma 2 4 134" xfId="14055" xr:uid="{60E96650-FD95-4850-8CC1-5F5A5F46AC53}"/>
    <cellStyle name="Comma 2 4 135" xfId="15892" xr:uid="{EE7B2CA5-6D42-4712-AECD-6D85D5283E97}"/>
    <cellStyle name="Comma 2 4 136" xfId="15898" xr:uid="{598652E5-3A32-4865-8F8E-01BE1C27F0D3}"/>
    <cellStyle name="Comma 2 4 137" xfId="15905" xr:uid="{AF44A437-31D5-484C-9756-76000D1AFE6E}"/>
    <cellStyle name="Comma 2 4 138" xfId="17319" xr:uid="{C0DE6AD7-07E4-449E-A39A-21B949EDC9D8}"/>
    <cellStyle name="Comma 2 4 139" xfId="24768" xr:uid="{5AF3D982-D480-473C-948F-05FE8C9866B0}"/>
    <cellStyle name="Comma 2 4 14" xfId="19534" xr:uid="{2CC75515-3F7A-4631-AD56-C52455F9D421}"/>
    <cellStyle name="Comma 2 4 140" xfId="15893" xr:uid="{809749D7-508E-49F5-853E-198821668DDA}"/>
    <cellStyle name="Comma 2 4 141" xfId="15899" xr:uid="{9A969F1C-C5CA-4743-853F-1104AA01E4FB}"/>
    <cellStyle name="Comma 2 4 142" xfId="15906" xr:uid="{544FE407-A788-444C-BFB2-3746E4956DCB}"/>
    <cellStyle name="Comma 2 4 143" xfId="17320" xr:uid="{2126180E-E5C7-4235-AE21-8D3B41DAC390}"/>
    <cellStyle name="Comma 2 4 144" xfId="24769" xr:uid="{900CEEF2-9BBD-466A-A3EC-253747A61C01}"/>
    <cellStyle name="Comma 2 4 145" xfId="24770" xr:uid="{E09ED906-4CEC-4124-8C66-F4A0584624D8}"/>
    <cellStyle name="Comma 2 4 146" xfId="24772" xr:uid="{E49DB92B-1D9E-4E04-8FDD-1A1B6178D037}"/>
    <cellStyle name="Comma 2 4 147" xfId="24774" xr:uid="{FD5F6129-2557-4934-AD94-60A6CBAE6639}"/>
    <cellStyle name="Comma 2 4 148" xfId="24776" xr:uid="{1B36CD4C-BF89-47D6-921C-B56ED848D377}"/>
    <cellStyle name="Comma 2 4 149" xfId="24778" xr:uid="{7FC1E9B7-9C52-4A5F-B1D5-F51C067D4D7A}"/>
    <cellStyle name="Comma 2 4 15" xfId="24782" xr:uid="{F21E3C2F-6DAF-43E1-A359-1F35B69CD842}"/>
    <cellStyle name="Comma 2 4 150" xfId="24771" xr:uid="{3572665A-A744-4C9F-9D39-FEAFEE32348E}"/>
    <cellStyle name="Comma 2 4 151" xfId="24773" xr:uid="{2BE86018-1010-4FCF-8367-2F38F67A2584}"/>
    <cellStyle name="Comma 2 4 152" xfId="24775" xr:uid="{3D0B765D-E886-4CAC-9F1F-BD5DACBD35B7}"/>
    <cellStyle name="Comma 2 4 153" xfId="24777" xr:uid="{D0A85672-F50A-4CCD-940F-4DA0A34BC9D4}"/>
    <cellStyle name="Comma 2 4 154" xfId="24779" xr:uid="{F3E311C7-2BF0-4EDF-AF46-D0217E7E736B}"/>
    <cellStyle name="Comma 2 4 155" xfId="5758" xr:uid="{B5D477D1-1AE3-4259-81F9-882EB4960497}"/>
    <cellStyle name="Comma 2 4 156" xfId="24784" xr:uid="{0FFED957-1929-4380-BCA6-6B81E227A2A6}"/>
    <cellStyle name="Comma 2 4 157" xfId="24786" xr:uid="{C445BC85-7E83-40A8-97D3-B5496D4E75EC}"/>
    <cellStyle name="Comma 2 4 158" xfId="24788" xr:uid="{84931A34-E7B2-46A7-8269-F0E5ADEB8656}"/>
    <cellStyle name="Comma 2 4 159" xfId="24790" xr:uid="{E801E6EB-9677-448C-973A-EABC803AE9F8}"/>
    <cellStyle name="Comma 2 4 16" xfId="17457" xr:uid="{47B9DDD8-AE96-4947-B77A-EB6B520DB045}"/>
    <cellStyle name="Comma 2 4 160" xfId="5759" xr:uid="{7B1A5575-851C-47EE-8BAF-4BACB350DB8C}"/>
    <cellStyle name="Comma 2 4 161" xfId="24785" xr:uid="{98EF419A-86B5-462A-82A9-5893AAF582ED}"/>
    <cellStyle name="Comma 2 4 162" xfId="24787" xr:uid="{B783F398-48A0-4054-86F1-DBDC0B305D67}"/>
    <cellStyle name="Comma 2 4 163" xfId="24789" xr:uid="{3423D70C-6F6F-4D97-B50D-A3E452F9AC90}"/>
    <cellStyle name="Comma 2 4 164" xfId="24791" xr:uid="{E7216032-5C0F-4CF0-8F81-C8DC6D425825}"/>
    <cellStyle name="Comma 2 4 165" xfId="24792" xr:uid="{BFE2B323-7F11-4EDE-AC22-F2D341470452}"/>
    <cellStyle name="Comma 2 4 166" xfId="24794" xr:uid="{50EB96DD-0591-4191-A4D7-82AA65D0025E}"/>
    <cellStyle name="Comma 2 4 167" xfId="24796" xr:uid="{FA85FBDA-0177-472F-95E1-25E13AF900CF}"/>
    <cellStyle name="Comma 2 4 168" xfId="24798" xr:uid="{26F76B66-FEA1-4C71-A0C2-4E70345A682C}"/>
    <cellStyle name="Comma 2 4 169" xfId="24800" xr:uid="{4A2454C9-A069-4C54-B432-F2D841A73411}"/>
    <cellStyle name="Comma 2 4 17" xfId="17461" xr:uid="{5F895C08-3D9F-490E-A0FE-F41375D98F71}"/>
    <cellStyle name="Comma 2 4 170" xfId="24793" xr:uid="{37EA3069-E4AB-4CB8-8639-14719E93E9CF}"/>
    <cellStyle name="Comma 2 4 171" xfId="24795" xr:uid="{F32B9C9C-3D7C-4A44-B7B8-689B2D0C0A2F}"/>
    <cellStyle name="Comma 2 4 172" xfId="24797" xr:uid="{3188A453-ADAF-4605-8196-F1318BF5104A}"/>
    <cellStyle name="Comma 2 4 173" xfId="24799" xr:uid="{131C2EED-9693-4AFA-9549-878C421571B6}"/>
    <cellStyle name="Comma 2 4 174" xfId="24801" xr:uid="{91937A04-90F7-4C32-81D9-5A4A1D93CEFC}"/>
    <cellStyle name="Comma 2 4 175" xfId="24802" xr:uid="{1E42789B-EF87-411B-9705-B1EEB757F890}"/>
    <cellStyle name="Comma 2 4 176" xfId="24805" xr:uid="{611A7198-210C-4A76-8228-433F5BACB20E}"/>
    <cellStyle name="Comma 2 4 177" xfId="24808" xr:uid="{68BC8B5D-5634-44F9-A1B4-4E47EFB42E85}"/>
    <cellStyle name="Comma 2 4 178" xfId="24812" xr:uid="{3FFF30FC-EB8D-4B56-ADE6-F08E3D8688C7}"/>
    <cellStyle name="Comma 2 4 179" xfId="24814" xr:uid="{696B3478-72DA-4965-B345-9B3E3B8E8F2F}"/>
    <cellStyle name="Comma 2 4 18" xfId="24816" xr:uid="{2FA92460-0C99-4205-B2BA-9963DA8F245F}"/>
    <cellStyle name="Comma 2 4 180" xfId="24803" xr:uid="{6961F394-901C-46FF-94FF-62694330234B}"/>
    <cellStyle name="Comma 2 4 181" xfId="24806" xr:uid="{C9CC9472-5BA5-49CC-8F3E-A332F550B043}"/>
    <cellStyle name="Comma 2 4 182" xfId="24809" xr:uid="{8073D668-FCA7-4683-A706-4A8499708175}"/>
    <cellStyle name="Comma 2 4 183" xfId="24813" xr:uid="{B21874DC-6304-4EF0-A418-DDC66880D01B}"/>
    <cellStyle name="Comma 2 4 184" xfId="24815" xr:uid="{EA6CEAA4-50BA-4359-836C-325C823D21EC}"/>
    <cellStyle name="Comma 2 4 185" xfId="15910" xr:uid="{C698D1E6-EBAF-4B14-BFF2-3EC39A527CF3}"/>
    <cellStyle name="Comma 2 4 186" xfId="15011" xr:uid="{0A5230F7-B2C7-45A3-A820-02E219CEDF86}"/>
    <cellStyle name="Comma 2 4 187" xfId="17322" xr:uid="{47979005-1918-4424-B165-05BEDAA85469}"/>
    <cellStyle name="Comma 2 4 188" xfId="17325" xr:uid="{BAAEDA89-6098-4B18-B0EE-CEBE9B4669F1}"/>
    <cellStyle name="Comma 2 4 189" xfId="24818" xr:uid="{76B63638-D078-4E07-B15D-990CF3E17899}"/>
    <cellStyle name="Comma 2 4 19" xfId="24820" xr:uid="{87647D04-43BA-44C2-A403-9DFB9C697F49}"/>
    <cellStyle name="Comma 2 4 190" xfId="15911" xr:uid="{B597069C-D16B-4ECD-A209-5217411F30D8}"/>
    <cellStyle name="Comma 2 4 191" xfId="15012" xr:uid="{7F6CD795-A16B-4FC3-8797-B48FABB97792}"/>
    <cellStyle name="Comma 2 4 192" xfId="17323" xr:uid="{8EEE6AB0-68DB-4D84-AC4F-CCC9A098973C}"/>
    <cellStyle name="Comma 2 4 193" xfId="17326" xr:uid="{3C6D9E76-1B21-4501-845C-9CBDC431B2F8}"/>
    <cellStyle name="Comma 2 4 194" xfId="24819" xr:uid="{8A986514-6147-4AA8-83F0-58D367F11FC1}"/>
    <cellStyle name="Comma 2 4 195" xfId="24822" xr:uid="{03680E5C-1100-483B-9EE2-82754033CCCC}"/>
    <cellStyle name="Comma 2 4 196" xfId="24823" xr:uid="{1A69C81B-AA46-44E1-B51F-7C7A18C0448C}"/>
    <cellStyle name="Comma 2 4 2" xfId="24824" xr:uid="{1BABC669-F0FB-4F90-A9B4-9108C475ACD4}"/>
    <cellStyle name="Comma 2 4 20" xfId="24783" xr:uid="{0840594F-594F-497A-951A-5AC1944798AE}"/>
    <cellStyle name="Comma 2 4 21" xfId="17458" xr:uid="{59EC0331-CD78-4605-AC5F-22A12EEDA76F}"/>
    <cellStyle name="Comma 2 4 22" xfId="17462" xr:uid="{1B6A0531-614A-43F4-A816-70471CC79ABE}"/>
    <cellStyle name="Comma 2 4 23" xfId="24817" xr:uid="{5A9F9A71-8218-498C-830E-0AB4E25540BE}"/>
    <cellStyle name="Comma 2 4 24" xfId="24821" xr:uid="{A37F26E5-C597-41A6-8A2F-2BA4FEE44DDC}"/>
    <cellStyle name="Comma 2 4 25" xfId="3708" xr:uid="{3F19D0A0-FD8A-4891-A9A6-BACB9E6CD6C0}"/>
    <cellStyle name="Comma 2 4 26" xfId="12079" xr:uid="{B630958F-3BD4-473F-B23F-D8EB84B8F19F}"/>
    <cellStyle name="Comma 2 4 27" xfId="12085" xr:uid="{925EE4E2-7CB9-42A0-B110-CD3B25A9EAC5}"/>
    <cellStyle name="Comma 2 4 28" xfId="24825" xr:uid="{A3C8CAB5-B75E-4D48-8D69-9665C2F3F2F5}"/>
    <cellStyle name="Comma 2 4 29" xfId="20780" xr:uid="{E3240285-D276-4CFA-A0D1-E888DF795FFD}"/>
    <cellStyle name="Comma 2 4 3" xfId="4492" xr:uid="{0B1434A3-F7B5-4CB0-9963-B6F838F6EE7F}"/>
    <cellStyle name="Comma 2 4 30" xfId="3709" xr:uid="{CE296A7B-893E-4FC5-8B74-AC4DB37B376F}"/>
    <cellStyle name="Comma 2 4 31" xfId="12080" xr:uid="{DE9A8AC2-D5A8-4779-B796-8B7FC7E8DABE}"/>
    <cellStyle name="Comma 2 4 32" xfId="12086" xr:uid="{94530EAD-2708-4974-8B46-3F54A5DD7C98}"/>
    <cellStyle name="Comma 2 4 33" xfId="24826" xr:uid="{20FFE50D-53B8-4633-8B66-F50715350FAC}"/>
    <cellStyle name="Comma 2 4 34" xfId="20781" xr:uid="{5EDAD0BD-54CE-4E55-8AEF-F79795B877AF}"/>
    <cellStyle name="Comma 2 4 35" xfId="20784" xr:uid="{82A527D8-0A59-4F20-BDE1-937ACFF5B9F5}"/>
    <cellStyle name="Comma 2 4 36" xfId="24827" xr:uid="{59E28563-A994-4CBD-84E5-4A8BE0775E99}"/>
    <cellStyle name="Comma 2 4 37" xfId="17499" xr:uid="{C7B693ED-E63F-489D-B259-87D5E00D2682}"/>
    <cellStyle name="Comma 2 4 38" xfId="17504" xr:uid="{F1DE86FD-8DF3-4C50-BF6E-36E2142B081B}"/>
    <cellStyle name="Comma 2 4 39" xfId="24829" xr:uid="{81F0A0C6-52F5-4C99-B46E-09B2A2FD4B49}"/>
    <cellStyle name="Comma 2 4 4" xfId="24831" xr:uid="{AAC70418-D93D-4741-B996-0BAB663BD8E1}"/>
    <cellStyle name="Comma 2 4 40" xfId="20785" xr:uid="{D5385568-D402-4141-9B81-4CAF477B2BFB}"/>
    <cellStyle name="Comma 2 4 41" xfId="24828" xr:uid="{D89D085C-D26C-4382-94BF-D4B617874621}"/>
    <cellStyle name="Comma 2 4 42" xfId="17500" xr:uid="{8893BD4E-E9DB-445F-BA8A-F1C23281AF53}"/>
    <cellStyle name="Comma 2 4 43" xfId="17505" xr:uid="{F6EA0554-77CF-46CB-8ECA-D68F408BDF59}"/>
    <cellStyle name="Comma 2 4 44" xfId="24830" xr:uid="{2A69C560-76CD-4350-AC0C-7E85AFD3E79A}"/>
    <cellStyle name="Comma 2 4 45" xfId="24832" xr:uid="{E4981932-0CE0-4637-9474-5B160F303121}"/>
    <cellStyle name="Comma 2 4 46" xfId="24834" xr:uid="{8F28EF38-899F-46AD-ADF6-CE57AB396396}"/>
    <cellStyle name="Comma 2 4 47" xfId="24836" xr:uid="{DF10C6AB-B8BF-4E2E-921F-B9E3757921C8}"/>
    <cellStyle name="Comma 2 4 48" xfId="24839" xr:uid="{7FBC4EE1-8AF1-4047-9DA3-33D43E01A84C}"/>
    <cellStyle name="Comma 2 4 49" xfId="24842" xr:uid="{7C692B61-16FC-4408-88E5-ABB54D674562}"/>
    <cellStyle name="Comma 2 4 5" xfId="17317" xr:uid="{4728C225-E079-4E54-9930-909AA4605860}"/>
    <cellStyle name="Comma 2 4 50" xfId="24833" xr:uid="{55F50DBA-073D-4422-AB37-E3F06718CB8D}"/>
    <cellStyle name="Comma 2 4 51" xfId="24835" xr:uid="{B2575DAA-A0F1-4074-9C34-7FD84DBEF1FE}"/>
    <cellStyle name="Comma 2 4 52" xfId="24837" xr:uid="{F8493759-9ABD-4E1D-94C6-EBE96FE371F9}"/>
    <cellStyle name="Comma 2 4 53" xfId="24840" xr:uid="{1786219E-04F8-42F1-84E6-6EAF9BA7E590}"/>
    <cellStyle name="Comma 2 4 54" xfId="24843" xr:uid="{C94470F8-11CE-42C2-8F27-2BCC5A415142}"/>
    <cellStyle name="Comma 2 4 55" xfId="24846" xr:uid="{993B47D4-1383-4000-8B2A-A9BDF05976CA}"/>
    <cellStyle name="Comma 2 4 56" xfId="24849" xr:uid="{A2165269-6375-4B6A-BDD6-07D81A8AA14A}"/>
    <cellStyle name="Comma 2 4 57" xfId="24851" xr:uid="{A8BB0F81-F902-4407-A94A-78032FB81A93}"/>
    <cellStyle name="Comma 2 4 58" xfId="24853" xr:uid="{5FB0D9CD-53BB-45E6-86FA-6A9FCB7BCDFA}"/>
    <cellStyle name="Comma 2 4 59" xfId="24855" xr:uid="{76591D3B-4546-4620-B04D-919A5BB5E73D}"/>
    <cellStyle name="Comma 2 4 6" xfId="6650" xr:uid="{4440900E-F265-4B6A-8149-ADB237047558}"/>
    <cellStyle name="Comma 2 4 60" xfId="24847" xr:uid="{DBFE9D44-4A1B-44D2-B06B-7B26B4C8FF98}"/>
    <cellStyle name="Comma 2 4 61" xfId="24850" xr:uid="{8C8657D7-949E-41D0-A750-6B2CBE5519CA}"/>
    <cellStyle name="Comma 2 4 62" xfId="24852" xr:uid="{681137B9-ACC6-495A-B7DE-B68894FDCD36}"/>
    <cellStyle name="Comma 2 4 63" xfId="24854" xr:uid="{E2B721D9-8A6D-4936-BD75-78C938565D9D}"/>
    <cellStyle name="Comma 2 4 64" xfId="24856" xr:uid="{4F815F52-1999-4856-8367-9F1C347A2AA3}"/>
    <cellStyle name="Comma 2 4 65" xfId="24859" xr:uid="{F8FF8739-0ADC-4464-B69D-42BB9BFA0EA1}"/>
    <cellStyle name="Comma 2 4 66" xfId="17469" xr:uid="{45623DA0-39FE-4EC4-BEE7-422F3B87C116}"/>
    <cellStyle name="Comma 2 4 67" xfId="17473" xr:uid="{786551A3-E8BF-4990-AC35-6FDED3F1F267}"/>
    <cellStyle name="Comma 2 4 68" xfId="24861" xr:uid="{FA205817-1982-419D-8AF6-46CEFDE239D6}"/>
    <cellStyle name="Comma 2 4 69" xfId="24863" xr:uid="{A8EF7CB4-DA61-4851-91BA-2FFD2226E1C6}"/>
    <cellStyle name="Comma 2 4 7" xfId="17328" xr:uid="{DEE110B6-545F-4957-B8B8-B62AF26F65AB}"/>
    <cellStyle name="Comma 2 4 70" xfId="24860" xr:uid="{7741E3C0-3898-495A-93C6-85561F6A01D3}"/>
    <cellStyle name="Comma 2 4 71" xfId="17470" xr:uid="{A89BE96E-5A08-435E-8949-8AC3D7AECEB8}"/>
    <cellStyle name="Comma 2 4 72" xfId="17474" xr:uid="{8638CED7-596C-46C5-8703-877775AB716C}"/>
    <cellStyle name="Comma 2 4 73" xfId="24862" xr:uid="{2CC7317A-39C7-40CA-A70A-83977856F38B}"/>
    <cellStyle name="Comma 2 4 74" xfId="24864" xr:uid="{C060EB93-201A-466E-A30D-CA33306D90E7}"/>
    <cellStyle name="Comma 2 4 75" xfId="24865" xr:uid="{9E249EF4-519E-4F16-9F58-69F6439AF16B}"/>
    <cellStyle name="Comma 2 4 76" xfId="12090" xr:uid="{8826BEAC-A9A6-4F52-9324-9558FC4D0BB5}"/>
    <cellStyle name="Comma 2 4 77" xfId="138" xr:uid="{5408ECA1-C9DD-4E2C-AD82-2D5CFB1708B6}"/>
    <cellStyle name="Comma 2 4 78" xfId="24867" xr:uid="{167E5CF2-315B-41CC-BDE9-3B0F747BADC0}"/>
    <cellStyle name="Comma 2 4 79" xfId="20787" xr:uid="{897F3F2A-B95F-4900-936F-84A1E61BBBF1}"/>
    <cellStyle name="Comma 2 4 8" xfId="17332" xr:uid="{80C2F5CF-0FB4-4CF1-9DCE-D8E26B07B380}"/>
    <cellStyle name="Comma 2 4 80" xfId="24866" xr:uid="{4B85300D-FBB0-492C-AEF5-D85233D98148}"/>
    <cellStyle name="Comma 2 4 81" xfId="12091" xr:uid="{30BDC757-DCD0-4557-9D9F-305F47120468}"/>
    <cellStyle name="Comma 2 4 82" xfId="139" xr:uid="{382461E9-DE95-42DA-96BF-2C1DA0B591EA}"/>
    <cellStyle name="Comma 2 4 83" xfId="24868" xr:uid="{0A95C47F-17F2-4787-9CCB-CD976B920C4A}"/>
    <cellStyle name="Comma 2 4 84" xfId="20788" xr:uid="{890DC743-E94A-46B9-8AD0-FAA81861F0EE}"/>
    <cellStyle name="Comma 2 4 85" xfId="24869" xr:uid="{26EBCC28-7C31-48EA-B818-17E700F607FA}"/>
    <cellStyle name="Comma 2 4 86" xfId="24871" xr:uid="{43E73B20-6D38-43B9-9EED-908FE42AA6C1}"/>
    <cellStyle name="Comma 2 4 87" xfId="17551" xr:uid="{1347D272-6EA9-4BE7-9552-9108E5F8396A}"/>
    <cellStyle name="Comma 2 4 88" xfId="17554" xr:uid="{A6BBDB9A-EF93-4C33-9064-3DBB8C53213E}"/>
    <cellStyle name="Comma 2 4 89" xfId="24873" xr:uid="{31D732A5-1330-40FF-A3C7-FD3E98F878C4}"/>
    <cellStyle name="Comma 2 4 9" xfId="17340" xr:uid="{2EE4DE96-219A-4F01-A876-66048D895FF3}"/>
    <cellStyle name="Comma 2 4 90" xfId="24870" xr:uid="{9BBB78C1-4FC5-4A48-8A06-155DFF191BB9}"/>
    <cellStyle name="Comma 2 4 91" xfId="24872" xr:uid="{26059BA5-4D76-4FA5-B276-2FB6D878F9A6}"/>
    <cellStyle name="Comma 2 4 92" xfId="17552" xr:uid="{90149CC7-2223-4E2D-AFAA-707D5F65BD69}"/>
    <cellStyle name="Comma 2 4 93" xfId="17555" xr:uid="{12704984-4837-484F-A957-516707CD0DBB}"/>
    <cellStyle name="Comma 2 4 94" xfId="24874" xr:uid="{ED0967CF-B0AF-4400-8F5F-58CD62F1B8CB}"/>
    <cellStyle name="Comma 2 4 95" xfId="24875" xr:uid="{3D90E34F-4145-4CED-BC8F-109A627A259B}"/>
    <cellStyle name="Comma 2 4 96" xfId="24876" xr:uid="{C47F140A-2791-43A2-BD85-CE254847DBAE}"/>
    <cellStyle name="Comma 2 4 97" xfId="24877" xr:uid="{2B42F5DD-D20D-4369-A4D5-81DA4BE4B182}"/>
    <cellStyle name="Comma 2 4 98" xfId="15408" xr:uid="{7C26C633-0707-4ED3-8251-402F1A964A09}"/>
    <cellStyle name="Comma 2 4 99" xfId="15415" xr:uid="{990E25B6-3D04-4921-99E7-CE9F092BD8C6}"/>
    <cellStyle name="Comma 2 40" xfId="12004" xr:uid="{142B406D-C0EA-4497-B66D-B52FE626DA0D}"/>
    <cellStyle name="Comma 2 40 2" xfId="12007" xr:uid="{64BEAF69-FBCD-4745-B2D2-FA85D6DE2B72}"/>
    <cellStyle name="Comma 2 40 3" xfId="24712" xr:uid="{EAD33359-CAF8-44B4-8EF2-A987220B37C9}"/>
    <cellStyle name="Comma 2 41" xfId="12013" xr:uid="{C6BCC4F3-1730-499A-943C-F1D62C22C883}"/>
    <cellStyle name="Comma 2 41 2" xfId="10906" xr:uid="{CF3FDD11-4F47-4CC3-8DDF-12B322899B09}"/>
    <cellStyle name="Comma 2 41 3" xfId="24715" xr:uid="{898D3C1B-B498-4E27-904C-D8F3E6D6FEF2}"/>
    <cellStyle name="Comma 2 42" xfId="20545" xr:uid="{7D807C0E-FC55-4C80-A066-E01E1D9CA7E2}"/>
    <cellStyle name="Comma 2 42 2" xfId="20549" xr:uid="{52B418BE-6DD4-4844-8A62-460DD8DA4127}"/>
    <cellStyle name="Comma 2 42 3" xfId="20552" xr:uid="{01827610-D239-4AC9-AB36-07D1DA46C868}"/>
    <cellStyle name="Comma 2 43" xfId="20558" xr:uid="{19D87BDF-A8E0-45B7-98C2-1D185EB79BE0}"/>
    <cellStyle name="Comma 2 43 2" xfId="20560" xr:uid="{08DFAF16-4A4F-4F30-92D3-A4FCC1C1042F}"/>
    <cellStyle name="Comma 2 43 3" xfId="24717" xr:uid="{AD6BCA54-F619-4631-86C9-30D8E297F832}"/>
    <cellStyle name="Comma 2 44" xfId="20568" xr:uid="{64AFBEA3-F25A-4283-8F48-D4493EB1AFFE}"/>
    <cellStyle name="Comma 2 44 2" xfId="24721" xr:uid="{02DAC279-4A5C-48C3-BBED-C79490D0738E}"/>
    <cellStyle name="Comma 2 44 3" xfId="24725" xr:uid="{4FDE4607-B023-4F93-85C1-7E4877198343}"/>
    <cellStyle name="Comma 2 45" xfId="24881" xr:uid="{BBE9A2C0-75E3-449D-A145-A9D26B287715}"/>
    <cellStyle name="Comma 2 45 2" xfId="20430" xr:uid="{8977A716-516E-4327-B149-B9608271ED17}"/>
    <cellStyle name="Comma 2 45 3" xfId="24883" xr:uid="{70D53D67-AD00-4B74-BE14-308287A31C96}"/>
    <cellStyle name="Comma 2 46" xfId="24887" xr:uid="{63CB62B0-68C0-49CF-9DBF-74ADF8B21B21}"/>
    <cellStyle name="Comma 2 46 2" xfId="24889" xr:uid="{06C57B88-7700-4340-992B-EE4A64E1BD2D}"/>
    <cellStyle name="Comma 2 46 3" xfId="24891" xr:uid="{6CD73103-FC70-460A-8440-6B8D3B949112}"/>
    <cellStyle name="Comma 2 47" xfId="24894" xr:uid="{CBA807CE-0E45-47AD-AD51-E78D8B5ED7F9}"/>
    <cellStyle name="Comma 2 47 2" xfId="24896" xr:uid="{6639ADB2-0F1B-450A-BA66-87E216A71917}"/>
    <cellStyle name="Comma 2 47 3" xfId="24898" xr:uid="{DA6F4972-7126-4835-A3F0-A5528E1891DF}"/>
    <cellStyle name="Comma 2 48" xfId="24900" xr:uid="{050B55C8-3792-4BFE-A02E-4228E906822A}"/>
    <cellStyle name="Comma 2 48 2" xfId="24902" xr:uid="{DC270405-2316-455E-8818-FF25366596C7}"/>
    <cellStyle name="Comma 2 48 3" xfId="24904" xr:uid="{7A15658D-2A04-48E0-9063-B10356846C0F}"/>
    <cellStyle name="Comma 2 49" xfId="24906" xr:uid="{52B9B002-46EB-4CC6-8234-4ECD78049DA5}"/>
    <cellStyle name="Comma 2 49 2" xfId="24908" xr:uid="{6BF837C1-A854-41F3-93C1-577782EF710B}"/>
    <cellStyle name="Comma 2 49 3" xfId="24910" xr:uid="{8B7EA80B-F411-4D32-8982-2CB26A8D8E33}"/>
    <cellStyle name="Comma 2 5" xfId="24912" xr:uid="{997BAE33-AFA1-48A3-92EF-3AECB670993E}"/>
    <cellStyle name="Comma 2 5 10" xfId="335" xr:uid="{F5B77E07-FAF1-4674-9876-7E2E1534DDC9}"/>
    <cellStyle name="Comma 2 5 100" xfId="6707" xr:uid="{C6BCDADA-FF4D-4692-8A86-841EC4F63F00}"/>
    <cellStyle name="Comma 2 5 101" xfId="6709" xr:uid="{7EA5E1ED-10A4-4079-B4B4-C7E440030A4A}"/>
    <cellStyle name="Comma 2 5 102" xfId="24913" xr:uid="{70D2FA53-8E87-4B68-A42F-655883B1AB94}"/>
    <cellStyle name="Comma 2 5 103" xfId="24914" xr:uid="{2FB58280-1AA2-4616-86C7-84AAEE76F88B}"/>
    <cellStyle name="Comma 2 5 104" xfId="24915" xr:uid="{AC6C7E10-9A61-474E-83AC-B8A70794B0E8}"/>
    <cellStyle name="Comma 2 5 105" xfId="10771" xr:uid="{614435EB-4F31-419C-ABA9-F9223E9C2888}"/>
    <cellStyle name="Comma 2 5 106" xfId="24916" xr:uid="{A644FE1D-2668-49B6-B460-11986A1C072A}"/>
    <cellStyle name="Comma 2 5 107" xfId="21655" xr:uid="{EAC276CB-C6C1-4F85-B6DF-8B31E025EF15}"/>
    <cellStyle name="Comma 2 5 108" xfId="22107" xr:uid="{140FD0E0-8365-42D5-9488-AB65DA472AA2}"/>
    <cellStyle name="Comma 2 5 109" xfId="22111" xr:uid="{60E5883F-5B69-4491-8BEE-69559FAD3FFB}"/>
    <cellStyle name="Comma 2 5 11" xfId="1179" xr:uid="{DE1A13EA-A6D8-465B-A5EA-C8A1A7B72D6F}"/>
    <cellStyle name="Comma 2 5 110" xfId="10772" xr:uid="{70315DA6-D422-4DD5-8386-CB7A2171E31A}"/>
    <cellStyle name="Comma 2 5 111" xfId="24917" xr:uid="{5EB2D5B4-765B-4E10-B853-B9789AC6F38F}"/>
    <cellStyle name="Comma 2 5 112" xfId="21656" xr:uid="{01976E41-3E73-4421-BA60-46F7495A474B}"/>
    <cellStyle name="Comma 2 5 113" xfId="22108" xr:uid="{27CC02E9-2066-4481-88B5-81161CA4DB3C}"/>
    <cellStyle name="Comma 2 5 114" xfId="22112" xr:uid="{62D79EEA-1F9A-400B-A82C-D78BB107E9F8}"/>
    <cellStyle name="Comma 2 5 115" xfId="24918" xr:uid="{BAA5D491-0648-4DA5-8DFD-7BC83C034E44}"/>
    <cellStyle name="Comma 2 5 116" xfId="24920" xr:uid="{2D9885AB-8C58-45DE-BB0F-3422F613F6FB}"/>
    <cellStyle name="Comma 2 5 117" xfId="24924" xr:uid="{F672AF8A-62C3-4994-B830-1E560C930B1F}"/>
    <cellStyle name="Comma 2 5 118" xfId="24926" xr:uid="{BCF81F7C-C204-4D16-BEE7-F4A70CAE6A2C}"/>
    <cellStyle name="Comma 2 5 119" xfId="24928" xr:uid="{CFD1C992-92F8-4A6C-80FD-8936515A6A3E}"/>
    <cellStyle name="Comma 2 5 12" xfId="481" xr:uid="{F9FFF6CC-1ED2-4E6C-9739-7493204AD5E4}"/>
    <cellStyle name="Comma 2 5 120" xfId="24919" xr:uid="{143D9171-0405-4E7A-9923-6DD8DEBB0368}"/>
    <cellStyle name="Comma 2 5 121" xfId="24921" xr:uid="{9E45CB31-0004-413D-B816-0C5B2EA24468}"/>
    <cellStyle name="Comma 2 5 122" xfId="24925" xr:uid="{B61A4BA2-154B-4A90-9CC0-170C3F47918A}"/>
    <cellStyle name="Comma 2 5 123" xfId="24927" xr:uid="{9075836E-AEA0-4A72-BDCF-2C43842776FE}"/>
    <cellStyle name="Comma 2 5 124" xfId="24929" xr:uid="{1B5083DA-634D-4B94-A48E-D9ACDB7E560A}"/>
    <cellStyle name="Comma 2 5 125" xfId="24930" xr:uid="{09097A53-7384-4221-9A56-697886142D17}"/>
    <cellStyle name="Comma 2 5 126" xfId="24933" xr:uid="{A923A7B2-41D4-4888-A502-5CB251A19833}"/>
    <cellStyle name="Comma 2 5 127" xfId="24936" xr:uid="{79DBE55E-3DBD-470B-BC53-741CC6B55B56}"/>
    <cellStyle name="Comma 2 5 128" xfId="24938" xr:uid="{A33E0E1C-5F3F-4723-B2C2-B5C6A13D9A28}"/>
    <cellStyle name="Comma 2 5 129" xfId="24940" xr:uid="{F5C96C65-9050-47BF-88D5-6A7E2B2A3B66}"/>
    <cellStyle name="Comma 2 5 13" xfId="1191" xr:uid="{5A8284F6-8F58-4E00-A230-FE10B6FE2ACE}"/>
    <cellStyle name="Comma 2 5 130" xfId="24931" xr:uid="{59590E1E-51C3-4E68-AF14-4F84159052F5}"/>
    <cellStyle name="Comma 2 5 131" xfId="24934" xr:uid="{0B752BB2-BC6B-4CEF-B189-07502813D797}"/>
    <cellStyle name="Comma 2 5 132" xfId="24937" xr:uid="{10375559-166C-46B7-BCD7-4A63F9C1E39A}"/>
    <cellStyle name="Comma 2 5 133" xfId="24939" xr:uid="{518DE8E6-2459-439D-AAC1-7F944A9CCBB7}"/>
    <cellStyle name="Comma 2 5 134" xfId="24941" xr:uid="{3BC92699-29BE-4240-A087-C348F0E736C1}"/>
    <cellStyle name="Comma 2 5 135" xfId="15922" xr:uid="{53915B69-B25C-481C-A474-4DEB20AE1ADA}"/>
    <cellStyle name="Comma 2 5 136" xfId="6712" xr:uid="{7F2AA8DD-4C9A-478C-958F-003401F4D6B7}"/>
    <cellStyle name="Comma 2 5 137" xfId="6741" xr:uid="{2DAD5C0F-135E-4CFE-B947-6A66E24054BF}"/>
    <cellStyle name="Comma 2 5 138" xfId="6752" xr:uid="{92709A9D-DAB8-4D74-B043-DD3D9CE08D3F}"/>
    <cellStyle name="Comma 2 5 139" xfId="6755" xr:uid="{E781D43C-5864-4B73-B3EE-919AA1545A39}"/>
    <cellStyle name="Comma 2 5 14" xfId="1200" xr:uid="{3131E1FE-377D-4F1D-9F4D-CEAC064DE069}"/>
    <cellStyle name="Comma 2 5 140" xfId="15923" xr:uid="{91230435-F603-42D8-911C-C2998AF28636}"/>
    <cellStyle name="Comma 2 5 141" xfId="6713" xr:uid="{CBD6A84F-A1B9-4A84-B5B6-EB9CC692E0E3}"/>
    <cellStyle name="Comma 2 5 142" xfId="6742" xr:uid="{54A1BA08-7F75-4810-BB9C-676C4E8FB836}"/>
    <cellStyle name="Comma 2 5 143" xfId="6753" xr:uid="{5F6B7FBE-4EE0-4CD5-8981-4567F665723C}"/>
    <cellStyle name="Comma 2 5 144" xfId="6756" xr:uid="{8054815F-2C34-46BD-923E-1E06A85B86A5}"/>
    <cellStyle name="Comma 2 5 145" xfId="24942" xr:uid="{6987B33B-87E8-4875-9092-C05205082A82}"/>
    <cellStyle name="Comma 2 5 146" xfId="24944" xr:uid="{7AB1A6FD-67D8-47A8-BA25-4499AF985025}"/>
    <cellStyle name="Comma 2 5 147" xfId="24946" xr:uid="{BB49387D-54FE-43E8-A2E2-E0936F301C6F}"/>
    <cellStyle name="Comma 2 5 148" xfId="24948" xr:uid="{204D832D-EC34-4E0F-8FC6-4921FC8337C4}"/>
    <cellStyle name="Comma 2 5 149" xfId="24950" xr:uid="{136F9942-FA6B-4A64-821B-72854E781B3D}"/>
    <cellStyle name="Comma 2 5 15" xfId="24954" xr:uid="{015DA480-50D3-4FCF-B09F-70B3A7A825C3}"/>
    <cellStyle name="Comma 2 5 150" xfId="24943" xr:uid="{78FF53D6-D7BD-42FB-BBDE-E2E1ED165ABA}"/>
    <cellStyle name="Comma 2 5 151" xfId="24945" xr:uid="{E0FF8110-F512-4025-9F59-9A991C819640}"/>
    <cellStyle name="Comma 2 5 152" xfId="24947" xr:uid="{E547D1CF-27DB-4F2C-884E-B6BD06357501}"/>
    <cellStyle name="Comma 2 5 153" xfId="24949" xr:uid="{E6277B00-B04A-442D-9D4E-89259C96D1FB}"/>
    <cellStyle name="Comma 2 5 154" xfId="24951" xr:uid="{4F5A8BD2-65A1-4B5C-ACD3-3C33D3FB7427}"/>
    <cellStyle name="Comma 2 5 155" xfId="24956" xr:uid="{3DE5572C-ED4F-473A-8D05-021546503FEC}"/>
    <cellStyle name="Comma 2 5 156" xfId="24958" xr:uid="{C815C227-5B19-412D-84F4-07BED5312C4B}"/>
    <cellStyle name="Comma 2 5 157" xfId="24961" xr:uid="{E21DA924-47F1-4845-AE21-EF42E7D22729}"/>
    <cellStyle name="Comma 2 5 158" xfId="24521" xr:uid="{FD16C6F3-4B49-4194-B968-BA033E9B896B}"/>
    <cellStyle name="Comma 2 5 159" xfId="24525" xr:uid="{B113CAA3-BB16-492B-9BAE-033677383880}"/>
    <cellStyle name="Comma 2 5 16" xfId="17516" xr:uid="{720170F5-342F-4EFE-B539-2C3D662D3A1A}"/>
    <cellStyle name="Comma 2 5 160" xfId="24957" xr:uid="{7B2FAB5E-F886-429C-A9C5-8ADE1B8B2C09}"/>
    <cellStyle name="Comma 2 5 161" xfId="24959" xr:uid="{EA900493-9376-43F5-B95C-6631B6947120}"/>
    <cellStyle name="Comma 2 5 162" xfId="24962" xr:uid="{5E6A611D-EBE0-4958-81AC-A97931A55D98}"/>
    <cellStyle name="Comma 2 5 163" xfId="24522" xr:uid="{B0C0BD83-676B-4A97-9B2F-152074219C7B}"/>
    <cellStyle name="Comma 2 5 164" xfId="24526" xr:uid="{602744B5-3346-4C66-A9C8-B5BCE6387C81}"/>
    <cellStyle name="Comma 2 5 165" xfId="9315" xr:uid="{E2A20B67-9965-40E0-8DA9-02C2243D2A63}"/>
    <cellStyle name="Comma 2 5 166" xfId="24963" xr:uid="{7A159DA2-D45E-4A98-B938-DA68C22E59FB}"/>
    <cellStyle name="Comma 2 5 167" xfId="24965" xr:uid="{D86EF08A-0A78-4642-899D-EC936C3983E2}"/>
    <cellStyle name="Comma 2 5 168" xfId="24967" xr:uid="{8BF83494-5CC1-4105-AB05-C1E239645588}"/>
    <cellStyle name="Comma 2 5 169" xfId="24969" xr:uid="{4A29B6B6-750A-479F-B648-36CD30700895}"/>
    <cellStyle name="Comma 2 5 17" xfId="17520" xr:uid="{C7DBB490-4089-4835-A05C-F769E2DE79E6}"/>
    <cellStyle name="Comma 2 5 170" xfId="9316" xr:uid="{3EAF08B8-10AB-42A5-A5FD-7F86A4290E7F}"/>
    <cellStyle name="Comma 2 5 171" xfId="24964" xr:uid="{9CBE7867-7C3B-4AE4-9056-9E4516FE3CE5}"/>
    <cellStyle name="Comma 2 5 172" xfId="24966" xr:uid="{5AED64CD-6277-4A28-AC5F-A5EBF7B8470F}"/>
    <cellStyle name="Comma 2 5 173" xfId="24968" xr:uid="{CF7FAB0F-4427-4D14-B4EC-462A4085281A}"/>
    <cellStyle name="Comma 2 5 174" xfId="24970" xr:uid="{0FFE60EE-B6D5-4E28-8105-29944E2EE61B}"/>
    <cellStyle name="Comma 2 5 175" xfId="24971" xr:uid="{11267614-3361-4B9C-BA93-02267F1D5BF1}"/>
    <cellStyle name="Comma 2 5 176" xfId="24975" xr:uid="{8CFBE2B8-894C-43E2-A599-A15EC0522D5C}"/>
    <cellStyle name="Comma 2 5 177" xfId="24978" xr:uid="{1D6AA025-F888-41B9-AC0D-2E2B35E44005}"/>
    <cellStyle name="Comma 2 5 178" xfId="24981" xr:uid="{FE44819B-37F1-4B38-82CC-DC469182B830}"/>
    <cellStyle name="Comma 2 5 179" xfId="24984" xr:uid="{B5253085-0E87-4092-8816-4B3259584FB9}"/>
    <cellStyle name="Comma 2 5 18" xfId="24986" xr:uid="{D60E86E4-B4E8-474B-B065-DB1B0DE51388}"/>
    <cellStyle name="Comma 2 5 180" xfId="24972" xr:uid="{0D7588BB-B631-4BAD-85D3-70ED56E13E9A}"/>
    <cellStyle name="Comma 2 5 181" xfId="24976" xr:uid="{4F8F09F0-2D88-4B9D-A835-801DF534E458}"/>
    <cellStyle name="Comma 2 5 182" xfId="24979" xr:uid="{BC360F78-50EA-472C-8D2A-2D18B0AE68FB}"/>
    <cellStyle name="Comma 2 5 183" xfId="24982" xr:uid="{3CBCE23C-2B73-4742-9F0E-4AABEEB6635C}"/>
    <cellStyle name="Comma 2 5 184" xfId="24985" xr:uid="{FFFABC25-FC7B-4866-B13A-A8D354A1B4A5}"/>
    <cellStyle name="Comma 2 5 185" xfId="9176" xr:uid="{3603F2F1-28D8-45C4-A5A7-270ECF33AE93}"/>
    <cellStyle name="Comma 2 5 186" xfId="6761" xr:uid="{B57EDFFF-51CB-4786-B756-BB77E8888AB4}"/>
    <cellStyle name="Comma 2 5 187" xfId="6770" xr:uid="{F65F471C-BCFB-4341-94B7-3F6331D3AAE3}"/>
    <cellStyle name="Comma 2 5 188" xfId="6782" xr:uid="{F4D423BD-0C2F-4971-B3F1-D2C8CD3F6005}"/>
    <cellStyle name="Comma 2 5 189" xfId="19607" xr:uid="{6BA37109-6FE6-4751-A0CC-A54F5378A4D7}"/>
    <cellStyle name="Comma 2 5 19" xfId="24989" xr:uid="{439F7952-A68C-4C6D-864A-F18FBABE7A30}"/>
    <cellStyle name="Comma 2 5 190" xfId="9177" xr:uid="{76F88759-4C55-408C-95DE-E488D54B1488}"/>
    <cellStyle name="Comma 2 5 191" xfId="6762" xr:uid="{A4C2D136-2285-4322-A2AD-E18AEDF92880}"/>
    <cellStyle name="Comma 2 5 192" xfId="6771" xr:uid="{2B13A048-5FFF-41F8-AC0B-4A31D8151CD0}"/>
    <cellStyle name="Comma 2 5 193" xfId="6783" xr:uid="{8D2E0B89-B2CF-4372-8A12-44B10CFA2CBC}"/>
    <cellStyle name="Comma 2 5 194" xfId="19608" xr:uid="{3CC6CD06-6D71-4665-B75D-732E0CBD2CCE}"/>
    <cellStyle name="Comma 2 5 195" xfId="19672" xr:uid="{CABCE335-B0B7-4563-B53B-CE7BD336F0A9}"/>
    <cellStyle name="Comma 2 5 196" xfId="19699" xr:uid="{A8182D82-4D01-48BB-A0BF-794BDBB3473B}"/>
    <cellStyle name="Comma 2 5 2" xfId="17526" xr:uid="{DFC16EE0-C057-4F92-BE9E-0F76E9EED9E7}"/>
    <cellStyle name="Comma 2 5 20" xfId="24955" xr:uid="{4973D7DE-EFA6-4B99-9A33-00F40D05D0F9}"/>
    <cellStyle name="Comma 2 5 21" xfId="17517" xr:uid="{B2BDC8A9-E910-4748-8FD8-F51317FEBFE9}"/>
    <cellStyle name="Comma 2 5 22" xfId="17521" xr:uid="{DC6D2A57-45EC-4ED5-8849-78B5B22EB6BA}"/>
    <cellStyle name="Comma 2 5 23" xfId="24987" xr:uid="{7ED66992-BD37-45E3-8D25-D4EE6B00E07E}"/>
    <cellStyle name="Comma 2 5 24" xfId="24990" xr:uid="{21C22492-AF20-4F04-9908-C53B3B0B712B}"/>
    <cellStyle name="Comma 2 5 25" xfId="24992" xr:uid="{49F2D494-4CC2-4F30-BAE5-ECA7B6D0B77D}"/>
    <cellStyle name="Comma 2 5 26" xfId="24995" xr:uid="{1A56D61D-5BBC-4AE1-AEB6-9635245071D8}"/>
    <cellStyle name="Comma 2 5 27" xfId="24997" xr:uid="{3B1B05DC-687B-4819-922B-1BB45523E493}"/>
    <cellStyle name="Comma 2 5 28" xfId="24999" xr:uid="{DC87DAA6-F363-4E58-B338-56BF6F276BDC}"/>
    <cellStyle name="Comma 2 5 29" xfId="19676" xr:uid="{C67AED52-4701-4963-9B9B-4150EF6D9D60}"/>
    <cellStyle name="Comma 2 5 3" xfId="17539" xr:uid="{9098C9CF-A985-4E2B-959C-F7BAF952D03E}"/>
    <cellStyle name="Comma 2 5 30" xfId="24993" xr:uid="{323510CB-611D-4919-A31D-86A5AF868DAB}"/>
    <cellStyle name="Comma 2 5 31" xfId="24996" xr:uid="{544F78BE-5F13-4F06-8643-4E6E9F84214C}"/>
    <cellStyle name="Comma 2 5 32" xfId="24998" xr:uid="{740408D4-995B-47D1-A088-3FC010898390}"/>
    <cellStyle name="Comma 2 5 33" xfId="25000" xr:uid="{21D5350F-5025-47A9-A496-DD05C004CDA6}"/>
    <cellStyle name="Comma 2 5 34" xfId="19677" xr:uid="{4ACD6505-2965-4BBE-AE38-0EDFC1813F97}"/>
    <cellStyle name="Comma 2 5 35" xfId="19611" xr:uid="{5628D056-2ADA-4938-A7C0-F97BBC97A59D}"/>
    <cellStyle name="Comma 2 5 36" xfId="25001" xr:uid="{2B183828-7AB1-4A8F-BBD5-1720044134B0}"/>
    <cellStyle name="Comma 2 5 37" xfId="17712" xr:uid="{A8F94E8B-0ECC-4E9E-A574-F4EB43E90A43}"/>
    <cellStyle name="Comma 2 5 38" xfId="17716" xr:uid="{18CF7009-57C0-4C21-894A-5F587568B016}"/>
    <cellStyle name="Comma 2 5 39" xfId="25003" xr:uid="{3249F2EC-D406-4E61-8F1B-FBECC37325A6}"/>
    <cellStyle name="Comma 2 5 4" xfId="17542" xr:uid="{A403DE79-F141-40ED-90CA-7FC5272A9890}"/>
    <cellStyle name="Comma 2 5 40" xfId="19612" xr:uid="{901636AE-2D1E-4ADE-A7EC-2FB02A6222BB}"/>
    <cellStyle name="Comma 2 5 41" xfId="25002" xr:uid="{6FDD24C1-6490-4BC7-8E1E-FA86421E5603}"/>
    <cellStyle name="Comma 2 5 42" xfId="17713" xr:uid="{24842317-B532-4F14-91B5-3FF38EBC0C4E}"/>
    <cellStyle name="Comma 2 5 43" xfId="17717" xr:uid="{531E9439-415E-4F55-8BA8-8C185711D78F}"/>
    <cellStyle name="Comma 2 5 44" xfId="25004" xr:uid="{EF980BE3-9EE1-4A7E-BA8C-2AAAAFB8618E}"/>
    <cellStyle name="Comma 2 5 45" xfId="25005" xr:uid="{3166FE80-0968-49C8-95FC-C71AC7DD5F79}"/>
    <cellStyle name="Comma 2 5 46" xfId="24429" xr:uid="{AFA11956-FE85-493A-AA99-A42A58B714CE}"/>
    <cellStyle name="Comma 2 5 47" xfId="25007" xr:uid="{F489326C-726E-459D-9ADE-5FED8856E966}"/>
    <cellStyle name="Comma 2 5 48" xfId="16225" xr:uid="{A6975960-088C-44F6-A277-300E57DA1877}"/>
    <cellStyle name="Comma 2 5 49" xfId="16230" xr:uid="{D21E841D-9E0C-4DD5-8856-4B064BC8E7BC}"/>
    <cellStyle name="Comma 2 5 5" xfId="17560" xr:uid="{A55F6B13-34C9-4B38-A90F-77C5EEFB61FC}"/>
    <cellStyle name="Comma 2 5 50" xfId="25006" xr:uid="{7ACDF859-979E-47F7-B706-2E9ABBE2F3CC}"/>
    <cellStyle name="Comma 2 5 51" xfId="24430" xr:uid="{E8527FC9-A1CD-495C-8D95-4A062866014E}"/>
    <cellStyle name="Comma 2 5 52" xfId="25008" xr:uid="{24EA28AB-13B5-44A4-A0F4-0E9CD479BB46}"/>
    <cellStyle name="Comma 2 5 53" xfId="16226" xr:uid="{D10A807C-C9FB-4723-8E4A-F664C896D30D}"/>
    <cellStyle name="Comma 2 5 54" xfId="16231" xr:uid="{1581EB5C-56E9-477D-8546-115927739C5D}"/>
    <cellStyle name="Comma 2 5 55" xfId="483" xr:uid="{3B868DC7-E7DC-4932-A5C0-8244F9895AD9}"/>
    <cellStyle name="Comma 2 5 56" xfId="1311" xr:uid="{7973744D-F0C9-4095-8145-E880626525FF}"/>
    <cellStyle name="Comma 2 5 57" xfId="1256" xr:uid="{A0C1DBE2-36C0-4A4C-9599-C45B95FEF5AD}"/>
    <cellStyle name="Comma 2 5 58" xfId="1262" xr:uid="{C9821B75-EBE2-41A5-8942-919DB0382EA4}"/>
    <cellStyle name="Comma 2 5 59" xfId="1280" xr:uid="{7BBE0ADF-2EC0-4D9F-A74E-324EBDBC7F5B}"/>
    <cellStyle name="Comma 2 5 6" xfId="17564" xr:uid="{937E67FF-069D-4CDD-BC4F-3A48C34B0261}"/>
    <cellStyle name="Comma 2 5 60" xfId="484" xr:uid="{03701449-B95E-421F-BCC4-132B15E8AD48}"/>
    <cellStyle name="Comma 2 5 61" xfId="1312" xr:uid="{DC683C76-FB16-4B1F-A315-23334651FF92}"/>
    <cellStyle name="Comma 2 5 62" xfId="1257" xr:uid="{7C0788E2-3485-4B4F-BEB4-03E579F6FC6D}"/>
    <cellStyle name="Comma 2 5 63" xfId="1263" xr:uid="{C36459AC-8855-4C38-B5A7-4C4B7F61AF35}"/>
    <cellStyle name="Comma 2 5 64" xfId="1281" xr:uid="{BFBD827C-4F31-4CFA-B685-338C65D35A90}"/>
    <cellStyle name="Comma 2 5 65" xfId="25012" xr:uid="{404AA30C-23A0-41B8-AFD5-1AEAC312E520}"/>
    <cellStyle name="Comma 2 5 66" xfId="17529" xr:uid="{A1487BEF-6BFF-4CB9-A7FD-2853022C6D04}"/>
    <cellStyle name="Comma 2 5 67" xfId="17533" xr:uid="{E4411087-4D6A-49DF-BD3E-A41352AB5EE5}"/>
    <cellStyle name="Comma 2 5 68" xfId="25014" xr:uid="{0DF5154D-4F58-4905-8DD2-24E6F595C98A}"/>
    <cellStyle name="Comma 2 5 69" xfId="25017" xr:uid="{CC82FAB7-6C98-4783-AA16-656660E7F751}"/>
    <cellStyle name="Comma 2 5 7" xfId="17568" xr:uid="{6D4C4833-5BF7-4CB2-8826-A27386621F9E}"/>
    <cellStyle name="Comma 2 5 70" xfId="25013" xr:uid="{F6F6A829-C343-48D4-A542-75BCBD667EBE}"/>
    <cellStyle name="Comma 2 5 71" xfId="17530" xr:uid="{20E1A294-9261-4524-8147-5538C64691D9}"/>
    <cellStyle name="Comma 2 5 72" xfId="17534" xr:uid="{C1A52F70-5BF7-4144-AE28-CFEAE520D485}"/>
    <cellStyle name="Comma 2 5 73" xfId="25015" xr:uid="{C594DFCC-250D-4859-BCEC-93257BBAFC32}"/>
    <cellStyle name="Comma 2 5 74" xfId="25018" xr:uid="{519486B0-8EDF-495D-94C0-BA7065A57F01}"/>
    <cellStyle name="Comma 2 5 75" xfId="25021" xr:uid="{CB82700F-4FCA-40F3-A9C1-3E99F2D4FAC8}"/>
    <cellStyle name="Comma 2 5 76" xfId="25024" xr:uid="{E78E64B0-71A0-4F4C-B257-EDDA53F9F3CA}"/>
    <cellStyle name="Comma 2 5 77" xfId="25026" xr:uid="{2235CB8F-3870-45BD-AC68-6128D795E36C}"/>
    <cellStyle name="Comma 2 5 78" xfId="25028" xr:uid="{EEAA3BBC-27A0-4823-A618-27B167CAA63D}"/>
    <cellStyle name="Comma 2 5 79" xfId="10747" xr:uid="{DBF0AD5F-A1B4-4488-8654-0F806551D701}"/>
    <cellStyle name="Comma 2 5 8" xfId="17582" xr:uid="{5383A025-0947-48FD-9810-B5C5F35FB89E}"/>
    <cellStyle name="Comma 2 5 80" xfId="25022" xr:uid="{0680A8D8-66C1-4BF1-B2EF-801E4DE01B2B}"/>
    <cellStyle name="Comma 2 5 81" xfId="25025" xr:uid="{C8C6123C-CD26-409A-A41E-A258B74ACB06}"/>
    <cellStyle name="Comma 2 5 82" xfId="25027" xr:uid="{527FB9F5-AA4C-44F7-8DBA-01D3988673C9}"/>
    <cellStyle name="Comma 2 5 83" xfId="25029" xr:uid="{D627C5AB-0924-47C8-8267-35AFF3D42006}"/>
    <cellStyle name="Comma 2 5 84" xfId="10748" xr:uid="{18EDD936-64A4-4CF2-A6AA-41A13CEFB1F2}"/>
    <cellStyle name="Comma 2 5 85" xfId="10754" xr:uid="{74DF1446-8CA0-43F4-BCD4-D4C29F9DA71B}"/>
    <cellStyle name="Comma 2 5 86" xfId="10758" xr:uid="{6049E33C-AEFF-4282-B17F-8003883BB180}"/>
    <cellStyle name="Comma 2 5 87" xfId="17755" xr:uid="{1EC193F4-4B93-4272-8671-20133442329A}"/>
    <cellStyle name="Comma 2 5 88" xfId="17760" xr:uid="{8EF252D3-E7DC-48E4-B52D-85AE49BCD3F8}"/>
    <cellStyle name="Comma 2 5 89" xfId="25030" xr:uid="{D501265C-B0BC-45B8-8752-709683E80055}"/>
    <cellStyle name="Comma 2 5 9" xfId="17593" xr:uid="{70A6E2DC-2437-41CA-9589-5C180BF87684}"/>
    <cellStyle name="Comma 2 5 90" xfId="10755" xr:uid="{2F9FD776-8BD9-4ECF-B7FB-CB410D0D07AB}"/>
    <cellStyle name="Comma 2 5 91" xfId="10759" xr:uid="{2BD39F1F-DEEE-4C82-852F-4DA605E71F3D}"/>
    <cellStyle name="Comma 2 5 92" xfId="17756" xr:uid="{74AF1BCC-F4B9-4209-A032-501DCDA73815}"/>
    <cellStyle name="Comma 2 5 93" xfId="17761" xr:uid="{FA72DC94-762B-4551-BFD1-E8B46ECF02C1}"/>
    <cellStyle name="Comma 2 5 94" xfId="25031" xr:uid="{9617FE46-C3D1-4222-A043-7524BE6DB836}"/>
    <cellStyle name="Comma 2 5 95" xfId="25032" xr:uid="{8210F73F-9364-476E-A070-92BC5B84C558}"/>
    <cellStyle name="Comma 2 5 96" xfId="25034" xr:uid="{F7A9EA15-16EA-45FE-B721-69E1B5F30109}"/>
    <cellStyle name="Comma 2 5 97" xfId="25035" xr:uid="{C413F96C-DB0E-44C1-881D-C2A83BDAB402}"/>
    <cellStyle name="Comma 2 5 98" xfId="16233" xr:uid="{D2FD4B2E-5380-4CF4-A858-F47BAF3FDC22}"/>
    <cellStyle name="Comma 2 5 99" xfId="25036" xr:uid="{CA9C878A-3748-4395-8C82-5E179135BB72}"/>
    <cellStyle name="Comma 2 50" xfId="24882" xr:uid="{9E9C7D37-7A7B-49F2-99D0-905B48132330}"/>
    <cellStyle name="Comma 2 50 2" xfId="20431" xr:uid="{7535F6B4-B1DA-4EF2-9D10-EB520DE26654}"/>
    <cellStyle name="Comma 2 50 3" xfId="24884" xr:uid="{3A4FB729-A1C1-4625-8F3F-AC407AD012A4}"/>
    <cellStyle name="Comma 2 51" xfId="24888" xr:uid="{5F3E6FAB-901A-436A-9856-64EA8E8F9E08}"/>
    <cellStyle name="Comma 2 51 2" xfId="24890" xr:uid="{63048776-C8DE-488C-AEC4-D91F06179942}"/>
    <cellStyle name="Comma 2 51 3" xfId="24892" xr:uid="{208B8066-2286-4F8A-8867-89604A00CDDC}"/>
    <cellStyle name="Comma 2 52" xfId="24895" xr:uid="{26AAEE06-D495-41EB-8DEE-3F7E695F7F08}"/>
    <cellStyle name="Comma 2 52 2" xfId="24897" xr:uid="{D1C19866-7FB8-40BE-BAE1-71C0E324519E}"/>
    <cellStyle name="Comma 2 52 3" xfId="24899" xr:uid="{1858056C-C1EF-424C-98D0-4470FFD1EC7C}"/>
    <cellStyle name="Comma 2 53" xfId="24901" xr:uid="{6D371777-9613-4210-888D-CCB2A66650E5}"/>
    <cellStyle name="Comma 2 53 2" xfId="24903" xr:uid="{9C5588E5-995C-4B3B-A8F5-7CE64D2EFFFF}"/>
    <cellStyle name="Comma 2 53 3" xfId="24905" xr:uid="{B5C557C8-4462-49F9-8A04-9901D533450B}"/>
    <cellStyle name="Comma 2 54" xfId="24907" xr:uid="{271B7030-07F4-4CB1-81C8-AF13ADB1BD05}"/>
    <cellStyle name="Comma 2 54 2" xfId="24909" xr:uid="{F731FC6C-F0B9-4172-804A-2574E30E8B82}"/>
    <cellStyle name="Comma 2 54 3" xfId="24911" xr:uid="{7091B684-A560-4249-979A-4276BB5A52D9}"/>
    <cellStyle name="Comma 2 55" xfId="25040" xr:uid="{AC8FB36F-52F1-4AB3-B87E-4341D73496EB}"/>
    <cellStyle name="Comma 2 55 2" xfId="25044" xr:uid="{3BA64EEA-0A40-419D-9CE1-1E9D5D470B67}"/>
    <cellStyle name="Comma 2 55 3" xfId="25048" xr:uid="{63E299C5-5B3D-4A04-B36C-7DD109BB241E}"/>
    <cellStyle name="Comma 2 56" xfId="25053" xr:uid="{70ABE41E-C240-4819-91F8-CFD4D806EC2F}"/>
    <cellStyle name="Comma 2 56 2" xfId="25056" xr:uid="{3E4BF82A-083E-4901-B74A-9D10F9BA378A}"/>
    <cellStyle name="Comma 2 56 3" xfId="25059" xr:uid="{6BFC6A4E-6FAE-48F8-B4F1-1280A506F5CF}"/>
    <cellStyle name="Comma 2 57" xfId="25062" xr:uid="{1344596B-FDB1-4632-936A-4BC5EBB77F21}"/>
    <cellStyle name="Comma 2 57 2" xfId="25065" xr:uid="{48B3986D-C176-4E13-9432-0AB1CD954201}"/>
    <cellStyle name="Comma 2 57 3" xfId="25068" xr:uid="{5C0D22B0-3835-464E-A6BB-B687507DBAFE}"/>
    <cellStyle name="Comma 2 58" xfId="25072" xr:uid="{08FE4D50-012C-4F26-BF7C-8A59FD906A0A}"/>
    <cellStyle name="Comma 2 58 2" xfId="25076" xr:uid="{D1DE9FBA-0D73-4147-A177-644EC62049ED}"/>
    <cellStyle name="Comma 2 58 3" xfId="25079" xr:uid="{66787EF0-F8F0-4320-ADF8-C1516CD8116B}"/>
    <cellStyle name="Comma 2 59" xfId="25083" xr:uid="{E59DD717-EBF4-4CD4-A17C-8589983E436F}"/>
    <cellStyle name="Comma 2 59 2" xfId="25086" xr:uid="{AA6DFCC7-677D-491A-A994-9C296D6315EA}"/>
    <cellStyle name="Comma 2 59 3" xfId="25088" xr:uid="{368E087F-85DE-467F-81B6-F99665D5BA30}"/>
    <cellStyle name="Comma 2 6" xfId="25090" xr:uid="{0562E030-0C46-4088-8E6D-034A346717E6}"/>
    <cellStyle name="Comma 2 6 10" xfId="24974" xr:uid="{2E925320-2BFF-484F-AE6D-37B16D2230BD}"/>
    <cellStyle name="Comma 2 6 100" xfId="25093" xr:uid="{34406ADB-7465-4E47-A98A-DD3D2DB6513C}"/>
    <cellStyle name="Comma 2 6 101" xfId="25096" xr:uid="{2A43697C-6337-4348-9C2A-267DAF04AA72}"/>
    <cellStyle name="Comma 2 6 102" xfId="25098" xr:uid="{09C3F574-98A4-4FFF-AD71-3EAC5B68E59F}"/>
    <cellStyle name="Comma 2 6 103" xfId="25100" xr:uid="{B384FCAD-1D55-410D-82A1-CF5D4E195D1B}"/>
    <cellStyle name="Comma 2 6 104" xfId="25101" xr:uid="{D78D3206-73EA-4101-A2EF-EA2A99B98979}"/>
    <cellStyle name="Comma 2 6 105" xfId="25102" xr:uid="{16646AE2-F450-4512-9E65-697766F7A5FF}"/>
    <cellStyle name="Comma 2 6 106" xfId="20242" xr:uid="{7C474BFD-D9E3-4966-82AF-A8F731023B3C}"/>
    <cellStyle name="Comma 2 6 107" xfId="25105" xr:uid="{F7C4B56F-75C1-4421-B256-675D00225B22}"/>
    <cellStyle name="Comma 2 6 108" xfId="25109" xr:uid="{E9782940-0AF8-4E84-8BAA-16E0D4796A48}"/>
    <cellStyle name="Comma 2 6 109" xfId="8386" xr:uid="{FAF4A070-17A7-42E6-AD0B-2044710E1A3D}"/>
    <cellStyle name="Comma 2 6 11" xfId="24977" xr:uid="{E1740AE2-8867-48CF-9462-2C5F98F5452A}"/>
    <cellStyle name="Comma 2 6 110" xfId="25103" xr:uid="{A266976B-71E5-4528-9269-68A6963C681F}"/>
    <cellStyle name="Comma 2 6 111" xfId="20243" xr:uid="{FBE92ACA-DAF6-47D7-B408-FC53A3A36347}"/>
    <cellStyle name="Comma 2 6 112" xfId="25106" xr:uid="{662D6524-DD60-4CCB-9AA0-F31AE667AF81}"/>
    <cellStyle name="Comma 2 6 113" xfId="25110" xr:uid="{BD4D7FDF-1381-4FF2-A264-7457C96D47A3}"/>
    <cellStyle name="Comma 2 6 114" xfId="8387" xr:uid="{FA3666D1-12B5-4FF9-A1D4-DD34A009B339}"/>
    <cellStyle name="Comma 2 6 115" xfId="25112" xr:uid="{61B71145-8B5D-4BAA-916B-4E963BA685BD}"/>
    <cellStyle name="Comma 2 6 116" xfId="25115" xr:uid="{C60FF325-A8DB-4B3C-94D6-300C52A66DA4}"/>
    <cellStyle name="Comma 2 6 117" xfId="25118" xr:uid="{F0A0D074-F9A9-4111-8F94-8148A130B8AC}"/>
    <cellStyle name="Comma 2 6 118" xfId="25121" xr:uid="{81459F35-097D-460F-A641-0EC9D274DB50}"/>
    <cellStyle name="Comma 2 6 119" xfId="25124" xr:uid="{14AB34A8-1B64-4B7E-AF4A-438D69C21BB0}"/>
    <cellStyle name="Comma 2 6 12" xfId="24980" xr:uid="{1343D40B-AE2C-4D80-BF01-55E73BCFC8BB}"/>
    <cellStyle name="Comma 2 6 120" xfId="25113" xr:uid="{7853C38B-D0B9-4B99-86F7-AD9F180E2943}"/>
    <cellStyle name="Comma 2 6 121" xfId="25116" xr:uid="{73FE35A2-4546-432A-9F63-DB0E49E8155E}"/>
    <cellStyle name="Comma 2 6 122" xfId="25119" xr:uid="{2A3DF75F-58AF-4672-B061-10262FA00B66}"/>
    <cellStyle name="Comma 2 6 123" xfId="25122" xr:uid="{8330618E-4096-4055-A50A-AB7490E9E75C}"/>
    <cellStyle name="Comma 2 6 124" xfId="25125" xr:uid="{DEA8CAB9-1BA1-4A8D-ACD7-00D18CE09669}"/>
    <cellStyle name="Comma 2 6 125" xfId="25126" xr:uid="{B3C638DF-4364-422B-845D-E8B80C06685D}"/>
    <cellStyle name="Comma 2 6 126" xfId="25129" xr:uid="{903A4092-6D25-4CD1-A811-F1D1C3D3CE93}"/>
    <cellStyle name="Comma 2 6 127" xfId="25131" xr:uid="{08C702E4-1EC1-431D-AC2D-F74BFCECD41F}"/>
    <cellStyle name="Comma 2 6 128" xfId="25134" xr:uid="{32A65F09-6610-471C-8133-163224AE2244}"/>
    <cellStyle name="Comma 2 6 129" xfId="25135" xr:uid="{58BC2D8B-7BDC-4E55-8A09-E88D5FD28EEF}"/>
    <cellStyle name="Comma 2 6 13" xfId="24983" xr:uid="{8691B5BF-3851-4050-9369-3C9CE5D58ABD}"/>
    <cellStyle name="Comma 2 6 130" xfId="25127" xr:uid="{EF478EEF-B1A6-40ED-9611-619B8BEB8850}"/>
    <cellStyle name="Comma 2 6 131" xfId="25130" xr:uid="{87B118C1-F0AF-47E6-A3E6-05BD7783F688}"/>
    <cellStyle name="Comma 2 6 132" xfId="25132" xr:uid="{9B889B0B-CD9B-4F93-9697-F2F57DEC3ECC}"/>
    <cellStyle name="Comma 2 6 14" xfId="9175" xr:uid="{2135BCA4-ACD9-4D98-BB34-03593D084BB9}"/>
    <cellStyle name="Comma 2 6 15" xfId="6758" xr:uid="{0A6586A5-62AA-49BD-AD59-7BB60B564377}"/>
    <cellStyle name="Comma 2 6 16" xfId="6764" xr:uid="{29CC6CA7-66E9-4BB0-A9B6-8FD8B92189CA}"/>
    <cellStyle name="Comma 2 6 17" xfId="6775" xr:uid="{57CD1456-7194-457E-8DC3-65706C6A557A}"/>
    <cellStyle name="Comma 2 6 18" xfId="19603" xr:uid="{C87A95D2-7E11-4A6D-8313-D0691D6172C6}"/>
    <cellStyle name="Comma 2 6 19" xfId="19669" xr:uid="{6CF9BAF2-6915-43F6-8919-3A6B523CB0FF}"/>
    <cellStyle name="Comma 2 6 2" xfId="17734" xr:uid="{3A0E2307-659F-4629-B066-1DDD0D3BA03B}"/>
    <cellStyle name="Comma 2 6 20" xfId="6759" xr:uid="{12EBBABA-6B0E-4A1A-BFCF-F6DF075DC342}"/>
    <cellStyle name="Comma 2 6 21" xfId="6765" xr:uid="{58EB75E2-9379-4945-8C14-E458ED691C34}"/>
    <cellStyle name="Comma 2 6 22" xfId="6776" xr:uid="{804EBDE8-B53E-4FA9-902D-71DD3ADF9F47}"/>
    <cellStyle name="Comma 2 6 23" xfId="19604" xr:uid="{0CCA341D-B757-499B-BDE0-AEF99E3E1A3B}"/>
    <cellStyle name="Comma 2 6 24" xfId="19670" xr:uid="{940FB185-1213-448A-9B1D-1FF6C4BADA60}"/>
    <cellStyle name="Comma 2 6 25" xfId="19696" xr:uid="{67228F82-919A-4837-B74A-792C78E00D76}"/>
    <cellStyle name="Comma 2 6 26" xfId="19710" xr:uid="{2352B539-B579-4788-89A7-93B0DFA52D71}"/>
    <cellStyle name="Comma 2 6 27" xfId="19717" xr:uid="{EE6B6A21-38AE-4B20-9511-CD1CC39BE930}"/>
    <cellStyle name="Comma 2 6 28" xfId="19723" xr:uid="{04D8BF81-A15B-4691-9D9B-27DEA9B2762F}"/>
    <cellStyle name="Comma 2 6 29" xfId="19727" xr:uid="{F060E1FD-9B15-445B-9EFC-6C64332475A0}"/>
    <cellStyle name="Comma 2 6 3" xfId="17741" xr:uid="{24555051-B760-4735-9EB2-E97E13BABD33}"/>
    <cellStyle name="Comma 2 6 30" xfId="19697" xr:uid="{B3EC1E51-3224-4003-97AA-337FAB84F86A}"/>
    <cellStyle name="Comma 2 6 31" xfId="19711" xr:uid="{DBC1FFEA-7990-4652-8B29-F24A0A3C06E4}"/>
    <cellStyle name="Comma 2 6 32" xfId="19718" xr:uid="{2700386A-E0DF-4D6F-990D-314C2C5878B2}"/>
    <cellStyle name="Comma 2 6 33" xfId="19724" xr:uid="{4FDF7B92-3ACC-4D75-9DA1-FA244D878B2E}"/>
    <cellStyle name="Comma 2 6 34" xfId="19728" xr:uid="{5EB7F81C-5CE7-4905-874B-D1CA06BBB306}"/>
    <cellStyle name="Comma 2 6 35" xfId="25136" xr:uid="{90EE8834-2EE9-49C5-9311-0C6FB7EDAE88}"/>
    <cellStyle name="Comma 2 6 36" xfId="25138" xr:uid="{41134ADC-B0A3-4937-A691-00D43EFDEE72}"/>
    <cellStyle name="Comma 2 6 37" xfId="24537" xr:uid="{EFCC355A-C9CD-49D8-A15A-14979D320487}"/>
    <cellStyle name="Comma 2 6 38" xfId="24541" xr:uid="{69B4D72E-C8C9-4E2D-936D-997B0E115BD2}"/>
    <cellStyle name="Comma 2 6 39" xfId="25140" xr:uid="{93079A00-CBAB-4631-B9C0-1E8D7EF65945}"/>
    <cellStyle name="Comma 2 6 4" xfId="17746" xr:uid="{B75A3A65-D5D5-462D-B7C4-918F379644DB}"/>
    <cellStyle name="Comma 2 6 40" xfId="25137" xr:uid="{9BED1728-46EE-480C-8A60-4A701CC5333B}"/>
    <cellStyle name="Comma 2 6 41" xfId="25139" xr:uid="{D78FB111-0AE8-479D-8351-35990957C3CB}"/>
    <cellStyle name="Comma 2 6 42" xfId="24538" xr:uid="{156EC24C-1D82-48F1-ABD6-6FB0211916DF}"/>
    <cellStyle name="Comma 2 6 43" xfId="24542" xr:uid="{F4D229AB-8D87-4776-86EB-3BC94201B8A2}"/>
    <cellStyle name="Comma 2 6 44" xfId="25141" xr:uid="{77E205FF-F54B-4594-9AA8-551F175CDC33}"/>
    <cellStyle name="Comma 2 6 45" xfId="25142" xr:uid="{BD4D5777-1A82-4E93-98D0-9F8238C75CC5}"/>
    <cellStyle name="Comma 2 6 46" xfId="25144" xr:uid="{FAF63D21-CE4D-4A72-BCCC-A903EB2D636B}"/>
    <cellStyle name="Comma 2 6 47" xfId="4109" xr:uid="{6C001DC1-549D-47EF-B462-11234ED4A1A8}"/>
    <cellStyle name="Comma 2 6 48" xfId="4126" xr:uid="{9A122FE8-4D81-4A9D-B889-8795D2FD6DC8}"/>
    <cellStyle name="Comma 2 6 49" xfId="4137" xr:uid="{D75598F5-DB72-40A1-B50C-9B8FBC52C328}"/>
    <cellStyle name="Comma 2 6 5" xfId="17765" xr:uid="{4A9757F5-1A80-4107-84D1-1CF2109BC5B1}"/>
    <cellStyle name="Comma 2 6 50" xfId="25143" xr:uid="{C07F29D2-A13C-4EC8-9C50-AF88083D7C28}"/>
    <cellStyle name="Comma 2 6 51" xfId="25145" xr:uid="{5D1F69CF-CAE1-4292-AF85-92929180EEE3}"/>
    <cellStyle name="Comma 2 6 52" xfId="4110" xr:uid="{1718B5C5-77AF-4B5F-AD0C-F67BC143B5FF}"/>
    <cellStyle name="Comma 2 6 53" xfId="4127" xr:uid="{097E31A9-E0C1-4C1F-AA4C-C5376E6E61E5}"/>
    <cellStyle name="Comma 2 6 54" xfId="4138" xr:uid="{0F891EB4-5D2C-4531-99E1-12D8F904F4EB}"/>
    <cellStyle name="Comma 2 6 55" xfId="25146" xr:uid="{B3D5F99E-8863-466C-9799-B4802F8558AA}"/>
    <cellStyle name="Comma 2 6 56" xfId="25148" xr:uid="{9FA44544-C49B-4C41-B699-B414D2DDD273}"/>
    <cellStyle name="Comma 2 6 57" xfId="25150" xr:uid="{054A792E-DAA7-4518-B86F-75C588EFEE85}"/>
    <cellStyle name="Comma 2 6 58" xfId="25152" xr:uid="{98F70842-45BA-4F77-8175-DBF71EB72B16}"/>
    <cellStyle name="Comma 2 6 59" xfId="25155" xr:uid="{4E48E71E-51C4-4E60-8AA9-19FB2E8508B2}"/>
    <cellStyle name="Comma 2 6 6" xfId="17769" xr:uid="{7D3BE1DE-2700-4620-B1B9-BA3B80C0E985}"/>
    <cellStyle name="Comma 2 6 60" xfId="25147" xr:uid="{27FAB72E-BCCD-44A9-AB33-D694040318A8}"/>
    <cellStyle name="Comma 2 6 61" xfId="25149" xr:uid="{FC49AB32-537D-413C-812F-6E0F0FCD51BE}"/>
    <cellStyle name="Comma 2 6 62" xfId="25151" xr:uid="{0475535E-C83C-45F7-A9F3-B131A400EA58}"/>
    <cellStyle name="Comma 2 6 63" xfId="25153" xr:uid="{E3FEB29B-D2C3-4EF7-8AD5-F614176695E2}"/>
    <cellStyle name="Comma 2 6 64" xfId="25156" xr:uid="{24A2E6B8-4498-44BC-86DF-0B4C8E36BFB1}"/>
    <cellStyle name="Comma 2 6 65" xfId="6789" xr:uid="{1F206762-A81D-4113-A934-33DA39C3FCEA}"/>
    <cellStyle name="Comma 2 6 66" xfId="6794" xr:uid="{A525336C-FF75-4645-AC7E-532B127597A4}"/>
    <cellStyle name="Comma 2 6 67" xfId="14085" xr:uid="{B3AE244E-1FFF-4B5A-95CD-8A06024902A1}"/>
    <cellStyle name="Comma 2 6 68" xfId="17571" xr:uid="{98E2C4B5-D041-4EFB-9DC5-7D22A90E9CC4}"/>
    <cellStyle name="Comma 2 6 69" xfId="17575" xr:uid="{2F1546A9-D786-40B1-83E0-BDDF7D548763}"/>
    <cellStyle name="Comma 2 6 7" xfId="17773" xr:uid="{F9082C2B-33A7-4B28-943B-AD3A31BF3700}"/>
    <cellStyle name="Comma 2 6 70" xfId="6790" xr:uid="{72C38E26-5BE0-499E-BE3E-DD33E4828326}"/>
    <cellStyle name="Comma 2 6 71" xfId="6795" xr:uid="{AB4E23E5-8BC1-4B1D-8F1A-629FF73600DF}"/>
    <cellStyle name="Comma 2 6 72" xfId="14086" xr:uid="{4559F99D-AB8E-4622-BB5A-FCA8CC1871DB}"/>
    <cellStyle name="Comma 2 6 73" xfId="17572" xr:uid="{6AAFE5C7-051A-40A9-8A63-6B20C7D779C2}"/>
    <cellStyle name="Comma 2 6 74" xfId="17576" xr:uid="{9DAB5C8C-0D92-42E8-A38E-5C7608102711}"/>
    <cellStyle name="Comma 2 6 75" xfId="19787" xr:uid="{D2373814-8377-473F-82E2-6680BC9FE37D}"/>
    <cellStyle name="Comma 2 6 76" xfId="19792" xr:uid="{F27BB74A-68C5-4A21-B9B0-1473C4A29D6F}"/>
    <cellStyle name="Comma 2 6 77" xfId="19796" xr:uid="{9997D9CA-EE04-4C15-A31F-AAFF4BA276A9}"/>
    <cellStyle name="Comma 2 6 78" xfId="19800" xr:uid="{E833611D-E5A5-4ED0-BCDC-2CE80CBEC07C}"/>
    <cellStyle name="Comma 2 6 79" xfId="25157" xr:uid="{7E30C968-A6E6-4431-BF23-80238727A17A}"/>
    <cellStyle name="Comma 2 6 8" xfId="17778" xr:uid="{5F34DBB9-CBAB-46A8-8D8C-DAB36ABE3E18}"/>
    <cellStyle name="Comma 2 6 80" xfId="19788" xr:uid="{E03F321A-DDC8-459C-932F-3359CA3280B6}"/>
    <cellStyle name="Comma 2 6 81" xfId="19793" xr:uid="{2815DF36-CDC0-4B43-A004-4F0DE21E832D}"/>
    <cellStyle name="Comma 2 6 82" xfId="19797" xr:uid="{F9089265-6327-449C-8249-F7E511D5EBBD}"/>
    <cellStyle name="Comma 2 6 83" xfId="19801" xr:uid="{07A874F5-D490-4C10-9BE8-B760F4689E51}"/>
    <cellStyle name="Comma 2 6 84" xfId="25158" xr:uid="{9830D1C4-FE0D-49B5-A34F-7B76E603A52B}"/>
    <cellStyle name="Comma 2 6 85" xfId="25159" xr:uid="{FEAAF314-AA3D-443B-96B2-0F01E35F1D74}"/>
    <cellStyle name="Comma 2 6 86" xfId="25161" xr:uid="{87FE13BD-CC60-4B28-9137-49EE09CC6455}"/>
    <cellStyle name="Comma 2 6 87" xfId="11989" xr:uid="{9534FF0E-DC03-4724-8593-49B1DB1E9E92}"/>
    <cellStyle name="Comma 2 6 88" xfId="11997" xr:uid="{15B35778-D6E5-410A-ABE9-AEC11D21ED35}"/>
    <cellStyle name="Comma 2 6 89" xfId="25165" xr:uid="{3E15335A-0A1A-4834-94A2-FDC99A5D6600}"/>
    <cellStyle name="Comma 2 6 9" xfId="17784" xr:uid="{CB27DAE4-4F75-4900-A5F2-4ABDA5B34A29}"/>
    <cellStyle name="Comma 2 6 90" xfId="25160" xr:uid="{87F59984-C4AE-4EAE-9B6A-5541194462AA}"/>
    <cellStyle name="Comma 2 6 91" xfId="25162" xr:uid="{F75985A9-CC27-4521-BD28-FE9FBE72BC61}"/>
    <cellStyle name="Comma 2 6 92" xfId="11990" xr:uid="{53F95DE5-58E9-455C-884A-BB140571DAD5}"/>
    <cellStyle name="Comma 2 6 93" xfId="11998" xr:uid="{7F95FCA9-B15A-40B3-9EB4-15AEBF124155}"/>
    <cellStyle name="Comma 2 6 94" xfId="25166" xr:uid="{523B682F-B8CF-46D1-BF46-32983A3875B2}"/>
    <cellStyle name="Comma 2 6 95" xfId="25167" xr:uid="{462E768E-8583-43E5-A59C-A68AE1A73BDD}"/>
    <cellStyle name="Comma 2 6 96" xfId="25168" xr:uid="{440B2B86-7093-4995-A67C-8A0149A76569}"/>
    <cellStyle name="Comma 2 6 97" xfId="4144" xr:uid="{221A008D-F4DF-466F-8434-D33EFB47C43F}"/>
    <cellStyle name="Comma 2 6 98" xfId="4154" xr:uid="{A03A2B07-999B-4112-9DB6-FD520A757EC2}"/>
    <cellStyle name="Comma 2 6 99" xfId="25169" xr:uid="{0908EE51-18AA-4F42-85E7-44DF7C33228B}"/>
    <cellStyle name="Comma 2 60" xfId="25041" xr:uid="{D1FA1245-6F6B-459D-9A16-3BEB5341D38F}"/>
    <cellStyle name="Comma 2 60 2" xfId="25045" xr:uid="{7E27388F-20A8-4914-B951-A82BBDC82CEA}"/>
    <cellStyle name="Comma 2 60 3" xfId="25049" xr:uid="{6683BB44-39C3-4B4F-9D3C-8E09317C2FA2}"/>
    <cellStyle name="Comma 2 61" xfId="25054" xr:uid="{596D1182-E56A-4310-933D-1133FF8116A1}"/>
    <cellStyle name="Comma 2 61 2" xfId="25057" xr:uid="{3D02328A-2F50-46DA-A234-2F0A12F367E1}"/>
    <cellStyle name="Comma 2 61 3" xfId="25060" xr:uid="{AA11D49C-2D91-42BA-A10F-D6F78EA48E4A}"/>
    <cellStyle name="Comma 2 62" xfId="25063" xr:uid="{8479DAFA-34F2-4CCB-86B2-7F8496F70551}"/>
    <cellStyle name="Comma 2 62 2" xfId="25066" xr:uid="{F35A1D5E-3EBA-4736-9E1A-1E1554D59358}"/>
    <cellStyle name="Comma 2 62 3" xfId="25069" xr:uid="{5BFF42F6-06C1-42D7-B047-CBC149F54589}"/>
    <cellStyle name="Comma 2 63" xfId="25073" xr:uid="{CD1292F7-4AE9-4530-902E-97A9F574AC50}"/>
    <cellStyle name="Comma 2 63 2" xfId="25077" xr:uid="{926EB23E-5C8F-4C24-8F47-784E97385F63}"/>
    <cellStyle name="Comma 2 63 3" xfId="25080" xr:uid="{C612DBF9-6670-46BC-8196-5DC6C5184A08}"/>
    <cellStyle name="Comma 2 64" xfId="25084" xr:uid="{40C94044-054C-497A-B5F3-D64B0E7220FF}"/>
    <cellStyle name="Comma 2 64 2" xfId="25087" xr:uid="{A529EC8A-B427-467D-8029-924ECD5DF27C}"/>
    <cellStyle name="Comma 2 64 3" xfId="25089" xr:uid="{B9C1C545-F690-4ED6-8E8B-D53F17E0A875}"/>
    <cellStyle name="Comma 2 65" xfId="25171" xr:uid="{54772C84-9CE1-490C-A3EC-BCF3A27E8E97}"/>
    <cellStyle name="Comma 2 65 2" xfId="25173" xr:uid="{9120C1E9-2317-448E-9DB1-9ABE5E2D7DBB}"/>
    <cellStyle name="Comma 2 65 3" xfId="25176" xr:uid="{1E8E5910-970D-40BB-B496-3452AC2CD88E}"/>
    <cellStyle name="Comma 2 66" xfId="25181" xr:uid="{315D76CC-FA42-46A9-9E9F-147D47C50E05}"/>
    <cellStyle name="Comma 2 66 2" xfId="25183" xr:uid="{2E02185A-78ED-4B9F-954A-C51622B7C118}"/>
    <cellStyle name="Comma 2 66 3" xfId="25185" xr:uid="{9AC71691-76CC-4789-B473-2BC7D7778F87}"/>
    <cellStyle name="Comma 2 67" xfId="25187" xr:uid="{56236867-6CEA-4207-8927-1321E1DE4C91}"/>
    <cellStyle name="Comma 2 67 2" xfId="25189" xr:uid="{F1BC3F7D-1DAB-44F0-9DCD-61715F60568C}"/>
    <cellStyle name="Comma 2 67 3" xfId="25191" xr:uid="{C42BDE2C-29C3-4501-9D1A-C1CC02C86567}"/>
    <cellStyle name="Comma 2 68" xfId="25193" xr:uid="{85797005-EE74-4123-B81D-F6FC8820434F}"/>
    <cellStyle name="Comma 2 68 2" xfId="25195" xr:uid="{3EDC0FFF-CCF2-41BA-B7E5-CFEC643DB3C0}"/>
    <cellStyle name="Comma 2 68 3" xfId="8335" xr:uid="{479BF1FA-DE6B-454C-BD37-40B115D1158A}"/>
    <cellStyle name="Comma 2 69" xfId="25197" xr:uid="{41D36B85-FB2E-437D-868E-E498ED08B4A8}"/>
    <cellStyle name="Comma 2 69 2" xfId="25199" xr:uid="{E3AD176D-084C-4561-9029-3E1E6DEF07F7}"/>
    <cellStyle name="Comma 2 69 3" xfId="8370" xr:uid="{0E2517E6-7986-4857-B7F2-AA8C80C29EDF}"/>
    <cellStyle name="Comma 2 7" xfId="25201" xr:uid="{B8A6BC4C-9D61-4ADC-B6FB-D9290BE8FF7B}"/>
    <cellStyle name="Comma 2 7 10" xfId="17027" xr:uid="{38EF27FC-175D-400F-A071-82D0168B1525}"/>
    <cellStyle name="Comma 2 7 100" xfId="25204" xr:uid="{7FBDAB8C-A88B-4B67-A74F-BCD72E13FD4E}"/>
    <cellStyle name="Comma 2 7 101" xfId="25205" xr:uid="{37F55284-2787-4C80-B24A-79AFB98DB74E}"/>
    <cellStyle name="Comma 2 7 102" xfId="25208" xr:uid="{C7898609-96EE-4E3F-93C8-53054425A525}"/>
    <cellStyle name="Comma 2 7 103" xfId="14202" xr:uid="{BFBCE4C4-C1AD-48E5-A2E6-50D8F4D06CA1}"/>
    <cellStyle name="Comma 2 7 104" xfId="25210" xr:uid="{36966AB0-4521-49FD-8645-DB92A8C608AF}"/>
    <cellStyle name="Comma 2 7 105" xfId="25211" xr:uid="{8C1C9338-029D-4656-A58E-DE5E3FC72D11}"/>
    <cellStyle name="Comma 2 7 106" xfId="21588" xr:uid="{E3C7EF75-55D0-40DF-9C98-AB6497D2A815}"/>
    <cellStyle name="Comma 2 7 107" xfId="25212" xr:uid="{87004FD1-09F2-4466-BF0D-33B6A681927B}"/>
    <cellStyle name="Comma 2 7 108" xfId="25213" xr:uid="{5219E6A1-8A23-49AD-B487-7B388C9E91CA}"/>
    <cellStyle name="Comma 2 7 109" xfId="25215" xr:uid="{60CA69FB-96B6-4DB3-9A95-05273F8187F8}"/>
    <cellStyle name="Comma 2 7 11" xfId="17031" xr:uid="{94B71740-F0B6-48C2-BB3E-976237CDF939}"/>
    <cellStyle name="Comma 2 7 12" xfId="17034" xr:uid="{595F7DE5-5957-46E4-B8B0-CB7BC35FD332}"/>
    <cellStyle name="Comma 2 7 13" xfId="17037" xr:uid="{7A4A8B7B-6803-48C6-9811-C731210D68D6}"/>
    <cellStyle name="Comma 2 7 14" xfId="25216" xr:uid="{87AAEC25-8DB8-4548-AD90-A012BF0ABD16}"/>
    <cellStyle name="Comma 2 7 15" xfId="18203" xr:uid="{D32B6EE4-6CD1-48D2-AE7B-1C6DCB96DE9C}"/>
    <cellStyle name="Comma 2 7 16" xfId="17627" xr:uid="{760883DA-7473-4E40-8C9E-00E7C9E35C38}"/>
    <cellStyle name="Comma 2 7 17" xfId="17633" xr:uid="{0B05D1C6-97CC-464C-8B03-C5390401B215}"/>
    <cellStyle name="Comma 2 7 18" xfId="19871" xr:uid="{E48C19AC-64D8-484D-8B7D-60D8DFE4DC2A}"/>
    <cellStyle name="Comma 2 7 19" xfId="25218" xr:uid="{946B6AA5-43BB-460E-B157-503B23F00017}"/>
    <cellStyle name="Comma 2 7 2" xfId="25220" xr:uid="{B3B202CD-7033-49E9-923F-E819BB9B61C4}"/>
    <cellStyle name="Comma 2 7 20" xfId="18204" xr:uid="{90101A30-793C-4380-ADC0-6A7EFDB3CCA5}"/>
    <cellStyle name="Comma 2 7 21" xfId="17628" xr:uid="{A568F8CD-BC82-4849-B9AD-86DD92E5CFC4}"/>
    <cellStyle name="Comma 2 7 22" xfId="17634" xr:uid="{0FEC422B-518E-4100-B57A-6CB230769127}"/>
    <cellStyle name="Comma 2 7 23" xfId="19872" xr:uid="{CD3AD914-AD45-49AC-A078-06DE3ACE3FBB}"/>
    <cellStyle name="Comma 2 7 24" xfId="25219" xr:uid="{A3D705F4-76BE-45D6-B768-48EA8690B2DF}"/>
    <cellStyle name="Comma 2 7 25" xfId="6430" xr:uid="{DB965873-C640-4B93-A1E4-C0D17337990B}"/>
    <cellStyle name="Comma 2 7 26" xfId="6437" xr:uid="{BF393C36-9F6C-475D-A264-2A9886693CE8}"/>
    <cellStyle name="Comma 2 7 27" xfId="25224" xr:uid="{E4BFB976-DF9F-453A-BB85-B4DE6E395D6D}"/>
    <cellStyle name="Comma 2 7 28" xfId="25227" xr:uid="{4BBAEA10-8A72-47DE-A3D4-B8453E0535EF}"/>
    <cellStyle name="Comma 2 7 29" xfId="25230" xr:uid="{01A48D84-69DB-498D-AC74-C239C593CD8A}"/>
    <cellStyle name="Comma 2 7 3" xfId="25232" xr:uid="{8103A7E5-ED8D-43B3-B94E-BF1539A24694}"/>
    <cellStyle name="Comma 2 7 30" xfId="6431" xr:uid="{89432BF2-C807-45E6-A163-4088F24D76C0}"/>
    <cellStyle name="Comma 2 7 31" xfId="6438" xr:uid="{0D6A0ADA-3D1E-4D9E-A799-16F71CEB855A}"/>
    <cellStyle name="Comma 2 7 32" xfId="25225" xr:uid="{5691898A-A43E-4FCF-A49B-A8FC14D862B8}"/>
    <cellStyle name="Comma 2 7 33" xfId="25228" xr:uid="{1F1FCC97-D23E-4770-B2AA-4F6931D79FF4}"/>
    <cellStyle name="Comma 2 7 34" xfId="25231" xr:uid="{D851825F-22E5-4E2C-B149-F4130AC37CE7}"/>
    <cellStyle name="Comma 2 7 35" xfId="16109" xr:uid="{A07AEADC-25ED-4A13-9382-401E376B076C}"/>
    <cellStyle name="Comma 2 7 36" xfId="25235" xr:uid="{33762E8D-BB13-40B5-873E-93E570438338}"/>
    <cellStyle name="Comma 2 7 37" xfId="20561" xr:uid="{6F5FB44A-F38D-4750-9EC7-D5E5C11D95BA}"/>
    <cellStyle name="Comma 2 7 38" xfId="24718" xr:uid="{8C6B8336-F6DC-4FA6-BBEB-3DF638972C62}"/>
    <cellStyle name="Comma 2 7 39" xfId="25237" xr:uid="{A3B4DFB7-BA7D-447C-A215-2B010205ACBE}"/>
    <cellStyle name="Comma 2 7 4" xfId="25239" xr:uid="{AC2B56EC-4B04-4AB3-AECE-721E54E3F5A4}"/>
    <cellStyle name="Comma 2 7 40" xfId="16110" xr:uid="{78266292-8CD5-4FCE-9F70-94DAFF413A9B}"/>
    <cellStyle name="Comma 2 7 41" xfId="25236" xr:uid="{B8B37F0B-F042-447A-8E24-3D82444BC440}"/>
    <cellStyle name="Comma 2 7 42" xfId="20562" xr:uid="{77294C6C-85B8-421A-9A37-2E7BDC5BD25A}"/>
    <cellStyle name="Comma 2 7 43" xfId="24719" xr:uid="{DFDE8D37-19A6-4C85-B125-8E23CCAF28C3}"/>
    <cellStyle name="Comma 2 7 44" xfId="25238" xr:uid="{884E03A5-5FC8-4D85-B2CF-C1365AC40729}"/>
    <cellStyle name="Comma 2 7 45" xfId="9091" xr:uid="{FBBC8A2A-2B75-4CCE-9AEA-28F5CB5A5C47}"/>
    <cellStyle name="Comma 2 7 46" xfId="25241" xr:uid="{D57AA568-782E-4658-B48C-D82818070BDD}"/>
    <cellStyle name="Comma 2 7 47" xfId="25244" xr:uid="{3B20529B-5C75-45E5-ACE5-5A865D192A20}"/>
    <cellStyle name="Comma 2 7 48" xfId="25247" xr:uid="{9C36C122-7A1F-4DE0-81E8-A49D08A9D8DE}"/>
    <cellStyle name="Comma 2 7 49" xfId="25249" xr:uid="{ED80E885-F275-40A8-A7E5-356D664575C3}"/>
    <cellStyle name="Comma 2 7 5" xfId="25251" xr:uid="{636C6100-C215-4E50-A8B0-43434CF7BDFC}"/>
    <cellStyle name="Comma 2 7 50" xfId="9092" xr:uid="{67BDF204-1978-4796-BEFC-736746F35FDF}"/>
    <cellStyle name="Comma 2 7 51" xfId="25242" xr:uid="{56D7C224-D216-46D4-AC7B-13B2B4DFF5E1}"/>
    <cellStyle name="Comma 2 7 52" xfId="25245" xr:uid="{9FA695F8-208D-4B15-9D88-6F08BDDE67CB}"/>
    <cellStyle name="Comma 2 7 53" xfId="25248" xr:uid="{68A4F3C7-7074-4E82-9C3B-A424B3FAD4B0}"/>
    <cellStyle name="Comma 2 7 54" xfId="25250" xr:uid="{E3172AD7-FC30-4032-83AD-631E570C4484}"/>
    <cellStyle name="Comma 2 7 55" xfId="17041" xr:uid="{7B1557BF-BEF7-4C9A-A3B2-ABA53766F92B}"/>
    <cellStyle name="Comma 2 7 56" xfId="17047" xr:uid="{D5C8914A-E360-4702-9D4F-37DD675DBF8A}"/>
    <cellStyle name="Comma 2 7 57" xfId="17051" xr:uid="{1B1283DB-BAAD-4D18-8BB5-350DC21B8FAF}"/>
    <cellStyle name="Comma 2 7 58" xfId="25252" xr:uid="{6AA4EFBA-F267-44ED-9F42-C54D9529E26E}"/>
    <cellStyle name="Comma 2 7 59" xfId="25254" xr:uid="{DA3A8759-9E86-442D-BC6F-CC4D80712513}"/>
    <cellStyle name="Comma 2 7 6" xfId="25256" xr:uid="{68A75FE7-A7E2-4C2F-B4CF-72F32BD9A09D}"/>
    <cellStyle name="Comma 2 7 60" xfId="17042" xr:uid="{939CA6FA-8F53-48B3-A19C-D74BBDCE2326}"/>
    <cellStyle name="Comma 2 7 61" xfId="17048" xr:uid="{623FC942-24CF-4DE2-9063-A53196D72043}"/>
    <cellStyle name="Comma 2 7 62" xfId="17052" xr:uid="{9BCE9413-4A1D-45E4-83EA-E281523D9B19}"/>
    <cellStyle name="Comma 2 7 63" xfId="25253" xr:uid="{AA4F45BC-8D9A-4721-BC20-BC667F08E18A}"/>
    <cellStyle name="Comma 2 7 64" xfId="25255" xr:uid="{D57B4F0E-A2EC-4142-9714-7CE63FAD7F0F}"/>
    <cellStyle name="Comma 2 7 65" xfId="25257" xr:uid="{CAB85B3D-66B9-445E-8B77-6361EE9C8434}"/>
    <cellStyle name="Comma 2 7 66" xfId="17641" xr:uid="{5D805199-EF4A-4334-85E1-C24FB4D683F0}"/>
    <cellStyle name="Comma 2 7 67" xfId="17647" xr:uid="{0BCA2BF6-6D32-430F-9839-9DB0F1FB29EB}"/>
    <cellStyle name="Comma 2 7 68" xfId="3661" xr:uid="{DF2D7325-BDC2-438A-9C62-07941217FDB2}"/>
    <cellStyle name="Comma 2 7 69" xfId="3673" xr:uid="{EC04C7A5-DD12-4F7A-865C-6ED1FFD04E83}"/>
    <cellStyle name="Comma 2 7 7" xfId="25259" xr:uid="{B3E8695D-06A8-4F15-BC0C-4B057FAF8E27}"/>
    <cellStyle name="Comma 2 7 70" xfId="25258" xr:uid="{72EFE889-B627-4E50-86AE-FA5E5ABDD358}"/>
    <cellStyle name="Comma 2 7 71" xfId="17642" xr:uid="{30AF3713-2999-4FAE-B7A7-F94F7155745B}"/>
    <cellStyle name="Comma 2 7 72" xfId="17648" xr:uid="{F7B9826C-7F76-4412-AC6D-4D23184F0DAE}"/>
    <cellStyle name="Comma 2 7 73" xfId="3662" xr:uid="{6140F063-B89E-485C-A8A2-4D38762293B6}"/>
    <cellStyle name="Comma 2 7 74" xfId="3674" xr:uid="{23D8529A-CA89-46DD-8595-24BB3375B8F5}"/>
    <cellStyle name="Comma 2 7 75" xfId="3685" xr:uid="{CEFE2739-F0F5-4E68-8408-688AFAE1C8D5}"/>
    <cellStyle name="Comma 2 7 76" xfId="25261" xr:uid="{2486E629-7DFF-4D1D-AD9B-27294B571A9B}"/>
    <cellStyle name="Comma 2 7 77" xfId="25264" xr:uid="{55156E3A-48C6-4B0F-92B7-4FD775803D27}"/>
    <cellStyle name="Comma 2 7 78" xfId="25267" xr:uid="{151EA220-444C-48F3-965C-8653305896E9}"/>
    <cellStyle name="Comma 2 7 79" xfId="25270" xr:uid="{C7525E51-77EF-4442-BB4D-7157CBFBF0AC}"/>
    <cellStyle name="Comma 2 7 8" xfId="25272" xr:uid="{BD5A4ECA-BAEC-45CC-B542-CB68ABD84CAE}"/>
    <cellStyle name="Comma 2 7 80" xfId="3686" xr:uid="{72C65ADB-8F6A-45C3-9A1F-B54DBEF64E76}"/>
    <cellStyle name="Comma 2 7 81" xfId="25262" xr:uid="{D2F40408-80FB-4AB1-9310-4AC8B523F1E3}"/>
    <cellStyle name="Comma 2 7 82" xfId="25265" xr:uid="{E7FF552F-7E17-426B-81B7-2685469C2F2C}"/>
    <cellStyle name="Comma 2 7 83" xfId="25268" xr:uid="{34928D74-4F7E-4FB8-B7E5-C32962A93570}"/>
    <cellStyle name="Comma 2 7 84" xfId="25271" xr:uid="{A70C3C5B-E104-4026-B197-CD28CDC66F92}"/>
    <cellStyle name="Comma 2 7 85" xfId="25274" xr:uid="{508CD816-E6D9-495C-A0D5-54138FB93726}"/>
    <cellStyle name="Comma 2 7 86" xfId="25277" xr:uid="{45C46297-F9DE-4FB9-B2DC-1ACCEE8E17FE}"/>
    <cellStyle name="Comma 2 7 87" xfId="24722" xr:uid="{4C02A93B-B1EF-4947-A9B6-28CCFE23B5B2}"/>
    <cellStyle name="Comma 2 7 88" xfId="24726" xr:uid="{91D5879F-0EB2-4FD8-9E0A-78600696ED2A}"/>
    <cellStyle name="Comma 2 7 89" xfId="25279" xr:uid="{9275D9F5-146E-4F94-8C01-1F4DF96C293F}"/>
    <cellStyle name="Comma 2 7 9" xfId="25282" xr:uid="{6EB3243F-429C-4980-90B6-26968CF13E5D}"/>
    <cellStyle name="Comma 2 7 90" xfId="25275" xr:uid="{5D34EEE9-6FD2-421C-A935-045DDA6F1B43}"/>
    <cellStyle name="Comma 2 7 91" xfId="25278" xr:uid="{297AE2C5-6121-4DDB-8EA9-E1A1043CB9D4}"/>
    <cellStyle name="Comma 2 7 92" xfId="24723" xr:uid="{E81AAA76-8D5F-45D9-A3FE-AAF048211B0E}"/>
    <cellStyle name="Comma 2 7 93" xfId="24727" xr:uid="{0A70C2BF-F5BE-4B0C-A4B6-C357619C48C3}"/>
    <cellStyle name="Comma 2 7 94" xfId="25280" xr:uid="{70866239-D7BE-4299-9091-49403B6873F8}"/>
    <cellStyle name="Comma 2 7 95" xfId="25284" xr:uid="{6202AAAE-5222-4E17-AB31-AAE788B065EB}"/>
    <cellStyle name="Comma 2 7 96" xfId="23072" xr:uid="{5010D9FA-E71C-4ADE-BD60-A64D1AD1DABC}"/>
    <cellStyle name="Comma 2 7 97" xfId="25286" xr:uid="{08C8494A-F70A-4185-9A89-7549760DF659}"/>
    <cellStyle name="Comma 2 7 98" xfId="25287" xr:uid="{7C99E55E-DFA2-461A-8B26-8EF4837354CF}"/>
    <cellStyle name="Comma 2 7 99" xfId="25288" xr:uid="{49B72DAF-8DDF-4338-95CC-10D2721F62D4}"/>
    <cellStyle name="Comma 2 70" xfId="25172" xr:uid="{E592BFE7-3EE9-4CD1-BA77-ADB5E633729A}"/>
    <cellStyle name="Comma 2 70 2" xfId="25174" xr:uid="{EF084A60-7AB8-4924-851D-0CBF384EEBB3}"/>
    <cellStyle name="Comma 2 70 3" xfId="25177" xr:uid="{A7F950CD-449D-49CE-9C71-F17E9F492157}"/>
    <cellStyle name="Comma 2 71" xfId="25182" xr:uid="{9B99CB74-72F9-4CAD-A908-9A04A6B197EE}"/>
    <cellStyle name="Comma 2 71 2" xfId="25184" xr:uid="{0396ACCB-997E-49BA-BCCE-944D26231791}"/>
    <cellStyle name="Comma 2 71 3" xfId="25186" xr:uid="{8F361F86-0725-4C7B-A4A6-1BE1C1EEC37C}"/>
    <cellStyle name="Comma 2 72" xfId="25188" xr:uid="{ECDA6D64-48AD-43BD-81CA-69F68B3E845E}"/>
    <cellStyle name="Comma 2 72 2" xfId="25190" xr:uid="{3EF237E8-C853-4F88-9718-AF057EF07DB8}"/>
    <cellStyle name="Comma 2 72 3" xfId="25192" xr:uid="{A1331C3D-6330-471B-B417-E57A07C9265F}"/>
    <cellStyle name="Comma 2 73" xfId="25194" xr:uid="{816DEF16-D482-4112-B6DD-253294ECE91D}"/>
    <cellStyle name="Comma 2 73 2" xfId="25196" xr:uid="{D9906836-F8BE-4CFD-AE4A-09982BFDAAC7}"/>
    <cellStyle name="Comma 2 73 3" xfId="8336" xr:uid="{B58E2650-BA31-4397-9B3A-6AD1CDF1B609}"/>
    <cellStyle name="Comma 2 74" xfId="25198" xr:uid="{5E7C3FEC-E7F9-4544-829A-6A3AB82D347B}"/>
    <cellStyle name="Comma 2 74 2" xfId="25200" xr:uid="{3B9D651B-D238-498A-AA19-9F0E5640AC7D}"/>
    <cellStyle name="Comma 2 74 3" xfId="8371" xr:uid="{26202E98-BBBC-4F51-8E1C-A97A630EC477}"/>
    <cellStyle name="Comma 2 75" xfId="25289" xr:uid="{4A4A2658-F499-459B-8D90-B1CA470D5B77}"/>
    <cellStyle name="Comma 2 75 2" xfId="25291" xr:uid="{F37C45A2-420B-4DE8-8783-6AE252A36FBF}"/>
    <cellStyle name="Comma 2 75 3" xfId="260" xr:uid="{C1B2329E-B406-41E2-A173-182CB9C0D7D2}"/>
    <cellStyle name="Comma 2 76" xfId="25293" xr:uid="{0220DE5F-B7D0-4B72-8195-29EEBD573882}"/>
    <cellStyle name="Comma 2 76 2" xfId="25107" xr:uid="{C81030A9-8687-4D10-A738-824D3F0781AE}"/>
    <cellStyle name="Comma 2 76 3" xfId="8383" xr:uid="{E461F3DC-3E17-4196-8199-6980C73186C5}"/>
    <cellStyle name="Comma 2 77" xfId="25295" xr:uid="{393057DC-FB70-48AF-AECE-085660F14F57}"/>
    <cellStyle name="Comma 2 77 2" xfId="25297" xr:uid="{6AB6A69D-5A27-4711-8DE1-A53DB88756EB}"/>
    <cellStyle name="Comma 2 77 3" xfId="25299" xr:uid="{BA51EFD7-D889-4F6E-883A-2823BE480315}"/>
    <cellStyle name="Comma 2 78" xfId="21208" xr:uid="{9BDB8853-D504-4F91-89A9-8D57AE0A4561}"/>
    <cellStyle name="Comma 2 78 2" xfId="25301" xr:uid="{9E75132A-D4B2-4023-8FF2-80BC89F49514}"/>
    <cellStyle name="Comma 2 78 3" xfId="25303" xr:uid="{5A05E622-D6F5-4DF2-8554-0E0CE7B11001}"/>
    <cellStyle name="Comma 2 79" xfId="12017" xr:uid="{1BAFE917-F049-4741-9189-71395A67020D}"/>
    <cellStyle name="Comma 2 79 2" xfId="12020" xr:uid="{2C93D8B6-3B1D-4141-9BAC-EF8415A1F670}"/>
    <cellStyle name="Comma 2 79 3" xfId="25305" xr:uid="{22FAB1F8-5DCE-4369-919F-8C35E22B3073}"/>
    <cellStyle name="Comma 2 8" xfId="4582" xr:uid="{8CB2595E-32EA-4B1D-81A6-4B80588EA2FB}"/>
    <cellStyle name="Comma 2 8 2" xfId="25307" xr:uid="{DF57E646-D78D-489B-AF1A-B462738E6ADF}"/>
    <cellStyle name="Comma 2 8 3" xfId="25308" xr:uid="{16AC177F-A089-4673-9393-0C675C8EEC76}"/>
    <cellStyle name="Comma 2 80" xfId="25290" xr:uid="{308715C2-4B27-487D-A94D-71A0D0842CD0}"/>
    <cellStyle name="Comma 2 80 2" xfId="25292" xr:uid="{DBA5705E-AD3F-40F2-BA2C-D15C44658F10}"/>
    <cellStyle name="Comma 2 80 3" xfId="261" xr:uid="{6EAAE379-886B-403C-B6C3-E4ED8D48E12B}"/>
    <cellStyle name="Comma 2 81" xfId="25294" xr:uid="{C8D64E1C-91EC-4BF6-AA63-D167EFC15127}"/>
    <cellStyle name="Comma 2 81 2" xfId="25108" xr:uid="{FC8CFFE8-1FD3-42F6-A967-E083CE65BD29}"/>
    <cellStyle name="Comma 2 81 3" xfId="8384" xr:uid="{78FAF958-D8C1-4341-A597-03B8895F17FA}"/>
    <cellStyle name="Comma 2 82" xfId="25296" xr:uid="{85D2DF9E-5495-498B-8103-68F0E32F1419}"/>
    <cellStyle name="Comma 2 82 2" xfId="25298" xr:uid="{088C14B9-EA2E-4D30-878E-06C6FB645CD6}"/>
    <cellStyle name="Comma 2 82 3" xfId="25300" xr:uid="{F01E3C30-F828-41E8-BA35-D1B8E4D144FE}"/>
    <cellStyle name="Comma 2 83" xfId="21209" xr:uid="{8E7F69E0-55DA-42D6-9A9D-C7A502E1EF2B}"/>
    <cellStyle name="Comma 2 83 2" xfId="25302" xr:uid="{D84E5145-4282-45C4-A0F3-F455A866760E}"/>
    <cellStyle name="Comma 2 83 3" xfId="25304" xr:uid="{63E02258-66F9-49FB-AB75-876C22A455FD}"/>
    <cellStyle name="Comma 2 84" xfId="12018" xr:uid="{B9AA8F55-2EFF-4293-970D-4353DBB1D463}"/>
    <cellStyle name="Comma 2 84 2" xfId="12021" xr:uid="{471AA9D7-7E7D-4962-8FB5-F8CC48FF19D1}"/>
    <cellStyle name="Comma 2 84 3" xfId="25306" xr:uid="{0D6903FF-6B2F-403F-8CA4-C1A0575BD186}"/>
    <cellStyle name="Comma 2 85" xfId="12023" xr:uid="{9E3E2C45-0CD8-42F9-84EB-B448BF4795A4}"/>
    <cellStyle name="Comma 2 85 2" xfId="14184" xr:uid="{01226BFF-B8CB-4AB6-93F2-85F95B36D10C}"/>
    <cellStyle name="Comma 2 85 3" xfId="14220" xr:uid="{CD3DA7F0-36D5-4B66-88D2-F4A5D06FBBA5}"/>
    <cellStyle name="Comma 2 86" xfId="25309" xr:uid="{EED22CEA-F582-4597-B559-9D25D437B709}"/>
    <cellStyle name="Comma 2 86 2" xfId="14299" xr:uid="{82A9D22A-6897-4013-9452-0A0B4345728F}"/>
    <cellStyle name="Comma 2 86 3" xfId="14323" xr:uid="{F8218EDC-3BCE-4E7F-96F4-D3A29F0B4DAD}"/>
    <cellStyle name="Comma 2 87" xfId="2168" xr:uid="{E202104E-1573-4689-B3EF-AFD41C5AB2C3}"/>
    <cellStyle name="Comma 2 87 2" xfId="14362" xr:uid="{1EBF93F7-88C2-4295-9579-8689070B8048}"/>
    <cellStyle name="Comma 2 87 3" xfId="14369" xr:uid="{521B2FD8-8C67-4B2B-864B-2BB35B1C8D18}"/>
    <cellStyle name="Comma 2 88" xfId="20569" xr:uid="{3BED9BDB-6C19-4FC5-A26C-396170D46E36}"/>
    <cellStyle name="Comma 2 88 2" xfId="14387" xr:uid="{BD26F0C6-AA1A-439E-A98F-1EFB58243A9C}"/>
    <cellStyle name="Comma 2 88 3" xfId="14392" xr:uid="{49814EA9-E018-4A03-96CB-24678A85A8E2}"/>
    <cellStyle name="Comma 2 89" xfId="25311" xr:uid="{0FAEE6BA-1A2E-43BD-A0B3-C8A33F24FF1C}"/>
    <cellStyle name="Comma 2 89 2" xfId="14402" xr:uid="{77F78E20-DAE0-4D29-BA20-60C4B0B1239D}"/>
    <cellStyle name="Comma 2 89 3" xfId="14405" xr:uid="{E8F3E4AD-9E94-40B5-83BF-54F14F6FBB17}"/>
    <cellStyle name="Comma 2 9" xfId="25313" xr:uid="{81869FC9-1664-437E-A785-C5BBC6638C1A}"/>
    <cellStyle name="Comma 2 9 2" xfId="25314" xr:uid="{31635A3D-D78C-4971-8AD8-C7180A94BACD}"/>
    <cellStyle name="Comma 2 9 3" xfId="25315" xr:uid="{D51E4818-BB74-4CA5-9E0A-E0AF45851099}"/>
    <cellStyle name="Comma 2 90" xfId="12024" xr:uid="{F460B84D-B71B-42D0-A167-7D6C0FABF27F}"/>
    <cellStyle name="Comma 2 90 2" xfId="14185" xr:uid="{9C6C773E-F096-4AD9-83D4-E0FAB6E4A998}"/>
    <cellStyle name="Comma 2 90 3" xfId="14221" xr:uid="{ACE478D6-1774-4FE5-8BC5-F7611BAE95C0}"/>
    <cellStyle name="Comma 2 91" xfId="25310" xr:uid="{9CDAB160-103D-45A9-A3F6-C57AF1AD94F2}"/>
    <cellStyle name="Comma 2 91 2" xfId="14300" xr:uid="{24E4AB15-6968-4DAA-907F-FD67BDFE7D27}"/>
    <cellStyle name="Comma 2 91 3" xfId="14324" xr:uid="{DBD91791-242B-43C7-9225-790AD034CBD0}"/>
    <cellStyle name="Comma 2 92" xfId="2169" xr:uid="{3988510D-6341-47A0-A55F-5891F9750151}"/>
    <cellStyle name="Comma 2 92 2" xfId="14363" xr:uid="{9B567FDC-5063-4C2D-8682-0B05A7F8A87A}"/>
    <cellStyle name="Comma 2 92 3" xfId="14370" xr:uid="{BC653B49-BDC6-405D-B785-E3719B7484D8}"/>
    <cellStyle name="Comma 2 93" xfId="20570" xr:uid="{C8ED9A4C-A97F-49AC-A1A3-7B0E5A96D07E}"/>
    <cellStyle name="Comma 2 93 2" xfId="14388" xr:uid="{8A34453F-85CC-445D-A05B-E9BB54EC3B22}"/>
    <cellStyle name="Comma 2 93 3" xfId="14393" xr:uid="{64B50B09-F678-4C74-9E6E-80DB6D8E04D9}"/>
    <cellStyle name="Comma 2 94" xfId="25312" xr:uid="{4081351F-B0C9-4FB7-9F44-1591D64B7094}"/>
    <cellStyle name="Comma 2 94 2" xfId="14403" xr:uid="{07316D6F-94BC-4D0E-A523-4AC738A63BF3}"/>
    <cellStyle name="Comma 2 94 3" xfId="14406" xr:uid="{3F3AC5D2-3824-480C-89C2-169B02668AA9}"/>
    <cellStyle name="Comma 2 95" xfId="25317" xr:uid="{180C730D-DDE4-47EF-B450-E56DEAE79C03}"/>
    <cellStyle name="Comma 2 95 2" xfId="14413" xr:uid="{1949E638-A819-40E2-B94D-A63E96511C46}"/>
    <cellStyle name="Comma 2 95 3" xfId="25318" xr:uid="{5BFEAA56-BEF6-4D11-B153-B6AF03FA39B5}"/>
    <cellStyle name="Comma 2 96" xfId="25319" xr:uid="{214AE2F0-C49E-4A82-A2F2-A507EC38AD1C}"/>
    <cellStyle name="Comma 2 96 2" xfId="25320" xr:uid="{F6D27EF8-8803-4ADA-B9FE-E46387F043EE}"/>
    <cellStyle name="Comma 2 96 3" xfId="25321" xr:uid="{EF2673C2-9CB7-42E9-A4DC-9D959A041363}"/>
    <cellStyle name="Comma 2 97" xfId="25322" xr:uid="{DDD8EF03-4EE9-4A0D-9009-A05578C4FDA8}"/>
    <cellStyle name="Comma 2 97 2" xfId="25323" xr:uid="{2C929B91-9690-4CFA-A412-E63876B122D1}"/>
    <cellStyle name="Comma 2 97 3" xfId="25324" xr:uid="{01310146-5110-4A2F-8D90-170AB3266BD6}"/>
    <cellStyle name="Comma 2 98" xfId="25325" xr:uid="{DFE23DF7-477A-4ECB-BAEC-BA71577F8308}"/>
    <cellStyle name="Comma 2 98 2" xfId="25326" xr:uid="{517B8DA6-110B-4152-88C1-11BD4B9B8E42}"/>
    <cellStyle name="Comma 2 98 3" xfId="25327" xr:uid="{0EB68E1A-2691-4AE9-99BE-BF9FDB26B14B}"/>
    <cellStyle name="Comma 2 99" xfId="25328" xr:uid="{6E022CBE-85B9-4AD2-9985-86FFD0FFA3E6}"/>
    <cellStyle name="Comma 2 99 2" xfId="3030" xr:uid="{F01A0717-526E-414F-BCBB-E4016885C74D}"/>
    <cellStyle name="Comma 2 99 3" xfId="3058" xr:uid="{63FD6D29-42A2-4BB3-AFA2-51EA343491FE}"/>
    <cellStyle name="Comma 2_Indeks-Q209-Data Bersih-Maklumat&amp;Komunikasi - cari 15d" xfId="25329" xr:uid="{638E8829-EA86-4940-9108-82F4AD372DE8}"/>
    <cellStyle name="Comma 20" xfId="2562" xr:uid="{AF6CFF9D-C2D9-4251-845E-CADFF464F748}"/>
    <cellStyle name="Comma 20 10" xfId="18775" xr:uid="{43D9EF6D-907E-468C-AAA4-B839AC06768A}"/>
    <cellStyle name="Comma 20 11" xfId="7880" xr:uid="{FD7CEE42-0DD8-475B-AB6B-AD798173AAC2}"/>
    <cellStyle name="Comma 20 12" xfId="6202" xr:uid="{6E488E6A-D9FF-4CD4-8B4A-02051997A482}"/>
    <cellStyle name="Comma 20 13" xfId="6220" xr:uid="{7D6E8FC0-3A86-4E5B-A041-4D567FDC04E4}"/>
    <cellStyle name="Comma 20 14" xfId="12188" xr:uid="{934803D2-C04E-423E-8A2D-256C76C4DBC2}"/>
    <cellStyle name="Comma 20 15" xfId="12195" xr:uid="{27C1C3FE-77C9-4A1D-A9A2-0C65D4D0BFC3}"/>
    <cellStyle name="Comma 20 16" xfId="12202" xr:uid="{41577CC9-EE8B-42B0-989F-B79446F1B584}"/>
    <cellStyle name="Comma 20 17" xfId="18785" xr:uid="{196848BC-3F6B-4E6A-8F72-0B7DF775218E}"/>
    <cellStyle name="Comma 20 18" xfId="18791" xr:uid="{B8FD883D-5D3D-46E1-A28E-BB763E57AF2B}"/>
    <cellStyle name="Comma 20 19" xfId="17802" xr:uid="{CFD3ACD3-1E4B-42C7-93A4-D626FDBB1C89}"/>
    <cellStyle name="Comma 20 2" xfId="2570" xr:uid="{CB21C218-CAF8-4366-B280-02D6D25C7A24}"/>
    <cellStyle name="Comma 20 20" xfId="12196" xr:uid="{5EEAE188-B0E6-4237-8AC5-2D6FB083BCEC}"/>
    <cellStyle name="Comma 20 21" xfId="12203" xr:uid="{16390F36-F2D2-4CA2-88F1-BA87478EB27C}"/>
    <cellStyle name="Comma 20 22" xfId="18786" xr:uid="{6CC8C730-5B05-4069-A6F7-32A6978D34AA}"/>
    <cellStyle name="Comma 20 23" xfId="18792" xr:uid="{52364CAB-B730-4390-A8EB-485BA51D2F9E}"/>
    <cellStyle name="Comma 20 24" xfId="17803" xr:uid="{2DAE8942-972F-4B99-B611-3994AB34FF13}"/>
    <cellStyle name="Comma 20 25" xfId="17809" xr:uid="{20D4004E-B71A-4528-AFC1-A6095FFC0068}"/>
    <cellStyle name="Comma 20 26" xfId="18796" xr:uid="{8C58718B-DBE4-4AFD-8D8B-301EEB91B9D6}"/>
    <cellStyle name="Comma 20 27" xfId="18800" xr:uid="{07663AD1-2178-406A-BC72-B89B2DB9A1F6}"/>
    <cellStyle name="Comma 20 28" xfId="9491" xr:uid="{987F0483-348C-43CA-9D15-9AAB04FD034A}"/>
    <cellStyle name="Comma 20 29" xfId="25331" xr:uid="{970AEF72-BFC5-46CF-9609-16074FE7B624}"/>
    <cellStyle name="Comma 20 3" xfId="2635" xr:uid="{A641CD0E-4B7E-4992-8A94-E2E8EA375B03}"/>
    <cellStyle name="Comma 20 30" xfId="17810" xr:uid="{375CF960-2EFA-4A6F-8945-5F37CD740488}"/>
    <cellStyle name="Comma 20 31" xfId="18797" xr:uid="{159CBF2A-13F3-497B-9254-6CC4C21295CD}"/>
    <cellStyle name="Comma 20 32" xfId="18801" xr:uid="{CD647409-A6CD-4E4A-B252-BCCDFE28E2CB}"/>
    <cellStyle name="Comma 20 33" xfId="9492" xr:uid="{76F7B90F-3FA8-40B4-B3BB-F5B5E0E1DA3F}"/>
    <cellStyle name="Comma 20 34" xfId="25332" xr:uid="{1B719B91-11E9-4329-A28D-2B012E9601B5}"/>
    <cellStyle name="Comma 20 35" xfId="25334" xr:uid="{2102691F-3757-42BC-8146-1CA2FA8DB4D2}"/>
    <cellStyle name="Comma 20 36" xfId="25337" xr:uid="{CFE31B60-27E4-47DC-AE30-5F814DE497C4}"/>
    <cellStyle name="Comma 20 37" xfId="2315" xr:uid="{E0C9D0BC-C248-4043-A7DC-F637E5D8E117}"/>
    <cellStyle name="Comma 20 38" xfId="25340" xr:uid="{3CA675B4-74FA-4847-8652-02059255A233}"/>
    <cellStyle name="Comma 20 39" xfId="25343" xr:uid="{841448F3-4D63-492F-889B-18AD1C1FA99B}"/>
    <cellStyle name="Comma 20 4" xfId="2665" xr:uid="{4B05B2C4-12A4-4FF0-B6D5-DE27F499F2A6}"/>
    <cellStyle name="Comma 20 40" xfId="25335" xr:uid="{08332E54-4A7B-452A-B1D3-807602A7D4CA}"/>
    <cellStyle name="Comma 20 41" xfId="25338" xr:uid="{C783EC9B-C9C7-4FA0-8BBD-6EE8F8F0DA8E}"/>
    <cellStyle name="Comma 20 42" xfId="2316" xr:uid="{2FFA6028-B000-4D31-A107-0B52B07AEADF}"/>
    <cellStyle name="Comma 20 43" xfId="25341" xr:uid="{DE705EAF-0B6A-44B0-BCE9-3FDF3649AA7F}"/>
    <cellStyle name="Comma 20 44" xfId="25344" xr:uid="{E229850B-20E4-41B1-87E2-9C5AD020BB0F}"/>
    <cellStyle name="Comma 20 45" xfId="25346" xr:uid="{A108A81C-0A2D-4C95-989C-C8E14395B74C}"/>
    <cellStyle name="Comma 20 46" xfId="25348" xr:uid="{515B48BA-BC89-4948-8473-FB8A2ED4F4F4}"/>
    <cellStyle name="Comma 20 47" xfId="25350" xr:uid="{B9F045BA-971F-4538-B2BA-08C562B976F0}"/>
    <cellStyle name="Comma 20 48" xfId="20077" xr:uid="{7835B71C-58C9-45ED-9EAA-0A9F859ED636}"/>
    <cellStyle name="Comma 20 49" xfId="20082" xr:uid="{6288DEAC-08AA-44EF-A6C2-518FE702AC2D}"/>
    <cellStyle name="Comma 20 5" xfId="2676" xr:uid="{E91C213B-BB71-4E94-92C7-0F12080F10CF}"/>
    <cellStyle name="Comma 20 50" xfId="25347" xr:uid="{156DD0A3-401C-4A21-B64A-1E37D2EFAF00}"/>
    <cellStyle name="Comma 20 50 2" xfId="25351" xr:uid="{6C6B943F-B84E-410E-AE33-3025AAFDBF78}"/>
    <cellStyle name="Comma 20 51" xfId="25349" xr:uid="{3999D089-A8EB-4A05-9832-03669F6BECB8}"/>
    <cellStyle name="Comma 20 6" xfId="25352" xr:uid="{27D24127-AFC5-4DC5-9176-4D03D2A2EF58}"/>
    <cellStyle name="Comma 20 7" xfId="25353" xr:uid="{13EE29BD-4588-4283-AB84-FE30CED70A82}"/>
    <cellStyle name="Comma 20 8" xfId="8668" xr:uid="{4E88984A-CB24-413F-88C0-A0FE47EDA55C}"/>
    <cellStyle name="Comma 20 9" xfId="8696" xr:uid="{52AC75D8-5E25-40F2-947F-C4C94D0E12CA}"/>
    <cellStyle name="Comma 200" xfId="2479" xr:uid="{79167227-496E-4013-9000-074D97B165E7}"/>
    <cellStyle name="Comma 200 2" xfId="2491" xr:uid="{2E6FFCB5-EA57-498C-8AB3-7A3BDF9D27B2}"/>
    <cellStyle name="Comma 201" xfId="2498" xr:uid="{CF6D45BA-3301-4897-AB3B-C21A07C1D874}"/>
    <cellStyle name="Comma 201 2" xfId="2507" xr:uid="{3A713069-0D58-42CD-A122-09A46E35F784}"/>
    <cellStyle name="Comma 202" xfId="2519" xr:uid="{BEFF957D-6C2C-4CB6-BAB3-49710D68F610}"/>
    <cellStyle name="Comma 202 2" xfId="2526" xr:uid="{6C3D1CC8-2E6B-49B4-A197-8019075EBA60}"/>
    <cellStyle name="Comma 203" xfId="2533" xr:uid="{CE36F419-357B-45A2-AB8D-3967F1AC9323}"/>
    <cellStyle name="Comma 203 2" xfId="2540" xr:uid="{851A4FF0-47C4-4F3B-A3CB-67E4E5529E29}"/>
    <cellStyle name="Comma 204" xfId="2549" xr:uid="{8E321001-DCB6-421E-A61D-D4EAEC697A65}"/>
    <cellStyle name="Comma 204 2" xfId="2557" xr:uid="{D0C8BEC5-5683-4EFE-A76B-0B042BCA409C}"/>
    <cellStyle name="Comma 205" xfId="2679" xr:uid="{3A8EB55E-9A41-437F-B9F0-A8B7B71482E5}"/>
    <cellStyle name="Comma 205 2" xfId="2686" xr:uid="{0BE939D4-841A-47C0-A552-63E9FD67E5CF}"/>
    <cellStyle name="Comma 206" xfId="2695" xr:uid="{23C19954-12C9-43B6-A958-F5DCBEA680B4}"/>
    <cellStyle name="Comma 206 2" xfId="2711" xr:uid="{9941721A-B12D-4859-919A-B861D33412FA}"/>
    <cellStyle name="Comma 207" xfId="2720" xr:uid="{DF576E31-55CB-4DEB-A254-3B688D5D31F3}"/>
    <cellStyle name="Comma 207 2" xfId="2730" xr:uid="{366D9884-216B-4D13-A8BD-5BA3976252F5}"/>
    <cellStyle name="Comma 208" xfId="2740" xr:uid="{33294DEC-8A48-4D4A-A42D-796C7B050AF0}"/>
    <cellStyle name="Comma 208 2" xfId="1219" xr:uid="{432D7409-CFF7-423E-83D7-95CD6EE4A3D9}"/>
    <cellStyle name="Comma 209" xfId="2745" xr:uid="{618B58F1-99E1-427B-B850-95A2DE56CE0D}"/>
    <cellStyle name="Comma 209 2" xfId="2750" xr:uid="{DC347F11-9BAB-4E1E-AD43-908251E32B37}"/>
    <cellStyle name="Comma 21" xfId="2757" xr:uid="{D04624ED-DD98-404E-A46F-3918E1D737E4}"/>
    <cellStyle name="Comma 21 10" xfId="21996" xr:uid="{AF4F01A3-1FD1-47FD-A564-29D72FBDD5F4}"/>
    <cellStyle name="Comma 21 11" xfId="25354" xr:uid="{F7F3075F-87F8-4791-9584-7DF2E32D460E}"/>
    <cellStyle name="Comma 21 12" xfId="25356" xr:uid="{CB5E02AC-769E-43B0-9562-FB70B6F3BC40}"/>
    <cellStyle name="Comma 21 13" xfId="25358" xr:uid="{AB46E68D-5F36-4D66-B3EF-663ACE2B2838}"/>
    <cellStyle name="Comma 21 14" xfId="25360" xr:uid="{B48881E8-2968-4D7C-B72F-7A8013E15F20}"/>
    <cellStyle name="Comma 21 15" xfId="25362" xr:uid="{A916AD33-ED7B-47F2-BB10-D56F72DA63A1}"/>
    <cellStyle name="Comma 21 16" xfId="25364" xr:uid="{6E307129-FCB4-4512-B74E-AF70DE65A992}"/>
    <cellStyle name="Comma 21 17" xfId="25367" xr:uid="{DD628BD5-2271-4B9C-8CE5-166F9E5BB7A6}"/>
    <cellStyle name="Comma 21 18" xfId="25370" xr:uid="{21963D12-39CF-4888-AA23-E3C6F2BC3684}"/>
    <cellStyle name="Comma 21 19" xfId="17834" xr:uid="{B938EE52-9B4B-4699-83A8-C158768F8271}"/>
    <cellStyle name="Comma 21 2" xfId="2770" xr:uid="{C09CE900-F02C-44B0-91AA-F71D9298BB08}"/>
    <cellStyle name="Comma 21 20" xfId="25363" xr:uid="{6AA5CEA9-F96E-4123-85E2-EA3393F90D95}"/>
    <cellStyle name="Comma 21 21" xfId="25365" xr:uid="{8244F25B-EF91-481C-B590-85C780D67070}"/>
    <cellStyle name="Comma 21 22" xfId="25368" xr:uid="{5016CAF9-D065-438C-9CD9-0A7723E02116}"/>
    <cellStyle name="Comma 21 23" xfId="25371" xr:uid="{5D6C9D1E-A429-4C82-ADD0-46306734EEBE}"/>
    <cellStyle name="Comma 21 24" xfId="17835" xr:uid="{AA55306F-8C81-4AF3-967A-90554402DBE2}"/>
    <cellStyle name="Comma 21 25" xfId="17837" xr:uid="{1269F844-0A5C-47D4-BFA0-9B67AB49F0C8}"/>
    <cellStyle name="Comma 21 26" xfId="25372" xr:uid="{1A060465-CC4F-4853-AFB4-97A17B688656}"/>
    <cellStyle name="Comma 21 27" xfId="11089" xr:uid="{5CD8A3E0-6750-4CC4-A871-3591ABF652A0}"/>
    <cellStyle name="Comma 21 28" xfId="3089" xr:uid="{15560882-7AFD-474F-B1E8-6F09AEFB6595}"/>
    <cellStyle name="Comma 21 29" xfId="3100" xr:uid="{5BCF7876-72D9-4230-8F56-AA6FD7CD9F57}"/>
    <cellStyle name="Comma 21 3" xfId="2829" xr:uid="{E5070B54-271C-4D7B-B392-9909D447856E}"/>
    <cellStyle name="Comma 21 30" xfId="17838" xr:uid="{32F7C964-3F5D-496A-BF35-4FD2170F88F8}"/>
    <cellStyle name="Comma 21 31" xfId="25373" xr:uid="{C8DE35A7-C34F-471A-96F4-700DEA5CBFAF}"/>
    <cellStyle name="Comma 21 32" xfId="11090" xr:uid="{9DE6851B-3E92-480F-8B34-839D2E8DBF98}"/>
    <cellStyle name="Comma 21 33" xfId="3090" xr:uid="{1096DEC9-2D9D-475D-8843-D9D7CBDB605A}"/>
    <cellStyle name="Comma 21 34" xfId="3101" xr:uid="{87AB8F71-6727-42E3-A93E-F91A86E48962}"/>
    <cellStyle name="Comma 21 35" xfId="3116" xr:uid="{7DA7B541-CAF1-4F95-A1A9-5AFC95F024FA}"/>
    <cellStyle name="Comma 21 36" xfId="12511" xr:uid="{9E19109C-F4FA-4594-A8AC-08DE257C4A5C}"/>
    <cellStyle name="Comma 21 37" xfId="2393" xr:uid="{B8605BA0-A01C-414D-ADCA-30EFCA6B2C20}"/>
    <cellStyle name="Comma 21 38" xfId="25374" xr:uid="{FB544E63-F2E2-4770-88F6-2502E5C2FFE5}"/>
    <cellStyle name="Comma 21 39" xfId="25376" xr:uid="{81F7CD23-7B9F-49D5-B09F-C6A19497A448}"/>
    <cellStyle name="Comma 21 4" xfId="6624" xr:uid="{92E7B84B-523A-4E04-B6B5-B1C117486812}"/>
    <cellStyle name="Comma 21 40" xfId="3117" xr:uid="{834C10BE-F633-4542-8291-073348083F75}"/>
    <cellStyle name="Comma 21 41" xfId="12512" xr:uid="{F005BFE0-A1A8-4611-A886-7C64BED84460}"/>
    <cellStyle name="Comma 21 42" xfId="2394" xr:uid="{E871B6FA-5243-4753-BBE6-C955CBA4035F}"/>
    <cellStyle name="Comma 21 43" xfId="25375" xr:uid="{D3981DEB-D735-4FB9-AC11-43DBD9F79517}"/>
    <cellStyle name="Comma 21 44" xfId="25377" xr:uid="{B67BDEA3-C5BF-4530-A1C5-851DF87C2E41}"/>
    <cellStyle name="Comma 21 45" xfId="25378" xr:uid="{438B4E22-31EB-4C4C-A555-F0CE7E1B15C9}"/>
    <cellStyle name="Comma 21 46" xfId="25382" xr:uid="{181776CA-C07B-4D33-AD94-08436DD2BB1C}"/>
    <cellStyle name="Comma 21 47" xfId="25384" xr:uid="{A57671AC-C7DA-4D41-8EA5-D8B29073060E}"/>
    <cellStyle name="Comma 21 48" xfId="25385" xr:uid="{5174AD7F-F908-40C5-8649-B3E39757FC26}"/>
    <cellStyle name="Comma 21 49" xfId="22001" xr:uid="{030F320D-619E-4B2A-9C9F-02421AE97DC9}"/>
    <cellStyle name="Comma 21 5" xfId="25386" xr:uid="{365A9A53-FD33-44ED-A296-06B73C51E516}"/>
    <cellStyle name="Comma 21 50" xfId="25379" xr:uid="{1CC23F60-3B88-4278-8ED9-3FB0FABB98C0}"/>
    <cellStyle name="Comma 21 50 2" xfId="25387" xr:uid="{424792C7-6088-4862-A249-FC10D49D773F}"/>
    <cellStyle name="Comma 21 51" xfId="25383" xr:uid="{1F0ADE1E-8D4F-482F-9B9A-93A74F7CD5B8}"/>
    <cellStyle name="Comma 21 6" xfId="14696" xr:uid="{86467DCD-FE1F-42A2-A916-E31ECB7413EA}"/>
    <cellStyle name="Comma 21 7" xfId="25388" xr:uid="{E6EDCB6E-80C5-4D05-8942-2F72D22DA2C7}"/>
    <cellStyle name="Comma 21 8" xfId="8735" xr:uid="{8C60462F-5741-491E-AC9B-D06DB4097FED}"/>
    <cellStyle name="Comma 21 9" xfId="8745" xr:uid="{1206D75F-4B8B-4E9B-BDF5-8467CDE5F40B}"/>
    <cellStyle name="Comma 210" xfId="2680" xr:uid="{C08964ED-CDD7-4C41-8085-4AA8BEC46CCE}"/>
    <cellStyle name="Comma 210 2" xfId="2687" xr:uid="{C080C1E5-5C58-40D9-BEB5-111764B32A54}"/>
    <cellStyle name="Comma 211" xfId="2696" xr:uid="{69A3E9BF-A4AB-4EF8-8E2C-1E6BE885ADFC}"/>
    <cellStyle name="Comma 211 2" xfId="2712" xr:uid="{B14355C8-F980-4BC8-A7DA-62E145152CAE}"/>
    <cellStyle name="Comma 212" xfId="2721" xr:uid="{3B87E015-8007-4984-9860-189AAE5C9EA8}"/>
    <cellStyle name="Comma 212 2" xfId="2731" xr:uid="{D7B80837-1AA8-4A90-9A53-CBC5269ECCA1}"/>
    <cellStyle name="Comma 213" xfId="2741" xr:uid="{1134C069-1354-4935-BE92-F9891C948508}"/>
    <cellStyle name="Comma 213 2" xfId="1220" xr:uid="{EDF4FA87-C34C-4EA0-B8B5-1E46BA29ED4F}"/>
    <cellStyle name="Comma 214" xfId="2746" xr:uid="{AC151B61-83FE-4A94-B8AD-1D6043630402}"/>
    <cellStyle name="Comma 214 2" xfId="2751" xr:uid="{E7200839-6B59-4F6F-97DB-463BA6E3334A}"/>
    <cellStyle name="Comma 215" xfId="7258" xr:uid="{D662813F-1B65-428A-8265-AD4A48168A6D}"/>
    <cellStyle name="Comma 215 2" xfId="7263" xr:uid="{11779EBD-95BB-4820-B8FD-424FC1256FAD}"/>
    <cellStyle name="Comma 216" xfId="7267" xr:uid="{99EBDADB-23DC-4E73-85F4-108B2106CAEA}"/>
    <cellStyle name="Comma 216 2" xfId="7271" xr:uid="{12B79597-D8D6-4FF3-AF6D-8EBDF25D7A95}"/>
    <cellStyle name="Comma 217" xfId="7090" xr:uid="{CF65E9AE-1A1E-4DD0-8EA5-CE1688FBDF8F}"/>
    <cellStyle name="Comma 217 2" xfId="7096" xr:uid="{C90A0A7B-D694-4455-B414-DF61B577C513}"/>
    <cellStyle name="Comma 218" xfId="7106" xr:uid="{CA4FA097-E946-414B-A6FB-3DBD2921F18E}"/>
    <cellStyle name="Comma 218 2" xfId="7112" xr:uid="{44DDCA8F-8844-4DF8-83AF-7FEAD8076925}"/>
    <cellStyle name="Comma 219" xfId="7119" xr:uid="{5E3AFF8D-E28E-411E-B9C7-C3CDFA33F481}"/>
    <cellStyle name="Comma 219 2" xfId="4084" xr:uid="{BE036B46-55C8-4E7D-AA21-2474542E7CEE}"/>
    <cellStyle name="Comma 22" xfId="6484" xr:uid="{29398070-B777-4F17-A2E8-A7493FD22F45}"/>
    <cellStyle name="Comma 22 10" xfId="2766" xr:uid="{BCA6DF57-E6B7-4166-B10C-6E4DF4E9BE49}"/>
    <cellStyle name="Comma 22 11" xfId="2822" xr:uid="{AA33AEBC-B17A-4F3E-A6DF-F8C974CAA0EB}"/>
    <cellStyle name="Comma 22 12" xfId="6620" xr:uid="{E39960C8-2EF8-4BD7-BB3B-E7619454EF7B}"/>
    <cellStyle name="Comma 22 13" xfId="4966" xr:uid="{24853B08-28E3-4CBE-A775-193D848E76CF}"/>
    <cellStyle name="Comma 22 14" xfId="7277" xr:uid="{839F68A0-563C-4545-AA77-E2D1C4F865E0}"/>
    <cellStyle name="Comma 22 15" xfId="164" xr:uid="{1E5A121F-2F30-4125-8BBC-199CE356656F}"/>
    <cellStyle name="Comma 22 16" xfId="1542" xr:uid="{4D8FC577-031C-4475-B696-794D5BCBBB68}"/>
    <cellStyle name="Comma 22 17" xfId="1548" xr:uid="{20D0E7FF-B48D-4ADD-B790-2FFAB8D8D2BE}"/>
    <cellStyle name="Comma 22 18" xfId="1558" xr:uid="{AE1CB06E-8A6D-4CF4-B36B-C0E456A854AB}"/>
    <cellStyle name="Comma 22 19" xfId="25390" xr:uid="{9658834C-709C-443D-A93D-640D087E8EE5}"/>
    <cellStyle name="Comma 22 2" xfId="6491" xr:uid="{D0AD0F59-3F9E-4615-BB4C-086A80FAF756}"/>
    <cellStyle name="Comma 22 20" xfId="165" xr:uid="{2A85FD8B-92AC-4E00-A2D3-75F3A55FDB2E}"/>
    <cellStyle name="Comma 22 21" xfId="1543" xr:uid="{0EC168C8-5AEF-4330-917E-66A874217A66}"/>
    <cellStyle name="Comma 22 22" xfId="1549" xr:uid="{00B16CE9-AEDF-42CC-835F-19289E3B1A90}"/>
    <cellStyle name="Comma 22 23" xfId="1559" xr:uid="{504DFBB3-B10B-4A2D-8655-FA256F14D3E6}"/>
    <cellStyle name="Comma 22 24" xfId="25391" xr:uid="{AC3450B1-7B8E-4FF3-ABB0-DF2570B35D46}"/>
    <cellStyle name="Comma 22 25" xfId="22457" xr:uid="{FC37BCEB-DD0B-42A5-B495-D4AC127C49B2}"/>
    <cellStyle name="Comma 22 26" xfId="22525" xr:uid="{679819D3-D552-4649-92E8-F8D8F95E96D1}"/>
    <cellStyle name="Comma 22 27" xfId="22541" xr:uid="{1C06F23B-EE59-4E6B-B5F9-ECF063971B2D}"/>
    <cellStyle name="Comma 22 28" xfId="22551" xr:uid="{0A4C49DE-1549-4E1C-B5F4-C590F1C46BC2}"/>
    <cellStyle name="Comma 22 29" xfId="22558" xr:uid="{9F1E500E-7BB5-4FB2-B493-B531AE7C4186}"/>
    <cellStyle name="Comma 22 3" xfId="10361" xr:uid="{499A8DE3-8F19-4902-B780-7284896C43F5}"/>
    <cellStyle name="Comma 22 30" xfId="22458" xr:uid="{067779FD-2D2A-4763-8984-20C142D65960}"/>
    <cellStyle name="Comma 22 31" xfId="22526" xr:uid="{CBC03D97-FEA0-4B33-8984-246B7BEA4DE3}"/>
    <cellStyle name="Comma 22 32" xfId="22542" xr:uid="{83398604-B11F-45E8-9E31-28F51C617846}"/>
    <cellStyle name="Comma 22 33" xfId="22552" xr:uid="{715D194E-A163-4F31-B45B-2F6E16139DC1}"/>
    <cellStyle name="Comma 22 34" xfId="22559" xr:uid="{3848BC79-FA46-41B4-9AE5-2E1F008B8F1E}"/>
    <cellStyle name="Comma 22 35" xfId="22563" xr:uid="{D0584311-D4CB-4C0B-9BAF-3A63CB3C8B9E}"/>
    <cellStyle name="Comma 22 36" xfId="22566" xr:uid="{27390C74-350E-4A37-982A-C320BEAA2877}"/>
    <cellStyle name="Comma 22 37" xfId="2438" xr:uid="{420B88F9-DBDA-4CAC-A618-20DB489336B9}"/>
    <cellStyle name="Comma 22 38" xfId="25393" xr:uid="{C3A57C87-9CC4-434F-A82F-C5DB87D26E05}"/>
    <cellStyle name="Comma 22 39" xfId="25397" xr:uid="{AB010785-9EB9-47A8-8C7A-0E7DD041EF25}"/>
    <cellStyle name="Comma 22 4" xfId="14075" xr:uid="{BCEE4493-0CCF-45D4-A0CA-62C7BD8DF0A2}"/>
    <cellStyle name="Comma 22 40" xfId="22564" xr:uid="{1BBC8B0A-4110-44FE-944B-E239539E2F88}"/>
    <cellStyle name="Comma 22 41" xfId="22567" xr:uid="{347D453C-144D-46DE-9B54-CAF85AF79F8A}"/>
    <cellStyle name="Comma 22 42" xfId="2439" xr:uid="{80B06771-DD30-4ED8-98CA-D8E435D07C9F}"/>
    <cellStyle name="Comma 22 43" xfId="25394" xr:uid="{69379616-C31B-4C6F-B605-AA0F914DAF07}"/>
    <cellStyle name="Comma 22 44" xfId="25398" xr:uid="{0DAF62A9-6728-4B38-8FDF-C2E99F3890B0}"/>
    <cellStyle name="Comma 22 45" xfId="25400" xr:uid="{0ED771A4-324C-4041-9009-529CF54045B8}"/>
    <cellStyle name="Comma 22 46" xfId="14443" xr:uid="{B95CDCD1-B21D-421A-A106-AE87963FF989}"/>
    <cellStyle name="Comma 22 47" xfId="25403" xr:uid="{C6D11EBB-734E-4942-9C97-0A3AB2BCA515}"/>
    <cellStyle name="Comma 22 48" xfId="14302" xr:uid="{21CCC95E-BD00-4602-820E-78D5A3ABDEC8}"/>
    <cellStyle name="Comma 22 49" xfId="14312" xr:uid="{1B033DFD-B386-493A-B381-8B92114E360B}"/>
    <cellStyle name="Comma 22 5" xfId="15713" xr:uid="{DEBC0100-BA88-4736-9B50-62639ED0E9FC}"/>
    <cellStyle name="Comma 22 50" xfId="25401" xr:uid="{0649C96D-46C8-4BC3-98BD-87904C1E6C2C}"/>
    <cellStyle name="Comma 22 50 2" xfId="25405" xr:uid="{32BE0938-B003-4DD1-A95A-3E0FFF954C97}"/>
    <cellStyle name="Comma 22 51" xfId="14444" xr:uid="{3FE32393-1C3D-4E12-A42C-A72AB05DEE6D}"/>
    <cellStyle name="Comma 22 6" xfId="15716" xr:uid="{E90675A6-DC0A-4073-B721-2D1D9A80AC9F}"/>
    <cellStyle name="Comma 22 7" xfId="16308" xr:uid="{57B60E17-261D-4A10-91A2-E925DA10E920}"/>
    <cellStyle name="Comma 22 8" xfId="8759" xr:uid="{C58FFA9C-EDFE-4F0C-A222-89EB3B6ADDB6}"/>
    <cellStyle name="Comma 22 9" xfId="8768" xr:uid="{4E634984-BFF6-43EE-9523-9A3FEF72434E}"/>
    <cellStyle name="Comma 220" xfId="7259" xr:uid="{48E76FED-A3D4-4314-9356-79AC49CDD95F}"/>
    <cellStyle name="Comma 220 2" xfId="7264" xr:uid="{38E9DC22-6296-4775-B253-194C000658E7}"/>
    <cellStyle name="Comma 221" xfId="7268" xr:uid="{48CF0C9C-5A6D-4240-9FD4-2FA60094DDE8}"/>
    <cellStyle name="Comma 221 2" xfId="7272" xr:uid="{0F0B8FA6-A3A0-4AC8-B9D3-737A608F7FC8}"/>
    <cellStyle name="Comma 222" xfId="7091" xr:uid="{CE836619-4A4D-47F5-9BD9-2B251CE388DD}"/>
    <cellStyle name="Comma 222 2" xfId="7097" xr:uid="{648D513D-7814-4267-AFF8-63DFC04F525F}"/>
    <cellStyle name="Comma 223" xfId="7107" xr:uid="{C7E686DA-AC8F-472D-AF96-E2EC7CF41228}"/>
    <cellStyle name="Comma 223 2" xfId="7113" xr:uid="{A6CCFD47-F0E1-4CA8-96A0-69C4B0B1CED1}"/>
    <cellStyle name="Comma 224" xfId="7120" xr:uid="{D9CD94F4-20D1-4958-8851-924C8DC4D405}"/>
    <cellStyle name="Comma 224 2" xfId="4085" xr:uid="{2B95BD7D-3CDC-4DD8-AEA5-729B2E71F5B4}"/>
    <cellStyle name="Comma 225" xfId="17062" xr:uid="{60C0E5FC-38FF-4AEF-8B8C-A7223BD6CBD3}"/>
    <cellStyle name="Comma 225 2" xfId="17066" xr:uid="{32F5CE70-D0E6-46FF-9774-EF8AD30A37E8}"/>
    <cellStyle name="Comma 226" xfId="17070" xr:uid="{642E8427-F8D2-4909-9736-48098580FA99}"/>
    <cellStyle name="Comma 226 2" xfId="17074" xr:uid="{FB556F45-45DE-4931-91E2-5A4F64670CA4}"/>
    <cellStyle name="Comma 227" xfId="17078" xr:uid="{A05A42BA-2022-4BAB-B6AA-84A260BBB7AE}"/>
    <cellStyle name="Comma 227 2" xfId="17082" xr:uid="{B2395A2D-6F96-4C32-A551-E08DFE637691}"/>
    <cellStyle name="Comma 228" xfId="17086" xr:uid="{944A8AC0-24E8-4901-9EE3-8421F8896456}"/>
    <cellStyle name="Comma 228 2" xfId="17090" xr:uid="{6EF15629-A433-4757-9B4E-4029AF9F37BE}"/>
    <cellStyle name="Comma 229" xfId="17098" xr:uid="{ECC28CCA-2595-4D11-9B00-5F0A93410EBC}"/>
    <cellStyle name="Comma 229 2" xfId="17102" xr:uid="{6E1F961A-B916-4138-AEE9-1499B109D9A9}"/>
    <cellStyle name="Comma 23" xfId="6498" xr:uid="{DE1C99D6-709D-4BDC-BBF3-4C4950E94BB6}"/>
    <cellStyle name="Comma 23 10" xfId="25407" xr:uid="{4FEF9A6D-7933-4245-A942-715A6E5E7729}"/>
    <cellStyle name="Comma 23 11" xfId="25408" xr:uid="{7829C21A-3A60-49EE-BE75-8713A66A45C7}"/>
    <cellStyle name="Comma 23 12" xfId="25409" xr:uid="{8D3063B1-2D3A-4B2C-ADE1-130F50B03B17}"/>
    <cellStyle name="Comma 23 13" xfId="25410" xr:uid="{0117CFE2-D960-4AC1-9207-5C4A290276B7}"/>
    <cellStyle name="Comma 23 14" xfId="12919" xr:uid="{66B5BF56-4716-407C-B828-89A46CF9D358}"/>
    <cellStyle name="Comma 23 15" xfId="25411" xr:uid="{1F47E827-163B-4A32-931F-DDD8FFAEA833}"/>
    <cellStyle name="Comma 23 16" xfId="25413" xr:uid="{DA9F4D63-30C4-47B8-8D28-59550F28865E}"/>
    <cellStyle name="Comma 23 17" xfId="25416" xr:uid="{B7CC9490-8B6B-4043-BF5D-54603021C169}"/>
    <cellStyle name="Comma 23 18" xfId="25418" xr:uid="{0AEE4880-692A-44B2-94C8-20C1CE3F81C8}"/>
    <cellStyle name="Comma 23 19" xfId="25420" xr:uid="{C59D5F85-1989-4DCC-9A2D-96FA0AAA61B1}"/>
    <cellStyle name="Comma 23 2" xfId="6719" xr:uid="{F0B3263E-A2B7-4A3D-A710-50EA3214E6E4}"/>
    <cellStyle name="Comma 23 20" xfId="25412" xr:uid="{84A8CD3E-5411-4542-B5FE-BE0514FB3A7E}"/>
    <cellStyle name="Comma 23 21" xfId="25414" xr:uid="{818CA99B-127F-4811-9C99-B335259C9E4D}"/>
    <cellStyle name="Comma 23 22" xfId="25417" xr:uid="{0F266FD4-DA09-41C6-8CBA-38EFD78B845C}"/>
    <cellStyle name="Comma 23 23" xfId="25419" xr:uid="{F9EBE520-BADB-40E0-B903-9126019740B4}"/>
    <cellStyle name="Comma 23 24" xfId="25421" xr:uid="{37C6644A-2A61-4AE6-AF11-EB82F22C0DB8}"/>
    <cellStyle name="Comma 23 25" xfId="22648" xr:uid="{6F3B97FD-790F-4306-ACB0-73F893B220DE}"/>
    <cellStyle name="Comma 23 26" xfId="25422" xr:uid="{C159CF50-6931-429D-A7DF-4B5D888ECCC1}"/>
    <cellStyle name="Comma 23 27" xfId="25424" xr:uid="{72A8355B-B1D5-46D0-9D7F-BA7B331CCF18}"/>
    <cellStyle name="Comma 23 28" xfId="16452" xr:uid="{C62F89A1-2D89-48CB-B75F-29FE3E3D6611}"/>
    <cellStyle name="Comma 23 29" xfId="16462" xr:uid="{131C5DEA-4E89-4187-BC0E-FAABB5ADADAC}"/>
    <cellStyle name="Comma 23 3" xfId="17110" xr:uid="{64B57D8F-DA39-411D-B419-7E16BA8CB645}"/>
    <cellStyle name="Comma 23 30" xfId="22649" xr:uid="{5DDE5FDC-7F6F-4B1A-888F-E85EA08E4C3F}"/>
    <cellStyle name="Comma 23 31" xfId="25423" xr:uid="{0810BCA7-E34E-4440-8721-A8519239F900}"/>
    <cellStyle name="Comma 23 32" xfId="25425" xr:uid="{0D7B7361-0BF1-4CA9-BB3B-0CAD568932D9}"/>
    <cellStyle name="Comma 23 33" xfId="16453" xr:uid="{C6DE52D5-C6E3-4AB9-B51F-C02D24AC8157}"/>
    <cellStyle name="Comma 23 34" xfId="16463" xr:uid="{F6CC5ACE-86F4-45FA-A7FF-59BA103710E3}"/>
    <cellStyle name="Comma 23 35" xfId="25426" xr:uid="{6EEDAC92-A5AA-418F-B8F8-0A77270954C7}"/>
    <cellStyle name="Comma 23 36" xfId="25428" xr:uid="{C067C681-F2F0-4BE0-88EE-E6704C3C3B7C}"/>
    <cellStyle name="Comma 23 37" xfId="2541" xr:uid="{D01D6865-DF28-4F3F-BB17-F62439C8E986}"/>
    <cellStyle name="Comma 23 38" xfId="25430" xr:uid="{C38B4480-C017-4888-945E-CF814E5D5BAC}"/>
    <cellStyle name="Comma 23 39" xfId="25433" xr:uid="{32F6D08A-FF16-4034-B70B-34ACAF994997}"/>
    <cellStyle name="Comma 23 4" xfId="17117" xr:uid="{B86EA51B-65DC-4EDB-BDF5-F70A72D7D90A}"/>
    <cellStyle name="Comma 23 40" xfId="25427" xr:uid="{83A25974-478C-471B-B3DA-F4334ABFA33D}"/>
    <cellStyle name="Comma 23 41" xfId="25429" xr:uid="{54E4DA82-2C98-4C19-8B29-661F11B347D6}"/>
    <cellStyle name="Comma 23 42" xfId="2542" xr:uid="{69DC9BED-64A3-415F-9246-41067EF7B517}"/>
    <cellStyle name="Comma 23 43" xfId="25431" xr:uid="{D4604C1F-D0FD-4103-8A96-4AD06CDD2138}"/>
    <cellStyle name="Comma 23 44" xfId="25434" xr:uid="{C5727338-82ED-4681-AB39-0F67A991936B}"/>
    <cellStyle name="Comma 23 45" xfId="25436" xr:uid="{76CCD856-84FF-4FC4-AB37-B724BFAF141A}"/>
    <cellStyle name="Comma 23 46" xfId="11751" xr:uid="{7CDFB50D-B51E-49B7-8F78-2CE40A575F16}"/>
    <cellStyle name="Comma 23 47" xfId="11757" xr:uid="{EE28C0BB-694B-4851-A73F-2853FA1D4C1C}"/>
    <cellStyle name="Comma 23 48" xfId="25438" xr:uid="{24B712F2-4CAF-432E-B7E9-40B2F1CB8C6C}"/>
    <cellStyle name="Comma 23 49" xfId="25439" xr:uid="{69F6C2B3-24CF-4BFB-A03C-80A8EC18B4B8}"/>
    <cellStyle name="Comma 23 5" xfId="17121" xr:uid="{0C110507-0685-40F7-B918-F6FFBBA054C8}"/>
    <cellStyle name="Comma 23 50" xfId="25437" xr:uid="{782346A3-B28A-455F-A1FB-3F36D977E28A}"/>
    <cellStyle name="Comma 23 50 2" xfId="25440" xr:uid="{F35DA690-953A-44F3-81E4-2107A5031650}"/>
    <cellStyle name="Comma 23 51" xfId="11752" xr:uid="{9FD2D3BD-0ABE-4845-8A6C-8690466F0831}"/>
    <cellStyle name="Comma 23 6" xfId="10466" xr:uid="{95235D44-0FE5-4A24-BB8F-1D0DB200D642}"/>
    <cellStyle name="Comma 23 7" xfId="25441" xr:uid="{5BE260BC-14F3-4739-995B-31D31A60BEB7}"/>
    <cellStyle name="Comma 23 8" xfId="8780" xr:uid="{CDACCB9E-3564-40DB-A8AC-555758797177}"/>
    <cellStyle name="Comma 23 9" xfId="8790" xr:uid="{EE2E2255-2D00-472A-B289-3119188F88AF}"/>
    <cellStyle name="Comma 230" xfId="17063" xr:uid="{8F83DD7B-EB86-4BAF-9F48-003F8341A38F}"/>
    <cellStyle name="Comma 230 2" xfId="17067" xr:uid="{30A21178-3188-46D0-A464-0867CEE4C07C}"/>
    <cellStyle name="Comma 231" xfId="17071" xr:uid="{3D771247-9D58-4A3C-A180-FE25C49EEDBD}"/>
    <cellStyle name="Comma 231 2" xfId="17075" xr:uid="{B2AE2A3F-1E06-4ED6-9898-ABD4CBD2BBE6}"/>
    <cellStyle name="Comma 232" xfId="17079" xr:uid="{A432BA1B-5C62-44F3-B15F-68EBA7C0E1FE}"/>
    <cellStyle name="Comma 232 2" xfId="17083" xr:uid="{868C6435-7E12-4FF6-88AC-07910EBBEC47}"/>
    <cellStyle name="Comma 233" xfId="17087" xr:uid="{365A8236-66DF-4A6B-8584-6FCBA075FDE7}"/>
    <cellStyle name="Comma 233 2" xfId="17091" xr:uid="{42938606-7CC8-40BE-899C-47E9A9AD94BD}"/>
    <cellStyle name="Comma 234" xfId="17099" xr:uid="{E0FD6D6C-DDDA-4D41-B0B1-F27F3576CDE1}"/>
    <cellStyle name="Comma 234 2" xfId="17103" xr:uid="{F05C178F-D4BB-4986-8D81-9CCCD863DD13}"/>
    <cellStyle name="Comma 235" xfId="17127" xr:uid="{366DFDD8-E85D-4406-A54B-995886697DD3}"/>
    <cellStyle name="Comma 235 2" xfId="17131" xr:uid="{D8F5D359-3B2B-413C-8122-E466837E057D}"/>
    <cellStyle name="Comma 236" xfId="17135" xr:uid="{983FEAB1-8C00-4140-9116-77E06BBA4B0E}"/>
    <cellStyle name="Comma 236 2" xfId="17139" xr:uid="{FD9D6184-468C-40F8-A41B-2D7B3C6619C5}"/>
    <cellStyle name="Comma 237" xfId="17143" xr:uid="{5E37FE34-2888-4339-87BD-C4D96C0796F7}"/>
    <cellStyle name="Comma 237 2" xfId="17148" xr:uid="{90DFCEC7-58EA-4F75-A143-30F0C898D1BA}"/>
    <cellStyle name="Comma 238" xfId="17154" xr:uid="{24D55759-A32F-4C93-92B0-F43FE06D68E3}"/>
    <cellStyle name="Comma 238 2" xfId="17159" xr:uid="{AF0F4A11-CA6F-4E7C-ACE8-D00646DF3434}"/>
    <cellStyle name="Comma 239" xfId="17164" xr:uid="{76D34181-1601-4D1E-A380-B14B384F41EC}"/>
    <cellStyle name="Comma 239 2" xfId="17169" xr:uid="{CBE45373-368B-4989-9553-C18CF87CEA27}"/>
    <cellStyle name="Comma 24" xfId="6730" xr:uid="{47669475-9DC5-4758-8B34-1BB5EC9EDD76}"/>
    <cellStyle name="Comma 24 10" xfId="16948" xr:uid="{A835DE85-645F-4AA6-B79A-B3FF27C8D869}"/>
    <cellStyle name="Comma 24 11" xfId="17173" xr:uid="{2DDF2108-F082-4EE4-80C2-F0E1CF118C92}"/>
    <cellStyle name="Comma 24 12" xfId="17177" xr:uid="{739C08B0-9238-4127-845A-E4F8234E6A11}"/>
    <cellStyle name="Comma 24 13" xfId="17182" xr:uid="{9048B774-D490-4F3B-B305-42030BD81BD8}"/>
    <cellStyle name="Comma 24 14" xfId="17186" xr:uid="{3529FEB0-A3AC-42FC-B006-A4E87E80348D}"/>
    <cellStyle name="Comma 24 15" xfId="5718" xr:uid="{50A869F7-743C-45DD-9336-84902BCE40E3}"/>
    <cellStyle name="Comma 24 16" xfId="5672" xr:uid="{6C4007AB-FAB1-4367-AA9A-365FD896BDE3}"/>
    <cellStyle name="Comma 24 17" xfId="5683" xr:uid="{1B965925-45AC-4C9F-AFF9-5DB75A20C01D}"/>
    <cellStyle name="Comma 24 18" xfId="8026" xr:uid="{A7E16EB7-2969-4246-9195-A631FD72E1A3}"/>
    <cellStyle name="Comma 24 19" xfId="17191" xr:uid="{0BF7166E-CC5B-4BDB-9F20-CA80331B1603}"/>
    <cellStyle name="Comma 24 2" xfId="17195" xr:uid="{ECF479F2-58DE-4F10-9A27-A47862914B6A}"/>
    <cellStyle name="Comma 24 20" xfId="5719" xr:uid="{916E60B0-F560-481D-BD62-50BD6D2B39DE}"/>
    <cellStyle name="Comma 24 21" xfId="5673" xr:uid="{CE81B068-E63C-4860-A983-662B31492657}"/>
    <cellStyle name="Comma 24 22" xfId="5684" xr:uid="{C4D184EB-DD89-4556-8729-80CC81DE8E7A}"/>
    <cellStyle name="Comma 24 23" xfId="8027" xr:uid="{E5BD546E-C9E7-49E7-AEBE-E9C0AE87F592}"/>
    <cellStyle name="Comma 24 24" xfId="17192" xr:uid="{5B9FCF5B-B883-4B79-BDC3-6B8513A4C7D6}"/>
    <cellStyle name="Comma 24 25" xfId="17198" xr:uid="{56C172B4-C36F-41F4-A08D-A80E2932D727}"/>
    <cellStyle name="Comma 24 26" xfId="17202" xr:uid="{3383A516-6412-4482-8810-17A684B2D932}"/>
    <cellStyle name="Comma 24 27" xfId="17206" xr:uid="{139BC3B5-3446-4EB1-B251-979714106181}"/>
    <cellStyle name="Comma 24 28" xfId="17212" xr:uid="{FB7B8FE5-E716-4A98-82FD-8FD87BFFCD18}"/>
    <cellStyle name="Comma 24 29" xfId="17218" xr:uid="{F3DA9C64-F18B-4C68-B4A4-415D28B6BA73}"/>
    <cellStyle name="Comma 24 3" xfId="17221" xr:uid="{0A62E1FE-B5D0-4344-AECC-132A9FCEBE46}"/>
    <cellStyle name="Comma 24 30" xfId="17199" xr:uid="{403C1ED3-B540-41EB-9033-41A5FEA63633}"/>
    <cellStyle name="Comma 24 31" xfId="17203" xr:uid="{8F5A59F9-DBCA-4431-8A95-A07AEF6714D1}"/>
    <cellStyle name="Comma 24 32" xfId="17207" xr:uid="{D44864D7-E96C-4442-87C0-2D60EB81777A}"/>
    <cellStyle name="Comma 24 33" xfId="17213" xr:uid="{1222A679-BD45-4C14-896C-7099DEDFE8FF}"/>
    <cellStyle name="Comma 24 34" xfId="17219" xr:uid="{67AB8EA9-958C-4DDF-BFCD-0F45B0F06AE2}"/>
    <cellStyle name="Comma 24 35" xfId="17226" xr:uid="{1425D97D-63CD-4DAC-BD79-994E6239417C}"/>
    <cellStyle name="Comma 24 36" xfId="17230" xr:uid="{346993E2-B353-45DB-A663-C30CA7424342}"/>
    <cellStyle name="Comma 24 37" xfId="1221" xr:uid="{DE3897E0-18A6-4A66-978F-CEBF6AD96C1B}"/>
    <cellStyle name="Comma 24 38" xfId="16327" xr:uid="{39F8152F-CB75-4301-BFED-A69DEFCB3129}"/>
    <cellStyle name="Comma 24 39" xfId="17234" xr:uid="{5DB993D6-205C-43A1-AC18-9B679DA0ED6C}"/>
    <cellStyle name="Comma 24 4" xfId="17237" xr:uid="{4BDD9860-C10E-4BC9-AFDF-0F94EDEFAE44}"/>
    <cellStyle name="Comma 24 40" xfId="17227" xr:uid="{1943CABA-1C8F-42E2-B63F-3F98C9A4F154}"/>
    <cellStyle name="Comma 24 41" xfId="17231" xr:uid="{A64671A1-5C3B-4AE1-9DAE-43ED9EB4B6AC}"/>
    <cellStyle name="Comma 24 42" xfId="1222" xr:uid="{160A8D67-EED8-4A86-96A9-08C04ABD39E8}"/>
    <cellStyle name="Comma 24 43" xfId="16328" xr:uid="{AE321B36-1C82-4B39-B600-1CFD6AAF660F}"/>
    <cellStyle name="Comma 24 44" xfId="17235" xr:uid="{9A68267A-2433-4A26-B563-2D469A140A8D}"/>
    <cellStyle name="Comma 24 45" xfId="8905" xr:uid="{E51886B1-3EF9-4AC8-8358-7244622F222A}"/>
    <cellStyle name="Comma 24 46" xfId="8916" xr:uid="{2FEB3530-0AFB-4247-8754-C0B01D349D5B}"/>
    <cellStyle name="Comma 24 47" xfId="8923" xr:uid="{5FB2EF6B-D498-4A34-AC78-D0573DDCF74F}"/>
    <cellStyle name="Comma 24 48" xfId="17240" xr:uid="{33807FDC-01AC-4692-93D8-616A5904B45B}"/>
    <cellStyle name="Comma 24 49" xfId="16957" xr:uid="{DDA97D7A-8544-437F-B8F9-A6F1179EB2EB}"/>
    <cellStyle name="Comma 24 5" xfId="17242" xr:uid="{7F42794B-8ABB-43EB-A29E-C82ACC857992}"/>
    <cellStyle name="Comma 24 50" xfId="8906" xr:uid="{E7FC3AEC-D929-4908-B878-0EED97D65CBE}"/>
    <cellStyle name="Comma 24 50 2" xfId="8909" xr:uid="{117770FB-0213-424C-BC24-7B908C5ADE52}"/>
    <cellStyle name="Comma 24 51" xfId="8917" xr:uid="{1A0C851B-0E1E-430A-B2FA-774BFF31FF22}"/>
    <cellStyle name="Comma 24 6" xfId="17245" xr:uid="{9CBD94D8-0FE6-4C2F-A65C-22E233EBFFDF}"/>
    <cellStyle name="Comma 24 7" xfId="17247" xr:uid="{B879BD67-2780-4B14-96B6-5AE7BEFCA9C9}"/>
    <cellStyle name="Comma 24 8" xfId="8799" xr:uid="{B4DEE3DA-5D4C-46C5-9479-62746EDF0C60}"/>
    <cellStyle name="Comma 24 9" xfId="17250" xr:uid="{0B916BD3-2971-4DFC-89A7-18B55421C099}"/>
    <cellStyle name="Comma 240" xfId="17128" xr:uid="{6CCA20C1-BCA1-4F43-8286-6B82A6A9AE7B}"/>
    <cellStyle name="Comma 240 2" xfId="17132" xr:uid="{972A663D-63F4-489A-BF05-0622FE249F7E}"/>
    <cellStyle name="Comma 241" xfId="17136" xr:uid="{3545697C-DF18-42A3-A9E0-426BEB3FF622}"/>
    <cellStyle name="Comma 241 2" xfId="17140" xr:uid="{A1AEF086-941D-43B2-A110-48495C0ED66E}"/>
    <cellStyle name="Comma 242" xfId="17144" xr:uid="{3062A308-2359-4FF1-A328-4EC1656A2221}"/>
    <cellStyle name="Comma 242 2" xfId="17149" xr:uid="{5287967C-4D78-4346-A374-D35EF0F7B2A3}"/>
    <cellStyle name="Comma 243" xfId="17155" xr:uid="{1B95B5DB-CD79-4AF9-BC92-C392501B3B92}"/>
    <cellStyle name="Comma 243 2" xfId="17160" xr:uid="{E871C8A3-8290-4493-9D7E-3C78ACACB130}"/>
    <cellStyle name="Comma 244" xfId="17165" xr:uid="{DF5482B6-DCDD-4AE8-AB4F-F32765B9F74E}"/>
    <cellStyle name="Comma 244 2" xfId="17170" xr:uid="{80CF6D97-C42E-4F8F-9F4A-6DAE617FCA12}"/>
    <cellStyle name="Comma 245" xfId="17252" xr:uid="{7A91D986-3A37-4C2C-9A0F-A5D50A7C27AF}"/>
    <cellStyle name="Comma 245 2" xfId="17258" xr:uid="{6F62ED4A-2D21-4756-8D8E-29E0B2A44F0B}"/>
    <cellStyle name="Comma 246" xfId="17263" xr:uid="{ACCD4D42-E87C-432A-98F5-77176DA38BB4}"/>
    <cellStyle name="Comma 246 2" xfId="17269" xr:uid="{0FE78A62-0BFD-4A1E-BDA3-C62A8D5A2A1D}"/>
    <cellStyle name="Comma 247" xfId="17274" xr:uid="{4C4B2B9E-4623-480D-A7FC-53AAF51EE083}"/>
    <cellStyle name="Comma 247 2" xfId="17279" xr:uid="{FD423B8C-672F-476E-8D75-6F461C8A3340}"/>
    <cellStyle name="Comma 248" xfId="17284" xr:uid="{F7DE7796-8E80-47B5-8D30-31CB2E52C855}"/>
    <cellStyle name="Comma 248 2" xfId="17289" xr:uid="{1C0D4479-D5EE-4CDC-A4D9-6D9760392612}"/>
    <cellStyle name="Comma 249" xfId="17293" xr:uid="{CA57C407-80AE-4B54-9614-F00C1B00DE53}"/>
    <cellStyle name="Comma 249 2" xfId="17297" xr:uid="{159DE3ED-0280-488C-8053-9A7207940481}"/>
    <cellStyle name="Comma 25" xfId="24408" xr:uid="{6C8F1F8E-C6DF-49EF-B7BE-3AB5A24FB0F8}"/>
    <cellStyle name="Comma 25 10" xfId="19012" xr:uid="{E1EBEE5A-D867-4CC3-AE01-F80AEF53A751}"/>
    <cellStyle name="Comma 25 11" xfId="7913" xr:uid="{7E1B8A69-55E6-4A7A-9E55-81BFC606F465}"/>
    <cellStyle name="Comma 25 12" xfId="6257" xr:uid="{639F9817-A8F5-48DB-8CFE-A42DF78BEE34}"/>
    <cellStyle name="Comma 25 13" xfId="19023" xr:uid="{F6093568-9270-4ACB-9C90-0B70AEC20C01}"/>
    <cellStyle name="Comma 25 14" xfId="12215" xr:uid="{56A395F2-3296-4811-9DF0-B65781C6B3CA}"/>
    <cellStyle name="Comma 25 15" xfId="12222" xr:uid="{5F599E55-663B-45DF-9850-7A3BE2EE9989}"/>
    <cellStyle name="Comma 25 16" xfId="19026" xr:uid="{6B453100-12A1-4842-9E57-2B0D71EC6D1B}"/>
    <cellStyle name="Comma 25 17" xfId="19034" xr:uid="{367ED089-51DB-4804-8ABF-776CF5856D9A}"/>
    <cellStyle name="Comma 25 18" xfId="19040" xr:uid="{7FFDBD08-5DD1-4C61-9088-A58C2134B176}"/>
    <cellStyle name="Comma 25 19" xfId="19044" xr:uid="{FA786205-CB33-4EE6-844D-9597B959651C}"/>
    <cellStyle name="Comma 25 2" xfId="7353" xr:uid="{E5E853EB-657A-484C-9932-4ED88E979E68}"/>
    <cellStyle name="Comma 25 20" xfId="12223" xr:uid="{D0F59FF2-874E-4A4C-9FA6-498080203DFA}"/>
    <cellStyle name="Comma 25 21" xfId="19027" xr:uid="{D7DB21C5-86F4-41DD-AD4A-02995DB2F42B}"/>
    <cellStyle name="Comma 25 22" xfId="19035" xr:uid="{D28EF1A6-AE35-4AC2-A478-715961B24F72}"/>
    <cellStyle name="Comma 25 23" xfId="19041" xr:uid="{4C21E2C2-2677-4762-B683-5F58E4273CFC}"/>
    <cellStyle name="Comma 25 24" xfId="19045" xr:uid="{94F7ED90-E789-4BFC-8C29-1E64A3BD2DFE}"/>
    <cellStyle name="Comma 25 25" xfId="19051" xr:uid="{FB816272-806C-4A7F-852E-4119924FE6BE}"/>
    <cellStyle name="Comma 25 26" xfId="19058" xr:uid="{7AC651A5-792D-4824-9238-C3E842CC2A89}"/>
    <cellStyle name="Comma 25 27" xfId="19065" xr:uid="{0A24CA5C-DCFF-46F3-BAAB-0BAE315E1747}"/>
    <cellStyle name="Comma 25 28" xfId="22735" xr:uid="{E3F700EC-B16A-457E-BBEC-94987DAF2DC5}"/>
    <cellStyle name="Comma 25 29" xfId="22742" xr:uid="{AC0C4577-02FD-400C-8E2F-C4A30FE1FC3F}"/>
    <cellStyle name="Comma 25 3" xfId="25445" xr:uid="{08149C09-E698-4180-8BE1-0BA5C18AFB05}"/>
    <cellStyle name="Comma 25 30" xfId="19052" xr:uid="{6BE2F4E3-F317-4A19-AEC8-CA25F913367C}"/>
    <cellStyle name="Comma 25 31" xfId="19059" xr:uid="{D65E12D3-D814-41A7-A657-2D4D5ABF5A34}"/>
    <cellStyle name="Comma 25 32" xfId="19066" xr:uid="{70A0EC6A-8CCC-4E3D-B3FD-09ADF4ED51F0}"/>
    <cellStyle name="Comma 25 33" xfId="22736" xr:uid="{C74F8F62-70BD-4459-AAA4-5D1F9587D7AB}"/>
    <cellStyle name="Comma 25 4" xfId="25446" xr:uid="{A4C643F6-9447-44A5-A837-89D0623435FD}"/>
    <cellStyle name="Comma 25 5" xfId="25447" xr:uid="{69C5B776-9CFC-4112-84F5-961220C7A35A}"/>
    <cellStyle name="Comma 25 6" xfId="25448" xr:uid="{25982BA7-686F-4AA2-B463-A81E1233031F}"/>
    <cellStyle name="Comma 25 7" xfId="25449" xr:uid="{40E12CDC-8521-4F15-BAE4-1FCE00EED993}"/>
    <cellStyle name="Comma 25 8" xfId="25453" xr:uid="{7BC378E3-58F0-4609-B8D3-1A5DDC546D5C}"/>
    <cellStyle name="Comma 25 9" xfId="25457" xr:uid="{13B3C551-D3D7-4362-A4E7-F55179D1D65D}"/>
    <cellStyle name="Comma 250" xfId="17253" xr:uid="{A6D11D38-1017-43A4-8068-E140F32FF301}"/>
    <cellStyle name="Comma 250 2" xfId="17259" xr:uid="{0DC7515C-A289-4CA5-924D-A0F40F82E18F}"/>
    <cellStyle name="Comma 251" xfId="17264" xr:uid="{C08C107A-7005-4CCF-99EA-3BBD4A379793}"/>
    <cellStyle name="Comma 251 2" xfId="17270" xr:uid="{2F1A13B9-31CB-46FA-B398-D2E7002818F2}"/>
    <cellStyle name="Comma 252" xfId="17275" xr:uid="{73A9D5DA-C779-4DF5-8A89-09F709B607FA}"/>
    <cellStyle name="Comma 252 2" xfId="17280" xr:uid="{4D01EC9D-E786-4BCB-9563-E8197C5943CC}"/>
    <cellStyle name="Comma 253" xfId="17285" xr:uid="{65B005F3-73DC-4E23-A3B3-8E27C6069689}"/>
    <cellStyle name="Comma 253 2" xfId="17290" xr:uid="{806440CB-1E0B-4E3A-A715-DB748263515F}"/>
    <cellStyle name="Comma 254" xfId="17294" xr:uid="{2FE60434-45A4-4D6C-90F9-555BA9E61DEA}"/>
    <cellStyle name="Comma 254 2" xfId="17298" xr:uid="{CBB69BE9-394A-4B95-A42B-FB8C9E10591E}"/>
    <cellStyle name="Comma 255" xfId="23387" xr:uid="{F0E831E3-3FBF-4D8D-8E7E-1C86084E3679}"/>
    <cellStyle name="Comma 255 2" xfId="23393" xr:uid="{4A04F209-AEB9-44FE-8EE6-33B0E3D01C71}"/>
    <cellStyle name="Comma 256" xfId="23398" xr:uid="{87CA3BA6-D4BC-4780-9244-F2EA070ABF2E}"/>
    <cellStyle name="Comma 256 2" xfId="25458" xr:uid="{7976029F-34AD-4B08-A7DF-25522946CE1D}"/>
    <cellStyle name="Comma 257" xfId="25463" xr:uid="{E7977D3D-B2F3-4693-8D83-2A96C373AE92}"/>
    <cellStyle name="Comma 257 2" xfId="25467" xr:uid="{7D3EE4FA-6071-4BF5-8E9F-5379D9C3C82D}"/>
    <cellStyle name="Comma 258" xfId="16331" xr:uid="{91813186-5895-4800-8D73-FC39D11A090F}"/>
    <cellStyle name="Comma 258 2" xfId="16336" xr:uid="{23D3E59E-8E10-4C95-9753-B0AE4C6684AA}"/>
    <cellStyle name="Comma 259" xfId="16341" xr:uid="{CA1C2E5D-A9ED-4B1D-BDD6-29CF74196D2B}"/>
    <cellStyle name="Comma 259 2" xfId="25471" xr:uid="{4E793630-8FD1-4342-9D16-43D3CB3A3CC0}"/>
    <cellStyle name="Comma 26" xfId="25475" xr:uid="{EB59F84F-D37F-4844-9021-479E9B8F91A2}"/>
    <cellStyle name="Comma 26 2" xfId="25477" xr:uid="{C1027C91-1876-4A87-9672-E86884F8721F}"/>
    <cellStyle name="Comma 260" xfId="23388" xr:uid="{8AFA5197-20A4-4432-9078-5F464BB88ED5}"/>
    <cellStyle name="Comma 260 2" xfId="23394" xr:uid="{AD0D23C6-B9B3-4F7C-A780-520C63476A92}"/>
    <cellStyle name="Comma 261" xfId="23399" xr:uid="{203A659B-D6C9-43D2-869D-8E62AB09CCA0}"/>
    <cellStyle name="Comma 261 2" xfId="25459" xr:uid="{3EB8100F-94A6-424E-B89D-8F81C0B87AB3}"/>
    <cellStyle name="Comma 262" xfId="25464" xr:uid="{68A2F276-EFA2-4A29-A98B-AADD6181FCB0}"/>
    <cellStyle name="Comma 262 2" xfId="25468" xr:uid="{9594E3E9-E350-4276-88F0-0584A6AE926B}"/>
    <cellStyle name="Comma 263" xfId="16332" xr:uid="{10CB9E78-FA7F-4DC1-BEC1-21E194B65A16}"/>
    <cellStyle name="Comma 263 2" xfId="16337" xr:uid="{98C2C71C-9954-4A00-BC4E-2503113C615C}"/>
    <cellStyle name="Comma 264" xfId="16342" xr:uid="{284CB434-D81F-4FD3-9EA7-F341BAC77DA4}"/>
    <cellStyle name="Comma 264 2" xfId="25472" xr:uid="{192933D0-1D0F-4A83-957C-F78AA46B785F}"/>
    <cellStyle name="Comma 265" xfId="21938" xr:uid="{739F15EE-6CD9-40ED-BF84-D1FC95E8C61C}"/>
    <cellStyle name="Comma 265 2" xfId="21943" xr:uid="{0FCE08CD-ECB9-45B7-9B87-1AED9DB7C15E}"/>
    <cellStyle name="Comma 266" xfId="21948" xr:uid="{AB0BC32D-8DE5-4A80-81C6-311E94D813EE}"/>
    <cellStyle name="Comma 266 2" xfId="19167" xr:uid="{4D5E4272-5B1A-4BAB-A1B2-E2E29841A7FE}"/>
    <cellStyle name="Comma 267" xfId="23415" xr:uid="{FA130A48-F1E5-43B3-B649-A0A8274B8B4E}"/>
    <cellStyle name="Comma 267 2" xfId="8951" xr:uid="{72F0E54F-E9FA-4789-80BA-CFF11E59A32D}"/>
    <cellStyle name="Comma 268" xfId="25479" xr:uid="{C1B15766-E2D2-4512-A1D2-739441AF4867}"/>
    <cellStyle name="Comma 268 2" xfId="8975" xr:uid="{B999A792-C51A-4518-ACD2-D243BC3FD40F}"/>
    <cellStyle name="Comma 269" xfId="25483" xr:uid="{9E55AD5D-2F4D-4ECA-9537-0CF1A12AF16F}"/>
    <cellStyle name="Comma 269 2" xfId="8984" xr:uid="{1AD03C6A-ECCB-45C1-BA6F-625CE85E5BC1}"/>
    <cellStyle name="Comma 27" xfId="25487" xr:uid="{100ACF9D-A1F1-4185-A471-1F4B849DF1BA}"/>
    <cellStyle name="Comma 27 2" xfId="25489" xr:uid="{3F57599A-AF06-49A5-8F59-0755BD40FA11}"/>
    <cellStyle name="Comma 270" xfId="21939" xr:uid="{4A19478E-0F17-4F61-AA7A-8DEF0819D388}"/>
    <cellStyle name="Comma 270 2" xfId="21944" xr:uid="{281AAFAF-264F-4512-8531-1C410FFB4D57}"/>
    <cellStyle name="Comma 271" xfId="21949" xr:uid="{FB5BC670-85D8-4EBB-BB63-9C47B00A6681}"/>
    <cellStyle name="Comma 271 2" xfId="19168" xr:uid="{D7F2608F-562F-4A7F-9395-0FFBD06AC72C}"/>
    <cellStyle name="Comma 272" xfId="23416" xr:uid="{916D8EA4-0A40-4623-9B54-72F662D09819}"/>
    <cellStyle name="Comma 272 2" xfId="8952" xr:uid="{DCA79125-6C22-4B98-92EC-591F160BA9C4}"/>
    <cellStyle name="Comma 273" xfId="25480" xr:uid="{E5CAAEC7-6925-4C94-A96E-E2795A3CC11B}"/>
    <cellStyle name="Comma 273 2" xfId="8976" xr:uid="{9A5F8C1B-1762-429D-85BA-1ADA824A2B8F}"/>
    <cellStyle name="Comma 274" xfId="25484" xr:uid="{C70923FD-B781-43CF-AEDA-4B5D8A33E8D2}"/>
    <cellStyle name="Comma 275" xfId="25491" xr:uid="{FA0207BF-50F4-4205-BD14-F230D83A56B9}"/>
    <cellStyle name="Comma 276" xfId="25495" xr:uid="{E5128D9E-2095-48F2-99D8-161C15B265BC}"/>
    <cellStyle name="Comma 277" xfId="25499" xr:uid="{6E03C8D8-BFEF-45BE-9BFF-77C82C52A3B1}"/>
    <cellStyle name="Comma 278" xfId="25504" xr:uid="{535C51B2-6E84-4387-B41E-BBA88E1AF6B5}"/>
    <cellStyle name="Comma 279" xfId="25512" xr:uid="{3EFA6B12-89EB-4165-BAB3-B6410D04CE90}"/>
    <cellStyle name="Comma 28" xfId="25516" xr:uid="{2C8A62F8-968A-4D83-8F5F-80CDBEC5BE23}"/>
    <cellStyle name="Comma 28 2" xfId="24224" xr:uid="{BB5F90D5-DAED-4556-A2AF-462829FD0FE3}"/>
    <cellStyle name="Comma 280" xfId="25492" xr:uid="{46F6740E-EF3E-4300-A3AB-0DC2A5FBDA04}"/>
    <cellStyle name="Comma 281" xfId="25496" xr:uid="{1D11D518-003A-4846-8208-85750174E96C}"/>
    <cellStyle name="Comma 282" xfId="25500" xr:uid="{5E012A04-6FC0-4898-96FE-C230CFF633ED}"/>
    <cellStyle name="Comma 283" xfId="25505" xr:uid="{61D55AB6-2EE1-4773-93AA-D8867D3BB26A}"/>
    <cellStyle name="Comma 284" xfId="25513" xr:uid="{A02F430B-D932-4D51-B334-303E24E0BF70}"/>
    <cellStyle name="Comma 285" xfId="25518" xr:uid="{A0F85EED-D54C-4692-93A1-651F10AAAD48}"/>
    <cellStyle name="Comma 286" xfId="25522" xr:uid="{663191AE-B411-4598-A56E-AB983513BEBA}"/>
    <cellStyle name="Comma 287" xfId="25526" xr:uid="{F8833A67-A6C5-442F-A785-6D58E4B44734}"/>
    <cellStyle name="Comma 288" xfId="25531" xr:uid="{E0ED5C45-A136-4056-9292-6DE4C588A09A}"/>
    <cellStyle name="Comma 289" xfId="25536" xr:uid="{C6A3F04C-3F90-4156-9AD1-FFBE7ACDFC24}"/>
    <cellStyle name="Comma 29" xfId="25541" xr:uid="{D5B73928-9F2B-4D23-BFFF-9900D8DBB398}"/>
    <cellStyle name="Comma 29 2" xfId="25543" xr:uid="{345016C0-650D-48E2-B6D6-71E4C78E9AD8}"/>
    <cellStyle name="Comma 290" xfId="25519" xr:uid="{822098E4-764B-411B-83B8-DFB5B31CDB23}"/>
    <cellStyle name="Comma 291" xfId="25523" xr:uid="{2B0586AD-FCB4-4F22-B698-F36797DB9006}"/>
    <cellStyle name="Comma 292" xfId="25527" xr:uid="{945F65E0-F480-4031-81B6-F2037DC8E7AD}"/>
    <cellStyle name="Comma 292 2" xfId="25545" xr:uid="{9E1A92EB-4763-430C-82A4-6B05CDD8BD62}"/>
    <cellStyle name="Comma 293" xfId="25532" xr:uid="{51B05679-6137-467B-91B5-B2800FADFCDA}"/>
    <cellStyle name="Comma 293 2" xfId="25549" xr:uid="{FBA5CF4E-3EA5-460C-97B4-14A2A3214913}"/>
    <cellStyle name="Comma 294" xfId="25537" xr:uid="{9004F801-726B-4CE9-AEF9-6438024F31AB}"/>
    <cellStyle name="Comma 294 2" xfId="25552" xr:uid="{2D5DC239-DED4-498C-9F71-5F5D8522059F}"/>
    <cellStyle name="Comma 295" xfId="24349" xr:uid="{5FA40405-533A-4FAD-A3A7-03E749187F98}"/>
    <cellStyle name="Comma 295 2" xfId="24355" xr:uid="{DA283BD2-203D-4361-8545-25665DCB6684}"/>
    <cellStyle name="Comma 296" xfId="24362" xr:uid="{1A70B724-2371-4F94-8EE6-4C2815518DC3}"/>
    <cellStyle name="Comma 296 2" xfId="24367" xr:uid="{128D4BB2-BCDF-4635-AA53-127BD678317E}"/>
    <cellStyle name="Comma 297" xfId="24372" xr:uid="{B07F47BA-ED49-4E62-8C72-C4DD33CAEEAE}"/>
    <cellStyle name="Comma 297 2" xfId="25555" xr:uid="{BB70A2A2-ABBB-48AF-BFD0-96D7963C2A59}"/>
    <cellStyle name="Comma 298" xfId="25560" xr:uid="{0EDDE339-1023-46C1-A7C2-5F9A686B2BF8}"/>
    <cellStyle name="Comma 298 2" xfId="24019" xr:uid="{FB7CC148-C254-443D-8EA8-57A6F312B774}"/>
    <cellStyle name="Comma 299" xfId="25565" xr:uid="{C5E66561-F131-4C97-928C-B4DD09B26498}"/>
    <cellStyle name="Comma 299 2" xfId="25569" xr:uid="{6D085E76-6838-463B-A4A1-071E0C9FDB58}"/>
    <cellStyle name="Comma 3" xfId="6" xr:uid="{F3BF2DA7-783F-41B8-BD6F-0631BCF7646E}"/>
    <cellStyle name="Comma 3 10" xfId="6872" xr:uid="{F9C04AD9-A063-498D-8D69-0E896E17C535}"/>
    <cellStyle name="Comma 3 10 2" xfId="25575" xr:uid="{64721945-AB00-45EC-9DF8-D12A7DE7BF3F}"/>
    <cellStyle name="Comma 3 10 3" xfId="11263" xr:uid="{739D84B9-B9C0-4BF6-A9FC-CE8098018A31}"/>
    <cellStyle name="Comma 3 100" xfId="25577" xr:uid="{40DDD511-C260-4342-B714-7B1D56F26516}"/>
    <cellStyle name="Comma 3 100 2" xfId="25579" xr:uid="{A9DCEB74-876F-4884-91C8-43AEDCF4E210}"/>
    <cellStyle name="Comma 3 100 3" xfId="25580" xr:uid="{7049A334-788E-4861-B96A-B92A93485D4B}"/>
    <cellStyle name="Comma 3 101" xfId="25581" xr:uid="{EEA2A40B-E4FA-4AB9-B679-477CE1CF6751}"/>
    <cellStyle name="Comma 3 101 2" xfId="25582" xr:uid="{CEBF5AF1-2F75-4BAE-81AF-71D18A460843}"/>
    <cellStyle name="Comma 3 101 3" xfId="25583" xr:uid="{E008214C-CD6D-42F6-8A77-C2EF965AAF4A}"/>
    <cellStyle name="Comma 3 102" xfId="25584" xr:uid="{C9F3B51D-A022-480E-A91A-96D96279D93E}"/>
    <cellStyle name="Comma 3 102 2" xfId="25585" xr:uid="{327CB71D-D6CF-4515-8E1E-F03E4223D8C5}"/>
    <cellStyle name="Comma 3 102 3" xfId="25586" xr:uid="{7EBC2E7A-5F8E-4BBE-9114-D31A7A0A0C8D}"/>
    <cellStyle name="Comma 3 103" xfId="25587" xr:uid="{F40D1EB4-97E7-4647-93C7-57288BEE3DAB}"/>
    <cellStyle name="Comma 3 103 2" xfId="20321" xr:uid="{F64EC957-D202-4947-8383-5AFA95C9E929}"/>
    <cellStyle name="Comma 3 103 3" xfId="25588" xr:uid="{93AF181F-A838-4729-982A-40D953A01467}"/>
    <cellStyle name="Comma 3 104" xfId="25589" xr:uid="{382C5706-2822-4C3D-A97E-7BE3A7C24F28}"/>
    <cellStyle name="Comma 3 104 2" xfId="25590" xr:uid="{220B99CA-6525-490E-BDF0-DEEECD648847}"/>
    <cellStyle name="Comma 3 104 3" xfId="25591" xr:uid="{D3D79788-6F03-47D6-8540-98AF4664D3C9}"/>
    <cellStyle name="Comma 3 105" xfId="24044" xr:uid="{3EF99650-58D9-4650-B639-BDB7D446AE0F}"/>
    <cellStyle name="Comma 3 105 2" xfId="25593" xr:uid="{DB933C36-82F6-4930-8CFC-EBBEC6CCE39C}"/>
    <cellStyle name="Comma 3 105 3" xfId="25594" xr:uid="{C2782A14-01C0-4E60-9A58-B0E1E21EC3C9}"/>
    <cellStyle name="Comma 3 106" xfId="25595" xr:uid="{02FB27FD-548B-461B-A50A-D8862A23F3FF}"/>
    <cellStyle name="Comma 3 106 2" xfId="25597" xr:uid="{814F5BCD-BA80-4196-B4B2-109995A1D3C4}"/>
    <cellStyle name="Comma 3 106 3" xfId="25598" xr:uid="{B77C0862-A15B-4F28-AA1E-C2FCE3B1DE1B}"/>
    <cellStyle name="Comma 3 107" xfId="25599" xr:uid="{09E6A02E-CEAC-415F-AD21-B993F23B9C69}"/>
    <cellStyle name="Comma 3 107 2" xfId="25601" xr:uid="{9D07A599-4375-43F5-A125-745D91E1932C}"/>
    <cellStyle name="Comma 3 107 3" xfId="25602" xr:uid="{3BEFE37F-4FFD-45BC-8E73-C91A1AECCEA2}"/>
    <cellStyle name="Comma 3 108" xfId="25603" xr:uid="{FEF2E078-FBC8-4D95-911D-25A4459BFCF1}"/>
    <cellStyle name="Comma 3 109" xfId="25605" xr:uid="{AC1022C7-CF9D-4AC7-AF54-6EE4A55210EC}"/>
    <cellStyle name="Comma 3 11" xfId="15157" xr:uid="{09556742-EB83-4115-8449-F643CA8B95F2}"/>
    <cellStyle name="Comma 3 11 2" xfId="15161" xr:uid="{FB34682D-CB38-4AFE-894C-72F9B34A27D0}"/>
    <cellStyle name="Comma 3 11 3" xfId="11274" xr:uid="{A320D3F6-01BE-46B6-A521-70837682803F}"/>
    <cellStyle name="Comma 3 110" xfId="24045" xr:uid="{A9EA4F47-8B4F-4633-A14C-F2E2A7B764B4}"/>
    <cellStyle name="Comma 3 111" xfId="25596" xr:uid="{1885518C-832A-4E3C-BABA-EB957B3C773E}"/>
    <cellStyle name="Comma 3 112" xfId="25600" xr:uid="{A4AB17DE-E118-49AE-8CD5-2F4645543EC2}"/>
    <cellStyle name="Comma 3 113" xfId="25604" xr:uid="{085D2C76-9ABC-4563-AC54-EBEC07DB392B}"/>
    <cellStyle name="Comma 3 114" xfId="25606" xr:uid="{10D2CBAD-24B2-467D-9340-FE30EB4CBE7A}"/>
    <cellStyle name="Comma 3 115" xfId="25607" xr:uid="{7B917DE9-3A2D-4413-9FCE-47FA39B53F63}"/>
    <cellStyle name="Comma 3 116" xfId="25609" xr:uid="{BF8E7A83-0591-4FD3-A1DA-8108C7C6FD66}"/>
    <cellStyle name="Comma 3 117" xfId="25611" xr:uid="{67367C4C-E669-4B24-A9E8-4148F9125A07}"/>
    <cellStyle name="Comma 3 118" xfId="25613" xr:uid="{0FF81225-5D20-4172-9447-A2A39697DA0F}"/>
    <cellStyle name="Comma 3 119" xfId="25615" xr:uid="{F877B6BE-3152-4C20-A068-D2D3BC2C27FA}"/>
    <cellStyle name="Comma 3 12" xfId="15166" xr:uid="{BC4B210B-4885-41DB-B89E-C4B72B7B0975}"/>
    <cellStyle name="Comma 3 12 2" xfId="25617" xr:uid="{D230E88F-3BBB-455F-BA67-9E105A8BA592}"/>
    <cellStyle name="Comma 3 12 3" xfId="11279" xr:uid="{7888E28C-C9A2-4FE5-8514-0A654C11E34F}"/>
    <cellStyle name="Comma 3 120" xfId="25608" xr:uid="{82BB90D0-2D2A-4047-BB80-9B9728B653EA}"/>
    <cellStyle name="Comma 3 121" xfId="25610" xr:uid="{66034B7B-18ED-4CC5-82B8-2942BEE7AC07}"/>
    <cellStyle name="Comma 3 122" xfId="25612" xr:uid="{76979D5E-2B9F-436F-A983-F90E0BF0E447}"/>
    <cellStyle name="Comma 3 123" xfId="25614" xr:uid="{E8D84630-EB97-495A-9445-FDD74ECDCC0E}"/>
    <cellStyle name="Comma 3 124" xfId="25616" xr:uid="{62A2EBFC-5AA1-4ABA-901A-CFB8780A231B}"/>
    <cellStyle name="Comma 3 125" xfId="25621" xr:uid="{3ABCA00D-FD70-4582-9B66-954BDDA2C213}"/>
    <cellStyle name="Comma 3 126" xfId="25624" xr:uid="{24E6DCEA-3FE0-41B0-949A-E9D086716310}"/>
    <cellStyle name="Comma 3 127" xfId="25626" xr:uid="{F5F2B79A-6A8C-45F5-BED5-1FA4FACF6C26}"/>
    <cellStyle name="Comma 3 128" xfId="25628" xr:uid="{2799436F-5EBC-4E28-8081-4748F9679D3D}"/>
    <cellStyle name="Comma 3 129" xfId="20182" xr:uid="{FF3F6968-92C7-4BDF-B75A-9BB8DF4AD691}"/>
    <cellStyle name="Comma 3 13" xfId="25632" xr:uid="{9FDD7D33-4998-4D17-8BF9-47C179BF34DA}"/>
    <cellStyle name="Comma 3 13 2" xfId="25634" xr:uid="{119C5C2B-88D3-4E07-8471-F5532B8B37E8}"/>
    <cellStyle name="Comma 3 13 3" xfId="25636" xr:uid="{8ACBC3B5-FC35-4626-9D0B-CD9DE3812581}"/>
    <cellStyle name="Comma 3 130" xfId="25622" xr:uid="{7503B212-800F-4125-8F61-BA0164A63EF2}"/>
    <cellStyle name="Comma 3 131" xfId="25625" xr:uid="{54BD3C68-47FC-4541-9812-F36B933463B0}"/>
    <cellStyle name="Comma 3 132" xfId="25627" xr:uid="{2249B3A7-20D0-4502-BD60-07C613C7FB4B}"/>
    <cellStyle name="Comma 3 133" xfId="25629" xr:uid="{137B7291-A2C6-4724-AA56-31E530FB80CC}"/>
    <cellStyle name="Comma 3 134" xfId="20183" xr:uid="{EA2E48BC-50DE-4536-986A-7936C8A3E72D}"/>
    <cellStyle name="Comma 3 135" xfId="20188" xr:uid="{A25B20E3-40D8-4E19-993D-B40E9994A0D3}"/>
    <cellStyle name="Comma 3 136" xfId="25638" xr:uid="{D1BCB727-D632-484F-A86B-3BD79763D340}"/>
    <cellStyle name="Comma 3 137" xfId="24077" xr:uid="{CDB78E93-13D1-4439-8350-47FDCB1241BB}"/>
    <cellStyle name="Comma 3 138" xfId="24108" xr:uid="{C7075F8C-BEF0-4E73-B417-5509D5582EBE}"/>
    <cellStyle name="Comma 3 139" xfId="24112" xr:uid="{B66DACCF-DC22-4CBE-B120-BE1E2E606110}"/>
    <cellStyle name="Comma 3 14" xfId="8393" xr:uid="{197D7DD4-7DD2-4A77-8483-37BB3DA5B37F}"/>
    <cellStyle name="Comma 3 14 2" xfId="25641" xr:uid="{06CC70B8-0315-4536-BB77-EA13215CF958}"/>
    <cellStyle name="Comma 3 14 3" xfId="10846" xr:uid="{D189CF71-2428-4141-AC99-F1FC58EEA3F3}"/>
    <cellStyle name="Comma 3 140" xfId="20189" xr:uid="{3E9C6773-8666-4BAF-9592-13F4F5CAA31A}"/>
    <cellStyle name="Comma 3 141" xfId="25639" xr:uid="{242329CE-D6AF-4614-BF3E-3F41778DA81F}"/>
    <cellStyle name="Comma 3 142" xfId="24078" xr:uid="{D7977564-6726-4A31-B31C-9524FC25EFFD}"/>
    <cellStyle name="Comma 3 143" xfId="24109" xr:uid="{63EE0A3B-E639-4A3D-93AB-E4B401AAA885}"/>
    <cellStyle name="Comma 3 144" xfId="24113" xr:uid="{CC596127-0DDD-422B-BB4B-C30461C0F4A1}"/>
    <cellStyle name="Comma 3 145" xfId="24115" xr:uid="{BDE0B9B2-AED6-4699-B745-FFFFE25D197D}"/>
    <cellStyle name="Comma 3 146" xfId="24119" xr:uid="{E361237F-E387-4088-A313-279AD4D38CD2}"/>
    <cellStyle name="Comma 3 147" xfId="24122" xr:uid="{0456AC3C-BD32-4F39-A876-C679BF34CF7C}"/>
    <cellStyle name="Comma 3 148" xfId="24125" xr:uid="{8ED05E32-C050-42B5-A49C-38AE5B5766F6}"/>
    <cellStyle name="Comma 3 149" xfId="25642" xr:uid="{8D2111E7-AF28-48C8-9549-9FC430A2AE0A}"/>
    <cellStyle name="Comma 3 15" xfId="25646" xr:uid="{6601D06A-9E30-42FC-8045-6E680D426845}"/>
    <cellStyle name="Comma 3 15 2" xfId="25649" xr:uid="{9072573D-726A-4026-9C38-B224155C82D4}"/>
    <cellStyle name="Comma 3 15 3" xfId="25652" xr:uid="{8569B42D-2568-4723-A5DE-C42C04CC353C}"/>
    <cellStyle name="Comma 3 150" xfId="24116" xr:uid="{F7338B61-7D20-43A2-A3DD-CBBA62E57E83}"/>
    <cellStyle name="Comma 3 151" xfId="24120" xr:uid="{99A3EC2A-F537-41BE-9FF0-192556CA63E8}"/>
    <cellStyle name="Comma 3 152" xfId="24123" xr:uid="{A377F1CD-360C-46D1-B314-7D7C8F955573}"/>
    <cellStyle name="Comma 3 153" xfId="24126" xr:uid="{4CD2C9F6-0761-4FEB-B536-EE2018431DEC}"/>
    <cellStyle name="Comma 3 154" xfId="25643" xr:uid="{AE582E54-03C2-419E-984E-DC3A2E16B318}"/>
    <cellStyle name="Comma 3 155" xfId="25654" xr:uid="{E7F975A5-005A-41E6-879E-FB0997BA17E7}"/>
    <cellStyle name="Comma 3 156" xfId="25656" xr:uid="{5DD73896-217C-41FA-8DAD-80FF7356F793}"/>
    <cellStyle name="Comma 3 157" xfId="25658" xr:uid="{C61B4389-028F-4051-A50C-CFFE5C24E097}"/>
    <cellStyle name="Comma 3 158" xfId="25660" xr:uid="{8DF344D4-299A-41A9-900A-C0FA936DB421}"/>
    <cellStyle name="Comma 3 159" xfId="12732" xr:uid="{5CAEF4B1-CEE0-47FF-973F-88F6FB8A1B01}"/>
    <cellStyle name="Comma 3 16" xfId="25665" xr:uid="{77EDC572-E3BE-4B04-B25C-B8E4C0F477C0}"/>
    <cellStyle name="Comma 3 16 2" xfId="25671" xr:uid="{C5BAAC99-EE0B-4E30-A916-8B9F09E62C9E}"/>
    <cellStyle name="Comma 3 16 3" xfId="25676" xr:uid="{BB6B97DB-40D2-4B13-95FA-89F2B6CFEFEF}"/>
    <cellStyle name="Comma 3 160" xfId="25655" xr:uid="{0A2FC85E-680B-4EDD-A60F-3A79505EF8DF}"/>
    <cellStyle name="Comma 3 161" xfId="25657" xr:uid="{2589BA8E-BEE8-4C8F-90C3-F8984C22F467}"/>
    <cellStyle name="Comma 3 162" xfId="25659" xr:uid="{9FB02175-B8B1-4BE4-9FFE-25D19A5330EF}"/>
    <cellStyle name="Comma 3 163" xfId="25661" xr:uid="{745637E3-7194-4150-A363-802782AB73C6}"/>
    <cellStyle name="Comma 3 164" xfId="12733" xr:uid="{B4CD288D-A9B0-4F28-9520-CCB8E3811FB4}"/>
    <cellStyle name="Comma 3 165" xfId="12756" xr:uid="{DFF86205-4758-4778-8AB9-7FF8743698CA}"/>
    <cellStyle name="Comma 3 166" xfId="12771" xr:uid="{4D27CEB3-8142-461B-A5F1-8D5EED02FD3D}"/>
    <cellStyle name="Comma 3 167" xfId="12777" xr:uid="{434E2D0A-1450-49EC-872A-ED70B0452AD6}"/>
    <cellStyle name="Comma 3 168" xfId="1072" xr:uid="{BDB081FA-7EBD-443A-8FDC-877EB1DFC9E6}"/>
    <cellStyle name="Comma 3 169" xfId="12781" xr:uid="{979D4CE0-88EF-4387-A159-0ECED84009DA}"/>
    <cellStyle name="Comma 3 17" xfId="25680" xr:uid="{084DEB69-ACD8-42F1-A65A-C6DD4957589E}"/>
    <cellStyle name="Comma 3 17 2" xfId="25686" xr:uid="{0AC7082B-CBA8-4F04-AE96-2AD998A1A7BA}"/>
    <cellStyle name="Comma 3 17 3" xfId="25690" xr:uid="{F7DA0313-EF87-492B-B691-1BD62EC2D77E}"/>
    <cellStyle name="Comma 3 170" xfId="12757" xr:uid="{ED1282C8-0355-44A5-8C63-7D2E1501DBBC}"/>
    <cellStyle name="Comma 3 171" xfId="12772" xr:uid="{135D12F8-C068-47AC-AAE4-C8CA544D28AE}"/>
    <cellStyle name="Comma 3 172" xfId="12778" xr:uid="{26572297-849B-48F7-9307-C0ADB1167BD5}"/>
    <cellStyle name="Comma 3 173" xfId="1073" xr:uid="{46B7E3D8-4E5F-4C1F-B321-8D420F2DEDA1}"/>
    <cellStyle name="Comma 3 174" xfId="12782" xr:uid="{26DD6DC2-ED61-4404-B6C1-56EC0E47296B}"/>
    <cellStyle name="Comma 3 175" xfId="25692" xr:uid="{B715E413-CF7E-44AE-8C4F-351A8E6346C5}"/>
    <cellStyle name="Comma 3 176" xfId="25694" xr:uid="{35C4F8D3-9037-451B-AFFD-5AB6D30989AD}"/>
    <cellStyle name="Comma 3 177" xfId="25696" xr:uid="{B859C1B6-B7FB-4C2C-9030-F2FE06AC76ED}"/>
    <cellStyle name="Comma 3 178" xfId="25698" xr:uid="{9FB1F2D3-4741-433B-92BA-748A02505488}"/>
    <cellStyle name="Comma 3 179" xfId="20195" xr:uid="{B7D20CA1-3E3A-4B97-9F5C-E219CA569F76}"/>
    <cellStyle name="Comma 3 18" xfId="25703" xr:uid="{67F5AEE4-F0A8-48FE-96C5-CB9D3F5BE9B4}"/>
    <cellStyle name="Comma 3 18 2" xfId="13394" xr:uid="{97D6A14D-8ECF-4EF4-BA10-2CE2E406FAAB}"/>
    <cellStyle name="Comma 3 18 3" xfId="25705" xr:uid="{676D9956-9E79-498E-B94D-3529D82B1828}"/>
    <cellStyle name="Comma 3 180" xfId="25693" xr:uid="{11961105-5774-461B-990D-E516662CC6FC}"/>
    <cellStyle name="Comma 3 181" xfId="25695" xr:uid="{A6BDD1CC-31A7-418D-AC37-7525D84631A7}"/>
    <cellStyle name="Comma 3 182" xfId="25697" xr:uid="{C68E06FE-4000-4FED-B741-F4FAC76B6DEE}"/>
    <cellStyle name="Comma 3 183" xfId="25699" xr:uid="{2ABBE03F-0165-4BEB-8B38-265835BB4613}"/>
    <cellStyle name="Comma 3 184" xfId="20196" xr:uid="{1991357C-C5EE-4E69-B285-05DF47E832A4}"/>
    <cellStyle name="Comma 3 185" xfId="25707" xr:uid="{8C5DD1C2-79C3-414F-BE42-2D9ED53FB8FE}"/>
    <cellStyle name="Comma 3 186" xfId="25709" xr:uid="{E05B82A1-A302-4E90-8BFF-0819900EC1CC}"/>
    <cellStyle name="Comma 3 187" xfId="24136" xr:uid="{691FB0A0-EF57-4BD1-9BA7-CA5F10D75462}"/>
    <cellStyle name="Comma 3 188" xfId="24198" xr:uid="{807765D7-A001-43B7-A4BA-9552062F5D9F}"/>
    <cellStyle name="Comma 3 189" xfId="24202" xr:uid="{E2374764-DC01-4642-9DBC-C968C1AB3951}"/>
    <cellStyle name="Comma 3 19" xfId="25715" xr:uid="{5A070A5F-9281-4008-AE62-C951DA7F0C43}"/>
    <cellStyle name="Comma 3 19 2" xfId="25718" xr:uid="{83A8157A-310F-4E46-84AE-0ABD65ECDBC4}"/>
    <cellStyle name="Comma 3 19 3" xfId="25721" xr:uid="{C7BFD752-B2A5-4772-A0AF-A76204E47909}"/>
    <cellStyle name="Comma 3 190" xfId="25708" xr:uid="{69B918B2-6DBD-42C7-BB73-B23B36EA2BAE}"/>
    <cellStyle name="Comma 3 191" xfId="25710" xr:uid="{C2736E7E-C991-4BEB-9574-113563CC5576}"/>
    <cellStyle name="Comma 3 192" xfId="24137" xr:uid="{F6EEF42E-1AFF-468B-88C5-D4CD999905D0}"/>
    <cellStyle name="Comma 3 193" xfId="24199" xr:uid="{1719AFA7-5B12-4CE5-B678-F1553902A9EA}"/>
    <cellStyle name="Comma 3 194" xfId="24203" xr:uid="{717B8760-2DC5-4A0D-8824-F6A72079EB15}"/>
    <cellStyle name="Comma 3 195" xfId="24205" xr:uid="{5A763C7C-3DF8-4A64-B13A-B619E280EE5D}"/>
    <cellStyle name="Comma 3 195 2" xfId="7049" xr:uid="{C3F26A83-8AA6-4CB4-8ABD-00A598CD88A5}"/>
    <cellStyle name="Comma 3 196" xfId="24207" xr:uid="{5D993867-0EE8-4C9C-8498-F1B995232372}"/>
    <cellStyle name="Comma 3 197" xfId="24209" xr:uid="{BB7E0A24-DBFF-45CC-AF5F-9F0A89CC901D}"/>
    <cellStyle name="Comma 3 198" xfId="25723" xr:uid="{91CCD943-368F-4AFB-900C-80166B776558}"/>
    <cellStyle name="Comma 3 199" xfId="25725" xr:uid="{527ED911-366B-46CA-8100-E5040734F814}"/>
    <cellStyle name="Comma 3 2" xfId="25726" xr:uid="{FAC59F4F-89F6-4153-A902-8B1A8D00B290}"/>
    <cellStyle name="Comma 3 2 2" xfId="25727" xr:uid="{90AAAC1D-CC54-43CB-98FE-A669CC0630A6}"/>
    <cellStyle name="Comma 3 2 2 2" xfId="14027" xr:uid="{A08D55BA-8198-413E-A7E3-607F474CD974}"/>
    <cellStyle name="Comma 3 2 3" xfId="352" xr:uid="{8AA163CF-3558-433F-B90B-82C38036FD58}"/>
    <cellStyle name="Comma 3 2 4" xfId="363" xr:uid="{E139F82B-BF62-4131-85A5-1D2C827AE31F}"/>
    <cellStyle name="Comma 3 2 5" xfId="25730" xr:uid="{331E1AF3-4157-4806-9649-8B9F837FEA8B}"/>
    <cellStyle name="Comma 3 2 6" xfId="25731" xr:uid="{9DBEB690-A082-4012-8732-C4F92AFEBAD0}"/>
    <cellStyle name="Comma 3 2 7" xfId="25732" xr:uid="{CCD5D40B-E49F-4552-A7A4-FFDCE5F9F507}"/>
    <cellStyle name="Comma 3 20" xfId="25647" xr:uid="{8865FA20-1B58-4F20-AA49-0E07DE8FB24F}"/>
    <cellStyle name="Comma 3 20 2" xfId="25650" xr:uid="{D9E6D8E8-1558-40A8-A697-1493D729B430}"/>
    <cellStyle name="Comma 3 20 3" xfId="25653" xr:uid="{034EEBD1-220E-4AAB-8C0B-03DD7325EB1D}"/>
    <cellStyle name="Comma 3 200" xfId="24117" xr:uid="{B818D77F-30A0-4542-A759-2AE08D90B197}"/>
    <cellStyle name="Comma 3 201" xfId="15839" xr:uid="{C08FDF4D-2168-450E-A522-013EA0C6A516}"/>
    <cellStyle name="Comma 3 202" xfId="14" xr:uid="{C24C09A4-E3E4-4056-93FB-D2E9939F18F2}"/>
    <cellStyle name="Comma 3 21" xfId="25666" xr:uid="{531D752D-9DE9-46F6-A002-C8B215B557B4}"/>
    <cellStyle name="Comma 3 21 2" xfId="25672" xr:uid="{98F3540F-08E9-40D0-B32A-5FE02C50FC59}"/>
    <cellStyle name="Comma 3 21 3" xfId="25677" xr:uid="{1F53C177-C6F1-42DA-9EAD-A58F75A7C9A7}"/>
    <cellStyle name="Comma 3 22" xfId="25681" xr:uid="{C9EA4701-E66B-49C5-BAD6-834475051372}"/>
    <cellStyle name="Comma 3 22 2" xfId="25687" xr:uid="{6AD893A3-9CD3-4DA8-BDBD-CA44AB5F46FC}"/>
    <cellStyle name="Comma 3 22 3" xfId="25691" xr:uid="{7A2A2E90-F67E-4F52-A3BB-84AD1372FAA0}"/>
    <cellStyle name="Comma 3 23" xfId="25704" xr:uid="{5AA3436C-D5CF-4D6A-A188-D590D5549A4B}"/>
    <cellStyle name="Comma 3 23 2" xfId="13395" xr:uid="{ACAE2D6B-7507-4C48-A3AA-1885D38386E5}"/>
    <cellStyle name="Comma 3 23 3" xfId="25706" xr:uid="{4352A37C-7AFB-4ABB-AA3F-4FC9D72CAC76}"/>
    <cellStyle name="Comma 3 24" xfId="25716" xr:uid="{E8D44F43-59A5-4F46-BA68-160605924670}"/>
    <cellStyle name="Comma 3 24 2" xfId="25719" xr:uid="{590670E9-665F-4200-B00B-3016E6EB8BC2}"/>
    <cellStyle name="Comma 3 24 3" xfId="25722" xr:uid="{7326F2F2-2BDD-432F-87F9-162B9D999888}"/>
    <cellStyle name="Comma 3 25" xfId="25735" xr:uid="{76CF6AEE-8F5F-44EC-BA8A-9D6518B55242}"/>
    <cellStyle name="Comma 3 25 2" xfId="25738" xr:uid="{50C28106-E24E-4280-B725-732742F60A8F}"/>
    <cellStyle name="Comma 3 25 3" xfId="25741" xr:uid="{BE322CF7-C3AC-436F-A59E-9409D8DD96A8}"/>
    <cellStyle name="Comma 3 26" xfId="5298" xr:uid="{EB3BD25C-39AF-4956-BC97-A6B3BC825513}"/>
    <cellStyle name="Comma 3 26 2" xfId="25745" xr:uid="{C85CC0F2-49EE-4203-A308-B8C05C90E3E9}"/>
    <cellStyle name="Comma 3 26 3" xfId="25747" xr:uid="{690E54E7-131E-4A3D-BAF4-867D5A9DBD06}"/>
    <cellStyle name="Comma 3 27" xfId="25751" xr:uid="{76D537B6-67DF-4CE2-8D16-C023EE56C079}"/>
    <cellStyle name="Comma 3 27 2" xfId="25754" xr:uid="{3EECB8F0-D96A-4C6D-B51D-0C62A0118638}"/>
    <cellStyle name="Comma 3 27 3" xfId="25756" xr:uid="{47F9DBE9-8935-4F89-B7CD-9497EEFC6725}"/>
    <cellStyle name="Comma 3 28" xfId="25759" xr:uid="{20D9CE0D-F1A2-44DC-8A63-80F547D95B81}"/>
    <cellStyle name="Comma 3 28 2" xfId="25763" xr:uid="{40E784B9-F528-45C2-83F8-B1DF0E2B5C02}"/>
    <cellStyle name="Comma 3 28 3" xfId="25768" xr:uid="{590DE351-EDF2-4B56-9F8A-7C849741E311}"/>
    <cellStyle name="Comma 3 29" xfId="25771" xr:uid="{CFC13C3C-3573-4F85-81FC-843FEA600A2D}"/>
    <cellStyle name="Comma 3 29 2" xfId="25778" xr:uid="{C4339BCD-F2E8-4D15-94DE-EF964B98B38D}"/>
    <cellStyle name="Comma 3 29 3" xfId="25785" xr:uid="{A13B599D-6F18-4FC5-84E4-139ACD9123CC}"/>
    <cellStyle name="Comma 3 3" xfId="25787" xr:uid="{5A2A5FD8-A5A8-426B-9DCF-E877F835C6AF}"/>
    <cellStyle name="Comma 3 3 2" xfId="25788" xr:uid="{10CE1992-7D9A-4D59-B155-1CC2CD505AE2}"/>
    <cellStyle name="Comma 3 3 2 2" xfId="25789" xr:uid="{71939035-9EEC-486B-90BE-4C6D6303802F}"/>
    <cellStyle name="Comma 3 3 2 3" xfId="25791" xr:uid="{810325CB-7899-4C74-A5CF-48EDEAF69DD0}"/>
    <cellStyle name="Comma 3 3 3" xfId="5431" xr:uid="{1636F733-6ADF-4391-9AE7-2F41A0B276CD}"/>
    <cellStyle name="Comma 3 3 4" xfId="25792" xr:uid="{7A59707A-DFFF-4583-BC92-F151020E99A5}"/>
    <cellStyle name="Comma 3 3 5" xfId="25793" xr:uid="{84F06137-41C0-4B98-BD90-1C42AE73014A}"/>
    <cellStyle name="Comma 3 30" xfId="25736" xr:uid="{22D28451-7505-487E-805D-AC96B7D1095C}"/>
    <cellStyle name="Comma 3 30 2" xfId="25739" xr:uid="{35007443-E023-4D3B-9FB1-F941BAB851A4}"/>
    <cellStyle name="Comma 3 30 3" xfId="25742" xr:uid="{FF8CA362-8042-4E67-BA59-D27CB2682E7D}"/>
    <cellStyle name="Comma 3 31" xfId="5299" xr:uid="{871BC044-21D7-43A1-8617-B66F03EE1DBD}"/>
    <cellStyle name="Comma 3 31 2" xfId="25746" xr:uid="{557D88CE-C24D-4006-9DF4-23694669FB39}"/>
    <cellStyle name="Comma 3 31 3" xfId="25748" xr:uid="{1B7A4415-8FDE-464C-B10A-7FA0B53C0064}"/>
    <cellStyle name="Comma 3 32" xfId="25752" xr:uid="{FA23854C-DB22-49E6-92C7-6339D438AA93}"/>
    <cellStyle name="Comma 3 32 2" xfId="25755" xr:uid="{2D5C3B5C-CC0C-4F9F-9350-355A114F4711}"/>
    <cellStyle name="Comma 3 32 3" xfId="25757" xr:uid="{51AAE826-E077-47CD-9212-20F33A4F53EE}"/>
    <cellStyle name="Comma 3 33" xfId="25760" xr:uid="{ECFCA866-D46A-4BD8-8D5A-6224BD5AEDD1}"/>
    <cellStyle name="Comma 3 33 2" xfId="25764" xr:uid="{2B39864F-3860-4E44-A420-C597D44A970A}"/>
    <cellStyle name="Comma 3 33 3" xfId="25769" xr:uid="{43BBD2B3-7AB4-4EF9-878C-3A6CDE975BA4}"/>
    <cellStyle name="Comma 3 34" xfId="25772" xr:uid="{04474743-9F5B-499B-886D-5C0C81C270D0}"/>
    <cellStyle name="Comma 3 34 2" xfId="25779" xr:uid="{F3B85946-2478-4BBD-ADE5-856E3C9E1884}"/>
    <cellStyle name="Comma 3 34 3" xfId="25786" xr:uid="{A4897961-3900-4BE4-8C21-4884EB780354}"/>
    <cellStyle name="Comma 3 35" xfId="25795" xr:uid="{127DBE8D-1348-47FC-B5C3-6275D1EE95ED}"/>
    <cellStyle name="Comma 3 35 2" xfId="14823" xr:uid="{CD57187D-BB8F-4180-AE92-F19DC706A802}"/>
    <cellStyle name="Comma 3 35 3" xfId="14829" xr:uid="{0FDA2F2F-1D84-4160-AA22-66A989B40FD3}"/>
    <cellStyle name="Comma 3 36" xfId="25798" xr:uid="{99BC855D-CAA7-4158-96E1-C6E7E8931ADB}"/>
    <cellStyle name="Comma 3 36 2" xfId="14841" xr:uid="{8E1DB92E-90BE-46D4-93C5-6203BAB0C446}"/>
    <cellStyle name="Comma 3 36 3" xfId="25800" xr:uid="{BD174900-B3EE-4FE8-8CF8-119862280309}"/>
    <cellStyle name="Comma 3 37" xfId="25804" xr:uid="{DA74D9A3-8718-4E39-9DA2-E523EB6D0C00}"/>
    <cellStyle name="Comma 3 37 2" xfId="25807" xr:uid="{F213584A-5948-4C6A-A3FE-5E60AB81267A}"/>
    <cellStyle name="Comma 3 37 3" xfId="25809" xr:uid="{6CD7C864-B9A8-485D-B2E1-444D418E679C}"/>
    <cellStyle name="Comma 3 38" xfId="25811" xr:uid="{A6A89E7C-BC7A-4A99-A3C2-BA438BC2FDF5}"/>
    <cellStyle name="Comma 3 38 2" xfId="25814" xr:uid="{5E11E84D-D9B6-4B37-A9D5-830EFCB2ADD6}"/>
    <cellStyle name="Comma 3 38 3" xfId="25816" xr:uid="{7B904633-F669-462F-A7EB-966F1EB5B86F}"/>
    <cellStyle name="Comma 3 39" xfId="25819" xr:uid="{C3E3F0F1-E3F6-453B-ACB2-7C6F3F194D56}"/>
    <cellStyle name="Comma 3 39 2" xfId="25821" xr:uid="{CDD283D7-9E7B-4D04-807C-173F0501D19E}"/>
    <cellStyle name="Comma 3 39 3" xfId="21825" xr:uid="{DC190813-032F-4220-90B6-4ECF4559F293}"/>
    <cellStyle name="Comma 3 4" xfId="25823" xr:uid="{0CA85C45-F71B-4EEE-8A8D-6E10B649C368}"/>
    <cellStyle name="Comma 3 4 2" xfId="25825" xr:uid="{708B64C0-0CD7-42D0-B25E-CC5B83814C71}"/>
    <cellStyle name="Comma 3 4 2 2" xfId="25826" xr:uid="{B7ED312D-D11F-4123-82D5-8AA62BA92C3E}"/>
    <cellStyle name="Comma 3 4 2 2 2" xfId="25827" xr:uid="{7F880267-3D24-4DCE-9263-AF4983516F69}"/>
    <cellStyle name="Comma 3 4 2 2 2 2" xfId="25828" xr:uid="{8BC1CCC3-8575-475A-B12B-701885F94D2C}"/>
    <cellStyle name="Comma 3 4 2 2 2 3" xfId="25829" xr:uid="{9F02DC36-42DA-40EE-A319-1A90896B1403}"/>
    <cellStyle name="Comma 3 4 2 2 3" xfId="25830" xr:uid="{EC1BED13-F5D8-4F54-8A5A-A4CB4664EAC8}"/>
    <cellStyle name="Comma 3 4 2 3" xfId="25831" xr:uid="{032AC10A-1187-4005-8130-A5B1597224DB}"/>
    <cellStyle name="Comma 3 4 2 4" xfId="25834" xr:uid="{B576DC7F-F4D5-48CF-B2C9-A386DC474816}"/>
    <cellStyle name="Comma 3 4 3" xfId="25835" xr:uid="{557D8ACC-9890-482E-8E15-59487A9732AD}"/>
    <cellStyle name="Comma 3 4 3 2" xfId="25836" xr:uid="{74251D93-622A-4A2D-86D8-B73527B42E08}"/>
    <cellStyle name="Comma 3 4 3 3" xfId="25837" xr:uid="{F03CC51A-6878-404A-AE8E-906017140A88}"/>
    <cellStyle name="Comma 3 4 4" xfId="25838" xr:uid="{08464011-61B7-46DF-AE6F-DDA4B5DAEF37}"/>
    <cellStyle name="Comma 3 4 5" xfId="25578" xr:uid="{23700CBD-ADE7-463C-9346-B2D097CBD64C}"/>
    <cellStyle name="Comma 3 40" xfId="25796" xr:uid="{4D2ABF66-6DB7-47A2-B487-663169E7FDE0}"/>
    <cellStyle name="Comma 3 40 2" xfId="14824" xr:uid="{8F58DDC7-6E75-40D1-8BCD-54179BD2095B}"/>
    <cellStyle name="Comma 3 40 3" xfId="14830" xr:uid="{EF981F79-BC25-412E-91A4-5EE236088B5C}"/>
    <cellStyle name="Comma 3 41" xfId="25799" xr:uid="{C980A74B-31B6-4EE8-BE93-FA34C94E2EC8}"/>
    <cellStyle name="Comma 3 41 2" xfId="14842" xr:uid="{682E76E5-EE3A-4DFF-869D-87277E453855}"/>
    <cellStyle name="Comma 3 41 3" xfId="25801" xr:uid="{80536389-1388-4197-91FD-3E788A2955D7}"/>
    <cellStyle name="Comma 3 42" xfId="25805" xr:uid="{AA4DBF2A-3DE1-4047-8A77-F26FB5EEEBE1}"/>
    <cellStyle name="Comma 3 42 2" xfId="25808" xr:uid="{64476543-C2AD-4502-9690-9A6DFF464F03}"/>
    <cellStyle name="Comma 3 42 3" xfId="25810" xr:uid="{240059E6-6747-41B7-AAC9-B991F9472C2A}"/>
    <cellStyle name="Comma 3 43" xfId="25812" xr:uid="{8FBAF3A6-8EC7-49FC-82B1-77D94DD944F8}"/>
    <cellStyle name="Comma 3 43 2" xfId="25815" xr:uid="{9D553B1B-B3D9-46BA-AB7A-5FE1529EC726}"/>
    <cellStyle name="Comma 3 43 3" xfId="25817" xr:uid="{2093CC0A-4C17-4DC7-A4C1-9CC66ADA4C5D}"/>
    <cellStyle name="Comma 3 44" xfId="25820" xr:uid="{19965C6C-5508-416B-ABAD-6B419D82F589}"/>
    <cellStyle name="Comma 3 44 2" xfId="25822" xr:uid="{E00760F0-D058-4D06-811A-B8A041099B54}"/>
    <cellStyle name="Comma 3 44 3" xfId="21826" xr:uid="{7329F81C-A349-4BE5-A1EA-D17B525EBA34}"/>
    <cellStyle name="Comma 3 45" xfId="25839" xr:uid="{0DAB2E16-B294-481A-B009-82729820C114}"/>
    <cellStyle name="Comma 3 45 2" xfId="25841" xr:uid="{2D127A57-BBDB-4B77-AA8B-6FD965978C03}"/>
    <cellStyle name="Comma 3 45 3" xfId="21831" xr:uid="{2AC8F859-09BE-48C7-B2F2-DAEC06A94968}"/>
    <cellStyle name="Comma 3 46" xfId="25843" xr:uid="{E9AA0A4D-75D1-4E16-8C20-7BBDDA7C2F00}"/>
    <cellStyle name="Comma 3 46 2" xfId="25845" xr:uid="{94EA510C-B08D-466E-8C0C-9FDF232C9807}"/>
    <cellStyle name="Comma 3 46 3" xfId="25847" xr:uid="{B6DA722A-078F-4023-95B6-124678B96EAB}"/>
    <cellStyle name="Comma 3 47" xfId="25849" xr:uid="{C81BA94C-B05E-44DF-8BB4-A2F5B024EB64}"/>
    <cellStyle name="Comma 3 47 2" xfId="25851" xr:uid="{69F44B1E-D4E7-4B5A-82B8-5C4F96B31054}"/>
    <cellStyle name="Comma 3 47 3" xfId="25853" xr:uid="{AD1C9633-6AB7-4CB0-86E7-3E71755D21F7}"/>
    <cellStyle name="Comma 3 48" xfId="25855" xr:uid="{BE57E3CB-BAA4-4096-8B15-069FDA7FC61D}"/>
    <cellStyle name="Comma 3 48 2" xfId="25857" xr:uid="{820EEDEC-61B7-42F9-9FC1-DA418853C7E6}"/>
    <cellStyle name="Comma 3 48 3" xfId="25859" xr:uid="{2EA0DB19-7B5D-45D6-9275-19BD0BCDF237}"/>
    <cellStyle name="Comma 3 49" xfId="6878" xr:uid="{73DEACCE-7F54-4821-82AB-2D865F997E5D}"/>
    <cellStyle name="Comma 3 49 2" xfId="25861" xr:uid="{8971B742-735B-429C-9434-74A18EC9DA66}"/>
    <cellStyle name="Comma 3 49 3" xfId="25863" xr:uid="{3E4D1FF3-4ADD-4404-9B77-ED7DBA54E104}"/>
    <cellStyle name="Comma 3 5" xfId="24075" xr:uid="{A672D085-9D90-42B4-B487-CE5EA54710F3}"/>
    <cellStyle name="Comma 3 5 2" xfId="24079" xr:uid="{85E70D99-AF15-4709-8D4E-B31D95405804}"/>
    <cellStyle name="Comma 3 5 3" xfId="24110" xr:uid="{382E00EB-87CB-4FD4-B228-A5AEEC5A4010}"/>
    <cellStyle name="Comma 3 50" xfId="25840" xr:uid="{92543606-C25A-4D36-9C5D-31DF0080CA95}"/>
    <cellStyle name="Comma 3 50 2" xfId="25842" xr:uid="{C42FA7B3-A99C-4707-AAEA-FAEF5BED33DB}"/>
    <cellStyle name="Comma 3 50 3" xfId="21832" xr:uid="{3DF88668-0130-485C-B20B-CA644DDAE945}"/>
    <cellStyle name="Comma 3 51" xfId="25844" xr:uid="{1C59AB84-94B7-438A-AE82-348BACE0118D}"/>
    <cellStyle name="Comma 3 51 2" xfId="25846" xr:uid="{A371C6B3-8A17-4151-BEB6-D4EB2BF852BC}"/>
    <cellStyle name="Comma 3 51 3" xfId="25848" xr:uid="{4D1E2F95-B368-420D-A96A-98818B402C2D}"/>
    <cellStyle name="Comma 3 52" xfId="25850" xr:uid="{53A70239-6641-4688-BC6D-96F484058AE9}"/>
    <cellStyle name="Comma 3 52 2" xfId="25852" xr:uid="{D4FA459F-F083-446D-842B-0886D0631492}"/>
    <cellStyle name="Comma 3 52 3" xfId="25854" xr:uid="{816271B2-AE3D-4FF7-A58A-49E6803A0663}"/>
    <cellStyle name="Comma 3 53" xfId="25856" xr:uid="{239CAFE7-38B0-4A8E-BA3C-EC36A59982CE}"/>
    <cellStyle name="Comma 3 53 2" xfId="25858" xr:uid="{617FED1D-8EF8-4A12-ABF4-557AB11EE35B}"/>
    <cellStyle name="Comma 3 53 3" xfId="25860" xr:uid="{5B6FD185-7281-4069-97EA-3F03F035AD8E}"/>
    <cellStyle name="Comma 3 54" xfId="6879" xr:uid="{FABDE20E-EABB-464A-90D4-64DA7BED38FB}"/>
    <cellStyle name="Comma 3 54 2" xfId="25862" xr:uid="{6C32E603-24B7-4037-9884-8647E6BD4109}"/>
    <cellStyle name="Comma 3 54 3" xfId="25864" xr:uid="{D832C091-33F3-4DFD-AC11-4F722E20A55F}"/>
    <cellStyle name="Comma 3 55" xfId="25865" xr:uid="{42A9F2F9-8CD5-48EF-A319-D9BF2EE06A26}"/>
    <cellStyle name="Comma 3 55 2" xfId="25871" xr:uid="{7C039456-142D-450F-AC6D-F67DC6B8B31C}"/>
    <cellStyle name="Comma 3 55 3" xfId="11288" xr:uid="{555FB66C-BA2D-4945-8528-336852399D96}"/>
    <cellStyle name="Comma 3 56" xfId="15172" xr:uid="{39E3F896-4363-411D-85AC-BB187ACF099C}"/>
    <cellStyle name="Comma 3 56 2" xfId="16180" xr:uid="{49749841-4F6C-4C47-A48F-0200C1328DBD}"/>
    <cellStyle name="Comma 3 56 3" xfId="11294" xr:uid="{92F42A5F-15F8-4890-AB10-606150DCE648}"/>
    <cellStyle name="Comma 3 57" xfId="16186" xr:uid="{155F3C56-40AE-43AE-9820-1941351F827B}"/>
    <cellStyle name="Comma 3 57 2" xfId="16190" xr:uid="{B7552AF1-0650-429C-9E5F-166D3D855479}"/>
    <cellStyle name="Comma 3 57 3" xfId="25877" xr:uid="{672B361C-0E46-4F6C-921F-A561AE8D20DD}"/>
    <cellStyle name="Comma 3 58" xfId="16194" xr:uid="{2C2AE6BD-32FD-43BE-B76C-DBA5C2229BFE}"/>
    <cellStyle name="Comma 3 58 2" xfId="25880" xr:uid="{00D34276-8702-4100-9010-F43D65AEF9B3}"/>
    <cellStyle name="Comma 3 58 3" xfId="25883" xr:uid="{33383C3C-0C65-414E-BF08-2E4726291176}"/>
    <cellStyle name="Comma 3 59" xfId="25886" xr:uid="{B5BD44C6-1224-4072-A7EF-0DB72C5BB845}"/>
    <cellStyle name="Comma 3 59 2" xfId="25889" xr:uid="{B6EA85DD-389C-48E3-AE4D-48558817451D}"/>
    <cellStyle name="Comma 3 59 3" xfId="25892" xr:uid="{C0C26987-B901-4ACD-9F24-C45C9E7C281D}"/>
    <cellStyle name="Comma 3 6" xfId="24131" xr:uid="{FC3CA0AD-C26E-4D71-8869-B2142CC736D2}"/>
    <cellStyle name="Comma 3 6 2" xfId="24138" xr:uid="{1A3C7C02-46F2-46B5-B05D-9A69BB1A15CF}"/>
    <cellStyle name="Comma 3 6 3" xfId="24200" xr:uid="{7823F6AD-1EA0-47EE-B5F6-063D79E27840}"/>
    <cellStyle name="Comma 3 60" xfId="25866" xr:uid="{2CB1AC7A-23B5-4BBF-9774-E2EADA394098}"/>
    <cellStyle name="Comma 3 60 2" xfId="25872" xr:uid="{EADEE86D-040E-4969-A551-2FF2F2DC9C31}"/>
    <cellStyle name="Comma 3 60 3" xfId="11289" xr:uid="{28AF86A1-4119-49E7-BE84-DEC3415AC763}"/>
    <cellStyle name="Comma 3 61" xfId="15173" xr:uid="{8CD956BD-3BA9-4028-A4E7-8ED16D5DD1A9}"/>
    <cellStyle name="Comma 3 61 2" xfId="16181" xr:uid="{95A01ED6-E451-4627-99FE-F47AE85FA086}"/>
    <cellStyle name="Comma 3 61 3" xfId="11295" xr:uid="{59B0649E-8A02-47F5-BC34-ECA90B77E633}"/>
    <cellStyle name="Comma 3 62" xfId="16187" xr:uid="{9EBDB87B-E1DF-4E81-879D-71403F0206D2}"/>
    <cellStyle name="Comma 3 62 2" xfId="16191" xr:uid="{16F711F9-80CE-461A-AB7B-2027DA15312C}"/>
    <cellStyle name="Comma 3 62 3" xfId="25878" xr:uid="{22ED3ECA-F240-40E0-8929-251A9035C20F}"/>
    <cellStyle name="Comma 3 63" xfId="16195" xr:uid="{D197940E-3F0E-4D7D-B96F-14A9E52F4EEC}"/>
    <cellStyle name="Comma 3 63 2" xfId="25881" xr:uid="{DEEFA898-79CA-4ACC-9416-906C95122F8F}"/>
    <cellStyle name="Comma 3 63 3" xfId="25884" xr:uid="{4C4D7CE0-B583-4C46-A738-AF7C0DDB8963}"/>
    <cellStyle name="Comma 3 64" xfId="25887" xr:uid="{99EE3340-55D6-4706-BF40-560FB986041C}"/>
    <cellStyle name="Comma 3 64 2" xfId="25890" xr:uid="{3CDB6A23-475A-4261-B61B-DDE5253F7766}"/>
    <cellStyle name="Comma 3 64 3" xfId="25893" xr:uid="{9B122116-C74C-4E2A-B8EF-41A879B5E77F}"/>
    <cellStyle name="Comma 3 65" xfId="25895" xr:uid="{5290047E-BEEC-4FA7-B4FA-EA760D0CE64D}"/>
    <cellStyle name="Comma 3 65 2" xfId="25900" xr:uid="{15A2F8D5-8BC7-441B-908E-953E9D9EDED3}"/>
    <cellStyle name="Comma 3 65 3" xfId="25903" xr:uid="{EB85512F-1B0A-4FB8-99C6-89041CEC56D3}"/>
    <cellStyle name="Comma 3 66" xfId="25908" xr:uid="{F4733B57-84E1-4F73-9169-D3EC2C9D5471}"/>
    <cellStyle name="Comma 3 66 2" xfId="25914" xr:uid="{EFFFF118-7568-4AD4-B977-60901EED14B9}"/>
    <cellStyle name="Comma 3 66 3" xfId="25917" xr:uid="{DD703387-99BE-49AF-B449-9CC0CD9BF07D}"/>
    <cellStyle name="Comma 3 67" xfId="25921" xr:uid="{62287F81-08C5-4931-82BC-99E5D1B61C7E}"/>
    <cellStyle name="Comma 3 67 2" xfId="25924" xr:uid="{BEA691F9-49F1-4206-91B3-F0233873F551}"/>
    <cellStyle name="Comma 3 67 3" xfId="25926" xr:uid="{0901BC29-3352-442B-8EAA-C96B3AD61FBC}"/>
    <cellStyle name="Comma 3 68" xfId="25930" xr:uid="{63C82070-CB26-4386-97DD-6962D0B86E2E}"/>
    <cellStyle name="Comma 3 68 2" xfId="25932" xr:uid="{2110A9F5-0B56-4944-BE18-D5E8728EA087}"/>
    <cellStyle name="Comma 3 68 3" xfId="25934" xr:uid="{A1889690-975F-47BA-BF1C-C36974BAC455}"/>
    <cellStyle name="Comma 3 69" xfId="25940" xr:uid="{61D77D6C-BED2-429F-9FB2-DB32E321249B}"/>
    <cellStyle name="Comma 3 69 2" xfId="25944" xr:uid="{4DF40568-371C-40B8-984E-3905EDBAD98B}"/>
    <cellStyle name="Comma 3 69 3" xfId="25947" xr:uid="{0A744ABA-404E-4929-A9B0-C1A300619482}"/>
    <cellStyle name="Comma 3 7" xfId="3848" xr:uid="{B72F680A-9773-473C-9C79-B2E0E705E1F9}"/>
    <cellStyle name="Comma 3 7 2" xfId="5152" xr:uid="{36EFEB31-39E0-4878-A4F7-D6381761C1AD}"/>
    <cellStyle name="Comma 3 7 3" xfId="24217" xr:uid="{EF026CD8-13E3-4D91-9890-763058173504}"/>
    <cellStyle name="Comma 3 70" xfId="25896" xr:uid="{78A547C9-BED5-4226-962C-F629329801C3}"/>
    <cellStyle name="Comma 3 70 2" xfId="25901" xr:uid="{04E5C558-8914-4A52-8A68-C9E05AE1FD8B}"/>
    <cellStyle name="Comma 3 70 3" xfId="25904" xr:uid="{EF838BAE-D23F-4534-8DEA-A4A897C28896}"/>
    <cellStyle name="Comma 3 71" xfId="25909" xr:uid="{FFE43DA1-9226-4D02-8EF4-B31D1BAC099B}"/>
    <cellStyle name="Comma 3 71 2" xfId="25915" xr:uid="{A82DEFE3-3534-4FE6-AF23-E8B9E128345A}"/>
    <cellStyle name="Comma 3 71 3" xfId="25918" xr:uid="{FEC8CEF2-798F-4B0F-9B1C-DCEED71B6237}"/>
    <cellStyle name="Comma 3 72" xfId="25922" xr:uid="{A5003793-2D1C-4125-97D9-F301CEB69453}"/>
    <cellStyle name="Comma 3 72 2" xfId="25925" xr:uid="{8612017B-04FB-4D64-AC80-7BA86DD214C5}"/>
    <cellStyle name="Comma 3 72 3" xfId="25927" xr:uid="{B4C7E521-6904-4AB9-9F2B-CC63A97F985E}"/>
    <cellStyle name="Comma 3 73" xfId="25931" xr:uid="{EEDEF2FD-531D-4783-97AE-1577503AFE4B}"/>
    <cellStyle name="Comma 3 73 2" xfId="25933" xr:uid="{A5C87C23-BA96-48A7-832D-A10738A8133F}"/>
    <cellStyle name="Comma 3 73 3" xfId="25935" xr:uid="{2195E5B5-F88A-4E3D-ADD3-DB2B406BA5FE}"/>
    <cellStyle name="Comma 3 74" xfId="25941" xr:uid="{A0E58697-00D9-4E4B-A8BA-7C012D0151F0}"/>
    <cellStyle name="Comma 3 74 2" xfId="25945" xr:uid="{C046086B-F277-404B-8130-6D73F241E111}"/>
    <cellStyle name="Comma 3 74 3" xfId="25948" xr:uid="{B225EC80-7E2D-4374-BED0-9385815AD63A}"/>
    <cellStyle name="Comma 3 75" xfId="25951" xr:uid="{5092A8D4-ADA7-444A-8B97-7527067568D3}"/>
    <cellStyle name="Comma 3 75 2" xfId="25954" xr:uid="{33BB52A9-9F14-440D-B139-764DBB0749A2}"/>
    <cellStyle name="Comma 3 75 3" xfId="25956" xr:uid="{53C2F975-9AE2-4F82-AB0A-6F2A9E7291F5}"/>
    <cellStyle name="Comma 3 76" xfId="25959" xr:uid="{3D3C08BB-E971-48B4-8A4E-00B5ACEDABE2}"/>
    <cellStyle name="Comma 3 76 2" xfId="25961" xr:uid="{8491273E-6D53-450B-9F81-5BD4FC7955A2}"/>
    <cellStyle name="Comma 3 76 3" xfId="25963" xr:uid="{ED3479F9-280C-471D-AF1A-9F8005E5FA6A}"/>
    <cellStyle name="Comma 3 77" xfId="25965" xr:uid="{73025638-FB15-4F0E-A83E-D3144A519AF9}"/>
    <cellStyle name="Comma 3 77 2" xfId="25967" xr:uid="{77E78551-38C2-47EB-8449-E662775908A3}"/>
    <cellStyle name="Comma 3 77 3" xfId="25969" xr:uid="{2DD54630-C480-44BB-80E7-30A418BCED9C}"/>
    <cellStyle name="Comma 3 78" xfId="25972" xr:uid="{6CC5F171-14A6-4227-9FC0-0480FF65E14C}"/>
    <cellStyle name="Comma 3 78 2" xfId="25975" xr:uid="{75555958-8BCD-4801-A093-14B18BD6C876}"/>
    <cellStyle name="Comma 3 78 3" xfId="25978" xr:uid="{A13D1B27-2C49-4F8C-BAC0-35BA361860AF}"/>
    <cellStyle name="Comma 3 79" xfId="25981" xr:uid="{0D09E735-4439-47F9-B991-B79B05D87002}"/>
    <cellStyle name="Comma 3 79 2" xfId="25985" xr:uid="{7C420364-9C92-4752-BA7C-28EBEAFA6ECB}"/>
    <cellStyle name="Comma 3 79 3" xfId="25987" xr:uid="{9ED1358B-C31B-4E4A-85A9-55DCB125155F}"/>
    <cellStyle name="Comma 3 8" xfId="5161" xr:uid="{E72D76DE-F165-481F-B30A-865650C913CA}"/>
    <cellStyle name="Comma 3 8 2" xfId="24221" xr:uid="{2732B7FC-F4A6-41DB-AD88-0FD8C3B9187E}"/>
    <cellStyle name="Comma 3 8 3" xfId="24227" xr:uid="{3B4018C2-C2E8-4321-A4CC-A21704A918E7}"/>
    <cellStyle name="Comma 3 80" xfId="25952" xr:uid="{208F0E39-711D-42CC-BC0F-1C9307D0B7E6}"/>
    <cellStyle name="Comma 3 80 2" xfId="25955" xr:uid="{A1BB9216-1838-4592-BE14-5F92835D0E33}"/>
    <cellStyle name="Comma 3 80 3" xfId="25957" xr:uid="{164EE951-D159-47EF-AA64-C276A302903E}"/>
    <cellStyle name="Comma 3 81" xfId="25960" xr:uid="{05957A54-43D3-403C-9FB5-6D649989230F}"/>
    <cellStyle name="Comma 3 81 2" xfId="25962" xr:uid="{582BE345-DD85-41B6-9AFC-E34E19B85231}"/>
    <cellStyle name="Comma 3 81 3" xfId="25964" xr:uid="{370C3B93-DD90-46DC-BD6E-69964411B1F0}"/>
    <cellStyle name="Comma 3 82" xfId="25966" xr:uid="{EDD940E4-1958-4A84-8B92-3CC77BCC80E0}"/>
    <cellStyle name="Comma 3 82 2" xfId="25968" xr:uid="{7C7053D5-3965-4CE5-B585-1C8D9E7D93C9}"/>
    <cellStyle name="Comma 3 82 3" xfId="25970" xr:uid="{0ED27894-9022-48A4-9C67-0512112F8A92}"/>
    <cellStyle name="Comma 3 83" xfId="25973" xr:uid="{C98318F8-870A-4212-9B37-F0EFEFD49564}"/>
    <cellStyle name="Comma 3 83 2" xfId="25976" xr:uid="{8466AB5F-2519-4994-94B7-706EE5B880A1}"/>
    <cellStyle name="Comma 3 83 3" xfId="25979" xr:uid="{7915FCE7-F0CD-4E14-8868-2416394AF2D4}"/>
    <cellStyle name="Comma 3 84" xfId="25982" xr:uid="{CEABB50D-B40C-4172-BB9B-F632D8EC8192}"/>
    <cellStyle name="Comma 3 84 2" xfId="25986" xr:uid="{EA4F0496-4BFD-4F58-8134-0755D564DC10}"/>
    <cellStyle name="Comma 3 84 3" xfId="25988" xr:uid="{145278ED-2F0E-4E12-8212-574E1D2434E9}"/>
    <cellStyle name="Comma 3 85" xfId="25990" xr:uid="{9D2EC99E-3A82-4A37-838C-158B57AE4BC7}"/>
    <cellStyle name="Comma 3 85 2" xfId="14860" xr:uid="{79EAF68D-B4E7-444F-AFF0-073D76BC6E87}"/>
    <cellStyle name="Comma 3 85 3" xfId="25992" xr:uid="{B63B475F-5442-46B2-8069-530492C7B491}"/>
    <cellStyle name="Comma 3 86" xfId="25994" xr:uid="{5AC291C6-55AE-4C9E-BD08-09992EA5E47C}"/>
    <cellStyle name="Comma 3 86 2" xfId="25996" xr:uid="{E4129BAD-C59E-4ADC-9954-1681B42EA9B7}"/>
    <cellStyle name="Comma 3 86 3" xfId="25998" xr:uid="{B1CAA1B1-2C5E-4FFF-9D18-08F452B6F5FE}"/>
    <cellStyle name="Comma 3 87" xfId="10622" xr:uid="{B842DBC6-364F-43E5-8AEF-33568751A5B2}"/>
    <cellStyle name="Comma 3 87 2" xfId="10625" xr:uid="{32AF0960-353A-46CA-8CAD-71FE021CDD46}"/>
    <cellStyle name="Comma 3 87 3" xfId="10635" xr:uid="{7F455A36-F439-45CA-AA74-6F7C7DC15E96}"/>
    <cellStyle name="Comma 3 88" xfId="10641" xr:uid="{3B749F23-6CFA-452C-8FC5-B3B5245E28C9}"/>
    <cellStyle name="Comma 3 88 2" xfId="10644" xr:uid="{623C3F2A-6AEE-473C-AE42-C25C902C9514}"/>
    <cellStyle name="Comma 3 88 3" xfId="10649" xr:uid="{4593B830-0663-4942-8CD3-1074B74C6744}"/>
    <cellStyle name="Comma 3 89" xfId="7020" xr:uid="{E444B93B-59B7-4B7C-9579-DA2486DD6D9F}"/>
    <cellStyle name="Comma 3 89 2" xfId="10652" xr:uid="{08C10E24-2C77-40C0-9037-86DDFF0E09B6}"/>
    <cellStyle name="Comma 3 89 3" xfId="21837" xr:uid="{C3BBCE96-7909-46D3-A499-BB9880A85F4C}"/>
    <cellStyle name="Comma 3 9" xfId="24231" xr:uid="{28FC7DC2-FEE5-4CA1-AA83-1809AEDD8647}"/>
    <cellStyle name="Comma 3 9 2" xfId="24233" xr:uid="{914012C0-BF97-481A-8C89-8CCBEF0D85BF}"/>
    <cellStyle name="Comma 3 9 3" xfId="24236" xr:uid="{53A70053-F76C-4ABC-AF58-46ED45D8D9EF}"/>
    <cellStyle name="Comma 3 90" xfId="25991" xr:uid="{088D9AFF-04C0-4921-B7B0-70461E9CD209}"/>
    <cellStyle name="Comma 3 90 2" xfId="14861" xr:uid="{E91DF8A8-AB22-48F4-B2DE-DEC6860908EF}"/>
    <cellStyle name="Comma 3 90 3" xfId="25993" xr:uid="{72BA81E1-AE4A-4865-A239-C2773283566D}"/>
    <cellStyle name="Comma 3 91" xfId="25995" xr:uid="{A04A2B7E-9F01-474F-B0BD-AF1E514CF5DF}"/>
    <cellStyle name="Comma 3 91 2" xfId="25997" xr:uid="{A322BE95-1EFA-444B-A6DD-C212B9DE40B0}"/>
    <cellStyle name="Comma 3 91 3" xfId="25999" xr:uid="{0951ED57-9645-4EA3-A96A-9D07F9212559}"/>
    <cellStyle name="Comma 3 92" xfId="10623" xr:uid="{C3DB27B9-3E58-47CC-B6FA-ACFF8858AE8A}"/>
    <cellStyle name="Comma 3 92 2" xfId="10626" xr:uid="{493C01AD-6D20-4293-82A7-BC18CB3CAC96}"/>
    <cellStyle name="Comma 3 92 3" xfId="10636" xr:uid="{4CB5EB66-07FA-4213-952D-D469D31D5D4C}"/>
    <cellStyle name="Comma 3 93" xfId="10642" xr:uid="{EAC44BE6-AC36-4AE1-B101-AAA9D7DAAEE8}"/>
    <cellStyle name="Comma 3 93 2" xfId="10645" xr:uid="{FCC23295-0D7E-4F7A-96F8-184335C00E77}"/>
    <cellStyle name="Comma 3 93 3" xfId="10650" xr:uid="{8C48B76C-B1CD-4BB0-97F3-0B6799FF6E2F}"/>
    <cellStyle name="Comma 3 94" xfId="7021" xr:uid="{B8D88ED3-92AC-4535-AF6A-3B827468CC59}"/>
    <cellStyle name="Comma 3 94 2" xfId="10653" xr:uid="{4EFEB82C-71CC-49D3-AC44-6A600E8CAACC}"/>
    <cellStyle name="Comma 3 94 3" xfId="21838" xr:uid="{9A9F5C54-E300-4237-BD0E-5E6CC4251E1F}"/>
    <cellStyle name="Comma 3 95" xfId="10655" xr:uid="{CAA2F149-2646-4F92-845B-99427D4E41E6}"/>
    <cellStyle name="Comma 3 95 2" xfId="26000" xr:uid="{093BB765-6B00-45C3-8FA1-05F38AF15600}"/>
    <cellStyle name="Comma 3 95 3" xfId="26001" xr:uid="{78E53E1F-B439-40BC-89B4-C87401E891B5}"/>
    <cellStyle name="Comma 3 96" xfId="26002" xr:uid="{84D2C848-9F4E-49F2-871E-3DC89BC8AF85}"/>
    <cellStyle name="Comma 3 96 2" xfId="26003" xr:uid="{91E89D47-A49E-4DE5-AAC9-B7024A60B5E0}"/>
    <cellStyle name="Comma 3 96 3" xfId="26004" xr:uid="{8718DCB2-CAC8-4FA2-B91C-054B53DF5C4C}"/>
    <cellStyle name="Comma 3 97" xfId="26006" xr:uid="{42D9D9B5-AE5A-47ED-B49A-7153AF72D16D}"/>
    <cellStyle name="Comma 3 97 2" xfId="26007" xr:uid="{F6C435E9-853D-4C84-AD5E-7A9493385A1C}"/>
    <cellStyle name="Comma 3 97 3" xfId="26008" xr:uid="{DBE5006A-E614-4F9F-8840-34C043D22748}"/>
    <cellStyle name="Comma 3 98" xfId="26009" xr:uid="{BA74347B-89C0-4AAE-927A-5B2BDD37716A}"/>
    <cellStyle name="Comma 3 98 2" xfId="26010" xr:uid="{6BEB0173-A04E-453A-9217-B9E524938A87}"/>
    <cellStyle name="Comma 3 98 3" xfId="26011" xr:uid="{2B67C078-5024-4ED0-9EAE-A0ACA0CF281F}"/>
    <cellStyle name="Comma 3 99" xfId="21260" xr:uid="{0D373895-8157-423C-BDEA-6DE075F7BE9C}"/>
    <cellStyle name="Comma 3 99 2" xfId="26013" xr:uid="{251E936F-7AC4-474C-8D11-9DE4160F3C6E}"/>
    <cellStyle name="Comma 3 99 3" xfId="26015" xr:uid="{149E91EE-9A76-4EE5-BFF2-B9F78038C8B3}"/>
    <cellStyle name="Comma 30" xfId="24409" xr:uid="{D0FA4D3D-7B87-4641-A35B-D7EFFA9B5DF7}"/>
    <cellStyle name="Comma 30 2" xfId="7354" xr:uid="{CBE61012-86FC-45E2-9491-8A2E8AFB5182}"/>
    <cellStyle name="Comma 300" xfId="17254" xr:uid="{E3219E6E-C4A0-48C4-93F5-4A144DB1F8F4}"/>
    <cellStyle name="Comma 300 2" xfId="17260" xr:uid="{E02D04B5-A526-42F7-A690-C49B28E5906A}"/>
    <cellStyle name="Comma 301" xfId="17265" xr:uid="{7F3ACCC8-57BE-4FD3-9CDA-0817E85000F9}"/>
    <cellStyle name="Comma 301 2" xfId="17271" xr:uid="{0B2A5491-2839-4D17-9F6A-E17F42A7B903}"/>
    <cellStyle name="Comma 302" xfId="17276" xr:uid="{937544AA-6347-4670-8514-FBEF742F6974}"/>
    <cellStyle name="Comma 302 2" xfId="17281" xr:uid="{AB012394-EF47-4B97-9849-30028582C95A}"/>
    <cellStyle name="Comma 303" xfId="17286" xr:uid="{9DD54DF2-F617-42B7-8586-CD2F9256EA10}"/>
    <cellStyle name="Comma 303 2" xfId="17291" xr:uid="{AF1D405D-D757-499F-A299-E5AD8E077302}"/>
    <cellStyle name="Comma 304" xfId="17295" xr:uid="{80C97DF7-6FD0-4F04-8881-8EDB4B8D016F}"/>
    <cellStyle name="Comma 304 2" xfId="17299" xr:uid="{D411A305-401C-4DD9-B7CE-7D9250786476}"/>
    <cellStyle name="Comma 305" xfId="23389" xr:uid="{C92B5FDE-E04C-4E41-B95B-EAF27C17F2DC}"/>
    <cellStyle name="Comma 305 2" xfId="23395" xr:uid="{5E937B48-4F3B-4830-BDF8-ED2C43BDC20A}"/>
    <cellStyle name="Comma 306" xfId="23400" xr:uid="{BE9C9A5F-78AC-4282-A371-2A07BF6DF17D}"/>
    <cellStyle name="Comma 306 2" xfId="25460" xr:uid="{DB25E79C-5BDB-458D-9B6A-B6F51403D968}"/>
    <cellStyle name="Comma 307" xfId="25465" xr:uid="{4448A98C-547F-47B7-90BB-6FDC8F92FA86}"/>
    <cellStyle name="Comma 307 2" xfId="25469" xr:uid="{B955436C-E467-43DC-89F9-4018FCE7F5EB}"/>
    <cellStyle name="Comma 308" xfId="16333" xr:uid="{D6A1BD6A-C407-4857-97F2-3ABA02184C2C}"/>
    <cellStyle name="Comma 308 2" xfId="16338" xr:uid="{DC61D817-67E2-42F3-9F1A-6264C3712282}"/>
    <cellStyle name="Comma 309" xfId="16343" xr:uid="{BB8E211D-C0E5-4342-BEB2-C202CC96BB9C}"/>
    <cellStyle name="Comma 309 2" xfId="25473" xr:uid="{2B257FA8-8ED5-4C45-95DE-DA7831394251}"/>
    <cellStyle name="Comma 31" xfId="25476" xr:uid="{F91F3E8F-E963-4455-B613-7F52D59F26E8}"/>
    <cellStyle name="Comma 31 2" xfId="25478" xr:uid="{1BB1A4C6-8A2C-42AB-AFF4-67F7313DF364}"/>
    <cellStyle name="Comma 310" xfId="23390" xr:uid="{C9DE60F5-5380-4DAE-87EF-66A7AB953C43}"/>
    <cellStyle name="Comma 310 2" xfId="23396" xr:uid="{8BCBCD3D-7F0F-457D-B279-28B4531F7D89}"/>
    <cellStyle name="Comma 311" xfId="23401" xr:uid="{0DE2D483-26D8-4744-8595-56D91D17A52F}"/>
    <cellStyle name="Comma 311 2" xfId="25461" xr:uid="{B3D0DF05-9337-4CA6-BA4C-912BD8BFDD43}"/>
    <cellStyle name="Comma 312" xfId="25466" xr:uid="{D2A23AA6-FB58-41F8-A32A-F7DD8460935B}"/>
    <cellStyle name="Comma 312 2" xfId="25470" xr:uid="{06E4FE79-29CB-4734-95F1-C472698E4CDB}"/>
    <cellStyle name="Comma 313" xfId="16334" xr:uid="{5FB4D1F0-E811-4113-AA3C-660A69013FDD}"/>
    <cellStyle name="Comma 313 2" xfId="16339" xr:uid="{2268DAE8-9E79-4FD7-91AB-90D3E23995F9}"/>
    <cellStyle name="Comma 314" xfId="16344" xr:uid="{1B54E94E-0AD4-4048-90EC-22A6C293401F}"/>
    <cellStyle name="Comma 314 2" xfId="25474" xr:uid="{9E379482-1293-404D-832C-A37377E3DFA1}"/>
    <cellStyle name="Comma 315" xfId="21940" xr:uid="{FE0BEBD7-6029-49B2-BC22-04BCCB08C4C8}"/>
    <cellStyle name="Comma 315 2" xfId="21945" xr:uid="{E96D9E20-752F-441E-8680-D9F269EE4B8A}"/>
    <cellStyle name="Comma 316" xfId="21950" xr:uid="{DECE8629-FC89-4B37-9A33-F39DAED9D129}"/>
    <cellStyle name="Comma 316 2" xfId="19169" xr:uid="{65C7FC58-D976-47A2-B4AA-A606EE12B69E}"/>
    <cellStyle name="Comma 317" xfId="23417" xr:uid="{EAEA38A2-DAB4-4582-863E-FFE783CB9CAD}"/>
    <cellStyle name="Comma 317 2" xfId="8953" xr:uid="{18C22AD2-47D0-432E-B96D-C50E97920517}"/>
    <cellStyle name="Comma 318" xfId="25481" xr:uid="{583A7782-50B4-4151-9AB9-189FB5D77439}"/>
    <cellStyle name="Comma 318 2" xfId="8977" xr:uid="{31E5FEB8-EF91-4B20-A695-572BDC9B9C45}"/>
    <cellStyle name="Comma 319" xfId="25485" xr:uid="{DD7ABC41-0421-466B-806F-EA5315E1C52E}"/>
    <cellStyle name="Comma 319 2" xfId="8985" xr:uid="{EBFCCA67-4A79-4C3E-99DF-AB67653280D9}"/>
    <cellStyle name="Comma 32" xfId="25488" xr:uid="{6F770D32-5CBD-44C6-9C09-DD5D36A6C54C}"/>
    <cellStyle name="Comma 32 2" xfId="25490" xr:uid="{F7551448-D11E-407E-8416-C22FFB53DF5E}"/>
    <cellStyle name="Comma 320" xfId="21941" xr:uid="{19F69641-9E18-4896-B928-838A3F355965}"/>
    <cellStyle name="Comma 320 2" xfId="21946" xr:uid="{1B2CB07D-98E2-4D60-831C-DEA0F59FB9C9}"/>
    <cellStyle name="Comma 321" xfId="21951" xr:uid="{4461BE24-34E5-49D4-81E5-C75F958C8DA3}"/>
    <cellStyle name="Comma 321 2" xfId="19170" xr:uid="{F50A91F8-C7E8-4FB6-A433-E2A212DB039E}"/>
    <cellStyle name="Comma 322" xfId="23418" xr:uid="{4022543A-A3E0-4162-976D-1A9B9905D4AB}"/>
    <cellStyle name="Comma 322 2" xfId="8954" xr:uid="{DF8F7D22-6E0F-45A9-9EB6-1825E96881D6}"/>
    <cellStyle name="Comma 323" xfId="25482" xr:uid="{8734F9AD-88F8-4BDF-BFE5-70C6338E6873}"/>
    <cellStyle name="Comma 323 2" xfId="8978" xr:uid="{72DABCB8-E86D-4F40-92C2-24DB7365D104}"/>
    <cellStyle name="Comma 324" xfId="25486" xr:uid="{99813F9C-08FC-4991-BEFB-0F06B6C4EDB1}"/>
    <cellStyle name="Comma 324 2" xfId="8986" xr:uid="{A84DD4E3-F95B-43F5-932F-5EBE2C283842}"/>
    <cellStyle name="Comma 325" xfId="25493" xr:uid="{53127FD2-C13C-4582-BDD7-2397ED25DC72}"/>
    <cellStyle name="Comma 325 2" xfId="26016" xr:uid="{7D0B887B-5596-4DBC-958F-ED45CC343B82}"/>
    <cellStyle name="Comma 326" xfId="25497" xr:uid="{0470B6B5-981A-42D1-BBFC-28A6B4042DC5}"/>
    <cellStyle name="Comma 326 2" xfId="26018" xr:uid="{438031D7-A507-4F06-8C18-B57A9A1E7825}"/>
    <cellStyle name="Comma 327" xfId="25501" xr:uid="{32776178-BD2D-4295-894E-2E43DC618E02}"/>
    <cellStyle name="Comma 327 2" xfId="26020" xr:uid="{A4D7142D-ADA2-47C7-8DF1-F32AB79BAEAA}"/>
    <cellStyle name="Comma 328" xfId="25506" xr:uid="{14783502-308A-4606-97DA-397AFA3E7817}"/>
    <cellStyle name="Comma 328 2" xfId="26022" xr:uid="{000D16DB-E0B2-40FE-A787-8BC15D05FA14}"/>
    <cellStyle name="Comma 329" xfId="25514" xr:uid="{169363F8-D22E-4867-8BA5-440A3F7F7443}"/>
    <cellStyle name="Comma 329 2" xfId="26024" xr:uid="{2665BE17-9715-4AA3-9CD1-27FCABD68BCF}"/>
    <cellStyle name="Comma 33" xfId="25517" xr:uid="{67464803-5FF6-4FEE-93EE-25763C0F1463}"/>
    <cellStyle name="Comma 33 2" xfId="24225" xr:uid="{97146BD7-1F6C-4363-968A-56B44FBF3F8C}"/>
    <cellStyle name="Comma 330" xfId="25494" xr:uid="{C31BB355-C392-4BEE-9CE6-1E790DA0E3C8}"/>
    <cellStyle name="Comma 330 2" xfId="26017" xr:uid="{69715CB5-AD0F-458E-8D39-CC2C0BCE930B}"/>
    <cellStyle name="Comma 331" xfId="25498" xr:uid="{F7F84FFD-B9AE-47E0-A7CA-5EC417D39EC2}"/>
    <cellStyle name="Comma 331 2" xfId="26019" xr:uid="{2D909C7E-F8C6-492D-801C-A78C94E450F1}"/>
    <cellStyle name="Comma 332" xfId="25502" xr:uid="{5E7CE6C5-A3E0-47F4-A45F-D544F32224DF}"/>
    <cellStyle name="Comma 332 2" xfId="26021" xr:uid="{0C8A6F15-F3A0-4676-A3D3-54A1EC24E67D}"/>
    <cellStyle name="Comma 333" xfId="25507" xr:uid="{3B4FE9AB-2DE4-4FCA-96FB-82B6E8D40A39}"/>
    <cellStyle name="Comma 333 2" xfId="26023" xr:uid="{65DF14AA-6B75-45A6-A605-2DAF62BAA785}"/>
    <cellStyle name="Comma 334" xfId="25515" xr:uid="{93A56AE4-2FFA-4375-B76A-AA02B6811679}"/>
    <cellStyle name="Comma 334 2" xfId="26025" xr:uid="{29903DD6-A60D-4836-9097-6A65DE25BDFD}"/>
    <cellStyle name="Comma 335" xfId="25520" xr:uid="{D7289AC1-6078-44FA-8A77-06D16AA277E2}"/>
    <cellStyle name="Comma 335 2" xfId="26026" xr:uid="{2BD5BFA0-06A7-4F01-B530-A41E308ACD93}"/>
    <cellStyle name="Comma 336" xfId="25524" xr:uid="{4DE6250D-1BBA-4FE5-B664-D026CE3B890E}"/>
    <cellStyle name="Comma 336 2" xfId="26028" xr:uid="{EB71B15E-2870-4552-A1C6-B4D6535AA92C}"/>
    <cellStyle name="Comma 337" xfId="25528" xr:uid="{67DFDB0D-C4CD-48DF-83B5-9109D74AE78A}"/>
    <cellStyle name="Comma 337 2" xfId="25546" xr:uid="{ABD00956-D6AB-466D-BCE4-2C2971B45FED}"/>
    <cellStyle name="Comma 338" xfId="25533" xr:uid="{BB726783-26DB-460A-8062-1BBD36CDE0EB}"/>
    <cellStyle name="Comma 338 2" xfId="25550" xr:uid="{1009A664-9CB7-44C4-875C-61657048D6D3}"/>
    <cellStyle name="Comma 339" xfId="25538" xr:uid="{F569DFC6-EEAF-4533-822C-1B05D76D33D2}"/>
    <cellStyle name="Comma 339 2" xfId="25553" xr:uid="{1A530ACA-67A7-4047-A61B-65C8F9C0013B}"/>
    <cellStyle name="Comma 34" xfId="25542" xr:uid="{84722683-8572-4FDB-B7DC-FF93EE31E573}"/>
    <cellStyle name="Comma 34 2" xfId="25544" xr:uid="{528D114B-D636-4F83-B5AB-ACDF89008814}"/>
    <cellStyle name="Comma 340" xfId="25521" xr:uid="{DB20F545-4BE3-4B5D-9D14-C6056EBDE8F6}"/>
    <cellStyle name="Comma 340 2" xfId="26027" xr:uid="{A76F8E5F-E6C8-40C3-BF21-C82C18707BB0}"/>
    <cellStyle name="Comma 341" xfId="25525" xr:uid="{58760214-E187-47C9-91F2-60EE734FED02}"/>
    <cellStyle name="Comma 341 2" xfId="26029" xr:uid="{3B6D0D74-3F3E-411A-AB6B-06E4E389AC71}"/>
    <cellStyle name="Comma 342" xfId="25529" xr:uid="{05ACC343-D751-4724-A95F-505B48184E67}"/>
    <cellStyle name="Comma 342 2" xfId="25547" xr:uid="{09F11DB6-20AA-44B1-8C97-CCEA78EB6155}"/>
    <cellStyle name="Comma 343" xfId="25534" xr:uid="{D6925A34-99FC-4C45-80A6-FA50FF5CC212}"/>
    <cellStyle name="Comma 343 2" xfId="25551" xr:uid="{DEF1E54C-BA95-4740-80B9-095E615A9AEF}"/>
    <cellStyle name="Comma 344" xfId="25539" xr:uid="{5C63013E-B976-4D29-A7B5-F0CD50F9FF5A}"/>
    <cellStyle name="Comma 344 2" xfId="25554" xr:uid="{D5E0F1B0-A2D9-4106-8FCB-6981554BDAED}"/>
    <cellStyle name="Comma 345" xfId="24350" xr:uid="{5BF7F43B-527D-49A0-9E0D-00F1B2B1EC39}"/>
    <cellStyle name="Comma 345 2" xfId="24356" xr:uid="{BCDED157-8FF0-4608-A4BE-75A3933D2261}"/>
    <cellStyle name="Comma 346" xfId="24363" xr:uid="{71117BC8-0E25-43C1-8644-15549D1C8E31}"/>
    <cellStyle name="Comma 346 2" xfId="24368" xr:uid="{D645100C-3387-4FA6-9019-B95E2E7E60E3}"/>
    <cellStyle name="Comma 347" xfId="24373" xr:uid="{472FC62B-3CAA-47C5-A9F8-BF0EC9623A4C}"/>
    <cellStyle name="Comma 347 2" xfId="25556" xr:uid="{681E5476-D211-4FD3-AF17-C3E2DC3F564C}"/>
    <cellStyle name="Comma 348" xfId="25561" xr:uid="{E73E8532-AEB0-43D4-9583-AC576A847DE5}"/>
    <cellStyle name="Comma 348 2" xfId="24020" xr:uid="{0F211A25-9A8B-4F94-ABFB-B2F130F57FAF}"/>
    <cellStyle name="Comma 349" xfId="25566" xr:uid="{ECF795F4-20CD-45A8-A68C-46DC58F6561C}"/>
    <cellStyle name="Comma 349 2" xfId="25570" xr:uid="{E0117267-EE08-4DC4-B717-65BCD152797E}"/>
    <cellStyle name="Comma 35" xfId="26032" xr:uid="{C9383961-621C-4239-A9E7-B4E2E2859853}"/>
    <cellStyle name="Comma 35 2" xfId="26036" xr:uid="{B38DC980-4AF8-406F-AFF4-CBF51BEE3DED}"/>
    <cellStyle name="Comma 350" xfId="24351" xr:uid="{F479C8E5-9B5D-456C-B656-0F88BDEB41AB}"/>
    <cellStyle name="Comma 350 2" xfId="24357" xr:uid="{2E99DC7D-F63D-45A4-AB94-99CE531A6B4B}"/>
    <cellStyle name="Comma 351" xfId="24364" xr:uid="{082FAB3C-EC4C-43D8-A86C-4A49800E0628}"/>
    <cellStyle name="Comma 351 2" xfId="24369" xr:uid="{8D792D10-8C84-4ADF-9AF9-3033C0D42DEB}"/>
    <cellStyle name="Comma 352" xfId="24374" xr:uid="{35181F91-445D-4254-81B5-84F5C3DBED48}"/>
    <cellStyle name="Comma 352 2" xfId="25557" xr:uid="{57442595-5ABB-46B5-BB2D-83676A8F325D}"/>
    <cellStyle name="Comma 353" xfId="25562" xr:uid="{352658E2-2670-496B-8C65-571C6F458CAF}"/>
    <cellStyle name="Comma 353 2" xfId="24021" xr:uid="{BD95E77C-D675-4D04-8889-C77827BA661B}"/>
    <cellStyle name="Comma 354" xfId="25567" xr:uid="{FF01FEDE-D508-48B5-9E8F-179AF5CBA348}"/>
    <cellStyle name="Comma 354 2" xfId="25571" xr:uid="{EE0824ED-A62E-49A2-8E16-8A6D2D92347C}"/>
    <cellStyle name="Comma 355" xfId="23403" xr:uid="{9F3BE6D6-7184-436C-81E9-17C12DC6747F}"/>
    <cellStyle name="Comma 355 2" xfId="26038" xr:uid="{812384A2-C22C-4F40-A7C4-D69FD27DB964}"/>
    <cellStyle name="Comma 356" xfId="26042" xr:uid="{D4245F18-1976-447F-B5DF-FDCF7DDEC5D3}"/>
    <cellStyle name="Comma 356 2" xfId="26046" xr:uid="{9BAB4D83-F5D8-4F65-8EDE-C8F5D56EE67D}"/>
    <cellStyle name="Comma 357" xfId="26050" xr:uid="{37A3AC96-54BD-47F0-AE1F-182C290A74B4}"/>
    <cellStyle name="Comma 357 2" xfId="26054" xr:uid="{76928C6F-845D-4382-8CAE-391CC24E7AFA}"/>
    <cellStyle name="Comma 358" xfId="16349" xr:uid="{B221EDEB-63CC-4987-B137-38DB35F87BC7}"/>
    <cellStyle name="Comma 358 2" xfId="10870" xr:uid="{516F7F8B-169C-4952-B063-CA3F4B78878C}"/>
    <cellStyle name="Comma 359" xfId="26058" xr:uid="{CEA7F661-7A18-43AF-99F2-619D8B7E1D32}"/>
    <cellStyle name="Comma 359 2" xfId="26062" xr:uid="{F82C36BE-08B3-4B1E-AC44-EC21A6A9A836}"/>
    <cellStyle name="Comma 36" xfId="26068" xr:uid="{FB6946B4-0082-402C-8EF8-6912BD4E320C}"/>
    <cellStyle name="Comma 36 2" xfId="26071" xr:uid="{E88E9B0F-EC1E-4B6F-A0FA-F21B864A1329}"/>
    <cellStyle name="Comma 36 2 2" xfId="10966" xr:uid="{19DD87C4-CDAB-402F-8DA1-A4FE82A4CADC}"/>
    <cellStyle name="Comma 36 3" xfId="26073" xr:uid="{192A8521-D8C5-46DE-9AAD-A881D22DD52F}"/>
    <cellStyle name="Comma 36 4" xfId="26075" xr:uid="{D3C114B6-2B79-40FE-815B-3B0FFF7CDD4E}"/>
    <cellStyle name="Comma 360" xfId="23404" xr:uid="{748DC70D-1D75-4E86-892A-3EA4AB6E17A8}"/>
    <cellStyle name="Comma 360 2" xfId="26039" xr:uid="{79BEC107-4E0C-47F1-B184-820F9616C745}"/>
    <cellStyle name="Comma 361" xfId="26043" xr:uid="{42C8C9B6-2DB4-4E96-9759-4A4C94933118}"/>
    <cellStyle name="Comma 361 2" xfId="26047" xr:uid="{E6BFD44F-344F-4527-B78B-E025E2289E42}"/>
    <cellStyle name="Comma 362" xfId="26051" xr:uid="{82B30C24-92AA-4D93-83C6-8C0CEFDECE25}"/>
    <cellStyle name="Comma 362 2" xfId="26055" xr:uid="{D3B941DE-65AC-4DB2-B4FC-4FDB6DCCDE60}"/>
    <cellStyle name="Comma 363" xfId="16350" xr:uid="{B87520E7-F229-4E0F-B0DB-4071807C9F4C}"/>
    <cellStyle name="Comma 363 2" xfId="10871" xr:uid="{299ECC67-CC52-4B63-B98A-877DB4FDC672}"/>
    <cellStyle name="Comma 364" xfId="26059" xr:uid="{CB2CC16E-9C1A-4DD2-8B6F-4C298089CD6A}"/>
    <cellStyle name="Comma 364 2" xfId="26063" xr:uid="{6D6674A5-14E5-4232-96BE-7EFF7CF3FB33}"/>
    <cellStyle name="Comma 365" xfId="12991" xr:uid="{CAA7903D-DD52-47D4-BEBC-DF676A5443D5}"/>
    <cellStyle name="Comma 365 2" xfId="26077" xr:uid="{077398DD-7C2F-457F-8524-341D44459400}"/>
    <cellStyle name="Comma 366" xfId="26081" xr:uid="{AE7AF26C-7839-4E47-9076-035F169FF6AA}"/>
    <cellStyle name="Comma 366 2" xfId="19324" xr:uid="{2C5214D7-60F4-4636-9339-34F5C47AD48F}"/>
    <cellStyle name="Comma 367" xfId="26085" xr:uid="{CB7B1FC8-4FE0-40EA-90A3-E7333BC967E4}"/>
    <cellStyle name="Comma 367 2" xfId="9006" xr:uid="{43015F56-6EC6-40E9-B662-29DE05AC4D27}"/>
    <cellStyle name="Comma 368" xfId="26089" xr:uid="{F6C90E02-CB89-4B63-807B-96A524EF227C}"/>
    <cellStyle name="Comma 368 2" xfId="9019" xr:uid="{552A21F0-F626-4730-8AA0-767A7FF769F2}"/>
    <cellStyle name="Comma 369" xfId="11176" xr:uid="{0198E106-B9C5-4668-AC8E-40D9BF383EDA}"/>
    <cellStyle name="Comma 369 2" xfId="2400" xr:uid="{819F33A4-5DF6-4494-AB15-4CD959720CE2}"/>
    <cellStyle name="Comma 37" xfId="20579" xr:uid="{34AEF410-0CF8-4260-9B24-6B45FFBFCC1C}"/>
    <cellStyle name="Comma 37 10" xfId="14384" xr:uid="{01ABDB65-0DA6-4EA8-86D9-E23E18D3D96B}"/>
    <cellStyle name="Comma 37 10 2" xfId="26094" xr:uid="{7A3A1B4C-A473-4893-BD62-93003D440307}"/>
    <cellStyle name="Comma 37 10 2 2" xfId="13419" xr:uid="{83339B94-C02F-4F38-ACF4-6284445F4B7F}"/>
    <cellStyle name="Comma 37 10 3" xfId="26096" xr:uid="{B287BDA1-1B47-44D1-B443-8CB092F015E9}"/>
    <cellStyle name="Comma 37 11" xfId="26098" xr:uid="{89B1C3CB-698B-4B5A-87CC-AD0097DCCD4E}"/>
    <cellStyle name="Comma 37 11 2" xfId="26100" xr:uid="{908DDF9C-AE23-484F-85DE-3207CBBCEC73}"/>
    <cellStyle name="Comma 37 12" xfId="26101" xr:uid="{2CD061E0-E92C-4377-BF07-74B845225BE4}"/>
    <cellStyle name="Comma 37 13" xfId="26103" xr:uid="{4A125274-2E3D-45D5-9142-51F2BA1641E8}"/>
    <cellStyle name="Comma 37 14" xfId="26105" xr:uid="{4333D9F6-DE89-461B-85F3-316C6111ADC7}"/>
    <cellStyle name="Comma 37 15" xfId="23447" xr:uid="{169AC10E-CEDB-4E7A-BF2F-72DC3EF55D17}"/>
    <cellStyle name="Comma 37 2" xfId="20582" xr:uid="{92A67569-3249-459F-B5AC-F64C4E2C2622}"/>
    <cellStyle name="Comma 37 2 10" xfId="26108" xr:uid="{FA332F41-2782-4EFC-99A3-8551ACDE9112}"/>
    <cellStyle name="Comma 37 2 10 2" xfId="26110" xr:uid="{D5475BC0-63E8-4827-B556-B4A76CFD63C7}"/>
    <cellStyle name="Comma 37 2 11" xfId="26111" xr:uid="{2A5DE6BF-69BB-4CCA-B5A1-9D2E60B073BB}"/>
    <cellStyle name="Comma 37 2 12" xfId="12110" xr:uid="{6E6F934B-8496-4F01-A622-F9A432011F86}"/>
    <cellStyle name="Comma 37 2 13" xfId="12113" xr:uid="{3871E905-212E-48C5-885B-BECF8C3405E5}"/>
    <cellStyle name="Comma 37 2 2" xfId="20586" xr:uid="{8B0ADD91-D951-4154-AF84-BBD073917AF5}"/>
    <cellStyle name="Comma 37 2 2 10" xfId="26113" xr:uid="{BBE89091-A634-4865-95DC-2A89A7683393}"/>
    <cellStyle name="Comma 37 2 2 11" xfId="26115" xr:uid="{1B6E987E-3E1F-4C73-B52D-0019CF37DA6A}"/>
    <cellStyle name="Comma 37 2 2 12" xfId="26117" xr:uid="{57FED64F-E86E-4555-BB20-91991C0E737A}"/>
    <cellStyle name="Comma 37 2 2 2" xfId="20590" xr:uid="{909CEAE0-0D71-4FF0-A7B1-31757F7EE864}"/>
    <cellStyle name="Comma 37 2 2 2 10" xfId="26118" xr:uid="{3B8B2B8B-D84E-4C4E-A4E8-FFA502C48332}"/>
    <cellStyle name="Comma 37 2 2 2 2" xfId="26120" xr:uid="{7509BA89-9C79-4099-89CE-E579D617F139}"/>
    <cellStyle name="Comma 37 2 2 2 2 2" xfId="26122" xr:uid="{854108E6-81E6-4222-A632-1EA3B4E23349}"/>
    <cellStyle name="Comma 37 2 2 2 2 2 2" xfId="26124" xr:uid="{78366769-8D2F-4C47-BA42-F3450137ED84}"/>
    <cellStyle name="Comma 37 2 2 2 2 2 2 2" xfId="26126" xr:uid="{D003F4AC-94DB-4329-9B5F-EED0347B0A27}"/>
    <cellStyle name="Comma 37 2 2 2 2 2 2 2 2" xfId="26128" xr:uid="{D26A5FFE-0FED-43A0-9C5A-6F74992A327B}"/>
    <cellStyle name="Comma 37 2 2 2 2 2 2 2 2 2" xfId="26130" xr:uid="{D45C7448-96A7-4FD5-ACCB-D4E0058D881B}"/>
    <cellStyle name="Comma 37 2 2 2 2 2 2 2 2 2 2" xfId="10263" xr:uid="{CF10F6CB-B2D9-4F88-B177-51E5F6D7AB6C}"/>
    <cellStyle name="Comma 37 2 2 2 2 2 2 2 2 2 2 2" xfId="10269" xr:uid="{CC8C290D-1D56-4E1C-8C6C-8B8DF261795F}"/>
    <cellStyle name="Comma 37 2 2 2 2 2 2 2 2 2 3" xfId="10275" xr:uid="{18A4770B-E583-4458-9BFE-C5BF322D6C6C}"/>
    <cellStyle name="Comma 37 2 2 2 2 2 2 2 2 3" xfId="26132" xr:uid="{7CC6E331-2BE5-445B-A69B-973FF2BCC7D9}"/>
    <cellStyle name="Comma 37 2 2 2 2 2 2 2 2 3 2" xfId="10288" xr:uid="{AA25BD5E-7FE1-406E-AEDB-0E3A5C3066DC}"/>
    <cellStyle name="Comma 37 2 2 2 2 2 2 2 2 4" xfId="18035" xr:uid="{FC4F0436-F404-4199-962D-509FDEC664EF}"/>
    <cellStyle name="Comma 37 2 2 2 2 2 2 2 3" xfId="26134" xr:uid="{2234DDCA-AFA4-4730-9B27-D65680493F26}"/>
    <cellStyle name="Comma 37 2 2 2 2 2 2 2 3 2" xfId="26137" xr:uid="{A2231560-07B0-4567-B984-4AD71F800C94}"/>
    <cellStyle name="Comma 37 2 2 2 2 2 2 2 3 2 2" xfId="10318" xr:uid="{21D2B36D-351E-4792-9F4C-C2CFFA34E47D}"/>
    <cellStyle name="Comma 37 2 2 2 2 2 2 2 3 3" xfId="26139" xr:uid="{358EA60A-58DC-4624-A372-55B1C208D584}"/>
    <cellStyle name="Comma 37 2 2 2 2 2 2 2 4" xfId="23589" xr:uid="{7595A7FD-AB83-4491-B857-0834CFC6F90C}"/>
    <cellStyle name="Comma 37 2 2 2 2 2 2 2 4 2" xfId="10676" xr:uid="{34CC95CF-722F-47B0-919E-D4453496224F}"/>
    <cellStyle name="Comma 37 2 2 2 2 2 2 2 5" xfId="26140" xr:uid="{89024D5E-4190-4A7E-BDB0-3623FE84787C}"/>
    <cellStyle name="Comma 37 2 2 2 2 2 2 3" xfId="23047" xr:uid="{C77F3CAF-7EBF-4686-9594-DFCC99245765}"/>
    <cellStyle name="Comma 37 2 2 2 2 2 2 3 2" xfId="9555" xr:uid="{F102B175-52B7-4D12-A43A-534F29F2062F}"/>
    <cellStyle name="Comma 37 2 2 2 2 2 2 3 2 2" xfId="26141" xr:uid="{0DA2D5E6-5189-47CD-9EF4-56062230197B}"/>
    <cellStyle name="Comma 37 2 2 2 2 2 2 3 2 2 2" xfId="13964" xr:uid="{79C4FFCD-CFA0-40D9-83D6-46029F105558}"/>
    <cellStyle name="Comma 37 2 2 2 2 2 2 3 2 3" xfId="15901" xr:uid="{87DCAB73-7A21-482B-A2CD-31A827691526}"/>
    <cellStyle name="Comma 37 2 2 2 2 2 2 3 3" xfId="26144" xr:uid="{42DE2CD5-D80D-4084-ACBD-06BEE8640D67}"/>
    <cellStyle name="Comma 37 2 2 2 2 2 2 3 3 2" xfId="26146" xr:uid="{338C0EA9-D79C-43F7-9ACE-A1C81D2976B9}"/>
    <cellStyle name="Comma 37 2 2 2 2 2 2 3 4" xfId="26147" xr:uid="{35D56608-4D48-40FF-81D2-8F271A456442}"/>
    <cellStyle name="Comma 37 2 2 2 2 2 2 4" xfId="26148" xr:uid="{D4D9521F-A029-4EC1-A5BD-6DE4DE33A0E5}"/>
    <cellStyle name="Comma 37 2 2 2 2 2 2 4 2" xfId="26151" xr:uid="{7B978468-5787-4D75-BB9A-9FD2B75661C0}"/>
    <cellStyle name="Comma 37 2 2 2 2 2 2 4 2 2" xfId="26154" xr:uid="{7B48CC8C-BC88-4108-912C-F4C841DE5A22}"/>
    <cellStyle name="Comma 37 2 2 2 2 2 2 4 3" xfId="26155" xr:uid="{FC531791-A03A-4E23-87FC-5E01D96F2F48}"/>
    <cellStyle name="Comma 37 2 2 2 2 2 2 5" xfId="13753" xr:uid="{FFD22F09-0FBC-4D61-B3E3-990C7A75E0AC}"/>
    <cellStyle name="Comma 37 2 2 2 2 2 2 5 2" xfId="26156" xr:uid="{A72C5387-B6DF-4675-AB31-0B4D50A1FFA3}"/>
    <cellStyle name="Comma 37 2 2 2 2 2 2 6" xfId="11057" xr:uid="{7F395200-A4B1-42FB-8570-2BB1F8ABA154}"/>
    <cellStyle name="Comma 37 2 2 2 2 2 2 7" xfId="11060" xr:uid="{FF1AA367-088F-4FB2-917C-5F43C52E9BE5}"/>
    <cellStyle name="Comma 37 2 2 2 2 2 3" xfId="26157" xr:uid="{A41CD691-C2D2-46A7-B45E-1445B83EEEBE}"/>
    <cellStyle name="Comma 37 2 2 2 2 2 3 2" xfId="26160" xr:uid="{298414B6-114C-44D9-810A-C2D0BFFE2838}"/>
    <cellStyle name="Comma 37 2 2 2 2 2 3 2 2" xfId="26163" xr:uid="{732765EE-AC75-4882-9F98-184DB21ED2B7}"/>
    <cellStyle name="Comma 37 2 2 2 2 2 3 2 2 2" xfId="14102" xr:uid="{408CD8FE-1DCE-4759-B8E7-958BC2CB57B8}"/>
    <cellStyle name="Comma 37 2 2 2 2 2 3 2 2 2 2" xfId="14105" xr:uid="{7B3A6240-248C-4720-AF59-2927733B424C}"/>
    <cellStyle name="Comma 37 2 2 2 2 2 3 2 2 3" xfId="6678" xr:uid="{BE99BAC1-0A3E-434A-A05F-D0BFB8B218ED}"/>
    <cellStyle name="Comma 37 2 2 2 2 2 3 2 3" xfId="26166" xr:uid="{736B772A-6BA3-44A5-850D-659B9938BB26}"/>
    <cellStyle name="Comma 37 2 2 2 2 2 3 2 3 2" xfId="14110" xr:uid="{594DC30D-91DB-4E79-8B0A-E849191813EE}"/>
    <cellStyle name="Comma 37 2 2 2 2 2 3 2 4" xfId="26168" xr:uid="{82BA3E1B-380C-4925-94ED-C6B52406F901}"/>
    <cellStyle name="Comma 37 2 2 2 2 2 3 3" xfId="26169" xr:uid="{EABCD12D-4DEF-4BC2-9513-6CE5221171A0}"/>
    <cellStyle name="Comma 37 2 2 2 2 2 3 3 2" xfId="26172" xr:uid="{86092544-A1B8-4FFF-B6C9-3D46961B99FD}"/>
    <cellStyle name="Comma 37 2 2 2 2 2 3 3 2 2" xfId="14116" xr:uid="{9C382878-558F-470D-BD33-541E359CB86C}"/>
    <cellStyle name="Comma 37 2 2 2 2 2 3 3 3" xfId="26174" xr:uid="{EFBACDF3-F614-4A89-84AC-0F10C1F60EA9}"/>
    <cellStyle name="Comma 37 2 2 2 2 2 3 4" xfId="26175" xr:uid="{FCE26844-CBF7-43E1-B886-4C2B4E48CBE3}"/>
    <cellStyle name="Comma 37 2 2 2 2 2 3 4 2" xfId="26178" xr:uid="{F39F7504-A81E-4C10-ABFD-B0F6E1D5DF59}"/>
    <cellStyle name="Comma 37 2 2 2 2 2 3 5" xfId="26179" xr:uid="{295200D2-6AA2-4AF0-AEE2-FC12EEC4A954}"/>
    <cellStyle name="Comma 37 2 2 2 2 2 4" xfId="23777" xr:uid="{6BFCE607-70E9-4A8F-988A-B2289B78E3A8}"/>
    <cellStyle name="Comma 37 2 2 2 2 2 4 2" xfId="23781" xr:uid="{8022AF63-C423-408C-B3CF-AC1A32572A41}"/>
    <cellStyle name="Comma 37 2 2 2 2 2 4 2 2" xfId="23785" xr:uid="{7139F8A3-B14D-49D7-822C-CCCA2882353B}"/>
    <cellStyle name="Comma 37 2 2 2 2 2 4 2 2 2" xfId="14144" xr:uid="{3DF88205-9AD6-4B33-8674-257A12C8E8CE}"/>
    <cellStyle name="Comma 37 2 2 2 2 2 4 2 3" xfId="26180" xr:uid="{3770397C-8E1F-41E6-9CE7-88C47204B05F}"/>
    <cellStyle name="Comma 37 2 2 2 2 2 4 3" xfId="23788" xr:uid="{50789A99-8D47-487E-B11F-3BFB5E3883C0}"/>
    <cellStyle name="Comma 37 2 2 2 2 2 4 3 2" xfId="26182" xr:uid="{E649D4DF-AD03-4F2E-8C2D-B653B8B62096}"/>
    <cellStyle name="Comma 37 2 2 2 2 2 4 4" xfId="26184" xr:uid="{FDB67216-A069-4107-B609-8EE7EA16DFA4}"/>
    <cellStyle name="Comma 37 2 2 2 2 2 5" xfId="23791" xr:uid="{B580772A-CDC9-4A20-A884-B54A799D6C04}"/>
    <cellStyle name="Comma 37 2 2 2 2 2 5 2" xfId="23795" xr:uid="{4DC18BB6-28C9-425C-B6B4-701CD3565090}"/>
    <cellStyle name="Comma 37 2 2 2 2 2 5 2 2" xfId="20102" xr:uid="{64A43218-1860-4CFD-917D-7195A5B19856}"/>
    <cellStyle name="Comma 37 2 2 2 2 2 5 3" xfId="26185" xr:uid="{230C8487-B6E8-4E52-B1A2-2B73475CA72F}"/>
    <cellStyle name="Comma 37 2 2 2 2 2 6" xfId="23801" xr:uid="{AA31EC2B-6358-44A3-BAF5-7D45B5AD40C7}"/>
    <cellStyle name="Comma 37 2 2 2 2 2 6 2" xfId="26187" xr:uid="{6B699D7F-7892-406E-AE6F-2B68C95A9E66}"/>
    <cellStyle name="Comma 37 2 2 2 2 2 7" xfId="26188" xr:uid="{3F3478E1-C16F-4E0A-9668-48951393FEBB}"/>
    <cellStyle name="Comma 37 2 2 2 2 2 8" xfId="26191" xr:uid="{E21B2B45-BA5B-4CAF-BB0B-89C089B4D1A2}"/>
    <cellStyle name="Comma 37 2 2 2 2 3" xfId="26192" xr:uid="{85DCB2C5-23CD-4208-9DA0-DCC341789F10}"/>
    <cellStyle name="Comma 37 2 2 2 2 3 2" xfId="26194" xr:uid="{B340FD3F-EEB7-4D1E-869E-6BE427186D76}"/>
    <cellStyle name="Comma 37 2 2 2 2 3 2 2" xfId="26196" xr:uid="{65EDBCE7-7DEC-4170-B23F-6E0B8B32D87B}"/>
    <cellStyle name="Comma 37 2 2 2 2 3 2 2 2" xfId="1520" xr:uid="{313D551D-0198-4B4B-B338-B25E9AC69454}"/>
    <cellStyle name="Comma 37 2 2 2 2 3 2 2 2 2" xfId="26199" xr:uid="{6DA8DEA2-9DB6-4283-94D3-F56A14095DE0}"/>
    <cellStyle name="Comma 37 2 2 2 2 3 2 2 2 2 2" xfId="24603" xr:uid="{28026CA7-2DDF-418C-80B2-4798C2B41A6F}"/>
    <cellStyle name="Comma 37 2 2 2 2 3 2 2 2 3" xfId="26201" xr:uid="{EB73CDF2-1C28-4ED7-ABA7-BBCA1C82E0D2}"/>
    <cellStyle name="Comma 37 2 2 2 2 3 2 2 3" xfId="1527" xr:uid="{94099747-3782-4316-B807-874412188ED4}"/>
    <cellStyle name="Comma 37 2 2 2 2 3 2 2 3 2" xfId="26202" xr:uid="{7265968F-0273-47CB-9A5E-560FDD105A07}"/>
    <cellStyle name="Comma 37 2 2 2 2 3 2 2 4" xfId="19336" xr:uid="{B7DC62F3-4A61-46E7-9E9B-F464B82160AA}"/>
    <cellStyle name="Comma 37 2 2 2 2 3 2 3" xfId="26203" xr:uid="{AA1CD2D6-701C-4AA7-AC53-0BEC0E68033D}"/>
    <cellStyle name="Comma 37 2 2 2 2 3 2 3 2" xfId="4778" xr:uid="{E67EC5FE-0495-4777-9E5E-B4C83990C7EC}"/>
    <cellStyle name="Comma 37 2 2 2 2 3 2 3 2 2" xfId="26206" xr:uid="{2DA575E0-CD32-4625-99BF-99D3E035E9A4}"/>
    <cellStyle name="Comma 37 2 2 2 2 3 2 3 3" xfId="19373" xr:uid="{DD238C19-8E4C-40DE-A017-AAF8E74E869D}"/>
    <cellStyle name="Comma 37 2 2 2 2 3 2 4" xfId="26207" xr:uid="{F8DB28BB-1D37-4AAC-9880-052A2A4959EC}"/>
    <cellStyle name="Comma 37 2 2 2 2 3 2 4 2" xfId="26211" xr:uid="{FB4B0651-54FB-4079-9CC8-9684CC61C0A3}"/>
    <cellStyle name="Comma 37 2 2 2 2 3 2 5" xfId="7396" xr:uid="{6322F682-1051-4067-B44E-5E1CAE9DBC2F}"/>
    <cellStyle name="Comma 37 2 2 2 2 3 3" xfId="26212" xr:uid="{B1D9CB91-1971-4483-9F0A-4890DE06A37D}"/>
    <cellStyle name="Comma 37 2 2 2 2 3 3 2" xfId="26215" xr:uid="{B968A26A-106E-42E2-AD09-421E3F87E86A}"/>
    <cellStyle name="Comma 37 2 2 2 2 3 3 2 2" xfId="1536" xr:uid="{E315C437-6CAA-4D40-9C07-50EEFE57A009}"/>
    <cellStyle name="Comma 37 2 2 2 2 3 3 2 2 2" xfId="14192" xr:uid="{4DFDB86A-E678-4C66-9DB5-FC601E7D9EF7}"/>
    <cellStyle name="Comma 37 2 2 2 2 3 3 2 3" xfId="1539" xr:uid="{DB758091-9ED5-49C5-9E00-C9D2843CDFB8}"/>
    <cellStyle name="Comma 37 2 2 2 2 3 3 3" xfId="26218" xr:uid="{7434F6DA-6BB7-464B-88E6-1EBA7E27D175}"/>
    <cellStyle name="Comma 37 2 2 2 2 3 3 3 2" xfId="26221" xr:uid="{170ED80C-C6A7-4B37-B4CB-F9790C337703}"/>
    <cellStyle name="Comma 37 2 2 2 2 3 3 4" xfId="26222" xr:uid="{B9CE1773-27B8-4DA8-96FE-A2CDBCCCA41F}"/>
    <cellStyle name="Comma 37 2 2 2 2 3 4" xfId="23805" xr:uid="{EC33FE2C-1722-4962-AC3D-31D9A6B609AB}"/>
    <cellStyle name="Comma 37 2 2 2 2 3 4 2" xfId="23809" xr:uid="{8B239916-F5B5-4FB8-923F-82C54EB03D36}"/>
    <cellStyle name="Comma 37 2 2 2 2 3 4 2 2" xfId="1483" xr:uid="{B9AD516F-6420-41DB-92EE-66B1ED1240A3}"/>
    <cellStyle name="Comma 37 2 2 2 2 3 4 3" xfId="26223" xr:uid="{76E5ED4A-7090-4AE0-82B4-85A7A7599C2C}"/>
    <cellStyle name="Comma 37 2 2 2 2 3 5" xfId="20865" xr:uid="{04D92026-8B96-48BD-B279-E87D8947C007}"/>
    <cellStyle name="Comma 37 2 2 2 2 3 5 2" xfId="20869" xr:uid="{CEA4D301-897F-4F57-8082-9AD5CB11AE4F}"/>
    <cellStyle name="Comma 37 2 2 2 2 3 6" xfId="20876" xr:uid="{CADE6632-D78B-48FF-9DF8-E1D0A832B32F}"/>
    <cellStyle name="Comma 37 2 2 2 2 3 7" xfId="20879" xr:uid="{485ADD3C-EE36-483A-B97D-CC0DF148A341}"/>
    <cellStyle name="Comma 37 2 2 2 2 4" xfId="26225" xr:uid="{B12C0366-531A-490A-A583-B34E5A8B9BF4}"/>
    <cellStyle name="Comma 37 2 2 2 2 4 2" xfId="26228" xr:uid="{4A4D483A-8BB1-4E87-8248-00DE168DE385}"/>
    <cellStyle name="Comma 37 2 2 2 2 4 2 2" xfId="26230" xr:uid="{BC6C84A8-3996-48E9-99A9-5981AC2B65F1}"/>
    <cellStyle name="Comma 37 2 2 2 2 4 2 2 2" xfId="26232" xr:uid="{97638C0F-0E4C-479C-BC8C-1013851848B1}"/>
    <cellStyle name="Comma 37 2 2 2 2 4 2 2 2 2" xfId="26236" xr:uid="{2BDCD356-C0F3-40BC-BCC2-838C56D0B889}"/>
    <cellStyle name="Comma 37 2 2 2 2 4 2 2 3" xfId="26237" xr:uid="{4A9521F1-E34C-4E29-882E-CF8AFF47BD37}"/>
    <cellStyle name="Comma 37 2 2 2 2 4 2 3" xfId="26239" xr:uid="{B53B76D2-144B-4FA5-8F8D-DBCB20E3DCCD}"/>
    <cellStyle name="Comma 37 2 2 2 2 4 2 3 2" xfId="26241" xr:uid="{53D913D9-B42C-460A-B9EF-ABDA8AE03542}"/>
    <cellStyle name="Comma 37 2 2 2 2 4 2 4" xfId="26242" xr:uid="{05A8B240-9C07-4467-83F2-707C7FCE7485}"/>
    <cellStyle name="Comma 37 2 2 2 2 4 3" xfId="26246" xr:uid="{6F80AE18-52B3-49CE-8C63-84C09130D686}"/>
    <cellStyle name="Comma 37 2 2 2 2 4 3 2" xfId="26251" xr:uid="{CFD07956-B924-4864-B908-F68124F50FA7}"/>
    <cellStyle name="Comma 37 2 2 2 2 4 3 2 2" xfId="26253" xr:uid="{0B6384E9-309C-4650-861A-3C08A8CF3992}"/>
    <cellStyle name="Comma 37 2 2 2 2 4 3 3" xfId="26254" xr:uid="{ECBE0C46-1492-44E2-B421-DDCD647E1C71}"/>
    <cellStyle name="Comma 37 2 2 2 2 4 4" xfId="23815" xr:uid="{D1D8519C-457E-42B4-8E14-8495BDC1EAC2}"/>
    <cellStyle name="Comma 37 2 2 2 2 4 4 2" xfId="26255" xr:uid="{A0345481-4A75-4ECF-A44C-852026D2B40F}"/>
    <cellStyle name="Comma 37 2 2 2 2 4 5" xfId="20884" xr:uid="{8B1710E9-0E05-4FA3-97C2-66EFEC71046D}"/>
    <cellStyle name="Comma 37 2 2 2 2 5" xfId="26257" xr:uid="{EE7136A9-EA5B-40C2-A8B5-36F829FC7C69}"/>
    <cellStyle name="Comma 37 2 2 2 2 5 2" xfId="26259" xr:uid="{276FCC09-43DB-4521-9C2C-B1A3248022D9}"/>
    <cellStyle name="Comma 37 2 2 2 2 5 2 2" xfId="26261" xr:uid="{CEE572B7-F987-4801-A7F5-5A5C66EAFFA1}"/>
    <cellStyle name="Comma 37 2 2 2 2 5 2 2 2" xfId="26263" xr:uid="{1922AC45-BFF9-4291-8949-295904516880}"/>
    <cellStyle name="Comma 37 2 2 2 2 5 2 3" xfId="26264" xr:uid="{CECA0A82-A55E-456F-B8A2-9A9777625AB6}"/>
    <cellStyle name="Comma 37 2 2 2 2 5 3" xfId="26267" xr:uid="{4925EE7E-6268-4A81-9B51-DE9B7672D790}"/>
    <cellStyle name="Comma 37 2 2 2 2 5 3 2" xfId="26269" xr:uid="{166C1DDD-C23D-4667-8878-522EE203F969}"/>
    <cellStyle name="Comma 37 2 2 2 2 5 4" xfId="26270" xr:uid="{26920059-3437-4644-BB61-B164A208C9F4}"/>
    <cellStyle name="Comma 37 2 2 2 2 6" xfId="26271" xr:uid="{B72D5473-BCFB-47F8-8658-038F17167F3C}"/>
    <cellStyle name="Comma 37 2 2 2 2 6 2" xfId="26273" xr:uid="{BCBABAE8-A2CB-49B0-B528-4DBEF5E79367}"/>
    <cellStyle name="Comma 37 2 2 2 2 6 2 2" xfId="26275" xr:uid="{D03BAE94-11C8-4F0D-A9F2-1306974B89A5}"/>
    <cellStyle name="Comma 37 2 2 2 2 6 3" xfId="26276" xr:uid="{3E55E8B6-C634-43A7-A86E-C18AB94988C9}"/>
    <cellStyle name="Comma 37 2 2 2 2 7" xfId="26277" xr:uid="{D12FF880-E7B3-416E-8600-106BA54E80F7}"/>
    <cellStyle name="Comma 37 2 2 2 2 7 2" xfId="26279" xr:uid="{BD8469D2-A938-4017-8E25-54D721A790B0}"/>
    <cellStyle name="Comma 37 2 2 2 2 8" xfId="26280" xr:uid="{D0136D03-AB3A-43F1-B6BD-6C44F0CAF426}"/>
    <cellStyle name="Comma 37 2 2 2 2 9" xfId="26282" xr:uid="{6A6EA9FF-6F90-468A-A256-FB19AE6474C7}"/>
    <cellStyle name="Comma 37 2 2 2 3" xfId="26283" xr:uid="{3B7FF49A-C325-4D59-8137-1FD036B1875E}"/>
    <cellStyle name="Comma 37 2 2 2 3 2" xfId="26285" xr:uid="{5818C8C1-D1C5-4292-BE79-C166C104F622}"/>
    <cellStyle name="Comma 37 2 2 2 3 2 2" xfId="26287" xr:uid="{2F1671CC-9757-4AE8-BAEE-94E139513D96}"/>
    <cellStyle name="Comma 37 2 2 2 3 2 2 2" xfId="26289" xr:uid="{61A5C5F4-268D-4A31-9CB2-2EFCA555A299}"/>
    <cellStyle name="Comma 37 2 2 2 3 2 2 2 2" xfId="26291" xr:uid="{7FB10BE4-FF65-4B95-A394-A7EB8AC6157F}"/>
    <cellStyle name="Comma 37 2 2 2 3 2 2 2 2 2" xfId="26293" xr:uid="{1BFF37DA-BF5A-4F4D-B6A6-F6498C370A41}"/>
    <cellStyle name="Comma 37 2 2 2 3 2 2 2 2 2 2" xfId="26296" xr:uid="{F77D624E-2D36-4A93-BD20-83AEB39CFCAB}"/>
    <cellStyle name="Comma 37 2 2 2 3 2 2 2 2 3" xfId="26297" xr:uid="{85A9C26C-9459-4F07-A846-840C433AD966}"/>
    <cellStyle name="Comma 37 2 2 2 3 2 2 2 3" xfId="26298" xr:uid="{2A75499A-F6BC-4678-854E-D5D30A87B158}"/>
    <cellStyle name="Comma 37 2 2 2 3 2 2 2 3 2" xfId="26300" xr:uid="{77027C2D-AD96-4782-BF16-1CC14FA8D829}"/>
    <cellStyle name="Comma 37 2 2 2 3 2 2 2 4" xfId="26302" xr:uid="{35EDF7A8-6072-4365-B33B-09D9FD450D5D}"/>
    <cellStyle name="Comma 37 2 2 2 3 2 2 3" xfId="26303" xr:uid="{A10F9163-36FA-42F7-A6C5-D3E1CF08EF9B}"/>
    <cellStyle name="Comma 37 2 2 2 3 2 2 3 2" xfId="26305" xr:uid="{5F44156D-F24F-4B4E-8EE3-5662EECE5A2D}"/>
    <cellStyle name="Comma 37 2 2 2 3 2 2 3 2 2" xfId="26307" xr:uid="{8DA98282-7E32-4F55-9D17-23CB93A52B90}"/>
    <cellStyle name="Comma 37 2 2 2 3 2 2 3 3" xfId="26308" xr:uid="{74B3636B-133B-44F2-81DE-3D850392CC87}"/>
    <cellStyle name="Comma 37 2 2 2 3 2 2 4" xfId="26309" xr:uid="{9065F8A6-D02D-42EC-B2B7-B9063DB3CFB3}"/>
    <cellStyle name="Comma 37 2 2 2 3 2 2 4 2" xfId="26312" xr:uid="{3578F75B-FA8B-4EBE-84E3-72ECC39BB679}"/>
    <cellStyle name="Comma 37 2 2 2 3 2 2 5" xfId="26313" xr:uid="{4B74A6A2-99C8-4FC8-8D1D-33D96323E727}"/>
    <cellStyle name="Comma 37 2 2 2 3 2 3" xfId="26314" xr:uid="{9B731277-F9B5-4983-A3EF-3B4DE108D91F}"/>
    <cellStyle name="Comma 37 2 2 2 3 2 3 2" xfId="26317" xr:uid="{E5D93363-7825-40BE-8F28-9A74C6022AE7}"/>
    <cellStyle name="Comma 37 2 2 2 3 2 3 2 2" xfId="26320" xr:uid="{0D10EF25-736F-4C07-BD5B-C6945A4A580D}"/>
    <cellStyle name="Comma 37 2 2 2 3 2 3 2 2 2" xfId="14261" xr:uid="{76A7BB1D-C4EA-4662-B620-4762302BD244}"/>
    <cellStyle name="Comma 37 2 2 2 3 2 3 2 3" xfId="26322" xr:uid="{40F702E4-A467-4EBB-98F4-2A3419026C6B}"/>
    <cellStyle name="Comma 37 2 2 2 3 2 3 3" xfId="26323" xr:uid="{E9EBF8C4-92C9-4F1A-A14B-55A83802B3C0}"/>
    <cellStyle name="Comma 37 2 2 2 3 2 3 3 2" xfId="26325" xr:uid="{CCCD69E5-32B9-41F2-8179-95D0AB2A2436}"/>
    <cellStyle name="Comma 37 2 2 2 3 2 3 4" xfId="26326" xr:uid="{88809DB6-B058-4B9C-AEA9-D671358CCC3E}"/>
    <cellStyle name="Comma 37 2 2 2 3 2 4" xfId="23821" xr:uid="{8C76E934-4927-4E92-9A7B-1AC4C80FEF96}"/>
    <cellStyle name="Comma 37 2 2 2 3 2 4 2" xfId="23825" xr:uid="{255B42B5-9593-48E1-8660-A396D6C87003}"/>
    <cellStyle name="Comma 37 2 2 2 3 2 4 2 2" xfId="26327" xr:uid="{F930CA6E-0848-479F-9AD5-35B2810CF03D}"/>
    <cellStyle name="Comma 37 2 2 2 3 2 4 3" xfId="26328" xr:uid="{5EAD23D1-16D1-41FC-A14E-B70A1EC15A5A}"/>
    <cellStyle name="Comma 37 2 2 2 3 2 5" xfId="23828" xr:uid="{5C4C6A4C-8672-403B-92FA-EF3C572646BA}"/>
    <cellStyle name="Comma 37 2 2 2 3 2 5 2" xfId="26329" xr:uid="{BD7F992E-49B4-4422-A5F6-F75F8CA8FE73}"/>
    <cellStyle name="Comma 37 2 2 2 3 2 6" xfId="13821" xr:uid="{235E541C-F985-40F9-B308-01B92FA70B4A}"/>
    <cellStyle name="Comma 37 2 2 2 3 2 7" xfId="13826" xr:uid="{88065457-95A1-48FA-917B-8663ACF7E475}"/>
    <cellStyle name="Comma 37 2 2 2 3 3" xfId="26330" xr:uid="{71CED051-3570-4BB6-8EF3-C7859087B33A}"/>
    <cellStyle name="Comma 37 2 2 2 3 3 2" xfId="26332" xr:uid="{303CC9A6-70E2-4939-9CAD-5F4D6546F27F}"/>
    <cellStyle name="Comma 37 2 2 2 3 3 2 2" xfId="26334" xr:uid="{E303A05B-2D58-4C46-A88E-14E03632F50B}"/>
    <cellStyle name="Comma 37 2 2 2 3 3 2 2 2" xfId="26336" xr:uid="{FF3B9C05-C1C2-474A-886D-CD8FF5C67C28}"/>
    <cellStyle name="Comma 37 2 2 2 3 3 2 2 2 2" xfId="26340" xr:uid="{D29DB897-615D-44A6-A4C4-5EB438EF57AF}"/>
    <cellStyle name="Comma 37 2 2 2 3 3 2 2 3" xfId="26341" xr:uid="{B62F4457-06B1-459E-97DF-7B1A449EED99}"/>
    <cellStyle name="Comma 37 2 2 2 3 3 2 3" xfId="26342" xr:uid="{92D35DB5-6517-4BDC-926B-57EE7108CB77}"/>
    <cellStyle name="Comma 37 2 2 2 3 3 2 3 2" xfId="26344" xr:uid="{95BCA1C3-B31D-4DB2-A12C-FCB0773E4C9B}"/>
    <cellStyle name="Comma 37 2 2 2 3 3 2 4" xfId="26345" xr:uid="{56D1EC03-94F0-47E7-ACA5-CEC8046766ED}"/>
    <cellStyle name="Comma 37 2 2 2 3 3 3" xfId="26346" xr:uid="{EF5153B1-A545-4D6C-85D7-C66BF1A9F449}"/>
    <cellStyle name="Comma 37 2 2 2 3 3 3 2" xfId="26350" xr:uid="{794EAD93-7F8F-4A4B-A8C3-F21C2E646F03}"/>
    <cellStyle name="Comma 37 2 2 2 3 3 3 2 2" xfId="26352" xr:uid="{14542419-9FAA-42B3-A5F7-6A9A425DE204}"/>
    <cellStyle name="Comma 37 2 2 2 3 3 3 3" xfId="26353" xr:uid="{61B4E759-1512-41EF-B8E9-A9E28689A240}"/>
    <cellStyle name="Comma 37 2 2 2 3 3 4" xfId="23832" xr:uid="{3A56AE57-9974-4EDB-9FE6-E112D7CCB714}"/>
    <cellStyle name="Comma 37 2 2 2 3 3 4 2" xfId="26354" xr:uid="{3F6A212E-7C90-4693-A073-5266304C3E8D}"/>
    <cellStyle name="Comma 37 2 2 2 3 3 5" xfId="20903" xr:uid="{90C0ADAE-9413-4982-A03E-00421313ADA2}"/>
    <cellStyle name="Comma 37 2 2 2 3 4" xfId="26356" xr:uid="{9023ADC1-9CDB-484E-B3BD-5E374B7A1756}"/>
    <cellStyle name="Comma 37 2 2 2 3 4 2" xfId="1707" xr:uid="{7BE71079-4A65-4C8B-AB0A-92030E871A83}"/>
    <cellStyle name="Comma 37 2 2 2 3 4 2 2" xfId="4190" xr:uid="{AF2895F7-EFE6-48F1-9604-13BB4533F788}"/>
    <cellStyle name="Comma 37 2 2 2 3 4 2 2 2" xfId="4194" xr:uid="{F6C30439-B370-4E38-A47D-B12C1260E7FB}"/>
    <cellStyle name="Comma 37 2 2 2 3 4 2 3" xfId="4219" xr:uid="{118D5243-34A8-4F1F-A85C-7D51F1006DEB}"/>
    <cellStyle name="Comma 37 2 2 2 3 4 3" xfId="1714" xr:uid="{506B833A-731D-4F83-AF99-BA4C5B149E87}"/>
    <cellStyle name="Comma 37 2 2 2 3 4 3 2" xfId="4253" xr:uid="{A70DE655-B81D-414C-AB62-B51FD7650065}"/>
    <cellStyle name="Comma 37 2 2 2 3 4 4" xfId="1721" xr:uid="{F4D566C4-458B-4F49-A1F9-02324144FFB6}"/>
    <cellStyle name="Comma 37 2 2 2 3 5" xfId="26359" xr:uid="{B331A7F9-B164-4608-B738-C72ADEB97E93}"/>
    <cellStyle name="Comma 37 2 2 2 3 5 2" xfId="555" xr:uid="{75A19A80-7936-4F5E-8DBA-214E57C0327E}"/>
    <cellStyle name="Comma 37 2 2 2 3 5 2 2" xfId="5360" xr:uid="{C0093385-BC00-481B-A7FB-3D48E297CEB3}"/>
    <cellStyle name="Comma 37 2 2 2 3 5 3" xfId="575" xr:uid="{F179AC9C-B462-4705-B4EB-A46A2498401C}"/>
    <cellStyle name="Comma 37 2 2 2 3 6" xfId="26361" xr:uid="{AB4BFCAD-DE49-4136-97C2-D823C7445999}"/>
    <cellStyle name="Comma 37 2 2 2 3 6 2" xfId="5957" xr:uid="{B585B69F-A114-4782-9490-469885FF3A70}"/>
    <cellStyle name="Comma 37 2 2 2 3 7" xfId="26363" xr:uid="{6798174A-763B-41D8-A743-3E3FF0240A18}"/>
    <cellStyle name="Comma 37 2 2 2 3 8" xfId="26365" xr:uid="{50909C71-9AF4-4BD0-8FB4-1EF0CCCF0B55}"/>
    <cellStyle name="Comma 37 2 2 2 4" xfId="26366" xr:uid="{76B4918A-6BFE-4B51-856D-1F8DAA51311E}"/>
    <cellStyle name="Comma 37 2 2 2 4 2" xfId="26368" xr:uid="{8A2A26FC-8FD4-4104-BF78-DD74A85061DE}"/>
    <cellStyle name="Comma 37 2 2 2 4 2 2" xfId="26370" xr:uid="{2F40FB12-C422-47A0-B4A3-60DC563302EA}"/>
    <cellStyle name="Comma 37 2 2 2 4 2 2 2" xfId="26374" xr:uid="{2EBA85E6-5398-4881-9BE9-D9711D12617D}"/>
    <cellStyle name="Comma 37 2 2 2 4 2 2 2 2" xfId="26376" xr:uid="{55B2ACC2-EC94-44B5-9D73-59429B96C6EE}"/>
    <cellStyle name="Comma 37 2 2 2 4 2 2 2 2 2" xfId="26378" xr:uid="{B778AA06-0B70-41C6-BAEF-1AC42910C432}"/>
    <cellStyle name="Comma 37 2 2 2 4 2 2 2 3" xfId="26379" xr:uid="{7329EF30-2C33-4E68-BA94-1F7F15576D27}"/>
    <cellStyle name="Comma 37 2 2 2 4 2 2 3" xfId="26380" xr:uid="{3CECA8AA-55EF-4D0F-AEA0-AB59927E08E4}"/>
    <cellStyle name="Comma 37 2 2 2 4 2 2 3 2" xfId="26382" xr:uid="{86481532-23E8-4A89-BFF2-E028FF5711DF}"/>
    <cellStyle name="Comma 37 2 2 2 4 2 2 4" xfId="26383" xr:uid="{FE18B985-DD71-4359-8D0A-D61DBF72D143}"/>
    <cellStyle name="Comma 37 2 2 2 4 2 3" xfId="9504" xr:uid="{5684FF1C-C4B4-4D0A-8823-EE13A3A4C159}"/>
    <cellStyle name="Comma 37 2 2 2 4 2 3 2" xfId="9508" xr:uid="{4F70C88A-400F-4FA9-AEA4-3C0C49B881EE}"/>
    <cellStyle name="Comma 37 2 2 2 4 2 3 2 2" xfId="26384" xr:uid="{C9399A80-9847-4490-83D5-67A440D4D830}"/>
    <cellStyle name="Comma 37 2 2 2 4 2 3 3" xfId="26385" xr:uid="{7E702FD5-68DD-4FBF-B589-1C94E3F9B61C}"/>
    <cellStyle name="Comma 37 2 2 2 4 2 4" xfId="9511" xr:uid="{3BC91AD1-650A-4D61-9A5C-87B7DAF67AE9}"/>
    <cellStyle name="Comma 37 2 2 2 4 2 4 2" xfId="26386" xr:uid="{4851C925-3330-4ABD-90A1-9386151403C5}"/>
    <cellStyle name="Comma 37 2 2 2 4 2 5" xfId="26388" xr:uid="{EA02739A-DAD6-4B3F-8D52-888A85CD0C81}"/>
    <cellStyle name="Comma 37 2 2 2 4 3" xfId="26390" xr:uid="{D90E20D0-681D-4BF1-9639-6949AA68E767}"/>
    <cellStyle name="Comma 37 2 2 2 4 3 2" xfId="26392" xr:uid="{CB2A34AF-EEA3-4758-85B6-86AC984592FC}"/>
    <cellStyle name="Comma 37 2 2 2 4 3 2 2" xfId="26394" xr:uid="{F5110DE5-65B9-4E3F-BB76-E43B759F3465}"/>
    <cellStyle name="Comma 37 2 2 2 4 3 2 2 2" xfId="26396" xr:uid="{3A2BEF7D-A816-4A13-9FDB-29CC87AC2813}"/>
    <cellStyle name="Comma 37 2 2 2 4 3 2 3" xfId="26397" xr:uid="{BBB67DFF-C4D2-46FD-9C3D-D14A0FBDCF27}"/>
    <cellStyle name="Comma 37 2 2 2 4 3 3" xfId="9521" xr:uid="{A541636A-425F-46CE-9AF4-866DF6CC3A22}"/>
    <cellStyle name="Comma 37 2 2 2 4 3 3 2" xfId="26398" xr:uid="{539B12F5-DEEE-4FFD-BC21-68668D43FC07}"/>
    <cellStyle name="Comma 37 2 2 2 4 3 4" xfId="23300" xr:uid="{768CADC7-7BBD-4C36-A176-5539F148DCD1}"/>
    <cellStyle name="Comma 37 2 2 2 4 4" xfId="26400" xr:uid="{1BC7976A-B518-4631-9F1F-382C11BF9D02}"/>
    <cellStyle name="Comma 37 2 2 2 4 4 2" xfId="6903" xr:uid="{DAC38D56-7090-4212-B67D-8D83668488CA}"/>
    <cellStyle name="Comma 37 2 2 2 4 4 2 2" xfId="6906" xr:uid="{F41F8080-4CB8-4105-80E1-99A8001EAADF}"/>
    <cellStyle name="Comma 37 2 2 2 4 4 3" xfId="6928" xr:uid="{82D12090-8A0C-432D-B824-5F63C6E954C9}"/>
    <cellStyle name="Comma 37 2 2 2 4 5" xfId="26403" xr:uid="{29F55180-0D49-4539-81A6-7B13E508D3D1}"/>
    <cellStyle name="Comma 37 2 2 2 4 5 2" xfId="7073" xr:uid="{98115D3A-72F7-4259-89EC-676D71F95903}"/>
    <cellStyle name="Comma 37 2 2 2 4 6" xfId="26405" xr:uid="{66523892-42BB-4AF1-AD45-2F657C2EB867}"/>
    <cellStyle name="Comma 37 2 2 2 4 7" xfId="14327" xr:uid="{E741C88A-365C-4FBE-A92E-4C7816B4935D}"/>
    <cellStyle name="Comma 37 2 2 2 5" xfId="26406" xr:uid="{DDDCECAF-0120-4CC1-B16B-9043AFF9333C}"/>
    <cellStyle name="Comma 37 2 2 2 5 2" xfId="26408" xr:uid="{CCF64003-8B84-48AD-8440-4A815E1678CB}"/>
    <cellStyle name="Comma 37 2 2 2 5 2 2" xfId="20115" xr:uid="{E4C4FE97-8652-4C60-B144-D0A0C1EC011B}"/>
    <cellStyle name="Comma 37 2 2 2 5 2 2 2" xfId="20088" xr:uid="{03F9A835-F349-4F69-88A8-664CFA525D66}"/>
    <cellStyle name="Comma 37 2 2 2 5 2 2 2 2" xfId="20091" xr:uid="{CFDA47DD-4E7A-4CD0-A0A4-8A4648A13F45}"/>
    <cellStyle name="Comma 37 2 2 2 5 2 2 3" xfId="20098" xr:uid="{9DDAF327-6CC5-4D39-BCC9-0977F8A49FFA}"/>
    <cellStyle name="Comma 37 2 2 2 5 2 3" xfId="9588" xr:uid="{F9578484-0F14-4F7A-8407-277B4C09BA2B}"/>
    <cellStyle name="Comma 37 2 2 2 5 2 3 2" xfId="2110" xr:uid="{E5BACC17-5E50-436F-AAB6-119DBA43779B}"/>
    <cellStyle name="Comma 37 2 2 2 5 2 4" xfId="26410" xr:uid="{B073482C-EC3B-4FC7-8D72-AD428A6227DB}"/>
    <cellStyle name="Comma 37 2 2 2 5 3" xfId="26413" xr:uid="{2EB74681-7608-4BCB-B643-363D108D5693}"/>
    <cellStyle name="Comma 37 2 2 2 5 3 2" xfId="26415" xr:uid="{CB8FACBC-F279-4B1A-AFE4-9D99FFCC4FE6}"/>
    <cellStyle name="Comma 37 2 2 2 5 3 2 2" xfId="20505" xr:uid="{ACBA7E37-100E-4D4E-9FDF-69A95AC4B8B8}"/>
    <cellStyle name="Comma 37 2 2 2 5 3 3" xfId="26417" xr:uid="{BA8CDF38-464A-4043-9EC4-60DCD8836141}"/>
    <cellStyle name="Comma 37 2 2 2 5 4" xfId="26422" xr:uid="{224A5253-B48A-4775-B210-BB86F5A8AC17}"/>
    <cellStyle name="Comma 37 2 2 2 5 4 2" xfId="26426" xr:uid="{5D40D928-26E8-4441-92F2-4154EDDB0592}"/>
    <cellStyle name="Comma 37 2 2 2 5 5" xfId="26429" xr:uid="{C6268898-02DF-4FFC-8871-021AEDEBCF29}"/>
    <cellStyle name="Comma 37 2 2 2 6" xfId="26430" xr:uid="{B1FD0610-5A4A-4E1B-8D34-F2AAE81044C0}"/>
    <cellStyle name="Comma 37 2 2 2 6 2" xfId="26432" xr:uid="{3D7F07AB-5F0A-473F-BD66-F480C9899D9B}"/>
    <cellStyle name="Comma 37 2 2 2 6 2 2" xfId="26437" xr:uid="{A5988904-8B5E-40F1-B8DA-84FA387D130A}"/>
    <cellStyle name="Comma 37 2 2 2 6 2 2 2" xfId="1612" xr:uid="{A8B9A50C-B26F-4DFD-9A09-3CBC018D6EC0}"/>
    <cellStyle name="Comma 37 2 2 2 6 2 3" xfId="26441" xr:uid="{A9958996-298D-4FDC-A880-15B8B0836BCB}"/>
    <cellStyle name="Comma 37 2 2 2 6 3" xfId="23942" xr:uid="{83EC16E0-AD2F-4153-8BAE-2E6895AE3750}"/>
    <cellStyle name="Comma 37 2 2 2 6 3 2" xfId="23947" xr:uid="{D4AF418F-8E60-46E1-BD39-4D475A17F519}"/>
    <cellStyle name="Comma 37 2 2 2 6 4" xfId="23953" xr:uid="{A1E82401-59F3-4421-9ADF-F5305EDD8A9B}"/>
    <cellStyle name="Comma 37 2 2 2 7" xfId="26445" xr:uid="{77EC8EE2-796C-4897-93F1-982AA71898DC}"/>
    <cellStyle name="Comma 37 2 2 2 7 2" xfId="13988" xr:uid="{0A25B9F4-C43B-4E93-8CE9-33617C7270CD}"/>
    <cellStyle name="Comma 37 2 2 2 7 2 2" xfId="26447" xr:uid="{2F482241-3BB5-4122-8B8A-8D47D409C67F}"/>
    <cellStyle name="Comma 37 2 2 2 7 3" xfId="23960" xr:uid="{F98EA3E3-26DD-4516-A543-82B47B1E2E7B}"/>
    <cellStyle name="Comma 37 2 2 2 8" xfId="26450" xr:uid="{5F3ADC4F-11CE-4181-B37B-4F68B233DBC2}"/>
    <cellStyle name="Comma 37 2 2 2 8 2" xfId="26452" xr:uid="{00720818-A194-4B3E-8A75-F6FBB11AE151}"/>
    <cellStyle name="Comma 37 2 2 2 9" xfId="26457" xr:uid="{69281BA1-3C1B-4A85-B7C4-DECEF9F35C52}"/>
    <cellStyle name="Comma 37 2 2 3" xfId="26462" xr:uid="{B3A6F1F3-66F3-4FE1-9149-C4468FCCE236}"/>
    <cellStyle name="Comma 37 2 2 3 2" xfId="26465" xr:uid="{E188E065-FB5A-4301-973A-39E5979DCD9B}"/>
    <cellStyle name="Comma 37 2 2 3 2 2" xfId="26467" xr:uid="{3F98D331-E966-4E79-A364-47D2FB8AEB66}"/>
    <cellStyle name="Comma 37 2 2 3 2 2 2" xfId="26469" xr:uid="{D51C3772-472B-4180-8C95-F19084EA2778}"/>
    <cellStyle name="Comma 37 2 2 3 2 2 2 2" xfId="26471" xr:uid="{A4ABE94D-D303-4944-90E1-B80E45CEFF74}"/>
    <cellStyle name="Comma 37 2 2 3 2 2 2 2 2" xfId="26473" xr:uid="{BAD41A1A-E409-41F6-9AF5-6F8CB1C9EB03}"/>
    <cellStyle name="Comma 37 2 2 3 2 2 2 2 2 2" xfId="26475" xr:uid="{CAB41727-E0BC-4879-AE85-83513452EA5E}"/>
    <cellStyle name="Comma 37 2 2 3 2 2 2 2 2 2 2" xfId="26477" xr:uid="{98F07460-76BC-4B62-A8ED-7501180D625F}"/>
    <cellStyle name="Comma 37 2 2 3 2 2 2 2 2 3" xfId="10901" xr:uid="{9556B12E-2DE0-4C15-BC6F-078A8E649319}"/>
    <cellStyle name="Comma 37 2 2 3 2 2 2 2 3" xfId="26480" xr:uid="{9184633E-8FFB-4193-B083-8635A316F1FE}"/>
    <cellStyle name="Comma 37 2 2 3 2 2 2 2 3 2" xfId="26482" xr:uid="{082BA668-BEE9-4C12-96A1-67EF08096621}"/>
    <cellStyle name="Comma 37 2 2 3 2 2 2 2 4" xfId="4535" xr:uid="{336CA5AD-07D2-440D-98DF-395CEA671F32}"/>
    <cellStyle name="Comma 37 2 2 3 2 2 2 3" xfId="26483" xr:uid="{F952075B-D2FF-4BF8-9FB3-9EA4D273E6D4}"/>
    <cellStyle name="Comma 37 2 2 3 2 2 2 3 2" xfId="26485" xr:uid="{85FF199F-BDD5-41B9-BEC2-A0CA6498CAB8}"/>
    <cellStyle name="Comma 37 2 2 3 2 2 2 3 2 2" xfId="26487" xr:uid="{41798946-4E9E-430F-8F2F-24BA018157A0}"/>
    <cellStyle name="Comma 37 2 2 3 2 2 2 3 3" xfId="26490" xr:uid="{84F48D0F-9C70-4B59-A2CB-6012A0C4EBEE}"/>
    <cellStyle name="Comma 37 2 2 3 2 2 2 4" xfId="23687" xr:uid="{97437BBD-9D58-4AB8-A916-063A458B011D}"/>
    <cellStyle name="Comma 37 2 2 3 2 2 2 4 2" xfId="26491" xr:uid="{342A3644-5CB4-405B-B133-DC8EEF225BE0}"/>
    <cellStyle name="Comma 37 2 2 3 2 2 2 5" xfId="26492" xr:uid="{1BC8FCCC-3562-44A0-91FB-64291D9B150B}"/>
    <cellStyle name="Comma 37 2 2 3 2 2 3" xfId="26493" xr:uid="{B490ED81-473E-44CA-848B-F0961A7622BC}"/>
    <cellStyle name="Comma 37 2 2 3 2 2 3 2" xfId="26496" xr:uid="{D760393B-F88B-457D-8744-A36CDC71835C}"/>
    <cellStyle name="Comma 37 2 2 3 2 2 3 2 2" xfId="26499" xr:uid="{EDBE4799-F367-4747-AC6D-7ED394B94009}"/>
    <cellStyle name="Comma 37 2 2 3 2 2 3 2 2 2" xfId="14437" xr:uid="{A88E5016-AE4B-4532-BBF1-0D82727B4A64}"/>
    <cellStyle name="Comma 37 2 2 3 2 2 3 2 3" xfId="26501" xr:uid="{742574F7-8DEE-42C7-877B-94A701B5CDBF}"/>
    <cellStyle name="Comma 37 2 2 3 2 2 3 3" xfId="26502" xr:uid="{54D626E2-449C-43C9-8509-5EB481069AEC}"/>
    <cellStyle name="Comma 37 2 2 3 2 2 3 3 2" xfId="26504" xr:uid="{802C7989-68A2-49F5-AF12-E14BBEE6F255}"/>
    <cellStyle name="Comma 37 2 2 3 2 2 3 4" xfId="26505" xr:uid="{93EE3468-F833-4277-BCC6-1CCA8475AA68}"/>
    <cellStyle name="Comma 37 2 2 3 2 2 4" xfId="5561" xr:uid="{C275DD9F-0DDC-4798-9979-A1BFAFF9F196}"/>
    <cellStyle name="Comma 37 2 2 3 2 2 4 2" xfId="5566" xr:uid="{CA7056E9-1639-4C03-A367-8CA084B9CCCE}"/>
    <cellStyle name="Comma 37 2 2 3 2 2 4 2 2" xfId="5570" xr:uid="{685294D2-772F-4F60-830E-4B362F165E48}"/>
    <cellStyle name="Comma 37 2 2 3 2 2 4 3" xfId="5572" xr:uid="{BC0ECE71-A493-43C3-ABC5-6AC14EC231F3}"/>
    <cellStyle name="Comma 37 2 2 3 2 2 5" xfId="5574" xr:uid="{5D8DD926-B0E4-41CC-9B0D-5D578B23AD5E}"/>
    <cellStyle name="Comma 37 2 2 3 2 2 5 2" xfId="5578" xr:uid="{B124AC6F-2901-4C99-AF9A-A09BC3B6DFCB}"/>
    <cellStyle name="Comma 37 2 2 3 2 2 6" xfId="5584" xr:uid="{F97C9986-4313-4C32-B896-F3B6357ECD97}"/>
    <cellStyle name="Comma 37 2 2 3 2 2 7" xfId="26506" xr:uid="{75F5CE9D-B32B-471A-9021-0C43EF4CCA6A}"/>
    <cellStyle name="Comma 37 2 2 3 2 3" xfId="26507" xr:uid="{ACFA8107-007A-47AE-BEB5-FDEB011DAE7E}"/>
    <cellStyle name="Comma 37 2 2 3 2 3 2" xfId="26509" xr:uid="{8877D864-0C9B-456F-8225-202560BB848E}"/>
    <cellStyle name="Comma 37 2 2 3 2 3 2 2" xfId="26511" xr:uid="{C1AF1F00-EA02-4CD2-985D-AF85B09C06F2}"/>
    <cellStyle name="Comma 37 2 2 3 2 3 2 2 2" xfId="26513" xr:uid="{C3179490-442C-49A6-8B97-9A003D19F9CC}"/>
    <cellStyle name="Comma 37 2 2 3 2 3 2 2 2 2" xfId="26515" xr:uid="{31C18FEC-E59F-4A89-BF1D-920A7A869E42}"/>
    <cellStyle name="Comma 37 2 2 3 2 3 2 2 3" xfId="26516" xr:uid="{D94AC1BA-7466-474D-AA7B-37C77AAB4D7E}"/>
    <cellStyle name="Comma 37 2 2 3 2 3 2 3" xfId="26517" xr:uid="{05C63B20-C181-4D24-8BE7-A1FCA4EFF90F}"/>
    <cellStyle name="Comma 37 2 2 3 2 3 2 3 2" xfId="26519" xr:uid="{2C74B1AD-2532-4F6E-AEB5-DE5AC7A72339}"/>
    <cellStyle name="Comma 37 2 2 3 2 3 2 4" xfId="26520" xr:uid="{B3C8A24C-49AB-41A1-A0AC-4DB2659D7C2A}"/>
    <cellStyle name="Comma 37 2 2 3 2 3 3" xfId="26521" xr:uid="{5DE66A22-0320-45EB-B152-514305E0D27C}"/>
    <cellStyle name="Comma 37 2 2 3 2 3 3 2" xfId="26524" xr:uid="{56B5865D-68F0-444A-9CD3-33074E83ED76}"/>
    <cellStyle name="Comma 37 2 2 3 2 3 3 2 2" xfId="26526" xr:uid="{8FB982CA-0BCB-4574-936E-3EFD978B7A4B}"/>
    <cellStyle name="Comma 37 2 2 3 2 3 3 3" xfId="26527" xr:uid="{78F5140A-D4FA-4367-9C3F-997E8FFB4123}"/>
    <cellStyle name="Comma 37 2 2 3 2 3 4" xfId="825" xr:uid="{B6A03CD4-B6B9-447A-8D52-6D093396E641}"/>
    <cellStyle name="Comma 37 2 2 3 2 3 4 2" xfId="3357" xr:uid="{CE4819EB-6715-4F2C-BB20-5B51AE9E960C}"/>
    <cellStyle name="Comma 37 2 2 3 2 3 5" xfId="383" xr:uid="{610F5F2A-FEC0-4E01-8FB6-41DB4A4AB8A0}"/>
    <cellStyle name="Comma 37 2 2 3 2 4" xfId="24150" xr:uid="{7A606211-E4CD-4E27-A36E-54618901FA62}"/>
    <cellStyle name="Comma 37 2 2 3 2 4 2" xfId="8319" xr:uid="{4280690A-72DA-4F76-B0FF-8EAF5FA62298}"/>
    <cellStyle name="Comma 37 2 2 3 2 4 2 2" xfId="8327" xr:uid="{2F7A4EC8-D513-4635-9616-E5B332D2F049}"/>
    <cellStyle name="Comma 37 2 2 3 2 4 2 2 2" xfId="8333" xr:uid="{527AE184-D0EB-4755-9648-ACBDFBBE7879}"/>
    <cellStyle name="Comma 37 2 2 3 2 4 2 3" xfId="7678" xr:uid="{44CEF7E1-B1CD-4DDD-AECD-169E437C5050}"/>
    <cellStyle name="Comma 37 2 2 3 2 4 3" xfId="884" xr:uid="{FA066486-84AD-40CF-AB1B-2E0797B3195E}"/>
    <cellStyle name="Comma 37 2 2 3 2 4 3 2" xfId="935" xr:uid="{176417E4-F917-4AC9-812D-5FEED5194C1C}"/>
    <cellStyle name="Comma 37 2 2 3 2 4 4" xfId="986" xr:uid="{1203F7D3-1BB7-46D7-B6D5-958B74AF351A}"/>
    <cellStyle name="Comma 37 2 2 3 2 5" xfId="24157" xr:uid="{1EE6E059-A722-4666-8019-88E92AD48061}"/>
    <cellStyle name="Comma 37 2 2 3 2 5 2" xfId="9285" xr:uid="{260BAFDF-C504-492E-B17A-E8270047F307}"/>
    <cellStyle name="Comma 37 2 2 3 2 5 2 2" xfId="9289" xr:uid="{8BB40C93-CB93-4BC9-89CE-C1F8B73F9834}"/>
    <cellStyle name="Comma 37 2 2 3 2 5 3" xfId="9334" xr:uid="{8B0FE0A8-FB31-4A97-B3A3-8F66534E8D8F}"/>
    <cellStyle name="Comma 37 2 2 3 2 6" xfId="24160" xr:uid="{12AF8F04-4A38-4374-82CF-3D4F7B37FC4A}"/>
    <cellStyle name="Comma 37 2 2 3 2 6 2" xfId="9867" xr:uid="{1BE0B7C6-1BE5-4017-B0B1-204FADA089B5}"/>
    <cellStyle name="Comma 37 2 2 3 2 7" xfId="26529" xr:uid="{0F5EE9BA-6EB6-4755-AC14-84725CCEEEDA}"/>
    <cellStyle name="Comma 37 2 2 3 2 8" xfId="20815" xr:uid="{6DBAB1F3-EC70-4362-8B22-B37CB309320F}"/>
    <cellStyle name="Comma 37 2 2 3 3" xfId="26531" xr:uid="{C3811718-B526-4DF8-A8B7-85E10748B0EE}"/>
    <cellStyle name="Comma 37 2 2 3 3 2" xfId="26535" xr:uid="{4A342E4E-B7A9-4204-BF5F-17965F27689D}"/>
    <cellStyle name="Comma 37 2 2 3 3 2 2" xfId="26537" xr:uid="{54B28656-8ED2-43C2-8FB7-1DE4DD900B08}"/>
    <cellStyle name="Comma 37 2 2 3 3 2 2 2" xfId="26539" xr:uid="{D50874FC-465F-4993-B50B-C46F3F42933E}"/>
    <cellStyle name="Comma 37 2 2 3 3 2 2 2 2" xfId="26541" xr:uid="{BBB34F9D-F46E-4A02-B388-75E521E60DDE}"/>
    <cellStyle name="Comma 37 2 2 3 3 2 2 2 2 2" xfId="10416" xr:uid="{D40D814B-EB8A-43C6-BD38-547432FEE20B}"/>
    <cellStyle name="Comma 37 2 2 3 3 2 2 2 3" xfId="26544" xr:uid="{CC9432B6-B237-413D-8F1C-9937C0007BA9}"/>
    <cellStyle name="Comma 37 2 2 3 3 2 2 3" xfId="26545" xr:uid="{680E1C44-1763-4ECC-80D8-F505CAFE3F4E}"/>
    <cellStyle name="Comma 37 2 2 3 3 2 2 3 2" xfId="26547" xr:uid="{85F307B1-ACB3-456E-B58F-8D29EB6BCDEF}"/>
    <cellStyle name="Comma 37 2 2 3 3 2 2 4" xfId="26548" xr:uid="{896D4C6D-12F9-4D3D-AE1E-3B63858AB0A7}"/>
    <cellStyle name="Comma 37 2 2 3 3 2 3" xfId="26549" xr:uid="{0F6B9FAE-436A-4B8B-B378-ABB831D78ABA}"/>
    <cellStyle name="Comma 37 2 2 3 3 2 3 2" xfId="26552" xr:uid="{B1A995C3-1B3A-4CC2-9480-9D2938A1771D}"/>
    <cellStyle name="Comma 37 2 2 3 3 2 3 2 2" xfId="26555" xr:uid="{5E2AAA06-2391-4E02-96EF-BF94EC75BECC}"/>
    <cellStyle name="Comma 37 2 2 3 3 2 3 3" xfId="26556" xr:uid="{931B712D-97EE-41B6-B0C9-D98BA0E363DC}"/>
    <cellStyle name="Comma 37 2 2 3 3 2 4" xfId="5600" xr:uid="{AD48F4F0-E5CA-4FAF-9D69-8BADA69389AC}"/>
    <cellStyle name="Comma 37 2 2 3 3 2 4 2" xfId="5604" xr:uid="{C2B54D22-CFCC-4672-8F7B-FD3F1B6FD935}"/>
    <cellStyle name="Comma 37 2 2 3 3 2 5" xfId="5606" xr:uid="{C4CE8456-570C-4B0C-AE7E-02BC616A5680}"/>
    <cellStyle name="Comma 37 2 2 3 3 3" xfId="26559" xr:uid="{F42C42F7-F898-4EB5-8D01-C7CA45252434}"/>
    <cellStyle name="Comma 37 2 2 3 3 3 2" xfId="26561" xr:uid="{3740C3BE-1322-4860-A21E-3A277ACD912E}"/>
    <cellStyle name="Comma 37 2 2 3 3 3 2 2" xfId="26563" xr:uid="{E881A6F0-4A28-4756-B4ED-BA116541EDF2}"/>
    <cellStyle name="Comma 37 2 2 3 3 3 2 2 2" xfId="19181" xr:uid="{0BA101DF-E90D-4F2A-8AB3-A79622DE716B}"/>
    <cellStyle name="Comma 37 2 2 3 3 3 2 3" xfId="26565" xr:uid="{05B882DE-033F-460E-B4F7-3330C7BF66D7}"/>
    <cellStyle name="Comma 37 2 2 3 3 3 3" xfId="26566" xr:uid="{3241B3CA-54C1-409C-884B-AFC7B85DF826}"/>
    <cellStyle name="Comma 37 2 2 3 3 3 3 2" xfId="26568" xr:uid="{FDF0F99B-0DC9-49AC-84D2-F76C72ABEEEF}"/>
    <cellStyle name="Comma 37 2 2 3 3 3 4" xfId="4116" xr:uid="{09EED849-0EE3-4439-83E1-5009FFF00135}"/>
    <cellStyle name="Comma 37 2 2 3 3 4" xfId="24175" xr:uid="{B3AB1906-8534-4120-A744-B1F59906EF5E}"/>
    <cellStyle name="Comma 37 2 2 3 3 4 2" xfId="11854" xr:uid="{9C3641BF-EA8A-4253-A750-98D72FA45648}"/>
    <cellStyle name="Comma 37 2 2 3 3 4 2 2" xfId="11858" xr:uid="{3BB6E162-AE64-4954-A4EE-52CC0BF656D6}"/>
    <cellStyle name="Comma 37 2 2 3 3 4 3" xfId="11976" xr:uid="{A3F6801B-9C02-4B55-B240-1B9E26780FC4}"/>
    <cellStyle name="Comma 37 2 2 3 3 5" xfId="24184" xr:uid="{4F19A64F-449C-4357-B25F-40D75C7630A9}"/>
    <cellStyle name="Comma 37 2 2 3 3 5 2" xfId="12842" xr:uid="{2C088395-B7B1-4733-AB82-6378DB2284B8}"/>
    <cellStyle name="Comma 37 2 2 3 3 6" xfId="26572" xr:uid="{EB46128E-19FF-402E-8501-A0805A86E3C1}"/>
    <cellStyle name="Comma 37 2 2 3 3 7" xfId="26577" xr:uid="{83C7E3DC-8CE9-467E-8495-05FC63CDDB23}"/>
    <cellStyle name="Comma 37 2 2 3 4" xfId="26578" xr:uid="{232AB877-08AF-4458-9FC8-3B34404E4E6B}"/>
    <cellStyle name="Comma 37 2 2 3 4 2" xfId="26580" xr:uid="{1F35457B-22A0-4795-A602-95CE6816B844}"/>
    <cellStyle name="Comma 37 2 2 3 4 2 2" xfId="26582" xr:uid="{4FB72361-8030-4957-B75A-C67931FA3D53}"/>
    <cellStyle name="Comma 37 2 2 3 4 2 2 2" xfId="26584" xr:uid="{006C7F3A-3B3C-42BE-8C08-D9AF0051EBC5}"/>
    <cellStyle name="Comma 37 2 2 3 4 2 2 2 2" xfId="26586" xr:uid="{126A2184-D5CE-4128-A058-7DD9CAF91C8F}"/>
    <cellStyle name="Comma 37 2 2 3 4 2 2 3" xfId="26587" xr:uid="{81FFA8DB-FBF9-4C85-89B4-5CDEDC6382F5}"/>
    <cellStyle name="Comma 37 2 2 3 4 2 3" xfId="9745" xr:uid="{81460F62-B67B-4CA5-A732-87C8667E46F0}"/>
    <cellStyle name="Comma 37 2 2 3 4 2 3 2" xfId="26588" xr:uid="{6EA035FA-A990-4BD2-BD50-BFA0F7DC988F}"/>
    <cellStyle name="Comma 37 2 2 3 4 2 4" xfId="2224" xr:uid="{F0CA042F-3964-4490-828C-73985888DFC9}"/>
    <cellStyle name="Comma 37 2 2 3 4 3" xfId="26589" xr:uid="{EE9AC737-7A78-451A-A3D8-23B685436C3A}"/>
    <cellStyle name="Comma 37 2 2 3 4 3 2" xfId="26591" xr:uid="{933594C9-694D-4580-B3B0-D0886A06C664}"/>
    <cellStyle name="Comma 37 2 2 3 4 3 2 2" xfId="26593" xr:uid="{B062BF9B-2DBD-4E95-BB15-5D56016EC1B2}"/>
    <cellStyle name="Comma 37 2 2 3 4 3 3" xfId="26594" xr:uid="{D3F4C071-090D-4D85-A4B9-532517839AA8}"/>
    <cellStyle name="Comma 37 2 2 3 4 4" xfId="24196" xr:uid="{BB633AD6-D793-4E4C-99EE-65EDBE42FF29}"/>
    <cellStyle name="Comma 37 2 2 3 4 4 2" xfId="14750" xr:uid="{9425C580-D455-4A39-BE32-94AA0934967B}"/>
    <cellStyle name="Comma 37 2 2 3 4 5" xfId="26597" xr:uid="{D1F8E633-7E1A-41C3-BBE2-556D72CD0095}"/>
    <cellStyle name="Comma 37 2 2 3 5" xfId="26598" xr:uid="{3FF3F8B0-BA4C-4AAC-BE8D-54EDCBBAA2C7}"/>
    <cellStyle name="Comma 37 2 2 3 5 2" xfId="26600" xr:uid="{A35BD243-2FE1-4F51-9B8D-FB63F0406520}"/>
    <cellStyle name="Comma 37 2 2 3 5 2 2" xfId="26602" xr:uid="{8B02664E-C937-4D92-9C72-0575E772B6E3}"/>
    <cellStyle name="Comma 37 2 2 3 5 2 2 2" xfId="140" xr:uid="{376CC62E-4311-4F02-9FFF-9FD169F03F9E}"/>
    <cellStyle name="Comma 37 2 2 3 5 2 3" xfId="26604" xr:uid="{EFB3B3FC-7ED4-4841-B36E-009E3F54F3E1}"/>
    <cellStyle name="Comma 37 2 2 3 5 3" xfId="26606" xr:uid="{5D49A845-0742-4B89-A6B5-CD76B4BA6745}"/>
    <cellStyle name="Comma 37 2 2 3 5 3 2" xfId="26608" xr:uid="{ABEC512B-D36C-4301-9B7D-785D0A41B279}"/>
    <cellStyle name="Comma 37 2 2 3 5 4" xfId="26613" xr:uid="{1B9C9AEF-F081-40B6-9818-3D9FED64AB45}"/>
    <cellStyle name="Comma 37 2 2 3 6" xfId="26614" xr:uid="{DA4FD9A7-1BD6-4427-8A62-AA1633E3250D}"/>
    <cellStyle name="Comma 37 2 2 3 6 2" xfId="26616" xr:uid="{739B7780-1AC0-46AB-B4E9-2465D0C5E653}"/>
    <cellStyle name="Comma 37 2 2 3 6 2 2" xfId="26621" xr:uid="{2CE6529F-2E2E-4110-B2BD-50D85E1C69D4}"/>
    <cellStyle name="Comma 37 2 2 3 6 3" xfId="23967" xr:uid="{4BA4465D-9F7A-48BF-868D-59F184080619}"/>
    <cellStyle name="Comma 37 2 2 3 7" xfId="26624" xr:uid="{3134FDAD-BA43-4461-8C88-152BDAF334D4}"/>
    <cellStyle name="Comma 37 2 2 3 7 2" xfId="26626" xr:uid="{95C68054-8589-4B20-9DAC-D7B673AB8846}"/>
    <cellStyle name="Comma 37 2 2 3 8" xfId="26629" xr:uid="{09F04D16-3093-4C81-A88C-C48B68A2BB98}"/>
    <cellStyle name="Comma 37 2 2 3 9" xfId="26631" xr:uid="{FEFE8834-5107-4BD4-9AC7-58333D2886B8}"/>
    <cellStyle name="Comma 37 2 2 4" xfId="26633" xr:uid="{C4E67121-0534-4FCA-9E11-0F38100A010C}"/>
    <cellStyle name="Comma 37 2 2 4 2" xfId="26635" xr:uid="{EAA6A2C1-194F-41F1-A2B3-5A141AB2DCE7}"/>
    <cellStyle name="Comma 37 2 2 4 2 2" xfId="26637" xr:uid="{270D9BAD-C763-49BE-801B-DD9FAFAB5621}"/>
    <cellStyle name="Comma 37 2 2 4 2 2 2" xfId="26639" xr:uid="{4A9286CE-5A0D-4D74-A3B7-41C31B475E32}"/>
    <cellStyle name="Comma 37 2 2 4 2 2 2 2" xfId="26642" xr:uid="{4B3C57F2-7FF6-43A9-83FA-1E06D55027FC}"/>
    <cellStyle name="Comma 37 2 2 4 2 2 2 2 2" xfId="26644" xr:uid="{0E589C6E-8C23-4AB7-8603-71B0D8BF034E}"/>
    <cellStyle name="Comma 37 2 2 4 2 2 2 2 2 2" xfId="26646" xr:uid="{B80F5DB0-F2F3-40AB-A309-311197DF83E9}"/>
    <cellStyle name="Comma 37 2 2 4 2 2 2 2 3" xfId="26647" xr:uid="{2464CE87-636B-49DF-B085-D3E2F1EDD64F}"/>
    <cellStyle name="Comma 37 2 2 4 2 2 2 3" xfId="26648" xr:uid="{7990CA1A-C5CE-46F1-AD06-65510B7DA030}"/>
    <cellStyle name="Comma 37 2 2 4 2 2 2 3 2" xfId="26650" xr:uid="{D037052A-6F42-40DA-ABF8-EBDF4672A550}"/>
    <cellStyle name="Comma 37 2 2 4 2 2 2 4" xfId="4486" xr:uid="{6470DA00-509A-4B99-83FD-115C34BEEA42}"/>
    <cellStyle name="Comma 37 2 2 4 2 2 3" xfId="26651" xr:uid="{9FD3B547-05B1-41D0-9895-CD372428E8E0}"/>
    <cellStyle name="Comma 37 2 2 4 2 2 3 2" xfId="4500" xr:uid="{3FF465C9-4635-4F61-8738-F0EB0AA5DEDD}"/>
    <cellStyle name="Comma 37 2 2 4 2 2 3 2 2" xfId="26654" xr:uid="{6A0D4CD0-AF03-4344-969F-C1F41A3642FE}"/>
    <cellStyle name="Comma 37 2 2 4 2 2 3 3" xfId="18999" xr:uid="{A8B5453B-9978-451E-A1E3-FE43D89E53BB}"/>
    <cellStyle name="Comma 37 2 2 4 2 2 4" xfId="4507" xr:uid="{7FC57A95-29ED-4C26-8FA0-286689A4246D}"/>
    <cellStyle name="Comma 37 2 2 4 2 2 4 2" xfId="4517" xr:uid="{04D73327-D473-4725-B1FD-44DA81771861}"/>
    <cellStyle name="Comma 37 2 2 4 2 2 5" xfId="4522" xr:uid="{A4FE4F4B-B32E-41FF-AAE0-4460FEC6F2BE}"/>
    <cellStyle name="Comma 37 2 2 4 2 3" xfId="26655" xr:uid="{7C352A0E-FA7E-4CE3-AC79-41C478C3E7AD}"/>
    <cellStyle name="Comma 37 2 2 4 2 3 2" xfId="26657" xr:uid="{C6D1E7AE-3C66-4BA5-9241-46A5A78FF947}"/>
    <cellStyle name="Comma 37 2 2 4 2 3 2 2" xfId="21800" xr:uid="{3721DE60-1A80-42ED-830B-6A772FAE5FC6}"/>
    <cellStyle name="Comma 37 2 2 4 2 3 2 2 2" xfId="21803" xr:uid="{BF170E55-B699-4F74-877F-D2B5190211A5}"/>
    <cellStyle name="Comma 37 2 2 4 2 3 2 3" xfId="21808" xr:uid="{68C823C8-34A0-4ACE-B270-5149EB053DB5}"/>
    <cellStyle name="Comma 37 2 2 4 2 3 3" xfId="26659" xr:uid="{D03F34E2-73E4-4651-8076-EB2CAA1E0C03}"/>
    <cellStyle name="Comma 37 2 2 4 2 3 3 2" xfId="16991" xr:uid="{CEDD80D3-9B87-4C26-8A54-4BF8585E504B}"/>
    <cellStyle name="Comma 37 2 2 4 2 3 4" xfId="4542" xr:uid="{1E86A735-E07F-429D-B67B-95E4735E9792}"/>
    <cellStyle name="Comma 37 2 2 4 2 4" xfId="4548" xr:uid="{FDBE8BA5-38E4-49E2-9E6B-68E84A128651}"/>
    <cellStyle name="Comma 37 2 2 4 2 4 2" xfId="4557" xr:uid="{875413BB-9FBE-46A7-A3B1-A6737177FAF8}"/>
    <cellStyle name="Comma 37 2 2 4 2 4 2 2" xfId="21850" xr:uid="{74FA7B63-424C-4495-BCCD-5095ED43EB25}"/>
    <cellStyle name="Comma 37 2 2 4 2 4 3" xfId="26666" xr:uid="{24C36178-4062-44FB-B0BA-9C42C3B08E5F}"/>
    <cellStyle name="Comma 37 2 2 4 2 5" xfId="4570" xr:uid="{8BE944E1-C95E-458D-8571-B58294830ACD}"/>
    <cellStyle name="Comma 37 2 2 4 2 5 2" xfId="4578" xr:uid="{C9BB5AF3-61E1-4DC8-92C6-316793CC8888}"/>
    <cellStyle name="Comma 37 2 2 4 2 6" xfId="4585" xr:uid="{0796122D-5C06-4734-9610-B57F42461796}"/>
    <cellStyle name="Comma 37 2 2 4 2 7" xfId="4591" xr:uid="{5AEE9391-E443-442E-AB47-261D92004EFA}"/>
    <cellStyle name="Comma 37 2 2 4 3" xfId="12964" xr:uid="{C2DB15EA-619E-4D92-BC64-C74BAAB5D1BA}"/>
    <cellStyle name="Comma 37 2 2 4 3 2" xfId="12967" xr:uid="{4D964241-25DD-49A5-BEFD-B2159884CED8}"/>
    <cellStyle name="Comma 37 2 2 4 3 2 2" xfId="1851" xr:uid="{7439D196-ADB3-4950-B382-F47D69876441}"/>
    <cellStyle name="Comma 37 2 2 4 3 2 2 2" xfId="1866" xr:uid="{F917A8F7-D31F-434C-9764-5551F19F23B8}"/>
    <cellStyle name="Comma 37 2 2 4 3 2 2 2 2" xfId="12970" xr:uid="{D20BCEBC-9FE8-4B6D-828E-341D8266D139}"/>
    <cellStyle name="Comma 37 2 2 4 3 2 2 3" xfId="12974" xr:uid="{9E348E7E-33B5-47D2-9467-18F56C3C1FA4}"/>
    <cellStyle name="Comma 37 2 2 4 3 2 3" xfId="1872" xr:uid="{60A6F038-057C-45F2-9929-DB06237926B7}"/>
    <cellStyle name="Comma 37 2 2 4 3 2 3 2" xfId="1881" xr:uid="{65CD8E6C-666E-4970-A7FE-33C86601F461}"/>
    <cellStyle name="Comma 37 2 2 4 3 2 4" xfId="1884" xr:uid="{91774A1A-623C-4D23-B886-D345F980E31C}"/>
    <cellStyle name="Comma 37 2 2 4 3 3" xfId="12982" xr:uid="{BDC88BA3-B67A-4683-8010-5E3BB60AF33A}"/>
    <cellStyle name="Comma 37 2 2 4 3 3 2" xfId="12985" xr:uid="{647BFCD8-B095-49D6-9EB6-3471CD54BB16}"/>
    <cellStyle name="Comma 37 2 2 4 3 3 2 2" xfId="12988" xr:uid="{71A729DF-1312-443C-8CED-8361855DC7A3}"/>
    <cellStyle name="Comma 37 2 2 4 3 3 3" xfId="12999" xr:uid="{49EB3FB1-DD13-496D-B580-EB911C2B4183}"/>
    <cellStyle name="Comma 37 2 2 4 3 4" xfId="3819" xr:uid="{9A3A2FEC-F341-4706-8A1F-FF74ADCFB125}"/>
    <cellStyle name="Comma 37 2 2 4 3 4 2" xfId="13008" xr:uid="{B1D13BEE-9684-4530-9294-DF80455140A0}"/>
    <cellStyle name="Comma 37 2 2 4 3 5" xfId="3841" xr:uid="{BE43426C-DC6B-4DC9-8D1C-073DB18BC6F6}"/>
    <cellStyle name="Comma 37 2 2 4 4" xfId="13019" xr:uid="{C6D3DA9A-C286-4E60-8216-AEBB69FB1ACD}"/>
    <cellStyle name="Comma 37 2 2 4 4 2" xfId="13022" xr:uid="{F38E62AC-043B-4228-A3AF-DF1C9608BB40}"/>
    <cellStyle name="Comma 37 2 2 4 4 2 2" xfId="13025" xr:uid="{DF4E24AB-3605-40B5-87BF-33D007660EC7}"/>
    <cellStyle name="Comma 37 2 2 4 4 2 2 2" xfId="13028" xr:uid="{80262DEA-C0A0-4E23-8E03-DE99A2FEC85D}"/>
    <cellStyle name="Comma 37 2 2 4 4 2 3" xfId="13037" xr:uid="{5071D3A6-7624-49C9-90AD-4FAE90869735}"/>
    <cellStyle name="Comma 37 2 2 4 4 3" xfId="13042" xr:uid="{126BBD31-E8B3-4A48-B157-448475B798C2}"/>
    <cellStyle name="Comma 37 2 2 4 4 3 2" xfId="13045" xr:uid="{342D907A-3B42-4079-AEB5-AADC916A51F9}"/>
    <cellStyle name="Comma 37 2 2 4 4 4" xfId="13053" xr:uid="{B8BEF713-D297-47C0-B4DC-EE801D42D656}"/>
    <cellStyle name="Comma 37 2 2 4 5" xfId="13056" xr:uid="{5764E300-4B23-4B02-AC8C-54EA6C4FCE13}"/>
    <cellStyle name="Comma 37 2 2 4 5 2" xfId="13059" xr:uid="{679510E4-FE54-4C17-B2D9-475FF053A076}"/>
    <cellStyle name="Comma 37 2 2 4 5 2 2" xfId="13063" xr:uid="{ECF921A7-1AAA-4328-893B-6A2DFD0D9D73}"/>
    <cellStyle name="Comma 37 2 2 4 5 3" xfId="13069" xr:uid="{0C4620B4-9CFA-4B63-B600-57F10487892B}"/>
    <cellStyle name="Comma 37 2 2 4 6" xfId="13078" xr:uid="{686B1364-8DAB-486C-9CEA-EA9A2F5C3B1E}"/>
    <cellStyle name="Comma 37 2 2 4 6 2" xfId="13082" xr:uid="{A35331FD-1B3E-40A0-A1ED-514163C3D12F}"/>
    <cellStyle name="Comma 37 2 2 4 7" xfId="4626" xr:uid="{5A1A0078-869D-4B89-9C05-78B0A7AE9666}"/>
    <cellStyle name="Comma 37 2 2 4 8" xfId="4634" xr:uid="{2D4C6E8D-8613-4A05-AE88-0DD1B6DC5190}"/>
    <cellStyle name="Comma 37 2 2 5" xfId="26667" xr:uid="{07C5B39C-80FC-42E7-9B5F-3F554DB5FA0B}"/>
    <cellStyle name="Comma 37 2 2 5 2" xfId="14209" xr:uid="{7DACFA9F-2209-460A-B2A5-39F5755E126C}"/>
    <cellStyle name="Comma 37 2 2 5 2 2" xfId="26669" xr:uid="{FA4BCFCC-F876-4FFD-A0F6-34B4672C870F}"/>
    <cellStyle name="Comma 37 2 2 5 2 2 2" xfId="60" xr:uid="{E1BB7555-B3DA-4C5A-8779-C5D9FA0127BC}"/>
    <cellStyle name="Comma 37 2 2 5 2 2 2 2" xfId="3136" xr:uid="{9E44D519-6974-4307-B39A-8068947C4821}"/>
    <cellStyle name="Comma 37 2 2 5 2 2 2 2 2" xfId="26671" xr:uid="{9D67E314-EF78-45FE-8D16-D50990EE0400}"/>
    <cellStyle name="Comma 37 2 2 5 2 2 2 3" xfId="26673" xr:uid="{AA8305CA-5122-4BE9-922E-EEE89191B512}"/>
    <cellStyle name="Comma 37 2 2 5 2 2 3" xfId="3143" xr:uid="{E452F9EA-7B1D-4DBF-A4CC-2781AF87F827}"/>
    <cellStyle name="Comma 37 2 2 5 2 2 3 2" xfId="26674" xr:uid="{610E0D5A-977E-4BDF-9588-CEA8EFF225A1}"/>
    <cellStyle name="Comma 37 2 2 5 2 2 4" xfId="4699" xr:uid="{C130DED4-B494-47B4-938C-82D5B9BFD5E1}"/>
    <cellStyle name="Comma 37 2 2 5 2 3" xfId="26675" xr:uid="{CD300357-4053-4B6E-A264-CC6A1C6C2796}"/>
    <cellStyle name="Comma 37 2 2 5 2 3 2" xfId="88" xr:uid="{77B874B6-70D6-4780-B5BE-C7323B594653}"/>
    <cellStyle name="Comma 37 2 2 5 2 3 2 2" xfId="26677" xr:uid="{D4C3136E-A001-40B6-B3F6-CDC1F6167825}"/>
    <cellStyle name="Comma 37 2 2 5 2 3 3" xfId="26678" xr:uid="{E919875A-686A-4DEE-BF52-18CC06EFFF53}"/>
    <cellStyle name="Comma 37 2 2 5 2 4" xfId="875" xr:uid="{6F082938-98D6-4242-91B5-877399C35FA5}"/>
    <cellStyle name="Comma 37 2 2 5 2 4 2" xfId="26679" xr:uid="{EA18BD3B-D0E8-4161-9877-F231573185EC}"/>
    <cellStyle name="Comma 37 2 2 5 2 5" xfId="4716" xr:uid="{116B2C28-8713-45B3-BA2E-B9F2F5D817B2}"/>
    <cellStyle name="Comma 37 2 2 5 3" xfId="13098" xr:uid="{1D4BD54C-D0D0-4C3F-8ED9-8136AE0EFD5C}"/>
    <cellStyle name="Comma 37 2 2 5 3 2" xfId="1917" xr:uid="{F86994D9-A400-4DC4-A9A9-B3AD4DFC9323}"/>
    <cellStyle name="Comma 37 2 2 5 3 2 2" xfId="3229" xr:uid="{CF96D039-160E-4DC8-9EE0-09C8678BFA7C}"/>
    <cellStyle name="Comma 37 2 2 5 3 2 2 2" xfId="13101" xr:uid="{7511DBD1-331A-40BB-81E4-317FECBDF32B}"/>
    <cellStyle name="Comma 37 2 2 5 3 2 3" xfId="13106" xr:uid="{1CD9CC88-AD10-4AC1-B7F5-D7553C38337B}"/>
    <cellStyle name="Comma 37 2 2 5 3 3" xfId="1931" xr:uid="{B768E2C3-8338-40B0-932B-7F8A0F3002FF}"/>
    <cellStyle name="Comma 37 2 2 5 3 3 2" xfId="13112" xr:uid="{95CA05F5-66B4-442A-8C2A-460FE8DFCE77}"/>
    <cellStyle name="Comma 37 2 2 5 3 4" xfId="13117" xr:uid="{7420541F-B36A-446A-AFDF-F3D72F425053}"/>
    <cellStyle name="Comma 37 2 2 5 4" xfId="13124" xr:uid="{EE074BEA-D754-4922-9743-FAD3D8BAE4AA}"/>
    <cellStyle name="Comma 37 2 2 5 4 2" xfId="13127" xr:uid="{48BB53E4-4B70-4CA9-9782-82AA1BBC0407}"/>
    <cellStyle name="Comma 37 2 2 5 4 2 2" xfId="13131" xr:uid="{3BC92CB5-2508-43C4-AD41-5F2FF4A29AB8}"/>
    <cellStyle name="Comma 37 2 2 5 4 3" xfId="13138" xr:uid="{0395573B-08FD-4419-8142-6423D01FCDBE}"/>
    <cellStyle name="Comma 37 2 2 5 5" xfId="13144" xr:uid="{2E398EEC-530F-4F82-AEBA-A225895BFFE0}"/>
    <cellStyle name="Comma 37 2 2 5 5 2" xfId="13147" xr:uid="{4A8E70D2-C043-4859-9927-28AF831354FD}"/>
    <cellStyle name="Comma 37 2 2 5 6" xfId="13152" xr:uid="{283F9338-B19E-440D-92AC-C79C43EBC493}"/>
    <cellStyle name="Comma 37 2 2 5 7" xfId="1780" xr:uid="{D491C028-FB3E-4393-BDC7-859D62017047}"/>
    <cellStyle name="Comma 37 2 2 6" xfId="16076" xr:uid="{5AD4AA4B-69C6-4E78-8AF1-B29C5E446A44}"/>
    <cellStyle name="Comma 37 2 2 6 2" xfId="26680" xr:uid="{F7310FE3-FDBF-4A8C-A4B1-3B776C393EAF}"/>
    <cellStyle name="Comma 37 2 2 6 2 2" xfId="26682" xr:uid="{F53C3016-C3A1-488E-9C40-8DBD438EFDFC}"/>
    <cellStyle name="Comma 37 2 2 6 2 2 2" xfId="3393" xr:uid="{27FBEA71-00C3-4A5E-8B06-17CA536AD127}"/>
    <cellStyle name="Comma 37 2 2 6 2 2 2 2" xfId="26685" xr:uid="{F19F52A2-09F2-435A-B48A-21A7EF917086}"/>
    <cellStyle name="Comma 37 2 2 6 2 2 3" xfId="26687" xr:uid="{3DB3AA0D-C93E-4FC4-BBBC-55EB6AFDAF17}"/>
    <cellStyle name="Comma 37 2 2 6 2 3" xfId="26688" xr:uid="{949904C3-61EC-47AB-B518-6BDDD50D2929}"/>
    <cellStyle name="Comma 37 2 2 6 2 3 2" xfId="26690" xr:uid="{862AB297-D69C-4273-91FA-F68492874BA7}"/>
    <cellStyle name="Comma 37 2 2 6 2 4" xfId="26691" xr:uid="{1948AC29-947A-4BBD-A173-1FE7E8EEE1D2}"/>
    <cellStyle name="Comma 37 2 2 6 3" xfId="13165" xr:uid="{2683F32E-D6A4-4676-9587-1DBFF8979386}"/>
    <cellStyle name="Comma 37 2 2 6 3 2" xfId="13170" xr:uid="{60E4342E-0127-42C1-9E8F-3D9F5A60C50E}"/>
    <cellStyle name="Comma 37 2 2 6 3 2 2" xfId="10491" xr:uid="{040BED82-9E9C-439F-9EB2-46150EBBB198}"/>
    <cellStyle name="Comma 37 2 2 6 3 3" xfId="13175" xr:uid="{38CA314E-DC7D-4F81-B089-05D8CBEF4EDE}"/>
    <cellStyle name="Comma 37 2 2 6 4" xfId="13181" xr:uid="{7DB9C8C9-77F6-4EF6-AF12-1E6B6F114601}"/>
    <cellStyle name="Comma 37 2 2 6 4 2" xfId="13190" xr:uid="{21B86F3E-00AC-477D-82B9-F1509A3C4C7B}"/>
    <cellStyle name="Comma 37 2 2 6 5" xfId="13191" xr:uid="{29FEC296-F68A-41C6-A6B3-1C604AF64165}"/>
    <cellStyle name="Comma 37 2 2 7" xfId="26692" xr:uid="{EAFF6376-4D0A-4886-834A-2F77AF721F91}"/>
    <cellStyle name="Comma 37 2 2 7 2" xfId="26694" xr:uid="{DADAC8D1-0790-4621-A8CA-DCECE486631B}"/>
    <cellStyle name="Comma 37 2 2 7 2 2" xfId="26696" xr:uid="{DEBF677A-0DD8-47C7-A5B0-9F821ECDBD79}"/>
    <cellStyle name="Comma 37 2 2 7 2 2 2" xfId="26698" xr:uid="{86816618-FF8F-4CC6-91E2-3624E61AEA98}"/>
    <cellStyle name="Comma 37 2 2 7 2 3" xfId="26699" xr:uid="{97935FB9-8FE7-4D00-8212-BDACF5CA41C2}"/>
    <cellStyle name="Comma 37 2 2 7 3" xfId="13199" xr:uid="{BD54D05F-DB0B-4CCC-92D8-6CD61AD1C2D1}"/>
    <cellStyle name="Comma 37 2 2 7 3 2" xfId="4913" xr:uid="{C5F8F529-6519-4C18-A945-527E4214AFBB}"/>
    <cellStyle name="Comma 37 2 2 7 4" xfId="13205" xr:uid="{71C4B867-8C6B-4477-90D4-1C26ACA03094}"/>
    <cellStyle name="Comma 37 2 2 8" xfId="26700" xr:uid="{1FFAFE8F-99E3-495E-9B53-8F3019932697}"/>
    <cellStyle name="Comma 37 2 2 8 2" xfId="26702" xr:uid="{9B194E92-4A3D-44F2-81A0-D4C89C9868CF}"/>
    <cellStyle name="Comma 37 2 2 8 2 2" xfId="2827" xr:uid="{CD85D67D-B3B9-465E-8E8B-57CE1F269E59}"/>
    <cellStyle name="Comma 37 2 2 8 3" xfId="13214" xr:uid="{A30CDCC8-3C2F-435F-89CB-077A76D38832}"/>
    <cellStyle name="Comma 37 2 2 9" xfId="26705" xr:uid="{93923E33-7AF7-46D8-BFAD-04391F057709}"/>
    <cellStyle name="Comma 37 2 2 9 2" xfId="26708" xr:uid="{D30CFD15-5E83-4811-B62A-5AAA2A12F59B}"/>
    <cellStyle name="Comma 37 2 3" xfId="20594" xr:uid="{87E69732-03CA-4E41-BA72-7B6906AE2B01}"/>
    <cellStyle name="Comma 37 2 3 10" xfId="26709" xr:uid="{989A0D72-EBA4-4736-B34E-7D4C031484A2}"/>
    <cellStyle name="Comma 37 2 3 2" xfId="26711" xr:uid="{6217E6F2-9580-429D-8685-71F2161998B6}"/>
    <cellStyle name="Comma 37 2 3 2 2" xfId="26714" xr:uid="{BAAA031A-B06A-4D62-9F19-94A40664A507}"/>
    <cellStyle name="Comma 37 2 3 2 2 2" xfId="26716" xr:uid="{61C07DC5-F519-401A-8E10-DB9EA37D9DEC}"/>
    <cellStyle name="Comma 37 2 3 2 2 2 2" xfId="26718" xr:uid="{E2C1E850-0699-4A0A-A4B8-D073416BAB8C}"/>
    <cellStyle name="Comma 37 2 3 2 2 2 2 2" xfId="15506" xr:uid="{51D5064A-996E-4B1B-AF15-93A5083A82F6}"/>
    <cellStyle name="Comma 37 2 3 2 2 2 2 2 2" xfId="26720" xr:uid="{A758E9CB-C577-46EB-B56D-69DFD46E681A}"/>
    <cellStyle name="Comma 37 2 3 2 2 2 2 2 2 2" xfId="26722" xr:uid="{F6419013-D2D2-4F95-9230-B7E212DCD22E}"/>
    <cellStyle name="Comma 37 2 3 2 2 2 2 2 2 2 2" xfId="26725" xr:uid="{FEE93CDC-B6E1-48EB-B9D6-68E74D3422CA}"/>
    <cellStyle name="Comma 37 2 3 2 2 2 2 2 2 3" xfId="14125" xr:uid="{F4E3EC0E-22D3-495F-913C-B729DB31C233}"/>
    <cellStyle name="Comma 37 2 3 2 2 2 2 2 3" xfId="26726" xr:uid="{1796E628-97E1-4446-9F77-AF836897C068}"/>
    <cellStyle name="Comma 37 2 3 2 2 2 2 2 3 2" xfId="22951" xr:uid="{D4D7AF04-0682-469E-B6D9-0CD4ECCE4927}"/>
    <cellStyle name="Comma 37 2 3 2 2 2 2 2 4" xfId="26728" xr:uid="{D1AB86FF-D3EC-47BF-A7ED-DF804AD7D83E}"/>
    <cellStyle name="Comma 37 2 3 2 2 2 2 3" xfId="5688" xr:uid="{56DD88C2-73A0-4CE6-BFFC-DD9B55212564}"/>
    <cellStyle name="Comma 37 2 3 2 2 2 2 3 2" xfId="13109" xr:uid="{7B95B501-8C85-42B4-999D-E1BB99C00C19}"/>
    <cellStyle name="Comma 37 2 3 2 2 2 2 3 2 2" xfId="26729" xr:uid="{224BFC72-2333-429D-8DF7-D6E1B4320355}"/>
    <cellStyle name="Comma 37 2 3 2 2 2 2 3 3" xfId="26730" xr:uid="{4BF946CC-F873-4DAE-ADA7-BB3EF35A6DCF}"/>
    <cellStyle name="Comma 37 2 3 2 2 2 2 4" xfId="26731" xr:uid="{814DAE91-B2AA-4E5F-BBD2-B4A97934D415}"/>
    <cellStyle name="Comma 37 2 3 2 2 2 2 4 2" xfId="26734" xr:uid="{6BD0914F-EF8A-467F-BAF9-E41C31D8F9A7}"/>
    <cellStyle name="Comma 37 2 3 2 2 2 2 5" xfId="26735" xr:uid="{BD64151B-8810-4483-A0BA-3261353B6891}"/>
    <cellStyle name="Comma 37 2 3 2 2 2 3" xfId="26736" xr:uid="{C8B92875-6788-42C8-938F-DCD4A952ED2D}"/>
    <cellStyle name="Comma 37 2 3 2 2 2 3 2" xfId="26739" xr:uid="{D9EDE8E6-9AB5-4FDA-BC1E-49933AAC3F44}"/>
    <cellStyle name="Comma 37 2 3 2 2 2 3 2 2" xfId="26742" xr:uid="{802A268A-76A6-47F6-8F64-E26A23044E0F}"/>
    <cellStyle name="Comma 37 2 3 2 2 2 3 2 2 2" xfId="14887" xr:uid="{698765A6-B727-494D-8624-3096D00A5C5B}"/>
    <cellStyle name="Comma 37 2 3 2 2 2 3 2 3" xfId="26744" xr:uid="{3792EAFA-69EC-4FA4-877F-2F1648438AB6}"/>
    <cellStyle name="Comma 37 2 3 2 2 2 3 3" xfId="26745" xr:uid="{B489854C-C02A-4D80-A268-41F007D910B3}"/>
    <cellStyle name="Comma 37 2 3 2 2 2 3 3 2" xfId="26747" xr:uid="{72218C15-6229-4C6F-A5BA-A0B466F42674}"/>
    <cellStyle name="Comma 37 2 3 2 2 2 3 4" xfId="26748" xr:uid="{F725690A-2649-46C3-8CD6-0E565F752CBE}"/>
    <cellStyle name="Comma 37 2 3 2 2 2 4" xfId="23861" xr:uid="{2AFDAA73-796F-4D62-9D68-85808FAC6D6F}"/>
    <cellStyle name="Comma 37 2 3 2 2 2 4 2" xfId="23866" xr:uid="{0BAA118A-167A-4EE6-AA7E-FA542CE1A0D1}"/>
    <cellStyle name="Comma 37 2 3 2 2 2 4 2 2" xfId="26749" xr:uid="{5DF935DB-9A25-43F1-BFDB-283F780453CC}"/>
    <cellStyle name="Comma 37 2 3 2 2 2 4 3" xfId="26750" xr:uid="{CEC7BAD9-09FC-421A-938D-6BD4F56C0539}"/>
    <cellStyle name="Comma 37 2 3 2 2 2 5" xfId="23870" xr:uid="{F0054A8A-B56F-4B10-9992-063FA0C21027}"/>
    <cellStyle name="Comma 37 2 3 2 2 2 5 2" xfId="26751" xr:uid="{4AA3A9D0-8FEC-4885-BDC2-5B115D575017}"/>
    <cellStyle name="Comma 37 2 3 2 2 2 6" xfId="26753" xr:uid="{CBD269CD-7F9B-4F1C-B07E-417562840F01}"/>
    <cellStyle name="Comma 37 2 3 2 2 2 7" xfId="26754" xr:uid="{C46D6632-962E-4F4C-AE4A-DF054BD6CA9C}"/>
    <cellStyle name="Comma 37 2 3 2 2 3" xfId="26755" xr:uid="{66836437-AEF9-431E-97A8-B6EFA6D71FA6}"/>
    <cellStyle name="Comma 37 2 3 2 2 3 2" xfId="26757" xr:uid="{8C4B044D-3884-47BB-A88E-F142E21A2AFB}"/>
    <cellStyle name="Comma 37 2 3 2 2 3 2 2" xfId="15633" xr:uid="{2B2B6142-174D-452A-BD3D-FB8D1BA5D821}"/>
    <cellStyle name="Comma 37 2 3 2 2 3 2 2 2" xfId="26759" xr:uid="{E2FA2578-CAFC-49FE-9349-F284DED0D231}"/>
    <cellStyle name="Comma 37 2 3 2 2 3 2 2 2 2" xfId="26762" xr:uid="{783D64B7-2D43-48A5-AFE6-92B440FA5116}"/>
    <cellStyle name="Comma 37 2 3 2 2 3 2 2 3" xfId="26763" xr:uid="{D929E99B-DF31-42BF-8DC3-1994BD309E36}"/>
    <cellStyle name="Comma 37 2 3 2 2 3 2 3" xfId="26764" xr:uid="{5F0CF801-E36A-48C0-8578-78A4784FF756}"/>
    <cellStyle name="Comma 37 2 3 2 2 3 2 3 2" xfId="10500" xr:uid="{8AF6E61E-81DB-4CD5-B82C-3F02861EDC64}"/>
    <cellStyle name="Comma 37 2 3 2 2 3 2 4" xfId="26766" xr:uid="{5475AF90-8D2B-4C7D-AAAC-2862A8C6B020}"/>
    <cellStyle name="Comma 37 2 3 2 2 3 3" xfId="26767" xr:uid="{89A6249A-BE81-4023-B998-B5AC1720BA92}"/>
    <cellStyle name="Comma 37 2 3 2 2 3 3 2" xfId="26770" xr:uid="{7FA92675-A745-423A-9EF0-38DB96248E78}"/>
    <cellStyle name="Comma 37 2 3 2 2 3 3 2 2" xfId="26772" xr:uid="{C94D1279-72F4-42BB-8DE6-414B3910F28C}"/>
    <cellStyle name="Comma 37 2 3 2 2 3 3 3" xfId="26773" xr:uid="{1BDE920E-0294-407E-80C1-829069C95BDD}"/>
    <cellStyle name="Comma 37 2 3 2 2 3 4" xfId="23876" xr:uid="{61595185-DEBE-4881-8CAD-5D7B2BC0015B}"/>
    <cellStyle name="Comma 37 2 3 2 2 3 4 2" xfId="26774" xr:uid="{6A2D3312-067B-462E-9FAF-5EC080470644}"/>
    <cellStyle name="Comma 37 2 3 2 2 3 5" xfId="26775" xr:uid="{520DF79F-AE15-4407-85AD-FEDD3C047B8F}"/>
    <cellStyle name="Comma 37 2 3 2 2 4" xfId="26776" xr:uid="{305C399A-F51D-4165-A754-005AA399F37C}"/>
    <cellStyle name="Comma 37 2 3 2 2 4 2" xfId="26778" xr:uid="{A5541C86-F42D-47B2-9557-530D3A4DD85B}"/>
    <cellStyle name="Comma 37 2 3 2 2 4 2 2" xfId="26780" xr:uid="{375A0F67-6912-4392-A76B-D3E5D90EC6E4}"/>
    <cellStyle name="Comma 37 2 3 2 2 4 2 2 2" xfId="26782" xr:uid="{5FBCA726-BC7A-4C97-977E-7F3B87F7EA7A}"/>
    <cellStyle name="Comma 37 2 3 2 2 4 2 3" xfId="26783" xr:uid="{6B659F04-A1D1-46CE-A599-AD9D1181DF5E}"/>
    <cellStyle name="Comma 37 2 3 2 2 4 3" xfId="26784" xr:uid="{1B913CBD-A473-4D8F-A3C1-629B92E68FDE}"/>
    <cellStyle name="Comma 37 2 3 2 2 4 3 2" xfId="26786" xr:uid="{AF86DDFF-769B-46AB-8123-99346B83722A}"/>
    <cellStyle name="Comma 37 2 3 2 2 4 4" xfId="26787" xr:uid="{96B2D504-C375-477F-8029-156553050247}"/>
    <cellStyle name="Comma 37 2 3 2 2 5" xfId="26790" xr:uid="{A196EA65-7F39-4F68-8E31-CA1F4677A41D}"/>
    <cellStyle name="Comma 37 2 3 2 2 5 2" xfId="26792" xr:uid="{02594DEF-D01D-43D5-ACE7-566FE926987C}"/>
    <cellStyle name="Comma 37 2 3 2 2 5 2 2" xfId="26794" xr:uid="{8B88BAA6-A5CA-4052-993F-5995C5B13C2E}"/>
    <cellStyle name="Comma 37 2 3 2 2 5 3" xfId="26795" xr:uid="{406C4E40-F59C-47F5-A5B9-1672FE04A973}"/>
    <cellStyle name="Comma 37 2 3 2 2 6" xfId="26796" xr:uid="{D89E1072-F968-4DF4-BE38-7D458E9D8D0C}"/>
    <cellStyle name="Comma 37 2 3 2 2 6 2" xfId="26798" xr:uid="{052D27C6-A07C-4676-8596-50E00A35C94E}"/>
    <cellStyle name="Comma 37 2 3 2 2 7" xfId="26799" xr:uid="{4CE5521E-4C34-488C-BFB4-F301615672BF}"/>
    <cellStyle name="Comma 37 2 3 2 2 8" xfId="23797" xr:uid="{798BFEEE-8D9D-4F23-80A4-338259F4B807}"/>
    <cellStyle name="Comma 37 2 3 2 3" xfId="26801" xr:uid="{590B2E57-E36F-4833-9320-C4E4CC0B126C}"/>
    <cellStyle name="Comma 37 2 3 2 3 2" xfId="26804" xr:uid="{D404EF4C-5019-4A9B-B8D9-D47D6C345749}"/>
    <cellStyle name="Comma 37 2 3 2 3 2 2" xfId="26806" xr:uid="{39E167B2-407B-4C22-8B29-0EDAA54E13CB}"/>
    <cellStyle name="Comma 37 2 3 2 3 2 2 2" xfId="10026" xr:uid="{56F53DA5-DFD5-405A-A8D3-179F7022A78C}"/>
    <cellStyle name="Comma 37 2 3 2 3 2 2 2 2" xfId="26808" xr:uid="{CDBE252B-71A2-4AF5-8471-A5327E09630A}"/>
    <cellStyle name="Comma 37 2 3 2 3 2 2 2 2 2" xfId="26811" xr:uid="{DFD9174B-7A04-43A2-BBA7-B152E17F6D90}"/>
    <cellStyle name="Comma 37 2 3 2 3 2 2 2 3" xfId="26812" xr:uid="{25978B65-2C6C-4B8B-BF46-356AA14E6EE2}"/>
    <cellStyle name="Comma 37 2 3 2 3 2 2 3" xfId="26815" xr:uid="{D94C4CFA-F8BA-4C07-A783-F8F894C2AB31}"/>
    <cellStyle name="Comma 37 2 3 2 3 2 2 3 2" xfId="26817" xr:uid="{F54FBAC5-B86E-4E7D-9148-2A45D52948F2}"/>
    <cellStyle name="Comma 37 2 3 2 3 2 2 4" xfId="26818" xr:uid="{0848EBA9-7DA9-4C7B-BF78-A9B43B327321}"/>
    <cellStyle name="Comma 37 2 3 2 3 2 3" xfId="26819" xr:uid="{836A6CC9-7AD9-4D98-9E60-131427E28DB7}"/>
    <cellStyle name="Comma 37 2 3 2 3 2 3 2" xfId="26822" xr:uid="{6F648356-3123-4EE7-8F53-1A34F2D6A25F}"/>
    <cellStyle name="Comma 37 2 3 2 3 2 3 2 2" xfId="26824" xr:uid="{52135918-CA65-4564-B645-172B716C816C}"/>
    <cellStyle name="Comma 37 2 3 2 3 2 3 3" xfId="26825" xr:uid="{E6BC50B8-54B1-45B7-BF27-31CE1B57CD56}"/>
    <cellStyle name="Comma 37 2 3 2 3 2 4" xfId="23887" xr:uid="{77C9E12E-0EC9-4665-B8E6-C101ACDE44D3}"/>
    <cellStyle name="Comma 37 2 3 2 3 2 4 2" xfId="26827" xr:uid="{4D9CA5EE-6B05-4BD2-BDE8-7482444FA391}"/>
    <cellStyle name="Comma 37 2 3 2 3 2 5" xfId="26828" xr:uid="{557AE11D-1286-411C-81DB-F0AC7530E894}"/>
    <cellStyle name="Comma 37 2 3 2 3 3" xfId="26829" xr:uid="{CC7AC02C-4E71-4E06-8481-AE549B2E27D3}"/>
    <cellStyle name="Comma 37 2 3 2 3 3 2" xfId="26831" xr:uid="{98F696EE-714A-4A35-8A15-DD6267D94222}"/>
    <cellStyle name="Comma 37 2 3 2 3 3 2 2" xfId="26833" xr:uid="{F73EBD6F-1472-48CA-8A7A-9B9E207B1AD0}"/>
    <cellStyle name="Comma 37 2 3 2 3 3 2 2 2" xfId="26835" xr:uid="{30C11491-DD8A-44FC-A1A7-6DD7E0FA4890}"/>
    <cellStyle name="Comma 37 2 3 2 3 3 2 3" xfId="26836" xr:uid="{F10753A3-4B19-4DFA-8727-AF1A507E7DB4}"/>
    <cellStyle name="Comma 37 2 3 2 3 3 3" xfId="26837" xr:uid="{86592C7D-FE8C-4A43-B117-7AA3156C3576}"/>
    <cellStyle name="Comma 37 2 3 2 3 3 3 2" xfId="26839" xr:uid="{6DF77537-3669-4A7F-9114-6EC7F3D2BEB3}"/>
    <cellStyle name="Comma 37 2 3 2 3 3 4" xfId="26840" xr:uid="{E40E4D7B-8FA9-4CB3-B3DE-2A3B6C798764}"/>
    <cellStyle name="Comma 37 2 3 2 3 4" xfId="26841" xr:uid="{C4766C49-F69C-4EA1-B98C-B8D94FC1DC37}"/>
    <cellStyle name="Comma 37 2 3 2 3 4 2" xfId="22810" xr:uid="{DD025971-ACC9-4ADB-A1F0-2ED2A62F6E2A}"/>
    <cellStyle name="Comma 37 2 3 2 3 4 2 2" xfId="26843" xr:uid="{6BD70A90-CBD7-46F1-8706-13F78D842F48}"/>
    <cellStyle name="Comma 37 2 3 2 3 4 3" xfId="189" xr:uid="{C85E22AB-3517-446C-B34A-3CB0FC41F5D2}"/>
    <cellStyle name="Comma 37 2 3 2 3 5" xfId="26844" xr:uid="{C1D29A6C-7BAE-4AB2-A3B4-89F812E5BF06}"/>
    <cellStyle name="Comma 37 2 3 2 3 5 2" xfId="26846" xr:uid="{21A8829A-F5E3-4620-843B-902A4EBE8D7B}"/>
    <cellStyle name="Comma 37 2 3 2 3 6" xfId="26847" xr:uid="{51EEBED4-313B-465D-8DBE-1E76862366AC}"/>
    <cellStyle name="Comma 37 2 3 2 3 7" xfId="26849" xr:uid="{D2E630F3-232F-41E5-9C60-6CEF9844FF9E}"/>
    <cellStyle name="Comma 37 2 3 2 4" xfId="26850" xr:uid="{6B7F3296-0BD2-4488-A8EA-CB2E10F15071}"/>
    <cellStyle name="Comma 37 2 3 2 4 2" xfId="26852" xr:uid="{FAFC5B46-B034-45C1-98D2-142AFD5BFB46}"/>
    <cellStyle name="Comma 37 2 3 2 4 2 2" xfId="26854" xr:uid="{C980AEA5-0EAC-473C-A848-8B6B9CA0BA45}"/>
    <cellStyle name="Comma 37 2 3 2 4 2 2 2" xfId="15795" xr:uid="{A2C1E7DF-CC46-4B96-BABB-92B9008BB27B}"/>
    <cellStyle name="Comma 37 2 3 2 4 2 2 2 2" xfId="26856" xr:uid="{9CCE5933-8268-45B8-B085-0CE814CF4064}"/>
    <cellStyle name="Comma 37 2 3 2 4 2 2 3" xfId="15798" xr:uid="{1B7BCE19-A036-4FF1-86C1-63F6C20EB5AB}"/>
    <cellStyle name="Comma 37 2 3 2 4 2 3" xfId="9984" xr:uid="{DA0E6C85-E246-423B-B7A6-82A3B3FE81BC}"/>
    <cellStyle name="Comma 37 2 3 2 4 2 3 2" xfId="15842" xr:uid="{0FF3F0FC-32FC-4BC3-B00F-FCC0894143BD}"/>
    <cellStyle name="Comma 37 2 3 2 4 2 4" xfId="26857" xr:uid="{3FE49DD4-1205-4F94-A77A-924D73FBE8BA}"/>
    <cellStyle name="Comma 37 2 3 2 4 3" xfId="26859" xr:uid="{2E63ECE4-F164-4A76-8728-41AF00DD0214}"/>
    <cellStyle name="Comma 37 2 3 2 4 3 2" xfId="26861" xr:uid="{34A95A34-0413-48E9-9E04-3E8D0C6C330A}"/>
    <cellStyle name="Comma 37 2 3 2 4 3 2 2" xfId="15930" xr:uid="{A60A0865-26DD-407D-888E-3AF6C880AF17}"/>
    <cellStyle name="Comma 37 2 3 2 4 3 3" xfId="26863" xr:uid="{A94514D8-235B-437D-A90E-167AAE46A253}"/>
    <cellStyle name="Comma 37 2 3 2 4 4" xfId="26864" xr:uid="{C81B9B69-A73D-4CB0-A331-C560C0C13BBE}"/>
    <cellStyle name="Comma 37 2 3 2 4 4 2" xfId="26866" xr:uid="{1969EFA8-97E8-42A8-ABEA-0AC13C91BFD4}"/>
    <cellStyle name="Comma 37 2 3 2 4 5" xfId="26867" xr:uid="{C9078F9F-6F22-4BEB-BF3A-8218DF255B33}"/>
    <cellStyle name="Comma 37 2 3 2 5" xfId="26868" xr:uid="{5B6449CE-7152-44C2-A9A0-058E035A20AC}"/>
    <cellStyle name="Comma 37 2 3 2 5 2" xfId="26870" xr:uid="{2F08390F-EE5A-4DFA-B576-0EE26293AE53}"/>
    <cellStyle name="Comma 37 2 3 2 5 2 2" xfId="26872" xr:uid="{A57990D9-DE24-46BA-914C-89FD5D2D831E}"/>
    <cellStyle name="Comma 37 2 3 2 5 2 2 2" xfId="16063" xr:uid="{158792C2-ACB2-49AE-8651-310D4B36AE95}"/>
    <cellStyle name="Comma 37 2 3 2 5 2 3" xfId="26874" xr:uid="{FBB67FDA-83AA-4069-99BE-CDF3167FEB96}"/>
    <cellStyle name="Comma 37 2 3 2 5 3" xfId="26876" xr:uid="{FC7B571A-6524-42C4-8F0D-041082D2F13A}"/>
    <cellStyle name="Comma 37 2 3 2 5 3 2" xfId="2889" xr:uid="{082DD490-724F-4A4F-99DF-83BF85CD76AD}"/>
    <cellStyle name="Comma 37 2 3 2 5 4" xfId="26878" xr:uid="{53C24C5B-8151-43EE-B37F-3BC8C8FD6D1E}"/>
    <cellStyle name="Comma 37 2 3 2 6" xfId="26880" xr:uid="{60C84F3A-B1CB-46E0-9283-89588E3B1F7A}"/>
    <cellStyle name="Comma 37 2 3 2 6 2" xfId="26883" xr:uid="{352899FE-3C87-4A61-B2F8-AAA9D9A9D8C2}"/>
    <cellStyle name="Comma 37 2 3 2 6 2 2" xfId="26888" xr:uid="{9AB4D8D5-1C3B-4273-8C16-F5EEA881A8D8}"/>
    <cellStyle name="Comma 37 2 3 2 6 3" xfId="6045" xr:uid="{7E4CBD97-6135-4863-A962-BB4D7072F967}"/>
    <cellStyle name="Comma 37 2 3 2 7" xfId="26892" xr:uid="{A49A0B4B-8076-4C5D-BD32-3D51DE3AE5C0}"/>
    <cellStyle name="Comma 37 2 3 2 7 2" xfId="26895" xr:uid="{684A46D6-1CFA-4214-A96A-72C474471094}"/>
    <cellStyle name="Comma 37 2 3 2 8" xfId="26900" xr:uid="{5240F8D5-B7AE-41DB-B779-6BEF5A9F2CBC}"/>
    <cellStyle name="Comma 37 2 3 2 9" xfId="26902" xr:uid="{D6DD2E14-BB3E-4D12-91FA-EF159CC1CBCF}"/>
    <cellStyle name="Comma 37 2 3 3" xfId="26904" xr:uid="{6E7EF223-B1C6-48F8-98AE-5C779AAAA088}"/>
    <cellStyle name="Comma 37 2 3 3 2" xfId="26906" xr:uid="{858C365D-8718-46D2-AE8F-D24599160523}"/>
    <cellStyle name="Comma 37 2 3 3 2 2" xfId="22199" xr:uid="{969BDB67-BEEF-4AD0-B0CA-F44C70B2C2BC}"/>
    <cellStyle name="Comma 37 2 3 3 2 2 2" xfId="22202" xr:uid="{1FE38FD0-B7AB-4CBE-BBB6-7C8A77A18C35}"/>
    <cellStyle name="Comma 37 2 3 3 2 2 2 2" xfId="22205" xr:uid="{6ED29206-8B57-48DE-B08F-573054E88849}"/>
    <cellStyle name="Comma 37 2 3 3 2 2 2 2 2" xfId="22208" xr:uid="{C57ABA20-2BD0-4747-91D7-E80C6CEAD0EB}"/>
    <cellStyle name="Comma 37 2 3 3 2 2 2 2 2 2" xfId="26908" xr:uid="{AADEF4AD-2A1D-495B-92E3-306B850220A4}"/>
    <cellStyle name="Comma 37 2 3 3 2 2 2 2 3" xfId="26909" xr:uid="{1A900469-EA09-4CA4-91A2-E424D4509D8A}"/>
    <cellStyle name="Comma 37 2 3 3 2 2 2 3" xfId="22212" xr:uid="{2F7B37C9-71C4-4D96-8096-0C73AA574CCE}"/>
    <cellStyle name="Comma 37 2 3 3 2 2 2 3 2" xfId="26910" xr:uid="{66F5E8C0-8B80-4D24-99C6-FD1EED6C1F0C}"/>
    <cellStyle name="Comma 37 2 3 3 2 2 2 4" xfId="26911" xr:uid="{53DD54FD-4D46-433B-8C97-6391C0D39031}"/>
    <cellStyle name="Comma 37 2 3 3 2 2 3" xfId="22215" xr:uid="{34FEE0F2-D365-4B69-8284-B830F902CE4B}"/>
    <cellStyle name="Comma 37 2 3 3 2 2 3 2" xfId="22219" xr:uid="{3CAE2C1F-6ED5-4B50-B913-F21572FAFE6E}"/>
    <cellStyle name="Comma 37 2 3 3 2 2 3 2 2" xfId="26912" xr:uid="{31181F83-84BD-428A-A7B4-EA049F8F2B55}"/>
    <cellStyle name="Comma 37 2 3 3 2 2 3 3" xfId="26913" xr:uid="{684C7994-C594-4285-945A-C65C8B9AD965}"/>
    <cellStyle name="Comma 37 2 3 3 2 2 4" xfId="5797" xr:uid="{9F753874-277A-4F58-BBC7-207E17D24317}"/>
    <cellStyle name="Comma 37 2 3 3 2 2 4 2" xfId="5513" xr:uid="{CDE5E712-E924-4127-A232-A9C5F356E5C9}"/>
    <cellStyle name="Comma 37 2 3 3 2 2 5" xfId="5809" xr:uid="{D4C4FD54-C071-4ACB-9304-33761F5BB01D}"/>
    <cellStyle name="Comma 37 2 3 3 2 3" xfId="22222" xr:uid="{90FB1001-E9FF-4BA6-AF2B-D0020578C58D}"/>
    <cellStyle name="Comma 37 2 3 3 2 3 2" xfId="22225" xr:uid="{F6C6F4B8-E0C4-4069-8DB7-9F6635D0BB12}"/>
    <cellStyle name="Comma 37 2 3 3 2 3 2 2" xfId="22228" xr:uid="{B874EB83-457B-49FC-A2AD-0315A0A34506}"/>
    <cellStyle name="Comma 37 2 3 3 2 3 2 2 2" xfId="26914" xr:uid="{50FF2D42-246D-4DAC-8973-B6CDF72EEE8C}"/>
    <cellStyle name="Comma 37 2 3 3 2 3 2 3" xfId="26915" xr:uid="{EED0B01D-8636-4B1A-8D26-824BAC77BBE6}"/>
    <cellStyle name="Comma 37 2 3 3 2 3 3" xfId="22231" xr:uid="{470D980C-4D09-49B4-AACC-B766332C0884}"/>
    <cellStyle name="Comma 37 2 3 3 2 3 3 2" xfId="26916" xr:uid="{569DCF97-0287-46C8-95A8-6D1A8274E10C}"/>
    <cellStyle name="Comma 37 2 3 3 2 3 4" xfId="5815" xr:uid="{CD55FF1F-179A-4A26-9062-36A089834C23}"/>
    <cellStyle name="Comma 37 2 3 3 2 4" xfId="22234" xr:uid="{627434F6-5715-40E7-9739-C94DB2276E94}"/>
    <cellStyle name="Comma 37 2 3 3 2 4 2" xfId="22238" xr:uid="{87D8B892-8D3E-4EEA-9E2B-A327049C4927}"/>
    <cellStyle name="Comma 37 2 3 3 2 4 2 2" xfId="26917" xr:uid="{EABC5C71-57DB-4D27-8B2E-9B26E4FE8E83}"/>
    <cellStyle name="Comma 37 2 3 3 2 4 3" xfId="26919" xr:uid="{19D8ED65-6867-4A99-8EDE-085E27403166}"/>
    <cellStyle name="Comma 37 2 3 3 2 5" xfId="22243" xr:uid="{52EAFE90-FCAD-472C-88B7-46604D4AEA38}"/>
    <cellStyle name="Comma 37 2 3 3 2 5 2" xfId="26921" xr:uid="{CA8E38C9-A22D-46BA-B6C4-A34BCCBC0FAF}"/>
    <cellStyle name="Comma 37 2 3 3 2 6" xfId="22247" xr:uid="{A7AF6F1E-D4E9-428F-957D-3133CF69EEEF}"/>
    <cellStyle name="Comma 37 2 3 3 2 7" xfId="26922" xr:uid="{0E400570-AE80-4AD2-959F-F9D024216F57}"/>
    <cellStyle name="Comma 37 2 3 3 3" xfId="26923" xr:uid="{D49B2ADC-73D3-4D89-9129-1AD7D2D5BE27}"/>
    <cellStyle name="Comma 37 2 3 3 3 2" xfId="22273" xr:uid="{D9B59D84-26ED-4F4A-A532-924B8829C526}"/>
    <cellStyle name="Comma 37 2 3 3 3 2 2" xfId="22276" xr:uid="{EA388270-3777-4895-9089-A86FC36A6BAC}"/>
    <cellStyle name="Comma 37 2 3 3 3 2 2 2" xfId="22279" xr:uid="{92AC9F0C-0BF2-41A6-A147-57C4C9D69CC3}"/>
    <cellStyle name="Comma 37 2 3 3 3 2 2 2 2" xfId="26925" xr:uid="{97C721BB-527E-431C-B807-2FA97AFEC72C}"/>
    <cellStyle name="Comma 37 2 3 3 3 2 2 3" xfId="26926" xr:uid="{DB9F651F-C321-4A42-BF53-61104A4261E0}"/>
    <cellStyle name="Comma 37 2 3 3 3 2 3" xfId="22283" xr:uid="{5704DCDD-0895-40C3-9DCC-00F623688E0B}"/>
    <cellStyle name="Comma 37 2 3 3 3 2 3 2" xfId="26927" xr:uid="{C5C80D19-E051-49DD-9657-D1DCD2D41D0D}"/>
    <cellStyle name="Comma 37 2 3 3 3 2 4" xfId="5825" xr:uid="{F46F332A-2BAD-49E1-8049-33FA28FC9A55}"/>
    <cellStyle name="Comma 37 2 3 3 3 3" xfId="22286" xr:uid="{FEE9AEB8-3512-485C-99E2-CBEE4738FA5C}"/>
    <cellStyle name="Comma 37 2 3 3 3 3 2" xfId="22289" xr:uid="{83073C18-6BEF-45AC-81F6-31E1A40D3C78}"/>
    <cellStyle name="Comma 37 2 3 3 3 3 2 2" xfId="26928" xr:uid="{76886EA5-B746-48F7-B06A-97A309FF6E96}"/>
    <cellStyle name="Comma 37 2 3 3 3 3 3" xfId="26929" xr:uid="{6CCE6EE1-7244-4EE4-AF30-F5C3A583BFD1}"/>
    <cellStyle name="Comma 37 2 3 3 3 4" xfId="22293" xr:uid="{9D110FB2-2622-48A9-8F38-F6668D5637C6}"/>
    <cellStyle name="Comma 37 2 3 3 3 4 2" xfId="26930" xr:uid="{E2E56936-D00A-4C9C-ABDD-DEC16505C4CA}"/>
    <cellStyle name="Comma 37 2 3 3 3 5" xfId="22297" xr:uid="{E73885F2-B2AE-4359-806A-8ECC544E957B}"/>
    <cellStyle name="Comma 37 2 3 3 4" xfId="26931" xr:uid="{821CA7AA-1346-4304-918D-E24F3F28950F}"/>
    <cellStyle name="Comma 37 2 3 3 4 2" xfId="22311" xr:uid="{36D7538A-9236-4AF7-839F-165808B35BD3}"/>
    <cellStyle name="Comma 37 2 3 3 4 2 2" xfId="22314" xr:uid="{381FDEBD-8BDF-44B9-B12C-54CD86B4DD49}"/>
    <cellStyle name="Comma 37 2 3 3 4 2 2 2" xfId="16356" xr:uid="{15A4A8C7-293E-46C6-8157-1241B4D4CDC3}"/>
    <cellStyle name="Comma 37 2 3 3 4 2 3" xfId="26933" xr:uid="{38E51BF7-84F6-4E98-A050-5218950806F8}"/>
    <cellStyle name="Comma 37 2 3 3 4 3" xfId="22317" xr:uid="{FFAD5E91-105F-4160-B413-B6F2DB0D84CB}"/>
    <cellStyle name="Comma 37 2 3 3 4 3 2" xfId="26934" xr:uid="{7654C859-7757-4607-95CD-53DEFD492943}"/>
    <cellStyle name="Comma 37 2 3 3 4 4" xfId="26935" xr:uid="{8A295BE2-23E7-4C7D-8B95-46D9F2C01E20}"/>
    <cellStyle name="Comma 37 2 3 3 5" xfId="26936" xr:uid="{B38BCE61-A367-4902-80F0-D689F544AA9C}"/>
    <cellStyle name="Comma 37 2 3 3 5 2" xfId="22325" xr:uid="{823EBB37-D89D-4B46-8015-06B0E7C6AE9F}"/>
    <cellStyle name="Comma 37 2 3 3 5 2 2" xfId="26938" xr:uid="{672ADC8D-7C6A-4214-A064-795496005CBE}"/>
    <cellStyle name="Comma 37 2 3 3 5 3" xfId="22132" xr:uid="{DCB09636-FEAE-41EE-9173-90CB84449D56}"/>
    <cellStyle name="Comma 37 2 3 3 6" xfId="26940" xr:uid="{B2825733-04A6-4440-B2DE-6BD4D0DDCAE0}"/>
    <cellStyle name="Comma 37 2 3 3 6 2" xfId="26943" xr:uid="{3183FF5C-60C4-445B-BF08-C4297E54302A}"/>
    <cellStyle name="Comma 37 2 3 3 7" xfId="26947" xr:uid="{885022FB-FCEE-40D7-99AC-7A82D876A835}"/>
    <cellStyle name="Comma 37 2 3 3 8" xfId="26949" xr:uid="{64019A08-4F96-410B-9342-630F1B196C31}"/>
    <cellStyle name="Comma 37 2 3 4" xfId="26950" xr:uid="{406F4502-8BD9-4096-8240-B31796024E29}"/>
    <cellStyle name="Comma 37 2 3 4 2" xfId="26952" xr:uid="{11552FC5-16BF-464F-8879-53F1181613EE}"/>
    <cellStyle name="Comma 37 2 3 4 2 2" xfId="22363" xr:uid="{6AE583C6-F95C-4173-9C52-A0032ACD0D3B}"/>
    <cellStyle name="Comma 37 2 3 4 2 2 2" xfId="22366" xr:uid="{9DF28543-D75E-4949-A5A6-5627EADA4C0C}"/>
    <cellStyle name="Comma 37 2 3 4 2 2 2 2" xfId="4337" xr:uid="{EC1A067E-C78C-4455-84DE-7E8A74F168BF}"/>
    <cellStyle name="Comma 37 2 3 4 2 2 2 2 2" xfId="4342" xr:uid="{A923FAC5-EB68-440F-8D38-7C3D964266B9}"/>
    <cellStyle name="Comma 37 2 3 4 2 2 2 3" xfId="4347" xr:uid="{49BBB081-9AB4-49EB-BA5C-BD93DA5452A1}"/>
    <cellStyle name="Comma 37 2 3 4 2 2 3" xfId="22369" xr:uid="{0674075D-36CA-41A6-9C78-7121D85787FF}"/>
    <cellStyle name="Comma 37 2 3 4 2 2 3 2" xfId="4367" xr:uid="{8F176E25-1232-4801-99DF-C931DF870FA5}"/>
    <cellStyle name="Comma 37 2 3 4 2 2 4" xfId="5002" xr:uid="{9AA8D5E5-33B2-4975-93B3-B05CC1D80C4A}"/>
    <cellStyle name="Comma 37 2 3 4 2 3" xfId="22372" xr:uid="{4BBE50E1-6E24-45DB-8162-C0194CD424AB}"/>
    <cellStyle name="Comma 37 2 3 4 2 3 2" xfId="22375" xr:uid="{3B0122E5-7321-4294-A065-4E36D7D87E73}"/>
    <cellStyle name="Comma 37 2 3 4 2 3 2 2" xfId="4418" xr:uid="{06B3BFE2-4C0C-43A8-A164-A95C171B4920}"/>
    <cellStyle name="Comma 37 2 3 4 2 3 3" xfId="26954" xr:uid="{1F66866A-40E6-4736-B957-3211D0849674}"/>
    <cellStyle name="Comma 37 2 3 4 2 4" xfId="5014" xr:uid="{C96A92BD-E19C-40D1-9119-0DB6D30318E8}"/>
    <cellStyle name="Comma 37 2 3 4 2 4 2" xfId="26955" xr:uid="{9ED468C5-DF61-4AC9-9B55-B58504F8A323}"/>
    <cellStyle name="Comma 37 2 3 4 2 5" xfId="5024" xr:uid="{98526FD7-7619-477F-A8EA-4CBB30EFCEA9}"/>
    <cellStyle name="Comma 37 2 3 4 3" xfId="13228" xr:uid="{E9610D60-51CC-4C0F-97D0-0BCC77FD8DCC}"/>
    <cellStyle name="Comma 37 2 3 4 3 2" xfId="13231" xr:uid="{4D15C2AE-462E-457D-822D-368DEF84C1BB}"/>
    <cellStyle name="Comma 37 2 3 4 3 2 2" xfId="13235" xr:uid="{CB9A1975-45DD-4462-B5A2-50DC31939F65}"/>
    <cellStyle name="Comma 37 2 3 4 3 2 2 2" xfId="4489" xr:uid="{E7BC13FB-6477-4BDF-A91C-133A704EF172}"/>
    <cellStyle name="Comma 37 2 3 4 3 2 3" xfId="13242" xr:uid="{8EF25EE4-5A39-4457-9927-35156F8E8459}"/>
    <cellStyle name="Comma 37 2 3 4 3 3" xfId="13248" xr:uid="{6BA4BE9E-87A5-4F74-BB72-FBFB7E2ED887}"/>
    <cellStyle name="Comma 37 2 3 4 3 3 2" xfId="13252" xr:uid="{9644C130-4E28-4388-8B51-0DCAA75C063C}"/>
    <cellStyle name="Comma 37 2 3 4 3 4" xfId="13256" xr:uid="{70BF90AE-2A46-4824-A700-9DBE80C17440}"/>
    <cellStyle name="Comma 37 2 3 4 4" xfId="13259" xr:uid="{66EDC4AD-57BB-41F5-9410-207AC546D901}"/>
    <cellStyle name="Comma 37 2 3 4 4 2" xfId="13262" xr:uid="{88444424-6B1C-4BB7-93AF-74EEA85D9531}"/>
    <cellStyle name="Comma 37 2 3 4 4 2 2" xfId="13266" xr:uid="{ECDD55EA-CC05-40FF-8C53-DF48F54771D4}"/>
    <cellStyle name="Comma 37 2 3 4 4 3" xfId="13275" xr:uid="{A20384AB-1B55-4799-8D57-913C2DC8F6E9}"/>
    <cellStyle name="Comma 37 2 3 4 5" xfId="13279" xr:uid="{35536615-7FAD-4389-A126-E6CC64E2D5F3}"/>
    <cellStyle name="Comma 37 2 3 4 5 2" xfId="13282" xr:uid="{0C4D0061-FA10-4736-A5AA-3B368F554E13}"/>
    <cellStyle name="Comma 37 2 3 4 6" xfId="13290" xr:uid="{AD22C965-DF0B-4802-935B-DF56EB8DB82C}"/>
    <cellStyle name="Comma 37 2 3 4 7" xfId="5058" xr:uid="{C8A55A59-8A4D-4502-B0DC-F2C850785D55}"/>
    <cellStyle name="Comma 37 2 3 5" xfId="26956" xr:uid="{5C30F8B1-27D4-40B5-BF94-64662ACC8B57}"/>
    <cellStyle name="Comma 37 2 3 5 2" xfId="26958" xr:uid="{834C23B5-695C-479F-8B6F-ED97A28663F9}"/>
    <cellStyle name="Comma 37 2 3 5 2 2" xfId="22414" xr:uid="{3EE6E708-2C52-4E26-AB5D-FA5FF4848F36}"/>
    <cellStyle name="Comma 37 2 3 5 2 2 2" xfId="3724" xr:uid="{FBF5DA6A-09E9-4617-9AA2-E0426DF2F9EE}"/>
    <cellStyle name="Comma 37 2 3 5 2 2 2 2" xfId="4647" xr:uid="{79E36A16-A82B-4E09-AC43-80458ACE8EEF}"/>
    <cellStyle name="Comma 37 2 3 5 2 2 3" xfId="26960" xr:uid="{5D743B29-3F04-49B1-9E52-622A2750328C}"/>
    <cellStyle name="Comma 37 2 3 5 2 3" xfId="22417" xr:uid="{755B7E1A-512F-49C0-8B44-831C1B0AAF12}"/>
    <cellStyle name="Comma 37 2 3 5 2 3 2" xfId="26961" xr:uid="{59D8A8C6-61FB-4116-9FD4-BEB58E8E6B8E}"/>
    <cellStyle name="Comma 37 2 3 5 2 4" xfId="26962" xr:uid="{0F624353-E15E-43A0-A2D1-425C22E644D5}"/>
    <cellStyle name="Comma 37 2 3 5 3" xfId="13298" xr:uid="{1B8D19C4-406D-465B-884A-15D4A2F002FF}"/>
    <cellStyle name="Comma 37 2 3 5 3 2" xfId="13301" xr:uid="{2DE0F2EE-9461-4DBC-B6E4-62E50C19733D}"/>
    <cellStyle name="Comma 37 2 3 5 3 2 2" xfId="8538" xr:uid="{01D87BC8-5BB6-4FF1-8416-042A5432C336}"/>
    <cellStyle name="Comma 37 2 3 5 3 3" xfId="13307" xr:uid="{F56D4AC1-BAD2-42AC-88B4-04D0D8E3DB89}"/>
    <cellStyle name="Comma 37 2 3 5 4" xfId="13313" xr:uid="{72D0B8CD-B073-4C13-BC69-665C9EAD54D2}"/>
    <cellStyle name="Comma 37 2 3 5 4 2" xfId="13316" xr:uid="{EA1FB50C-2B3B-441D-813E-57F7471A4635}"/>
    <cellStyle name="Comma 37 2 3 5 5" xfId="13322" xr:uid="{AD676200-A759-48F7-8D3B-026F24F624C5}"/>
    <cellStyle name="Comma 37 2 3 6" xfId="26963" xr:uid="{29ED8F5E-BD2B-4B22-8CFA-0D7673261B5E}"/>
    <cellStyle name="Comma 37 2 3 6 2" xfId="26965" xr:uid="{4068C489-4072-43E3-8697-38701EDCF1D9}"/>
    <cellStyle name="Comma 37 2 3 6 2 2" xfId="22434" xr:uid="{0F2F5527-45BA-4F99-90D1-0D34F8E6932E}"/>
    <cellStyle name="Comma 37 2 3 6 2 2 2" xfId="26967" xr:uid="{797E8DB8-7EB0-4699-BBB7-65791FE762A6}"/>
    <cellStyle name="Comma 37 2 3 6 2 3" xfId="10818" xr:uid="{45ECF7F9-FCA5-4179-9369-F616AFA72A08}"/>
    <cellStyle name="Comma 37 2 3 6 3" xfId="13332" xr:uid="{7CB7D288-013C-47E1-97B9-96CA22475046}"/>
    <cellStyle name="Comma 37 2 3 6 3 2" xfId="13335" xr:uid="{2E0C9E9C-C102-4F63-9C18-04DB125750CC}"/>
    <cellStyle name="Comma 37 2 3 6 4" xfId="13337" xr:uid="{11127CCD-1EC4-485A-9109-E15BB2C8AF10}"/>
    <cellStyle name="Comma 37 2 3 7" xfId="26968" xr:uid="{86990D72-B9D7-469C-9C15-E60470C1EE65}"/>
    <cellStyle name="Comma 37 2 3 7 2" xfId="26970" xr:uid="{73CA4D5A-8826-411A-AC15-F8F08F412086}"/>
    <cellStyle name="Comma 37 2 3 7 2 2" xfId="26972" xr:uid="{7215B1CD-AC78-4FA8-B8AE-9F46D9843395}"/>
    <cellStyle name="Comma 37 2 3 7 3" xfId="13344" xr:uid="{79EBECD0-99E2-4C30-89C3-B3F6BACC95F6}"/>
    <cellStyle name="Comma 37 2 3 8" xfId="26973" xr:uid="{97F16B1B-62B0-4F1D-852F-AC222683D0FD}"/>
    <cellStyle name="Comma 37 2 3 8 2" xfId="26975" xr:uid="{9E50014E-AECD-4A87-A211-9D253D88107B}"/>
    <cellStyle name="Comma 37 2 3 9" xfId="26977" xr:uid="{5181A833-16F2-49AE-A40D-52D6FC0E2C90}"/>
    <cellStyle name="Comma 37 2 4" xfId="26980" xr:uid="{7E7707A3-FDFE-49FC-90E8-11BA7A7B87AA}"/>
    <cellStyle name="Comma 37 2 4 2" xfId="26983" xr:uid="{02301576-1FD5-4FC4-82CC-3BBBC136C817}"/>
    <cellStyle name="Comma 37 2 4 2 2" xfId="26985" xr:uid="{C2D2B3E3-FCA7-47E0-A4DB-79F023C83F45}"/>
    <cellStyle name="Comma 37 2 4 2 2 2" xfId="26987" xr:uid="{06605F88-77D4-48FB-9338-0A63A91BB690}"/>
    <cellStyle name="Comma 37 2 4 2 2 2 2" xfId="26989" xr:uid="{A0AB41B6-D19C-4E90-9D3F-0367FFB5C824}"/>
    <cellStyle name="Comma 37 2 4 2 2 2 2 2" xfId="26991" xr:uid="{980B12AF-75BE-4E98-A5AE-B8F85ED177B3}"/>
    <cellStyle name="Comma 37 2 4 2 2 2 2 2 2" xfId="26994" xr:uid="{54E17E1A-EF52-4084-96DF-22BD9B61BD79}"/>
    <cellStyle name="Comma 37 2 4 2 2 2 2 2 2 2" xfId="18477" xr:uid="{10AABB04-DA69-4840-95C8-0F6F7CB71964}"/>
    <cellStyle name="Comma 37 2 4 2 2 2 2 2 3" xfId="26997" xr:uid="{48ECF21E-416E-4B40-B25B-D0CEC5696839}"/>
    <cellStyle name="Comma 37 2 4 2 2 2 2 3" xfId="26998" xr:uid="{F4CDF20E-BDAC-4DCD-926B-1EF70AC8DBE8}"/>
    <cellStyle name="Comma 37 2 4 2 2 2 2 3 2" xfId="27002" xr:uid="{14663EE5-4619-4060-8823-7A38C41A331D}"/>
    <cellStyle name="Comma 37 2 4 2 2 2 2 4" xfId="27003" xr:uid="{97810B17-1D4F-4C34-B37D-DD90982432D1}"/>
    <cellStyle name="Comma 37 2 4 2 2 2 3" xfId="3531" xr:uid="{499E9C82-8B68-49DA-A4C3-95CA2B6F436D}"/>
    <cellStyle name="Comma 37 2 4 2 2 2 3 2" xfId="3537" xr:uid="{D8502E6C-4169-40F2-9D1B-3C86B757CB29}"/>
    <cellStyle name="Comma 37 2 4 2 2 2 3 2 2" xfId="27005" xr:uid="{AB483DE1-63B5-4606-B954-F1F42E3F98D8}"/>
    <cellStyle name="Comma 37 2 4 2 2 2 3 3" xfId="27006" xr:uid="{4EAF7395-1B12-448B-BEBE-5E1554713F86}"/>
    <cellStyle name="Comma 37 2 4 2 2 2 4" xfId="3543" xr:uid="{8DC41721-5F99-4A40-AE7D-3C6E65930509}"/>
    <cellStyle name="Comma 37 2 4 2 2 2 4 2" xfId="27007" xr:uid="{C323DB54-DC6D-41E5-A0AB-467FBDAFC82E}"/>
    <cellStyle name="Comma 37 2 4 2 2 2 5" xfId="2646" xr:uid="{0BDF5E40-47C4-4F3F-B615-E685627909A3}"/>
    <cellStyle name="Comma 37 2 4 2 2 3" xfId="27008" xr:uid="{2C28B39A-6147-40B7-9D7D-AAB51C3113FB}"/>
    <cellStyle name="Comma 37 2 4 2 2 3 2" xfId="27010" xr:uid="{6AC46477-4557-4F02-9098-C1C9F6D688A7}"/>
    <cellStyle name="Comma 37 2 4 2 2 3 2 2" xfId="27012" xr:uid="{5B221426-5EEC-4B67-B62D-0DCCA7B93F37}"/>
    <cellStyle name="Comma 37 2 4 2 2 3 2 2 2" xfId="27015" xr:uid="{6F9EB2E6-D094-445F-AB41-7BACDBE22765}"/>
    <cellStyle name="Comma 37 2 4 2 2 3 2 3" xfId="20658" xr:uid="{650D80A1-A4DE-4125-93DC-649514B49E48}"/>
    <cellStyle name="Comma 37 2 4 2 2 3 3" xfId="3550" xr:uid="{DF627C87-1959-4745-83BA-30EF1A08B822}"/>
    <cellStyle name="Comma 37 2 4 2 2 3 3 2" xfId="27018" xr:uid="{AB9C6537-50D2-4A31-B985-5E7648CBE82F}"/>
    <cellStyle name="Comma 37 2 4 2 2 3 4" xfId="27019" xr:uid="{33AAC57E-92CF-4D88-8016-86E93F4C193B}"/>
    <cellStyle name="Comma 37 2 4 2 2 4" xfId="27020" xr:uid="{DE32AC0A-B81C-4E0C-8D56-FED66802FC92}"/>
    <cellStyle name="Comma 37 2 4 2 2 4 2" xfId="27022" xr:uid="{EF076759-56BA-47AE-93C7-FC45C5EC02E2}"/>
    <cellStyle name="Comma 37 2 4 2 2 4 2 2" xfId="27024" xr:uid="{A9D23AF0-3B31-47F3-A344-CCD3EFA5D800}"/>
    <cellStyle name="Comma 37 2 4 2 2 4 3" xfId="27025" xr:uid="{61738CFF-C9ED-47BC-B08D-5B0B172FAA5C}"/>
    <cellStyle name="Comma 37 2 4 2 2 5" xfId="20015" xr:uid="{7F84C0E7-8220-4465-8048-A94ACF500370}"/>
    <cellStyle name="Comma 37 2 4 2 2 5 2" xfId="27026" xr:uid="{F2087104-EC6C-48FD-9A83-D68FC5B8EA3C}"/>
    <cellStyle name="Comma 37 2 4 2 2 6" xfId="27027" xr:uid="{AD18C6C3-E890-49C3-9622-AC2BB46D0D41}"/>
    <cellStyle name="Comma 37 2 4 2 2 7" xfId="27028" xr:uid="{A2C53EC7-28EA-44E5-A478-E0A66B7E8195}"/>
    <cellStyle name="Comma 37 2 4 2 3" xfId="27029" xr:uid="{7B25AF14-5378-4E7B-BC62-E286536041F6}"/>
    <cellStyle name="Comma 37 2 4 2 3 2" xfId="27031" xr:uid="{9C618065-613F-436C-B0B4-498F46C0E8BD}"/>
    <cellStyle name="Comma 37 2 4 2 3 2 2" xfId="27033" xr:uid="{9A8AC417-4489-4C4A-8812-2E31F67CF96E}"/>
    <cellStyle name="Comma 37 2 4 2 3 2 2 2" xfId="13667" xr:uid="{EC5FEEC5-C87B-46ED-AB71-B910C80D0501}"/>
    <cellStyle name="Comma 37 2 4 2 3 2 2 2 2" xfId="27036" xr:uid="{2C17D450-57F9-436D-B139-FEA7C8D5EF24}"/>
    <cellStyle name="Comma 37 2 4 2 3 2 2 3" xfId="27039" xr:uid="{B0AE1193-E3AD-4024-A2ED-50D5143D5A42}"/>
    <cellStyle name="Comma 37 2 4 2 3 2 3" xfId="3560" xr:uid="{5B181C1B-12BE-482E-B842-41ED169CA05A}"/>
    <cellStyle name="Comma 37 2 4 2 3 2 3 2" xfId="27040" xr:uid="{2E291BFD-B594-4D5A-8CC1-3BD8B63C4D85}"/>
    <cellStyle name="Comma 37 2 4 2 3 2 4" xfId="27041" xr:uid="{D0F39FE2-C3E1-460B-9D3D-C6A623B4657B}"/>
    <cellStyle name="Comma 37 2 4 2 3 3" xfId="27042" xr:uid="{500A52ED-E5E0-4E45-A905-D62F25CF6671}"/>
    <cellStyle name="Comma 37 2 4 2 3 3 2" xfId="27044" xr:uid="{F1ABA2AD-4535-492F-B70C-3FD7BA6F69C0}"/>
    <cellStyle name="Comma 37 2 4 2 3 3 2 2" xfId="27046" xr:uid="{FE89A206-F571-4457-9BF2-CD89881AFAF9}"/>
    <cellStyle name="Comma 37 2 4 2 3 3 3" xfId="27047" xr:uid="{B866A792-7B40-450B-B716-AA660FAAD1BB}"/>
    <cellStyle name="Comma 37 2 4 2 3 4" xfId="27049" xr:uid="{D3C5DA0B-5AF6-49C5-8939-32F5597730F6}"/>
    <cellStyle name="Comma 37 2 4 2 3 4 2" xfId="27051" xr:uid="{53D45E91-51D7-4F88-B8A5-A16FDE69F8CA}"/>
    <cellStyle name="Comma 37 2 4 2 3 5" xfId="27052" xr:uid="{55EDFEFB-7F18-4524-9A07-CF97F29B80DB}"/>
    <cellStyle name="Comma 37 2 4 2 4" xfId="27053" xr:uid="{79D5F952-F25C-4E3A-8FE6-0403D4134F41}"/>
    <cellStyle name="Comma 37 2 4 2 4 2" xfId="27055" xr:uid="{863E5AA9-9B08-4699-A4B4-8CE6AE9FD35D}"/>
    <cellStyle name="Comma 37 2 4 2 4 2 2" xfId="11053" xr:uid="{E1066CD9-82FC-475A-B16C-D90E4A9C7929}"/>
    <cellStyle name="Comma 37 2 4 2 4 2 2 2" xfId="11056" xr:uid="{0F37AF91-46AC-44F6-9D1D-3A80D8F4D528}"/>
    <cellStyle name="Comma 37 2 4 2 4 2 3" xfId="11062" xr:uid="{7A37AC2F-6DEE-403B-9EE0-D2347398FD6C}"/>
    <cellStyle name="Comma 37 2 4 2 4 3" xfId="27057" xr:uid="{CEA061C3-5EFD-4F3D-A298-46F0B0CD0ECD}"/>
    <cellStyle name="Comma 37 2 4 2 4 3 2" xfId="11067" xr:uid="{C26BEAD9-C7DB-4E57-86CA-4C397DA85B7B}"/>
    <cellStyle name="Comma 37 2 4 2 4 4" xfId="27059" xr:uid="{74CD8C9F-10CB-4D27-A312-B784121327F1}"/>
    <cellStyle name="Comma 37 2 4 2 5" xfId="27060" xr:uid="{DC2918E4-9459-4917-ACE4-9227E5DC9D97}"/>
    <cellStyle name="Comma 37 2 4 2 5 2" xfId="27062" xr:uid="{DCEB6B67-4EA3-4CF0-98C1-1938790A2C64}"/>
    <cellStyle name="Comma 37 2 4 2 5 2 2" xfId="11098" xr:uid="{E333A2C4-82D5-4069-9606-8A9F68679E28}"/>
    <cellStyle name="Comma 37 2 4 2 5 3" xfId="27064" xr:uid="{84A9D899-04E1-4E33-A7EC-622EA159C55D}"/>
    <cellStyle name="Comma 37 2 4 2 6" xfId="25669" xr:uid="{A77F11FE-71E6-424E-8B5A-A832D3FE9075}"/>
    <cellStyle name="Comma 37 2 4 2 6 2" xfId="23582" xr:uid="{74D2928D-D1DB-47BA-B488-CE866951BD9D}"/>
    <cellStyle name="Comma 37 2 4 2 7" xfId="25674" xr:uid="{C4C3AEBA-B412-43B2-AD93-C27A25648168}"/>
    <cellStyle name="Comma 37 2 4 2 8" xfId="27065" xr:uid="{31E9F78C-E1EE-4BCE-93AB-CB9FC8E94EB2}"/>
    <cellStyle name="Comma 37 2 4 3" xfId="27066" xr:uid="{CE95F9A4-3BDF-45D1-AFA8-38B4B24EB142}"/>
    <cellStyle name="Comma 37 2 4 3 2" xfId="27068" xr:uid="{936E9917-B7B3-4245-99B6-41C4EDB3EA9A}"/>
    <cellStyle name="Comma 37 2 4 3 2 2" xfId="22499" xr:uid="{4D7DB668-A5E2-4229-9FBD-E5988A99602F}"/>
    <cellStyle name="Comma 37 2 4 3 2 2 2" xfId="22502" xr:uid="{92877D91-D727-4CC3-8A73-886EA427CD53}"/>
    <cellStyle name="Comma 37 2 4 3 2 2 2 2" xfId="22505" xr:uid="{C7802C16-8847-4FD8-B86D-95866CF5BBC9}"/>
    <cellStyle name="Comma 37 2 4 3 2 2 2 2 2" xfId="27071" xr:uid="{8A70834E-F088-45DB-B692-7352219E10A2}"/>
    <cellStyle name="Comma 37 2 4 3 2 2 2 3" xfId="27072" xr:uid="{3A27134B-9E40-4FC2-98CD-015EAC21FFCB}"/>
    <cellStyle name="Comma 37 2 4 3 2 2 3" xfId="3574" xr:uid="{ADEA9F28-261B-41CE-BB61-CD45F438BAD4}"/>
    <cellStyle name="Comma 37 2 4 3 2 2 3 2" xfId="27073" xr:uid="{BB0E4C7B-E8AF-422F-99EB-B8E1287D1B27}"/>
    <cellStyle name="Comma 37 2 4 3 2 2 4" xfId="5917" xr:uid="{8F78C857-FFA3-4A1B-BAD8-7DD04EA6B559}"/>
    <cellStyle name="Comma 37 2 4 3 2 3" xfId="22508" xr:uid="{F2659E1E-C09E-454A-97CA-8AC5833B622C}"/>
    <cellStyle name="Comma 37 2 4 3 2 3 2" xfId="22511" xr:uid="{A0B23A80-C8BB-4E69-9C97-21AC3441426B}"/>
    <cellStyle name="Comma 37 2 4 3 2 3 2 2" xfId="10225" xr:uid="{47F71BD2-7CA4-498D-9EDF-6CB1800F84E4}"/>
    <cellStyle name="Comma 37 2 4 3 2 3 3" xfId="27074" xr:uid="{2F0990F2-D941-4430-A1BA-33A848120B48}"/>
    <cellStyle name="Comma 37 2 4 3 2 4" xfId="22514" xr:uid="{98AF2240-FCFC-4E62-94EB-BCB19C69CA95}"/>
    <cellStyle name="Comma 37 2 4 3 2 4 2" xfId="27075" xr:uid="{BBE386F7-D0CD-4914-BEBC-42950227BC92}"/>
    <cellStyle name="Comma 37 2 4 3 2 5" xfId="22520" xr:uid="{22C7627C-8748-45F9-9BFE-5F44CA96FCBE}"/>
    <cellStyle name="Comma 37 2 4 3 3" xfId="27077" xr:uid="{F4745AC6-547B-4B80-950B-FEDEA96ED627}"/>
    <cellStyle name="Comma 37 2 4 3 3 2" xfId="22535" xr:uid="{6B163DA9-FF25-4C1F-B584-95DCA9E355A5}"/>
    <cellStyle name="Comma 37 2 4 3 3 2 2" xfId="19073" xr:uid="{070F4042-3B4F-440D-B65D-C1EAD0975283}"/>
    <cellStyle name="Comma 37 2 4 3 3 2 2 2" xfId="27079" xr:uid="{4EB0A7DD-D3A2-4BAA-9F9A-A1615EDAB463}"/>
    <cellStyle name="Comma 37 2 4 3 3 2 3" xfId="19078" xr:uid="{E8FE855E-42EB-4D71-BCE3-BC93AE1AFAD6}"/>
    <cellStyle name="Comma 37 2 4 3 3 3" xfId="22538" xr:uid="{B735C9AE-DCB4-4E3C-BB3D-75DCE772C871}"/>
    <cellStyle name="Comma 37 2 4 3 3 3 2" xfId="19124" xr:uid="{D4E1D4A0-5F3A-4B11-8304-71CF7EDD463F}"/>
    <cellStyle name="Comma 37 2 4 3 3 4" xfId="27080" xr:uid="{9CB9913B-D246-4E31-AABA-F035AC8C2159}"/>
    <cellStyle name="Comma 37 2 4 3 4" xfId="27081" xr:uid="{52D27FA7-F1A2-4F5C-B695-31F68A9988E4}"/>
    <cellStyle name="Comma 37 2 4 3 4 2" xfId="22548" xr:uid="{2D02D9EE-3EB1-4B8B-AB4B-29129B5505BA}"/>
    <cellStyle name="Comma 37 2 4 3 4 2 2" xfId="11124" xr:uid="{98D3ABA4-CD25-46EF-9EE6-457ECF18DBE4}"/>
    <cellStyle name="Comma 37 2 4 3 4 3" xfId="27083" xr:uid="{5B7CBDDE-5480-4795-993E-DD37A37BCC3F}"/>
    <cellStyle name="Comma 37 2 4 3 5" xfId="27084" xr:uid="{E33735BE-F008-47E6-86AF-3BF10DB47712}"/>
    <cellStyle name="Comma 37 2 4 3 5 2" xfId="27087" xr:uid="{4CCA4E90-79A0-4C10-BD06-D6FC6A96C6DB}"/>
    <cellStyle name="Comma 37 2 4 3 6" xfId="25682" xr:uid="{06E5FA0C-9AB4-449C-A7E8-34352E299332}"/>
    <cellStyle name="Comma 37 2 4 3 7" xfId="25688" xr:uid="{7461E9A1-D509-4670-ABD0-1798E1D43CB3}"/>
    <cellStyle name="Comma 37 2 4 4" xfId="27090" xr:uid="{414582F6-DD85-4AAE-BC25-25B76B353A02}"/>
    <cellStyle name="Comma 37 2 4 4 2" xfId="27093" xr:uid="{C6497915-E347-4140-83BF-975695562805}"/>
    <cellStyle name="Comma 37 2 4 4 2 2" xfId="22586" xr:uid="{BC972AC0-33E3-47F1-85C6-098CECA5C52B}"/>
    <cellStyle name="Comma 37 2 4 4 2 2 2" xfId="22589" xr:uid="{2B7CE9ED-45C7-441D-BE33-1CD36F1DF88D}"/>
    <cellStyle name="Comma 37 2 4 4 2 2 2 2" xfId="1475" xr:uid="{561971B4-EE96-4386-9243-D7647ABC4753}"/>
    <cellStyle name="Comma 37 2 4 4 2 2 3" xfId="27097" xr:uid="{D670CD62-5DF2-42FA-8F2E-A2D3A9FDB0C2}"/>
    <cellStyle name="Comma 37 2 4 4 2 3" xfId="22592" xr:uid="{36AA135B-2FFC-4731-B3CC-DAE2853814CB}"/>
    <cellStyle name="Comma 37 2 4 4 2 3 2" xfId="27098" xr:uid="{4632E146-66C2-42AF-94AF-6A2B24D45426}"/>
    <cellStyle name="Comma 37 2 4 4 2 4" xfId="27099" xr:uid="{E8DAC55E-76E1-4E8F-88DD-4E39334DD9AC}"/>
    <cellStyle name="Comma 37 2 4 4 3" xfId="13363" xr:uid="{A1B93ABB-3E0E-4688-B511-C364C2312F14}"/>
    <cellStyle name="Comma 37 2 4 4 3 2" xfId="13366" xr:uid="{A08340BC-ABC7-4504-ACAB-2FBDAE874BE1}"/>
    <cellStyle name="Comma 37 2 4 4 3 2 2" xfId="13370" xr:uid="{DED32ABC-4223-4983-83AB-4D3E61CD64BD}"/>
    <cellStyle name="Comma 37 2 4 4 3 3" xfId="13377" xr:uid="{249FCAA2-189E-4F4E-8CEC-FFF3F1897C24}"/>
    <cellStyle name="Comma 37 2 4 4 4" xfId="13381" xr:uid="{D1D8C140-6749-487A-A306-A53A7F9046C4}"/>
    <cellStyle name="Comma 37 2 4 4 4 2" xfId="13384" xr:uid="{C17D7E2F-140E-4D28-82CA-1F70DBBB1A2E}"/>
    <cellStyle name="Comma 37 2 4 4 5" xfId="13387" xr:uid="{A116673D-28A8-4035-B02E-82E8C4201065}"/>
    <cellStyle name="Comma 37 2 4 5" xfId="27100" xr:uid="{EF8289CB-3F2D-4729-9A82-F83DDA838909}"/>
    <cellStyle name="Comma 37 2 4 5 2" xfId="27103" xr:uid="{0A36238C-E56A-4FB3-A6C0-CAC8F77599D2}"/>
    <cellStyle name="Comma 37 2 4 5 2 2" xfId="22624" xr:uid="{809FF930-DA4A-4D14-8541-C4DFE2A3418E}"/>
    <cellStyle name="Comma 37 2 4 5 2 2 2" xfId="27105" xr:uid="{CF5CFEE7-356E-44C6-A49F-9A34A265A275}"/>
    <cellStyle name="Comma 37 2 4 5 2 3" xfId="27107" xr:uid="{A9550E63-4690-4324-A959-9D9D50E4AEE9}"/>
    <cellStyle name="Comma 37 2 4 5 3" xfId="13399" xr:uid="{BF834512-527F-47D4-A07B-1DF482459166}"/>
    <cellStyle name="Comma 37 2 4 5 3 2" xfId="13404" xr:uid="{75077F26-DFA8-44A4-85CE-140A4AD84F7C}"/>
    <cellStyle name="Comma 37 2 4 5 4" xfId="13409" xr:uid="{93DFB075-0B8A-4C4F-AE1E-875E9394255F}"/>
    <cellStyle name="Comma 37 2 4 6" xfId="27108" xr:uid="{60FE41AD-2F0F-4C7A-BAD2-2290687AB59E}"/>
    <cellStyle name="Comma 37 2 4 6 2" xfId="27110" xr:uid="{B968F348-D4DF-41B7-A8B3-4A67FB2171D7}"/>
    <cellStyle name="Comma 37 2 4 6 2 2" xfId="27112" xr:uid="{29CB8441-912B-4215-A228-559D96D4DA38}"/>
    <cellStyle name="Comma 37 2 4 6 3" xfId="13421" xr:uid="{523E76C3-3EDC-4E58-A965-6A162705CF00}"/>
    <cellStyle name="Comma 37 2 4 7" xfId="27113" xr:uid="{8947F0C1-FB43-4ADB-AED4-6C0F2C56B9FC}"/>
    <cellStyle name="Comma 37 2 4 7 2" xfId="27116" xr:uid="{95BBBC22-8E46-43E3-B1E4-E17424D6D0B7}"/>
    <cellStyle name="Comma 37 2 4 8" xfId="32" xr:uid="{79486906-97F6-4B8D-AB34-5320238FCAA3}"/>
    <cellStyle name="Comma 37 2 4 9" xfId="27118" xr:uid="{35AB8098-E394-4322-93FB-A0D3BCDE864F}"/>
    <cellStyle name="Comma 37 2 5" xfId="9211" xr:uid="{95058D20-B547-46A5-A3DF-80F4FED22479}"/>
    <cellStyle name="Comma 37 2 5 2" xfId="9214" xr:uid="{903D6978-D722-40F5-A187-D27E46EFE4B8}"/>
    <cellStyle name="Comma 37 2 5 2 2" xfId="27121" xr:uid="{D28E4F6A-550C-4A55-BE13-841910F8FAC5}"/>
    <cellStyle name="Comma 37 2 5 2 2 2" xfId="27128" xr:uid="{D90D7C76-28BA-4DD8-8F28-89F5957B02C6}"/>
    <cellStyle name="Comma 37 2 5 2 2 2 2" xfId="27134" xr:uid="{36E916ED-2030-453D-A087-DEE16683CE6D}"/>
    <cellStyle name="Comma 37 2 5 2 2 2 2 2" xfId="27140" xr:uid="{8A53D79C-60FD-4F3F-B99F-5CA3811E8817}"/>
    <cellStyle name="Comma 37 2 5 2 2 2 2 2 2" xfId="25164" xr:uid="{55D48D7D-BD8F-4FCC-8524-3CF1DAAE5512}"/>
    <cellStyle name="Comma 37 2 5 2 2 2 2 3" xfId="27142" xr:uid="{386033A1-F4EF-4122-AAB0-69DE3EF24EF4}"/>
    <cellStyle name="Comma 37 2 5 2 2 2 3" xfId="4020" xr:uid="{1B0222F8-D151-4E29-8D60-75E94DBCB612}"/>
    <cellStyle name="Comma 37 2 5 2 2 2 3 2" xfId="27143" xr:uid="{D73D3704-DC26-46C1-AA80-E3AE5007268C}"/>
    <cellStyle name="Comma 37 2 5 2 2 2 4" xfId="27144" xr:uid="{55B86456-CD15-4884-A4F5-1112D82BCA32}"/>
    <cellStyle name="Comma 37 2 5 2 2 3" xfId="27150" xr:uid="{B7D6124A-DBBF-446F-A480-E70F3B0E5ED8}"/>
    <cellStyle name="Comma 37 2 5 2 2 3 2" xfId="19528" xr:uid="{AD0320D6-4ED6-4552-94DB-E63617B41EB8}"/>
    <cellStyle name="Comma 37 2 5 2 2 3 2 2" xfId="27153" xr:uid="{3EC38B5B-65DD-4DD7-AFA1-F9997DE14396}"/>
    <cellStyle name="Comma 37 2 5 2 2 3 3" xfId="27154" xr:uid="{AC022BEF-EB1C-484A-9DCF-3D3574BCEAF2}"/>
    <cellStyle name="Comma 37 2 5 2 2 4" xfId="27159" xr:uid="{1A519CEC-22DC-479F-9C76-E9513DA7270A}"/>
    <cellStyle name="Comma 37 2 5 2 2 4 2" xfId="27163" xr:uid="{14E3A1A5-87AC-46C6-BBE6-19B22BB07D7C}"/>
    <cellStyle name="Comma 37 2 5 2 2 5" xfId="21449" xr:uid="{64D431D6-5810-46AC-84B1-AB5C6E6E6F66}"/>
    <cellStyle name="Comma 37 2 5 2 3" xfId="27166" xr:uid="{AE1C0223-6385-4A73-ABC6-F47B00B761DA}"/>
    <cellStyle name="Comma 37 2 5 2 3 2" xfId="27172" xr:uid="{055E1205-3DA2-402D-9112-67A6C4A1A788}"/>
    <cellStyle name="Comma 37 2 5 2 3 2 2" xfId="27176" xr:uid="{8FD43497-20D3-4715-B5F1-4E37B464AD3D}"/>
    <cellStyle name="Comma 37 2 5 2 3 2 2 2" xfId="27178" xr:uid="{1AECCDB8-3850-4B25-AA41-A00468687788}"/>
    <cellStyle name="Comma 37 2 5 2 3 2 3" xfId="27179" xr:uid="{9E92E2A6-7A6B-43A9-8DD4-D3F638581FE6}"/>
    <cellStyle name="Comma 37 2 5 2 3 3" xfId="27182" xr:uid="{B67BFFE9-C21E-4B55-A764-9F6CBA7B88DA}"/>
    <cellStyle name="Comma 37 2 5 2 3 3 2" xfId="27184" xr:uid="{B5EAF4AD-A7CE-465C-BB45-79B1E4838403}"/>
    <cellStyle name="Comma 37 2 5 2 3 4" xfId="27185" xr:uid="{91EBEC4F-8A76-4C33-B70A-B63683901575}"/>
    <cellStyle name="Comma 37 2 5 2 4" xfId="27188" xr:uid="{06859E8A-FE6F-427F-AFAF-E54EA516BBDE}"/>
    <cellStyle name="Comma 37 2 5 2 4 2" xfId="27194" xr:uid="{2AD97991-DCE1-40E0-8364-516D84B09A33}"/>
    <cellStyle name="Comma 37 2 5 2 4 2 2" xfId="11547" xr:uid="{87AB87F7-A96D-4FB7-ACA0-CAD4FF52A245}"/>
    <cellStyle name="Comma 37 2 5 2 4 3" xfId="27196" xr:uid="{5D83B0A6-C884-4FB5-B0ED-4E2BF99A23FB}"/>
    <cellStyle name="Comma 37 2 5 2 5" xfId="27199" xr:uid="{3044D90B-E024-4298-BF3F-9DB5180AEB17}"/>
    <cellStyle name="Comma 37 2 5 2 5 2" xfId="27201" xr:uid="{338B9EFC-ECA9-40C7-ABD6-2D0E830BD7B7}"/>
    <cellStyle name="Comma 37 2 5 2 6" xfId="25913" xr:uid="{7FF7E215-FDDB-4711-AB69-E59BDB5FBC99}"/>
    <cellStyle name="Comma 37 2 5 2 7" xfId="25916" xr:uid="{C2AEE6E6-5803-4979-A912-71BD1C139913}"/>
    <cellStyle name="Comma 37 2 5 3" xfId="27202" xr:uid="{9E5BA068-1AEB-407E-B44C-ED8A69E3A40A}"/>
    <cellStyle name="Comma 37 2 5 3 2" xfId="27206" xr:uid="{8E72FF8C-C858-4B03-A376-BC0210573C34}"/>
    <cellStyle name="Comma 37 2 5 3 2 2" xfId="22673" xr:uid="{7F729696-6C4C-4CB5-ADBC-E151C7E67076}"/>
    <cellStyle name="Comma 37 2 5 3 2 2 2" xfId="22678" xr:uid="{8C7AA0C2-ABE6-435D-80A1-50B49D4DF0FB}"/>
    <cellStyle name="Comma 37 2 5 3 2 2 2 2" xfId="27208" xr:uid="{F187737F-4036-496F-8A11-CC97554C52F7}"/>
    <cellStyle name="Comma 37 2 5 3 2 2 3" xfId="27209" xr:uid="{C344F0C8-BC20-4816-9FCF-C9FA67E39EE5}"/>
    <cellStyle name="Comma 37 2 5 3 2 3" xfId="21102" xr:uid="{88A0DEC0-2DE8-452B-ACBF-C16E7940EA47}"/>
    <cellStyle name="Comma 37 2 5 3 2 3 2" xfId="27210" xr:uid="{35C1D383-BE61-4BFF-9B19-CBC23FCC2C0C}"/>
    <cellStyle name="Comma 37 2 5 3 2 4" xfId="27211" xr:uid="{1390889E-A3CE-44E5-959B-56A0685DBBF9}"/>
    <cellStyle name="Comma 37 2 5 3 3" xfId="27214" xr:uid="{9342C91D-4F0B-4B4F-88DE-233DF4E2753E}"/>
    <cellStyle name="Comma 37 2 5 3 3 2" xfId="22693" xr:uid="{EF1362BF-F299-48A8-9697-4D099BEAEA15}"/>
    <cellStyle name="Comma 37 2 5 3 3 2 2" xfId="27216" xr:uid="{593174DA-2C61-4893-AFE1-54949EEA55C8}"/>
    <cellStyle name="Comma 37 2 5 3 3 3" xfId="27217" xr:uid="{61ABA42F-9858-488C-B55C-74F484754246}"/>
    <cellStyle name="Comma 37 2 5 3 4" xfId="27220" xr:uid="{643187C4-282D-4ED1-85E5-75E426D349A8}"/>
    <cellStyle name="Comma 37 2 5 3 4 2" xfId="27222" xr:uid="{ECBFF731-98C2-4B66-A273-F907F1DC4EE1}"/>
    <cellStyle name="Comma 37 2 5 3 5" xfId="27223" xr:uid="{A24EC48F-913B-4A62-8677-1158626B9162}"/>
    <cellStyle name="Comma 37 2 5 4" xfId="27227" xr:uid="{F3AC4D92-6B0F-4C6F-BEE8-4483944BB77D}"/>
    <cellStyle name="Comma 37 2 5 4 2" xfId="27232" xr:uid="{DA5D24CC-4A00-47BE-B80E-FF780BAF602E}"/>
    <cellStyle name="Comma 37 2 5 4 2 2" xfId="22715" xr:uid="{5528537B-AF4E-4845-977D-21F419D0C631}"/>
    <cellStyle name="Comma 37 2 5 4 2 2 2" xfId="27234" xr:uid="{1EBA17E5-CD51-4C2E-B2AE-2C8A1C3D593F}"/>
    <cellStyle name="Comma 37 2 5 4 2 3" xfId="27235" xr:uid="{6F871ADA-D879-4225-B6F9-DB54ADD83B87}"/>
    <cellStyle name="Comma 37 2 5 4 3" xfId="13439" xr:uid="{164CEF05-DC6D-4D05-9E2C-F1E729303726}"/>
    <cellStyle name="Comma 37 2 5 4 3 2" xfId="13442" xr:uid="{213CEDD5-9E47-493E-B3CF-841FB51A5D7F}"/>
    <cellStyle name="Comma 37 2 5 4 4" xfId="13449" xr:uid="{DED0697B-0599-4137-808B-376E11AC3CD0}"/>
    <cellStyle name="Comma 37 2 5 5" xfId="27236" xr:uid="{D6A799D2-2904-4E0B-9F74-19019F186FC2}"/>
    <cellStyle name="Comma 37 2 5 5 2" xfId="27240" xr:uid="{15A92A75-ADD2-42D7-9E87-0C9994CB25FE}"/>
    <cellStyle name="Comma 37 2 5 5 2 2" xfId="27242" xr:uid="{69BEFAD7-CE7A-4006-90CA-93C40F1AD75A}"/>
    <cellStyle name="Comma 37 2 5 5 3" xfId="13455" xr:uid="{252A8B96-9639-4523-B615-C4840B9B1BA2}"/>
    <cellStyle name="Comma 37 2 5 6" xfId="27243" xr:uid="{7284FEBB-0CA1-45B9-B6ED-31DF01FC8B12}"/>
    <cellStyle name="Comma 37 2 5 6 2" xfId="27245" xr:uid="{A82026C2-CD06-4250-9E41-2910F8C514E1}"/>
    <cellStyle name="Comma 37 2 5 7" xfId="27246" xr:uid="{2445A46B-232F-480A-9A67-134BC13B5FF9}"/>
    <cellStyle name="Comma 37 2 5 8" xfId="27248" xr:uid="{3DBFC0E9-F440-40AD-A6EA-913ECFCABA96}"/>
    <cellStyle name="Comma 37 2 6" xfId="9218" xr:uid="{9F0ADF57-0656-4EA6-A9EB-71BDC96F5217}"/>
    <cellStyle name="Comma 37 2 6 2" xfId="27250" xr:uid="{9E3EB28B-320F-46B9-800F-0DEE8B14769C}"/>
    <cellStyle name="Comma 37 2 6 2 2" xfId="27254" xr:uid="{C9C38433-91FB-40EB-AA60-B1C20A56EAC6}"/>
    <cellStyle name="Comma 37 2 6 2 2 2" xfId="27258" xr:uid="{067EBA0A-E4EC-4A6D-9C4D-09927DF63688}"/>
    <cellStyle name="Comma 37 2 6 2 2 2 2" xfId="27262" xr:uid="{804F4CD1-EDCD-47BA-A7EA-02965FF136B6}"/>
    <cellStyle name="Comma 37 2 6 2 2 2 2 2" xfId="27265" xr:uid="{3921FDB8-4AB8-4951-9857-96CDB64C97CC}"/>
    <cellStyle name="Comma 37 2 6 2 2 2 3" xfId="27267" xr:uid="{228A61EC-46E1-407B-A3CF-4F83DA41D9E7}"/>
    <cellStyle name="Comma 37 2 6 2 2 3" xfId="27270" xr:uid="{58C1378B-B3F3-4780-8E43-7D49019C3DF4}"/>
    <cellStyle name="Comma 37 2 6 2 2 3 2" xfId="27273" xr:uid="{7869E501-E63D-41EC-97D7-40F657E2FF17}"/>
    <cellStyle name="Comma 37 2 6 2 2 4" xfId="20232" xr:uid="{B7137870-8CF9-4547-BAE6-BE388E2FB0B0}"/>
    <cellStyle name="Comma 37 2 6 2 3" xfId="27276" xr:uid="{F4F1B5D6-E2A4-4B20-BE75-9516914D54A5}"/>
    <cellStyle name="Comma 37 2 6 2 3 2" xfId="27280" xr:uid="{7DE8DF2A-7A60-4F7E-A64E-A22DAAAB403C}"/>
    <cellStyle name="Comma 37 2 6 2 3 2 2" xfId="27283" xr:uid="{01DAA184-A351-4866-A1FC-E5D61016A89E}"/>
    <cellStyle name="Comma 37 2 6 2 3 3" xfId="27285" xr:uid="{6A78ACA7-29C3-4DC3-BCEC-36DE8CC06991}"/>
    <cellStyle name="Comma 37 2 6 2 4" xfId="27288" xr:uid="{10172B54-9C80-4F1D-9483-2CA79523F9C8}"/>
    <cellStyle name="Comma 37 2 6 2 4 2" xfId="854" xr:uid="{2B46E87E-3948-4FF2-BCF9-C8D35A942EB4}"/>
    <cellStyle name="Comma 37 2 6 2 5" xfId="27292" xr:uid="{991B67F6-0D26-488C-8184-C4A6E842009C}"/>
    <cellStyle name="Comma 37 2 6 3" xfId="27293" xr:uid="{72B6E397-C48B-48B4-BF03-2FA66A3D8283}"/>
    <cellStyle name="Comma 37 2 6 3 2" xfId="27297" xr:uid="{2DAAE673-DD25-48C2-8BF1-D88F5A58772A}"/>
    <cellStyle name="Comma 37 2 6 3 2 2" xfId="22765" xr:uid="{015CA934-6BB8-426E-969E-F0E704821A3C}"/>
    <cellStyle name="Comma 37 2 6 3 2 2 2" xfId="27302" xr:uid="{113A62BA-8638-458F-9826-474A063EE9AB}"/>
    <cellStyle name="Comma 37 2 6 3 2 3" xfId="27306" xr:uid="{780CFD50-3A4A-4603-8909-39539D150766}"/>
    <cellStyle name="Comma 37 2 6 3 3" xfId="27309" xr:uid="{D1DBBE14-658E-4E07-90D8-41E8E1CFA3E0}"/>
    <cellStyle name="Comma 37 2 6 3 3 2" xfId="27314" xr:uid="{D4DA5CEC-469B-4122-9618-F14D71515F2E}"/>
    <cellStyle name="Comma 37 2 6 3 4" xfId="27318" xr:uid="{0A5E9C62-F633-40D7-8C5B-4A7126759D57}"/>
    <cellStyle name="Comma 37 2 6 4" xfId="27319" xr:uid="{D94876E9-7EE4-4D65-94C2-E9413463C3B8}"/>
    <cellStyle name="Comma 37 2 6 4 2" xfId="27324" xr:uid="{F49B189E-106E-4566-A92E-A1F988FE21FE}"/>
    <cellStyle name="Comma 37 2 6 4 2 2" xfId="27328" xr:uid="{EADAFD58-A0AD-41EB-964F-94BA91CCB915}"/>
    <cellStyle name="Comma 37 2 6 4 3" xfId="13471" xr:uid="{77D16221-6B56-4715-BAD3-84D5B1821F2B}"/>
    <cellStyle name="Comma 37 2 6 5" xfId="27329" xr:uid="{DFDDCCC1-418C-4DD5-AE3C-A3E5FB361FC5}"/>
    <cellStyle name="Comma 37 2 6 5 2" xfId="27333" xr:uid="{522E549F-7E00-4AD5-AED7-5CA3498CB8B5}"/>
    <cellStyle name="Comma 37 2 6 6" xfId="27334" xr:uid="{10A2636B-56F2-42BA-AEF9-0A3A05CD224C}"/>
    <cellStyle name="Comma 37 2 6 7" xfId="27335" xr:uid="{A06FDD52-D74E-4221-889F-D222943E9C98}"/>
    <cellStyle name="Comma 37 2 7" xfId="27336" xr:uid="{05BC9BAD-E9CE-4773-8A08-58090388E4A6}"/>
    <cellStyle name="Comma 37 2 7 2" xfId="27338" xr:uid="{133A7D48-953F-402C-B531-7C20A9036DD0}"/>
    <cellStyle name="Comma 37 2 7 2 2" xfId="27342" xr:uid="{F58B00DF-46FA-4623-B65B-B84C62BD6615}"/>
    <cellStyle name="Comma 37 2 7 2 2 2" xfId="24307" xr:uid="{92033071-0278-46D1-AA58-EB205FC1F21A}"/>
    <cellStyle name="Comma 37 2 7 2 2 2 2" xfId="27345" xr:uid="{92F3DECC-74D9-4E85-AF02-2D9AEA75AB3F}"/>
    <cellStyle name="Comma 37 2 7 2 2 3" xfId="27347" xr:uid="{952DF061-94C3-4528-BE48-7E4A3EF9C38C}"/>
    <cellStyle name="Comma 37 2 7 2 3" xfId="27350" xr:uid="{A0476ABF-BAE0-4AC5-B8EB-926645AA6DC4}"/>
    <cellStyle name="Comma 37 2 7 2 3 2" xfId="27354" xr:uid="{E5CB5F64-B69C-4CF4-A4D2-FA8029296919}"/>
    <cellStyle name="Comma 37 2 7 2 4" xfId="23473" xr:uid="{1449D201-2C66-42A4-8929-823FBEBD4C99}"/>
    <cellStyle name="Comma 37 2 7 3" xfId="27355" xr:uid="{2455D42A-2E94-4048-91E7-0BBAFF2691D5}"/>
    <cellStyle name="Comma 37 2 7 3 2" xfId="27359" xr:uid="{EDCE02A1-EF35-4D7F-9AB3-B6DEC814F891}"/>
    <cellStyle name="Comma 37 2 7 3 2 2" xfId="27362" xr:uid="{4A4FCED1-1178-4BEF-817A-D0DC87948A7F}"/>
    <cellStyle name="Comma 37 2 7 3 3" xfId="27365" xr:uid="{E3325A99-D977-4D15-A427-41730295990D}"/>
    <cellStyle name="Comma 37 2 7 4" xfId="27366" xr:uid="{E35384E1-39AE-4787-8595-1BAD58C74338}"/>
    <cellStyle name="Comma 37 2 7 4 2" xfId="27370" xr:uid="{2F6B3762-6158-4DD4-A239-B47E83921A51}"/>
    <cellStyle name="Comma 37 2 7 5" xfId="27371" xr:uid="{90D58FE1-976B-4E93-8500-F1F6C64D9859}"/>
    <cellStyle name="Comma 37 2 8" xfId="27372" xr:uid="{925FDC50-69E6-4211-BD34-AC912F2C645E}"/>
    <cellStyle name="Comma 37 2 8 2" xfId="18722" xr:uid="{D1865081-D70A-49E9-9A24-0542A2C69582}"/>
    <cellStyle name="Comma 37 2 8 2 2" xfId="27376" xr:uid="{1D3CBDD5-A697-427B-9CE4-0583BEFF0006}"/>
    <cellStyle name="Comma 37 2 8 2 2 2" xfId="27380" xr:uid="{DEA52D99-3C10-4E22-8D83-6EABD6DD7E1E}"/>
    <cellStyle name="Comma 37 2 8 2 3" xfId="27382" xr:uid="{5E76BC81-6386-49D8-AB2B-E95C35C5EBB6}"/>
    <cellStyle name="Comma 37 2 8 3" xfId="7356" xr:uid="{4C5E41DF-ED85-43D4-A2A9-FCC4208AEF90}"/>
    <cellStyle name="Comma 37 2 8 3 2" xfId="7872" xr:uid="{3C500A6E-504F-45D4-B504-7B0E5F411117}"/>
    <cellStyle name="Comma 37 2 8 4" xfId="6168" xr:uid="{55EEBFF0-5331-47CC-9758-C76EDBB946D4}"/>
    <cellStyle name="Comma 37 2 9" xfId="27383" xr:uid="{6E70F496-9BC1-474F-8194-2BAE83076D2D}"/>
    <cellStyle name="Comma 37 2 9 2" xfId="18776" xr:uid="{61D3FA41-535B-4A10-A79B-059806A3313E}"/>
    <cellStyle name="Comma 37 2 9 2 2" xfId="27388" xr:uid="{E090B627-64BC-4B9D-8156-A6E7C253D12A}"/>
    <cellStyle name="Comma 37 2 9 3" xfId="7881" xr:uid="{58C5C801-C1CA-40EE-94A6-5025D5121BF6}"/>
    <cellStyle name="Comma 37 3" xfId="20599" xr:uid="{4AD01C41-A270-46B5-8369-DB6991146790}"/>
    <cellStyle name="Comma 37 3 10" xfId="4449" xr:uid="{2C6E8F7B-3ECF-427F-9D49-60ACCEAF73C7}"/>
    <cellStyle name="Comma 37 3 11" xfId="27389" xr:uid="{8C87AAA7-3A8D-420D-A2A5-2DCCDA6ECBF2}"/>
    <cellStyle name="Comma 37 3 12" xfId="27391" xr:uid="{70EDD9CC-7694-4117-85E2-1958140AC9FE}"/>
    <cellStyle name="Comma 37 3 2" xfId="20602" xr:uid="{C3CB2914-D9BD-4AD9-823C-AB3F69F17B36}"/>
    <cellStyle name="Comma 37 3 2 10" xfId="27392" xr:uid="{81F7922F-B230-4411-97FF-3A3F815ECC68}"/>
    <cellStyle name="Comma 37 3 2 2" xfId="8802" xr:uid="{782245E3-14FA-4478-BBF0-47EF04C687E4}"/>
    <cellStyle name="Comma 37 3 2 2 2" xfId="25451" xr:uid="{F41A5C5D-FC24-483E-A295-3DF36D116B65}"/>
    <cellStyle name="Comma 37 3 2 2 2 2" xfId="27394" xr:uid="{6AF64D2F-612F-46C9-AFD1-ED3EFD284047}"/>
    <cellStyle name="Comma 37 3 2 2 2 2 2" xfId="27397" xr:uid="{7711D8ED-C469-46E7-979D-1B66A447329C}"/>
    <cellStyle name="Comma 37 3 2 2 2 2 2 2" xfId="27399" xr:uid="{D471F59F-923C-4069-B419-E1473D0322EA}"/>
    <cellStyle name="Comma 37 3 2 2 2 2 2 2 2" xfId="1586" xr:uid="{F47971EE-7037-4A22-B4FE-1025EA73B045}"/>
    <cellStyle name="Comma 37 3 2 2 2 2 2 2 2 2" xfId="531" xr:uid="{1EFFD489-D768-4CD5-A25B-AF01B07C8799}"/>
    <cellStyle name="Comma 37 3 2 2 2 2 2 2 2 2 2" xfId="27401" xr:uid="{59C7FFEB-1DB8-4DC5-B504-6E8EF4B5F6CA}"/>
    <cellStyle name="Comma 37 3 2 2 2 2 2 2 2 3" xfId="27402" xr:uid="{22064F3F-65DA-4002-A968-240143F20F77}"/>
    <cellStyle name="Comma 37 3 2 2 2 2 2 2 3" xfId="1473" xr:uid="{584172F3-63CC-4FCC-84D5-4D7EDC925F55}"/>
    <cellStyle name="Comma 37 3 2 2 2 2 2 2 3 2" xfId="27403" xr:uid="{95451095-91CE-40BB-AB07-3EA53E7AC278}"/>
    <cellStyle name="Comma 37 3 2 2 2 2 2 2 4" xfId="1484" xr:uid="{CFFAA2AF-64EC-467A-9163-9AA01F86F216}"/>
    <cellStyle name="Comma 37 3 2 2 2 2 2 3" xfId="9613" xr:uid="{092B4028-D672-470C-ADC1-22855AAFAF6C}"/>
    <cellStyle name="Comma 37 3 2 2 2 2 2 3 2" xfId="4959" xr:uid="{B7A2A9B1-2515-45D8-B9FF-40CEBDC0A37B}"/>
    <cellStyle name="Comma 37 3 2 2 2 2 2 3 2 2" xfId="27410" xr:uid="{6F270E30-E333-4687-9220-72302AC99CDE}"/>
    <cellStyle name="Comma 37 3 2 2 2 2 2 3 3" xfId="27413" xr:uid="{4FFCDDCF-F53F-4A54-80E8-3D790600221C}"/>
    <cellStyle name="Comma 37 3 2 2 2 2 2 4" xfId="27414" xr:uid="{17B96AF3-52CB-47B1-92C1-A765C2C5CF61}"/>
    <cellStyle name="Comma 37 3 2 2 2 2 2 4 2" xfId="27419" xr:uid="{D73D7BEC-A6C0-4B7F-AE19-E19AC65CE9BA}"/>
    <cellStyle name="Comma 37 3 2 2 2 2 2 5" xfId="27420" xr:uid="{69091830-99FA-4F9A-B48A-6555356BC74B}"/>
    <cellStyle name="Comma 37 3 2 2 2 2 3" xfId="26433" xr:uid="{C806CC46-5041-4090-BB0C-ACAD18639A75}"/>
    <cellStyle name="Comma 37 3 2 2 2 2 3 2" xfId="26438" xr:uid="{33ED3BED-EB81-4D59-94F1-78B562534B68}"/>
    <cellStyle name="Comma 37 3 2 2 2 2 3 2 2" xfId="1613" xr:uid="{57E11093-3002-4062-8427-9C8DD03B73B0}"/>
    <cellStyle name="Comma 37 3 2 2 2 2 3 2 2 2" xfId="18435" xr:uid="{EA139F4D-4DE8-40AB-8C73-69A02970F06B}"/>
    <cellStyle name="Comma 37 3 2 2 2 2 3 2 3" xfId="1618" xr:uid="{D8E8B2E5-0F3A-4F1D-9FBB-4F571365F5A6}"/>
    <cellStyle name="Comma 37 3 2 2 2 2 3 3" xfId="26442" xr:uid="{DA910CB3-23D2-464D-B928-F1E3CF4D36E8}"/>
    <cellStyle name="Comma 37 3 2 2 2 2 3 3 2" xfId="21158" xr:uid="{DE7CD0A0-9B89-4ABC-BE97-17A58559A727}"/>
    <cellStyle name="Comma 37 3 2 2 2 2 3 4" xfId="27422" xr:uid="{1986D2A2-F255-4078-83D0-599AA9276A90}"/>
    <cellStyle name="Comma 37 3 2 2 2 2 4" xfId="23943" xr:uid="{B0126D95-21C1-4549-8FB6-1A655407AFEB}"/>
    <cellStyle name="Comma 37 3 2 2 2 2 4 2" xfId="23948" xr:uid="{3DD39BCD-A60E-4423-BB11-BCA14E52DFDD}"/>
    <cellStyle name="Comma 37 3 2 2 2 2 4 2 2" xfId="1651" xr:uid="{49D6088D-280F-4DAA-A682-E2D91AF31F63}"/>
    <cellStyle name="Comma 37 3 2 2 2 2 4 3" xfId="12959" xr:uid="{EACBD89F-1115-4EF9-95B6-E22C5AFBC9DC}"/>
    <cellStyle name="Comma 37 3 2 2 2 2 5" xfId="23954" xr:uid="{87379137-5983-4804-AE35-3367E94BC744}"/>
    <cellStyle name="Comma 37 3 2 2 2 2 5 2" xfId="27426" xr:uid="{81740138-BD7B-476E-9F43-E1D1B9E93AE7}"/>
    <cellStyle name="Comma 37 3 2 2 2 2 6" xfId="27430" xr:uid="{1ECE7197-801C-4BE1-9A43-8226258C4BE0}"/>
    <cellStyle name="Comma 37 3 2 2 2 2 7" xfId="27431" xr:uid="{BC265B92-4CC7-4E28-87ED-B06A8D946478}"/>
    <cellStyle name="Comma 37 3 2 2 2 3" xfId="27434" xr:uid="{6B7F1B73-C2B0-41A3-87BF-5ED7C342990A}"/>
    <cellStyle name="Comma 37 3 2 2 2 3 2" xfId="13979" xr:uid="{B94BF253-8E27-4AB4-AB3B-740036A4D7BC}"/>
    <cellStyle name="Comma 37 3 2 2 2 3 2 2" xfId="13985" xr:uid="{2C7F9F3C-70A9-4D33-A3FC-AFA88B27CCF1}"/>
    <cellStyle name="Comma 37 3 2 2 2 3 2 2 2" xfId="4344" xr:uid="{414F0208-43D8-435C-BD7F-7896713EDDB8}"/>
    <cellStyle name="Comma 37 3 2 2 2 3 2 2 2 2" xfId="27436" xr:uid="{2679EC87-B9C5-452C-9EC0-1CDACB05FC3A}"/>
    <cellStyle name="Comma 37 3 2 2 2 3 2 2 3" xfId="13373" xr:uid="{3B84C536-B5D0-4959-AE48-9DE1F2C6BB95}"/>
    <cellStyle name="Comma 37 3 2 2 2 3 2 3" xfId="27437" xr:uid="{6B9DC823-5F98-4984-B05D-BB9F8C12D389}"/>
    <cellStyle name="Comma 37 3 2 2 2 3 2 3 2" xfId="27439" xr:uid="{252C0CA2-9117-4B32-A8C2-5C90DF98942D}"/>
    <cellStyle name="Comma 37 3 2 2 2 3 2 4" xfId="27440" xr:uid="{3052B332-505D-4C11-B34B-E24F48AA897A}"/>
    <cellStyle name="Comma 37 3 2 2 2 3 3" xfId="13989" xr:uid="{BCCC6138-F020-443C-AF7D-4CD7AA56956E}"/>
    <cellStyle name="Comma 37 3 2 2 2 3 3 2" xfId="26448" xr:uid="{C75AD0EF-D9F8-46D8-A933-6DB4E42F2011}"/>
    <cellStyle name="Comma 37 3 2 2 2 3 3 2 2" xfId="21555" xr:uid="{F583BA17-0924-4C4A-962F-9C85BBF92EC3}"/>
    <cellStyle name="Comma 37 3 2 2 2 3 3 3" xfId="27441" xr:uid="{1D15DA12-3FB7-475E-B247-8A869F283F69}"/>
    <cellStyle name="Comma 37 3 2 2 2 3 4" xfId="23961" xr:uid="{D9C23315-84BD-48FE-AC93-F43FD969B8F0}"/>
    <cellStyle name="Comma 37 3 2 2 2 3 4 2" xfId="27443" xr:uid="{EE5223AD-CC4C-4BEC-96D8-C8F7EA7BA3B7}"/>
    <cellStyle name="Comma 37 3 2 2 2 3 5" xfId="27446" xr:uid="{2B993287-BC08-41AF-8364-4D41F38C5875}"/>
    <cellStyle name="Comma 37 3 2 2 2 4" xfId="27447" xr:uid="{321527C6-7CA6-40FC-8413-D0D2C54676E1}"/>
    <cellStyle name="Comma 37 3 2 2 2 4 2" xfId="14011" xr:uid="{84B9ABC9-557D-47E6-BB5A-2ACC8F29FACA}"/>
    <cellStyle name="Comma 37 3 2 2 2 4 2 2" xfId="27449" xr:uid="{0317C04A-9A3F-4697-A548-3DEA0021E061}"/>
    <cellStyle name="Comma 37 3 2 2 2 4 2 2 2" xfId="27453" xr:uid="{4E69EC2A-9A32-496E-8538-C6073ED02984}"/>
    <cellStyle name="Comma 37 3 2 2 2 4 2 3" xfId="27454" xr:uid="{A2B7A86A-AFB7-4F6F-A753-B19B3064CCD9}"/>
    <cellStyle name="Comma 37 3 2 2 2 4 3" xfId="26453" xr:uid="{58377CA9-9C98-4527-A174-C6CBC73533FE}"/>
    <cellStyle name="Comma 37 3 2 2 2 4 3 2" xfId="1839" xr:uid="{DEEFDCC7-20AB-4091-8EBE-80AD7EC1A7A0}"/>
    <cellStyle name="Comma 37 3 2 2 2 4 4" xfId="16162" xr:uid="{76F4A232-EC23-4663-A395-49E725E58603}"/>
    <cellStyle name="Comma 37 3 2 2 2 5" xfId="27455" xr:uid="{648CB1EF-7D9D-4D41-9596-9EAC9CBA5B28}"/>
    <cellStyle name="Comma 37 3 2 2 2 5 2" xfId="27457" xr:uid="{5613AF8D-B1F2-4763-9F91-9C97C99274F4}"/>
    <cellStyle name="Comma 37 3 2 2 2 5 2 2" xfId="27461" xr:uid="{3221B537-8B00-4EC1-BA23-784E914594CB}"/>
    <cellStyle name="Comma 37 3 2 2 2 5 3" xfId="27466" xr:uid="{BB87C42A-F2E7-49BB-A6BD-9868F4D4A1BB}"/>
    <cellStyle name="Comma 37 3 2 2 2 6" xfId="27469" xr:uid="{DB4384B8-351A-4098-93D1-B6E37E1C8942}"/>
    <cellStyle name="Comma 37 3 2 2 2 6 2" xfId="27472" xr:uid="{1AE07FFD-C7D7-4251-A102-7DC277FB1868}"/>
    <cellStyle name="Comma 37 3 2 2 2 7" xfId="27474" xr:uid="{1D81DA77-19EE-40AB-91ED-5AD5B4D015E8}"/>
    <cellStyle name="Comma 37 3 2 2 2 8" xfId="5519" xr:uid="{11FD9475-49BB-494A-A117-E4EC7C089824}"/>
    <cellStyle name="Comma 37 3 2 2 3" xfId="25455" xr:uid="{32569758-B95A-49DE-ADC6-D11562FC7B6C}"/>
    <cellStyle name="Comma 37 3 2 2 3 2" xfId="27477" xr:uid="{688F81CD-398A-4F95-AEFC-DF571ED842D9}"/>
    <cellStyle name="Comma 37 3 2 2 3 2 2" xfId="27479" xr:uid="{42C82358-2836-4CE8-8CB3-F830B5B8089C}"/>
    <cellStyle name="Comma 37 3 2 2 3 2 2 2" xfId="27481" xr:uid="{5D769F6E-16B7-4AD6-AB8D-DE3F2760E999}"/>
    <cellStyle name="Comma 37 3 2 2 3 2 2 2 2" xfId="859" xr:uid="{F5692D77-B565-4DB3-85AE-9F4D3354D600}"/>
    <cellStyle name="Comma 37 3 2 2 3 2 2 2 2 2" xfId="27483" xr:uid="{E67C63F1-A07A-4304-8497-C63B5EDEA4D4}"/>
    <cellStyle name="Comma 37 3 2 2 3 2 2 2 3" xfId="27485" xr:uid="{947C1C3C-5241-4F4C-B57C-22F4A202D22A}"/>
    <cellStyle name="Comma 37 3 2 2 3 2 2 3" xfId="27486" xr:uid="{835049B9-3299-4343-A7C1-2E40258ED2E8}"/>
    <cellStyle name="Comma 37 3 2 2 3 2 2 3 2" xfId="27488" xr:uid="{95B2C3F6-9747-4AAA-B88A-35CE92B93909}"/>
    <cellStyle name="Comma 37 3 2 2 3 2 2 4" xfId="27490" xr:uid="{CF312237-AB80-4653-885E-C5CF3E31ED17}"/>
    <cellStyle name="Comma 37 3 2 2 3 2 3" xfId="26617" xr:uid="{0D798C75-88AF-454D-B674-79AF92CA04A4}"/>
    <cellStyle name="Comma 37 3 2 2 3 2 3 2" xfId="26622" xr:uid="{CDB96EA1-FD85-495F-9AFC-08B60F793179}"/>
    <cellStyle name="Comma 37 3 2 2 3 2 3 2 2" xfId="27491" xr:uid="{8ADAF7FB-3808-4EC3-9275-16566074269D}"/>
    <cellStyle name="Comma 37 3 2 2 3 2 3 3" xfId="27492" xr:uid="{511D3205-03E0-489A-B3CE-848E160DC51D}"/>
    <cellStyle name="Comma 37 3 2 2 3 2 4" xfId="23968" xr:uid="{2D76AE3F-8C33-4158-B516-801DBFF1D398}"/>
    <cellStyle name="Comma 37 3 2 2 3 2 4 2" xfId="27494" xr:uid="{60E5FE53-485C-4FEB-91BD-E3A7B838AACE}"/>
    <cellStyle name="Comma 37 3 2 2 3 2 5" xfId="27499" xr:uid="{3555AAE6-8356-486D-A57D-FB0B4D2DE048}"/>
    <cellStyle name="Comma 37 3 2 2 3 3" xfId="27500" xr:uid="{27C71376-5C7A-4D0D-BA9E-4204A2EEDEAD}"/>
    <cellStyle name="Comma 37 3 2 2 3 3 2" xfId="14049" xr:uid="{843BAB0E-C6C7-4274-A6C1-F6A53F02A4E4}"/>
    <cellStyle name="Comma 37 3 2 2 3 3 2 2" xfId="27502" xr:uid="{D1AC5B4F-1A3B-4C1B-B978-11F5F9E2BD79}"/>
    <cellStyle name="Comma 37 3 2 2 3 3 2 2 2" xfId="27504" xr:uid="{4622BBB6-BEAF-4EAF-AFED-2EB48D4DC534}"/>
    <cellStyle name="Comma 37 3 2 2 3 3 2 3" xfId="27505" xr:uid="{69E2D30F-729D-469A-96B7-507AB3A4EF74}"/>
    <cellStyle name="Comma 37 3 2 2 3 3 3" xfId="26627" xr:uid="{B4E5EE49-9B7B-4FEE-8649-447FA36466C7}"/>
    <cellStyle name="Comma 37 3 2 2 3 3 3 2" xfId="27506" xr:uid="{1C75DD72-71B6-44EE-843F-20ECCD2267FB}"/>
    <cellStyle name="Comma 37 3 2 2 3 3 4" xfId="27507" xr:uid="{0358F001-4092-4849-919C-36B3FADFB53B}"/>
    <cellStyle name="Comma 37 3 2 2 3 4" xfId="27508" xr:uid="{9BA683D4-DD21-4185-B518-2071E460FC7F}"/>
    <cellStyle name="Comma 37 3 2 2 3 4 2" xfId="27512" xr:uid="{51FB3408-1C75-47E5-809B-5B8EAB875D7D}"/>
    <cellStyle name="Comma 37 3 2 2 3 4 2 2" xfId="27514" xr:uid="{5788C5B2-2FB2-4A95-B070-F28DE5038359}"/>
    <cellStyle name="Comma 37 3 2 2 3 4 3" xfId="27517" xr:uid="{03CB140B-8DEF-4F5D-9324-2022E8A058CA}"/>
    <cellStyle name="Comma 37 3 2 2 3 5" xfId="27518" xr:uid="{A1E0D20A-536F-4ED5-9083-940419B72371}"/>
    <cellStyle name="Comma 37 3 2 2 3 5 2" xfId="25790" xr:uid="{0DDA98B0-A159-48EE-A3E7-E373ACAB3CB8}"/>
    <cellStyle name="Comma 37 3 2 2 3 6" xfId="27520" xr:uid="{857D2D13-8128-44D4-BFBB-5222E2BE1875}"/>
    <cellStyle name="Comma 37 3 2 2 3 7" xfId="27521" xr:uid="{6409AE27-A802-4FE6-A527-1D1DBFD5A599}"/>
    <cellStyle name="Comma 37 3 2 2 4" xfId="27525" xr:uid="{2DA3E9C4-6436-4B68-9E69-DF5530359382}"/>
    <cellStyle name="Comma 37 3 2 2 4 2" xfId="27527" xr:uid="{01D6E1F9-61D3-403C-87B7-B981A2B71815}"/>
    <cellStyle name="Comma 37 3 2 2 4 2 2" xfId="27530" xr:uid="{ACF5B125-3E5B-43F1-94DE-CFF0C5C72C57}"/>
    <cellStyle name="Comma 37 3 2 2 4 2 2 2" xfId="27532" xr:uid="{1F90E9A7-4009-4676-8B4D-62C978FD083E}"/>
    <cellStyle name="Comma 37 3 2 2 4 2 2 2 2" xfId="24216" xr:uid="{F46266E7-6A0A-4CAC-B692-CB9286C426C8}"/>
    <cellStyle name="Comma 37 3 2 2 4 2 2 3" xfId="27534" xr:uid="{A2BA1CE6-E944-4A7A-ADCF-445567BD8D12}"/>
    <cellStyle name="Comma 37 3 2 2 4 2 3" xfId="13083" xr:uid="{DE3B9EAC-FE69-4775-B400-723074689CC1}"/>
    <cellStyle name="Comma 37 3 2 2 4 2 3 2" xfId="13087" xr:uid="{880CB1A8-3816-4796-9EE3-4A8D4CEC14B1}"/>
    <cellStyle name="Comma 37 3 2 2 4 2 4" xfId="13089" xr:uid="{215EB17E-E801-4672-B1AA-15F6F60FB51F}"/>
    <cellStyle name="Comma 37 3 2 2 4 3" xfId="27535" xr:uid="{9C4C5241-E8C1-4D89-958C-002A61187A04}"/>
    <cellStyle name="Comma 37 3 2 2 4 3 2" xfId="27538" xr:uid="{BD521497-1B19-4F5B-876E-107B3D16D8B8}"/>
    <cellStyle name="Comma 37 3 2 2 4 3 2 2" xfId="27542" xr:uid="{90E8C566-8881-427C-9E63-05498DC2B316}"/>
    <cellStyle name="Comma 37 3 2 2 4 3 3" xfId="8409" xr:uid="{BAC3CA21-09CD-4291-B20C-D3D453E6335C}"/>
    <cellStyle name="Comma 37 3 2 2 4 4" xfId="27543" xr:uid="{35E6084E-8A98-4E05-A018-AB354F278FBE}"/>
    <cellStyle name="Comma 37 3 2 2 4 4 2" xfId="27547" xr:uid="{88F4B55D-D816-4C47-A6C2-0A8851E06131}"/>
    <cellStyle name="Comma 37 3 2 2 4 5" xfId="23450" xr:uid="{1462609F-407B-4520-973A-2B22F5ABDBA0}"/>
    <cellStyle name="Comma 37 3 2 2 5" xfId="27548" xr:uid="{3A908DB0-B072-4D94-8688-F50A85F487C8}"/>
    <cellStyle name="Comma 37 3 2 2 5 2" xfId="27550" xr:uid="{30F94CB6-4706-4647-9508-6401AEE4D8D7}"/>
    <cellStyle name="Comma 37 3 2 2 5 2 2" xfId="27552" xr:uid="{7305A676-22C2-4007-9534-CB5781522B7F}"/>
    <cellStyle name="Comma 37 3 2 2 5 2 2 2" xfId="27554" xr:uid="{C1C1D4E4-D707-455B-8C11-DA5BA6B4714D}"/>
    <cellStyle name="Comma 37 3 2 2 5 2 3" xfId="13156" xr:uid="{5B0E23F0-61C6-4931-A3CE-2114733E13C6}"/>
    <cellStyle name="Comma 37 3 2 2 5 3" xfId="27555" xr:uid="{B746F627-C1F1-4E18-A166-2E8DCE695D9D}"/>
    <cellStyle name="Comma 37 3 2 2 5 3 2" xfId="27559" xr:uid="{7BC3CF71-BDDC-4011-9DAE-87BE4DB8F6DC}"/>
    <cellStyle name="Comma 37 3 2 2 5 4" xfId="27561" xr:uid="{B871565B-D281-4041-BC1D-23F80A65D5C9}"/>
    <cellStyle name="Comma 37 3 2 2 6" xfId="27562" xr:uid="{D1585ECD-0B59-45B6-B4E2-EF1CE71C81E9}"/>
    <cellStyle name="Comma 37 3 2 2 6 2" xfId="27564" xr:uid="{4FCB5C8A-13CD-47D0-B480-1267B2BE04A5}"/>
    <cellStyle name="Comma 37 3 2 2 6 2 2" xfId="27568" xr:uid="{D67AB69A-F055-4614-B482-5634D8BC4325}"/>
    <cellStyle name="Comma 37 3 2 2 6 3" xfId="23983" xr:uid="{EF4CB861-4765-4A8A-9457-03CDCF20B223}"/>
    <cellStyle name="Comma 37 3 2 2 7" xfId="27571" xr:uid="{E3FCAAFC-682B-424F-A154-7A7338DA2D2F}"/>
    <cellStyle name="Comma 37 3 2 2 7 2" xfId="27573" xr:uid="{86317A09-6C3E-4B0A-82AC-D9BB99FC2684}"/>
    <cellStyle name="Comma 37 3 2 2 8" xfId="24404" xr:uid="{C292270B-7671-4651-8EC6-DFFB724D3FBF}"/>
    <cellStyle name="Comma 37 3 2 2 9" xfId="24411" xr:uid="{98526538-8249-4B4F-BBC6-8A67CC351EB8}"/>
    <cellStyle name="Comma 37 3 2 3" xfId="8807" xr:uid="{1F05605E-2259-4263-B193-4FFF91213BDE}"/>
    <cellStyle name="Comma 37 3 2 3 2" xfId="27577" xr:uid="{149AB52D-D186-4F82-B1DE-FE8775E2524D}"/>
    <cellStyle name="Comma 37 3 2 3 2 2" xfId="27580" xr:uid="{0536D2EC-922D-48C5-A328-3315A60A1A21}"/>
    <cellStyle name="Comma 37 3 2 3 2 2 2" xfId="27582" xr:uid="{9EF6E740-0478-4A3E-9436-85BE0D96AAF1}"/>
    <cellStyle name="Comma 37 3 2 3 2 2 2 2" xfId="27584" xr:uid="{F212FD76-5D76-4C87-8511-952DC050D294}"/>
    <cellStyle name="Comma 37 3 2 3 2 2 2 2 2" xfId="5253" xr:uid="{7F950E3C-9ACE-454A-B858-182AAEC88BE3}"/>
    <cellStyle name="Comma 37 3 2 3 2 2 2 2 2 2" xfId="3326" xr:uid="{663B045E-E0BD-4D5D-8BEA-DA3EB6DE8185}"/>
    <cellStyle name="Comma 37 3 2 3 2 2 2 2 3" xfId="27586" xr:uid="{E1CCF004-D406-4611-8A3A-536D0F606B3C}"/>
    <cellStyle name="Comma 37 3 2 3 2 2 2 3" xfId="27587" xr:uid="{E8EDDE09-C88F-4B05-A22B-FC537BD28C44}"/>
    <cellStyle name="Comma 37 3 2 3 2 2 2 3 2" xfId="27590" xr:uid="{20D6A0F8-5CF1-4AFA-A2EE-84ADDAFF7F18}"/>
    <cellStyle name="Comma 37 3 2 3 2 2 2 4" xfId="26826" xr:uid="{C2972485-093E-404F-AE1C-99479E33DE40}"/>
    <cellStyle name="Comma 37 3 2 3 2 2 3" xfId="26884" xr:uid="{CF0DFC10-48BF-4332-A5C5-45AE9FAB0098}"/>
    <cellStyle name="Comma 37 3 2 3 2 2 3 2" xfId="26889" xr:uid="{B177FD72-310C-4CA7-8168-EF67083A7337}"/>
    <cellStyle name="Comma 37 3 2 3 2 2 3 2 2" xfId="27593" xr:uid="{609DF52B-1DF9-4C4A-AD3E-6540A57D7AE4}"/>
    <cellStyle name="Comma 37 3 2 3 2 2 3 3" xfId="27594" xr:uid="{BD515254-D40E-443F-A939-35D671C7EA60}"/>
    <cellStyle name="Comma 37 3 2 3 2 2 4" xfId="6046" xr:uid="{203728BF-49CD-48C0-85D8-B1C5D42467E8}"/>
    <cellStyle name="Comma 37 3 2 3 2 2 4 2" xfId="2940" xr:uid="{C7CA32AA-EDA3-4344-9CF4-B353023F5155}"/>
    <cellStyle name="Comma 37 3 2 3 2 2 5" xfId="6049" xr:uid="{72A17AD6-44E5-4A4B-BE6E-14956173ABD5}"/>
    <cellStyle name="Comma 37 3 2 3 2 3" xfId="27596" xr:uid="{1F410127-89AF-49C9-A164-E1F11B2BC623}"/>
    <cellStyle name="Comma 37 3 2 3 2 3 2" xfId="15679" xr:uid="{D586C82B-78BB-4ADC-B32A-68ED492541C7}"/>
    <cellStyle name="Comma 37 3 2 3 2 3 2 2" xfId="27598" xr:uid="{35375B82-E47E-4DA5-B16D-CADDB074932F}"/>
    <cellStyle name="Comma 37 3 2 3 2 3 2 2 2" xfId="16647" xr:uid="{144BBA81-B080-4046-A28D-4AE59E3697A7}"/>
    <cellStyle name="Comma 37 3 2 3 2 3 2 3" xfId="27600" xr:uid="{49904509-333A-4D63-9B43-BB82E8BD222A}"/>
    <cellStyle name="Comma 37 3 2 3 2 3 3" xfId="26896" xr:uid="{1C33B9CF-5071-4439-AD8D-260994E1B31F}"/>
    <cellStyle name="Comma 37 3 2 3 2 3 3 2" xfId="27601" xr:uid="{5B1B51A6-01A9-412C-A87C-FF7366220BFB}"/>
    <cellStyle name="Comma 37 3 2 3 2 3 4" xfId="115" xr:uid="{D5DAC2FB-78EE-4AA2-8ECF-BC996AC27EA7}"/>
    <cellStyle name="Comma 37 3 2 3 2 4" xfId="24266" xr:uid="{F7D51EC7-89BB-43B7-AF33-CC81270266F1}"/>
    <cellStyle name="Comma 37 3 2 3 2 4 2" xfId="24272" xr:uid="{D8244531-1580-4718-A6F6-51B43113816F}"/>
    <cellStyle name="Comma 37 3 2 3 2 4 2 2" xfId="27603" xr:uid="{82D15338-7C84-4009-A7AE-2F6A2E4B586E}"/>
    <cellStyle name="Comma 37 3 2 3 2 4 3" xfId="27607" xr:uid="{8DA58492-2D16-4946-9EF4-2F4EFEC0993A}"/>
    <cellStyle name="Comma 37 3 2 3 2 5" xfId="24275" xr:uid="{5CBD20A6-5487-4E8D-BC38-9A13EC6DD7F7}"/>
    <cellStyle name="Comma 37 3 2 3 2 5 2" xfId="27610" xr:uid="{3EDCC5E9-E2E6-463C-942D-1FC76FFB60C8}"/>
    <cellStyle name="Comma 37 3 2 3 2 6" xfId="27611" xr:uid="{13EACD9D-BB79-4802-9993-773430BAC27E}"/>
    <cellStyle name="Comma 37 3 2 3 2 7" xfId="27613" xr:uid="{EADFA886-8DBB-4F17-A80B-BA3B5B7C4CA0}"/>
    <cellStyle name="Comma 37 3 2 3 3" xfId="27615" xr:uid="{75E89A54-A8BE-4BF2-AB89-79844DA13FEF}"/>
    <cellStyle name="Comma 37 3 2 3 3 2" xfId="27617" xr:uid="{A437C5D8-38C9-49B3-816A-8E4DE96D8339}"/>
    <cellStyle name="Comma 37 3 2 3 3 2 2" xfId="22329" xr:uid="{118BEED7-BF49-4F25-A99F-31DF7FA4B814}"/>
    <cellStyle name="Comma 37 3 2 3 3 2 2 2" xfId="15865" xr:uid="{F204E134-2A71-4482-8280-507CCBEB0DE7}"/>
    <cellStyle name="Comma 37 3 2 3 3 2 2 2 2" xfId="18425" xr:uid="{E4A554B0-8BE3-4950-9D4B-07C0F5F7581D}"/>
    <cellStyle name="Comma 37 3 2 3 3 2 2 3" xfId="27619" xr:uid="{474509B3-471C-4E3A-B99E-962395170E48}"/>
    <cellStyle name="Comma 37 3 2 3 3 2 3" xfId="26944" xr:uid="{C1895D8D-F283-47D1-9EDD-B64BA5D8134F}"/>
    <cellStyle name="Comma 37 3 2 3 3 2 3 2" xfId="27620" xr:uid="{E0938096-2458-45A6-BC23-AB17FAF5936C}"/>
    <cellStyle name="Comma 37 3 2 3 3 2 4" xfId="6063" xr:uid="{F62CD77C-5B77-4AEA-845B-D52C020AE80F}"/>
    <cellStyle name="Comma 37 3 2 3 3 3" xfId="27621" xr:uid="{ACF7E6C9-04F3-4B59-AF26-17FB9B6EF0DE}"/>
    <cellStyle name="Comma 37 3 2 3 3 3 2" xfId="27623" xr:uid="{AC74DEB1-3630-4DC7-9094-10E7BCF70755}"/>
    <cellStyle name="Comma 37 3 2 3 3 3 2 2" xfId="27625" xr:uid="{C1E97A9A-7BA7-4FF6-B390-F61C1DD12069}"/>
    <cellStyle name="Comma 37 3 2 3 3 3 3" xfId="27626" xr:uid="{67BBBE85-5008-4FDC-9A73-06EB400507FB}"/>
    <cellStyle name="Comma 37 3 2 3 3 4" xfId="24279" xr:uid="{2115DCB7-9773-4738-AEB1-63F7B80BCA5F}"/>
    <cellStyle name="Comma 37 3 2 3 3 4 2" xfId="27628" xr:uid="{65EDC1A1-F281-4B8B-B73D-86F081836701}"/>
    <cellStyle name="Comma 37 3 2 3 3 5" xfId="27629" xr:uid="{3BDA93B3-9616-4103-8974-CB7113A2666A}"/>
    <cellStyle name="Comma 37 3 2 3 4" xfId="27633" xr:uid="{89D55CFD-1D85-4D0F-9EEE-71619193EC28}"/>
    <cellStyle name="Comma 37 3 2 3 4 2" xfId="27635" xr:uid="{236868A3-9A73-4ECF-AC15-208BBCC0658F}"/>
    <cellStyle name="Comma 37 3 2 3 4 2 2" xfId="27637" xr:uid="{323203CD-86E7-40C0-A682-9943A395C9E5}"/>
    <cellStyle name="Comma 37 3 2 3 4 2 2 2" xfId="27639" xr:uid="{00F0DC0E-F600-4692-8C97-B075C128A948}"/>
    <cellStyle name="Comma 37 3 2 3 4 2 3" xfId="13291" xr:uid="{7E7E70AD-AD6D-4C9E-9166-DD672B590415}"/>
    <cellStyle name="Comma 37 3 2 3 4 3" xfId="27640" xr:uid="{0E32A800-88D7-4DA5-AE0F-EB9811F10945}"/>
    <cellStyle name="Comma 37 3 2 3 4 3 2" xfId="27644" xr:uid="{FBE5AB69-F38D-4584-A2A0-312E95E64E50}"/>
    <cellStyle name="Comma 37 3 2 3 4 4" xfId="27646" xr:uid="{15596645-E4A9-4390-A74F-103FF4785CE2}"/>
    <cellStyle name="Comma 37 3 2 3 5" xfId="27647" xr:uid="{3E8F067D-BA24-4851-8ED7-B41714BF554C}"/>
    <cellStyle name="Comma 37 3 2 3 5 2" xfId="27649" xr:uid="{C4BD8986-6CCC-4BF9-965B-5A796C9CD4D5}"/>
    <cellStyle name="Comma 37 3 2 3 5 2 2" xfId="27651" xr:uid="{2FF17493-EB8E-4C55-AB5B-40C58062C8DA}"/>
    <cellStyle name="Comma 37 3 2 3 5 3" xfId="27653" xr:uid="{72E9404A-BA43-40C0-A4DD-71248939F91D}"/>
    <cellStyle name="Comma 37 3 2 3 6" xfId="27654" xr:uid="{216C37AE-6699-4B6D-828D-E0A3BFA31392}"/>
    <cellStyle name="Comma 37 3 2 3 6 2" xfId="27656" xr:uid="{F2DF6689-64E9-4E37-8783-8B46D9297010}"/>
    <cellStyle name="Comma 37 3 2 3 7" xfId="27659" xr:uid="{54955960-7A3E-41A7-A1F4-44F049BC58A3}"/>
    <cellStyle name="Comma 37 3 2 3 8" xfId="24414" xr:uid="{8FEB3B7E-C4DB-4453-B634-C3459BB76F8C}"/>
    <cellStyle name="Comma 37 3 2 4" xfId="27662" xr:uid="{11B2D1FD-FA1C-418B-BFAD-5A4A8D9D474A}"/>
    <cellStyle name="Comma 37 3 2 4 2" xfId="27665" xr:uid="{08188DDC-2553-4620-BA98-9B4A40398B89}"/>
    <cellStyle name="Comma 37 3 2 4 2 2" xfId="27667" xr:uid="{C08C6307-E3F1-4801-8B90-6FA73DF61909}"/>
    <cellStyle name="Comma 37 3 2 4 2 2 2" xfId="23574" xr:uid="{8F8A29CC-D70C-435C-80EE-C3919D0FFC33}"/>
    <cellStyle name="Comma 37 3 2 4 2 2 2 2" xfId="23578" xr:uid="{FA6B5982-C2BB-4E1D-A3F3-DE53E37D3A05}"/>
    <cellStyle name="Comma 37 3 2 4 2 2 2 2 2" xfId="27669" xr:uid="{4002CB6C-D3A4-4F34-AE22-2C7A9E8939D2}"/>
    <cellStyle name="Comma 37 3 2 4 2 2 2 3" xfId="27670" xr:uid="{A8BF519D-5EC9-4D11-BD8A-26783441F638}"/>
    <cellStyle name="Comma 37 3 2 4 2 2 3" xfId="23583" xr:uid="{2D320643-BB2C-4935-9848-967BD460D56D}"/>
    <cellStyle name="Comma 37 3 2 4 2 2 3 2" xfId="11109" xr:uid="{84802991-3A78-44D7-973D-A31C6D7D29F4}"/>
    <cellStyle name="Comma 37 3 2 4 2 2 4" xfId="5581" xr:uid="{A24343F9-96BD-4AE9-9765-3E40C5C9DC89}"/>
    <cellStyle name="Comma 37 3 2 4 2 3" xfId="27671" xr:uid="{533FAB69-5CC2-407A-9DBA-7428B2F62146}"/>
    <cellStyle name="Comma 37 3 2 4 2 3 2" xfId="23595" xr:uid="{3D56CF2A-630A-4A44-8E3F-7E279899278B}"/>
    <cellStyle name="Comma 37 3 2 4 2 3 2 2" xfId="27673" xr:uid="{2D1B5CFC-5BCD-4639-B63B-90582E0970F0}"/>
    <cellStyle name="Comma 37 3 2 4 2 3 3" xfId="27674" xr:uid="{0BA8D4BF-89BA-4631-A850-A08A726F4241}"/>
    <cellStyle name="Comma 37 3 2 4 2 4" xfId="5588" xr:uid="{FF72206F-8838-492D-A2D1-A2FC3F584C98}"/>
    <cellStyle name="Comma 37 3 2 4 2 4 2" xfId="27676" xr:uid="{AD9E0DA8-DB3E-4F3A-B232-E8A637D6B4BF}"/>
    <cellStyle name="Comma 37 3 2 4 2 5" xfId="5596" xr:uid="{5BDA75CF-B97C-4F32-8C27-D4DB5A9738E2}"/>
    <cellStyle name="Comma 37 3 2 4 3" xfId="13510" xr:uid="{FBE459B2-EEAC-4660-B701-FCD84B2B4BEC}"/>
    <cellStyle name="Comma 37 3 2 4 3 2" xfId="13514" xr:uid="{339A4E13-C285-4344-A7E6-325F07FD348F}"/>
    <cellStyle name="Comma 37 3 2 4 3 2 2" xfId="13518" xr:uid="{BB2634D4-6B08-4931-A017-775DE0356C29}"/>
    <cellStyle name="Comma 37 3 2 4 3 2 2 2" xfId="13524" xr:uid="{2A2A7587-45F9-4503-A38B-B8D18F18918C}"/>
    <cellStyle name="Comma 37 3 2 4 3 2 3" xfId="13531" xr:uid="{FCE10BD5-4ACD-414C-9624-943CD48A6845}"/>
    <cellStyle name="Comma 37 3 2 4 3 3" xfId="13543" xr:uid="{080D600C-BF31-4783-97E2-943185C234DA}"/>
    <cellStyle name="Comma 37 3 2 4 3 3 2" xfId="13548" xr:uid="{B31213D0-34C5-4BA8-BDE2-0DA85EE9FAD0}"/>
    <cellStyle name="Comma 37 3 2 4 3 4" xfId="13556" xr:uid="{A54E261D-0B76-434B-8499-F9CAFA12301C}"/>
    <cellStyle name="Comma 37 3 2 4 4" xfId="13563" xr:uid="{26B809DC-EB08-4842-9CF2-E642442FFA71}"/>
    <cellStyle name="Comma 37 3 2 4 4 2" xfId="13567" xr:uid="{DAB7BDEE-8EC8-4E8B-A731-8E9748B56963}"/>
    <cellStyle name="Comma 37 3 2 4 4 2 2" xfId="13573" xr:uid="{A7AA99AE-3D50-4289-8EC4-3AB07817CB73}"/>
    <cellStyle name="Comma 37 3 2 4 4 3" xfId="13582" xr:uid="{488BF712-B0AB-40E7-9D3A-514E00576B34}"/>
    <cellStyle name="Comma 37 3 2 4 5" xfId="13588" xr:uid="{27A38DCC-B318-49D2-B6E9-52B06821A499}"/>
    <cellStyle name="Comma 37 3 2 4 5 2" xfId="13592" xr:uid="{8A2B981F-BBE7-4295-BA69-995A673DD5AC}"/>
    <cellStyle name="Comma 37 3 2 4 6" xfId="13603" xr:uid="{8A20DAC6-4C3F-4BDE-95A6-ECE6AC81669C}"/>
    <cellStyle name="Comma 37 3 2 4 7" xfId="3766" xr:uid="{9B5B4120-BC8A-4050-98CE-C8DB8BB8D635}"/>
    <cellStyle name="Comma 37 3 2 5" xfId="27678" xr:uid="{E94A276D-A3DF-4395-B633-BF5F3E6CDC78}"/>
    <cellStyle name="Comma 37 3 2 5 2" xfId="27680" xr:uid="{7F1A366A-F846-47A3-80A3-230C9E20FED7}"/>
    <cellStyle name="Comma 37 3 2 5 2 2" xfId="27683" xr:uid="{B05B71C6-EDD8-4E2A-962D-E5214CA01601}"/>
    <cellStyle name="Comma 37 3 2 5 2 2 2" xfId="4511" xr:uid="{92382A9D-A755-4329-B498-DC094E5FB5C6}"/>
    <cellStyle name="Comma 37 3 2 5 2 2 2 2" xfId="4520" xr:uid="{8E6D6E77-AD4D-466D-9B7C-AC74FF12C203}"/>
    <cellStyle name="Comma 37 3 2 5 2 2 3" xfId="4524" xr:uid="{881EE429-BAAB-4BC5-ADFE-E65355AE122D}"/>
    <cellStyle name="Comma 37 3 2 5 2 3" xfId="27687" xr:uid="{20A077F0-81F0-4E92-AC18-51C26893A568}"/>
    <cellStyle name="Comma 37 3 2 5 2 3 2" xfId="4544" xr:uid="{4E94644F-ABCD-4F88-8FC4-74B60D490590}"/>
    <cellStyle name="Comma 37 3 2 5 2 4" xfId="27689" xr:uid="{35C92E75-5CD4-4053-B753-FC12467A3CA1}"/>
    <cellStyle name="Comma 37 3 2 5 3" xfId="13614" xr:uid="{AF03EC92-058C-4D45-88DF-217B628E8552}"/>
    <cellStyle name="Comma 37 3 2 5 3 2" xfId="13617" xr:uid="{2C8C449E-7419-433E-99E5-90BD0A8C9196}"/>
    <cellStyle name="Comma 37 3 2 5 3 2 2" xfId="1889" xr:uid="{703E5500-90C1-4150-A03F-72170830A15A}"/>
    <cellStyle name="Comma 37 3 2 5 3 3" xfId="13631" xr:uid="{49395A3C-C1DE-45DB-94B9-B35D3ACC9C26}"/>
    <cellStyle name="Comma 37 3 2 5 4" xfId="13642" xr:uid="{45879B04-09D2-4162-90EB-271FC270B96D}"/>
    <cellStyle name="Comma 37 3 2 5 4 2" xfId="13646" xr:uid="{14DF570E-FDC3-46C8-B289-21E56615F2EE}"/>
    <cellStyle name="Comma 37 3 2 5 5" xfId="13652" xr:uid="{723B6AC1-8EE1-4305-9DA4-2827CC052F99}"/>
    <cellStyle name="Comma 37 3 2 6" xfId="27693" xr:uid="{D85E1DDC-ACB2-4178-9BCF-576F8ED88730}"/>
    <cellStyle name="Comma 37 3 2 6 2" xfId="27695" xr:uid="{1892DBF4-EA9F-42E7-BD73-4F7132C9C95E}"/>
    <cellStyle name="Comma 37 3 2 6 2 2" xfId="27697" xr:uid="{CC2FB986-929F-408D-9FC6-787BC9354B7D}"/>
    <cellStyle name="Comma 37 3 2 6 2 2 2" xfId="4701" xr:uid="{72A95EEA-3ED9-4AA1-BFAE-C05A7F0687BE}"/>
    <cellStyle name="Comma 37 3 2 6 2 3" xfId="27699" xr:uid="{56B19C93-567A-43EC-BE51-6725F19BFE9C}"/>
    <cellStyle name="Comma 37 3 2 6 3" xfId="13661" xr:uid="{0217ABE9-636B-4BDC-8CDA-F448522FE7E5}"/>
    <cellStyle name="Comma 37 3 2 6 3 2" xfId="13665" xr:uid="{561186BA-B137-4BF6-BDCB-A77C2247BAE8}"/>
    <cellStyle name="Comma 37 3 2 6 4" xfId="13672" xr:uid="{AC4EE58C-E1D9-4515-99FB-B9134DB04D34}"/>
    <cellStyle name="Comma 37 3 2 7" xfId="27700" xr:uid="{BCDD1A13-7862-4F0F-86EC-0E918CF5D17F}"/>
    <cellStyle name="Comma 37 3 2 7 2" xfId="27702" xr:uid="{0A9B0E7D-DD4C-4137-A381-2D709B0DE438}"/>
    <cellStyle name="Comma 37 3 2 7 2 2" xfId="27707" xr:uid="{0B597C67-9DB8-46E6-9074-74C8D24D5433}"/>
    <cellStyle name="Comma 37 3 2 7 3" xfId="13678" xr:uid="{CDCF9E4A-C885-44D8-89ED-C88A274BF58E}"/>
    <cellStyle name="Comma 37 3 2 8" xfId="21796" xr:uid="{74AE28FB-8CDA-4D27-ACBB-CF99667AEFB1}"/>
    <cellStyle name="Comma 37 3 2 8 2" xfId="27709" xr:uid="{A62E2CCE-61D6-46C7-9FD3-A4185E2BBC44}"/>
    <cellStyle name="Comma 37 3 2 9" xfId="27711" xr:uid="{13EBF710-7C44-443B-81F3-502DC733CE00}"/>
    <cellStyle name="Comma 37 3 3" xfId="27713" xr:uid="{BFBEAAF1-718F-4B69-8B2C-DE0D6A438DE3}"/>
    <cellStyle name="Comma 37 3 3 2" xfId="8868" xr:uid="{FFDB43E4-F834-49F3-AC0F-F9EA81F9E6BF}"/>
    <cellStyle name="Comma 37 3 3 2 2" xfId="27716" xr:uid="{CB264419-5DBA-418E-B58A-2CA44D2EA714}"/>
    <cellStyle name="Comma 37 3 3 2 2 2" xfId="27719" xr:uid="{260B71CA-7B46-4C22-9825-92E655DCEBC8}"/>
    <cellStyle name="Comma 37 3 3 2 2 2 2" xfId="27721" xr:uid="{FBA0F5C7-701F-417F-AA13-E178E1B7BEA0}"/>
    <cellStyle name="Comma 37 3 3 2 2 2 2 2" xfId="27723" xr:uid="{143D5E9E-FBF5-4785-A610-EA7F640EAF01}"/>
    <cellStyle name="Comma 37 3 3 2 2 2 2 2 2" xfId="5768" xr:uid="{C5959EBA-26C5-45E7-B95B-79616CC7239F}"/>
    <cellStyle name="Comma 37 3 3 2 2 2 2 2 2 2" xfId="27726" xr:uid="{0CF113E7-E187-4CB4-849E-432B75242CC5}"/>
    <cellStyle name="Comma 37 3 3 2 2 2 2 2 3" xfId="27727" xr:uid="{D845CD5F-395B-412D-AB01-1D45E61BD2E7}"/>
    <cellStyle name="Comma 37 3 3 2 2 2 2 3" xfId="13193" xr:uid="{84DDCF5B-0866-4322-82EE-127701253B9D}"/>
    <cellStyle name="Comma 37 3 3 2 2 2 2 3 2" xfId="27728" xr:uid="{25E7C905-D865-43D6-B9F8-C401606BFF46}"/>
    <cellStyle name="Comma 37 3 3 2 2 2 2 4" xfId="27729" xr:uid="{45571E39-6194-49C8-B7AB-2E9EE29D3A6D}"/>
    <cellStyle name="Comma 37 3 3 2 2 2 3" xfId="27565" xr:uid="{4C649DAF-65D3-4D15-9C4E-7955BE161763}"/>
    <cellStyle name="Comma 37 3 3 2 2 2 3 2" xfId="27569" xr:uid="{2479B62E-E118-4343-8BDC-624A4689EC88}"/>
    <cellStyle name="Comma 37 3 3 2 2 2 3 2 2" xfId="27730" xr:uid="{221F6F8C-F850-4CEF-A5BE-DD3E893BBD90}"/>
    <cellStyle name="Comma 37 3 3 2 2 2 3 3" xfId="27731" xr:uid="{BEEB03BA-EA5E-4648-8563-CC1A8666E8CD}"/>
    <cellStyle name="Comma 37 3 3 2 2 2 4" xfId="23984" xr:uid="{7E46CCFD-A79E-4179-8CBB-5AA21A9A4DA0}"/>
    <cellStyle name="Comma 37 3 3 2 2 2 4 2" xfId="27733" xr:uid="{22BF2FAD-31BB-4C7C-8EB1-5B9A96337F51}"/>
    <cellStyle name="Comma 37 3 3 2 2 2 5" xfId="27734" xr:uid="{B4F8349E-791D-4058-84C9-7BEC8C415FFA}"/>
    <cellStyle name="Comma 37 3 3 2 2 3" xfId="27735" xr:uid="{29A98A2E-6322-470B-B0AA-BF4AD2461C45}"/>
    <cellStyle name="Comma 37 3 3 2 2 3 2" xfId="27737" xr:uid="{862F9927-232D-4BF3-B707-E393778F498B}"/>
    <cellStyle name="Comma 37 3 3 2 2 3 2 2" xfId="27739" xr:uid="{A740D0A8-2081-45AD-8CF4-F756E87C88E9}"/>
    <cellStyle name="Comma 37 3 3 2 2 3 2 2 2" xfId="27741" xr:uid="{43FDECFF-FE0C-4E09-BC57-5611B2D5F0A1}"/>
    <cellStyle name="Comma 37 3 3 2 2 3 2 3" xfId="27742" xr:uid="{A757D5DB-BD46-4CC5-B8DC-F601F3680405}"/>
    <cellStyle name="Comma 37 3 3 2 2 3 3" xfId="27574" xr:uid="{41FD1E2B-403B-4FF7-86DC-DCBDCF4FBECA}"/>
    <cellStyle name="Comma 37 3 3 2 2 3 3 2" xfId="27743" xr:uid="{53C2BC8F-660A-4E4D-AF25-FD31B24E09E8}"/>
    <cellStyle name="Comma 37 3 3 2 2 3 4" xfId="27744" xr:uid="{F0D5CC45-DFBF-4922-BB26-D86F6D8CCAC0}"/>
    <cellStyle name="Comma 37 3 3 2 2 4" xfId="27745" xr:uid="{D8058508-9F22-4227-99A9-0E5405523F86}"/>
    <cellStyle name="Comma 37 3 3 2 2 4 2" xfId="6727" xr:uid="{7EFEE7DC-FFFC-40D7-BC43-19D35FC3B07C}"/>
    <cellStyle name="Comma 37 3 3 2 2 4 2 2" xfId="17193" xr:uid="{8E2740A9-CC88-4000-83FC-B2A9DEFBED60}"/>
    <cellStyle name="Comma 37 3 3 2 2 4 3" xfId="24407" xr:uid="{D7D79949-5481-4C69-A31E-3DA3FCDB4E8D}"/>
    <cellStyle name="Comma 37 3 3 2 2 5" xfId="27747" xr:uid="{F113E24A-050F-4A68-B031-B63B46A9C9E3}"/>
    <cellStyle name="Comma 37 3 3 2 2 5 2" xfId="27751" xr:uid="{498F1943-6FC8-4B80-83A7-72A0466D1B58}"/>
    <cellStyle name="Comma 37 3 3 2 2 6" xfId="27752" xr:uid="{5CCD4792-3E23-4E06-A220-8B121D138480}"/>
    <cellStyle name="Comma 37 3 3 2 2 7" xfId="27754" xr:uid="{1DF68CB9-D064-449F-A218-ACB92626429B}"/>
    <cellStyle name="Comma 37 3 3 2 3" xfId="27756" xr:uid="{2349B0AE-F950-4D4D-AC05-E84CC298673D}"/>
    <cellStyle name="Comma 37 3 3 2 3 2" xfId="27758" xr:uid="{B5ED484B-C8B7-46AB-9E1D-B40AE65DC14E}"/>
    <cellStyle name="Comma 37 3 3 2 3 2 2" xfId="27760" xr:uid="{AB9357ED-CDBA-466F-9844-C07FBBF76B22}"/>
    <cellStyle name="Comma 37 3 3 2 3 2 2 2" xfId="27762" xr:uid="{00428B43-1768-4064-A517-EFB62CB60950}"/>
    <cellStyle name="Comma 37 3 3 2 3 2 2 2 2" xfId="17039" xr:uid="{515B8506-3A11-4666-B27A-EB8EB233668F}"/>
    <cellStyle name="Comma 37 3 3 2 3 2 2 3" xfId="27764" xr:uid="{DBD6D330-5F47-4167-AE35-1ECB2135BAB7}"/>
    <cellStyle name="Comma 37 3 3 2 3 2 3" xfId="27657" xr:uid="{2EAC7E81-0DDE-4C98-A681-F4ECBDACAF81}"/>
    <cellStyle name="Comma 37 3 3 2 3 2 3 2" xfId="27765" xr:uid="{7099302C-4E39-4658-8C72-DAABCDBDC716}"/>
    <cellStyle name="Comma 37 3 3 2 3 2 4" xfId="27766" xr:uid="{BD5521E3-8ACC-47FE-80BC-6F69D9D0CB96}"/>
    <cellStyle name="Comma 37 3 3 2 3 3" xfId="27767" xr:uid="{92ABA5F3-A37B-409C-A18C-39D25A704578}"/>
    <cellStyle name="Comma 37 3 3 2 3 3 2" xfId="27769" xr:uid="{3B0AF334-F22C-44B7-B124-96361500E9A9}"/>
    <cellStyle name="Comma 37 3 3 2 3 3 2 2" xfId="19423" xr:uid="{1690ACBB-B23D-4A8A-818A-B24A87657A3D}"/>
    <cellStyle name="Comma 37 3 3 2 3 3 3" xfId="27771" xr:uid="{39577D8F-3096-4AEA-8008-21331006441F}"/>
    <cellStyle name="Comma 37 3 3 2 3 4" xfId="27772" xr:uid="{56D4D3B4-DD2A-4431-9DCA-BD09CCA4580A}"/>
    <cellStyle name="Comma 37 3 3 2 3 4 2" xfId="27774" xr:uid="{AB625377-E070-414B-8BF2-5A4229CA4C08}"/>
    <cellStyle name="Comma 37 3 3 2 3 5" xfId="27775" xr:uid="{0FE4FCB2-65A2-4A3E-BCD4-45F5BBDB7CEE}"/>
    <cellStyle name="Comma 37 3 3 2 4" xfId="27776" xr:uid="{3C222BFB-CA0B-4E87-8B77-5486F8FF4608}"/>
    <cellStyle name="Comma 37 3 3 2 4 2" xfId="22828" xr:uid="{37F97ABF-7BC5-4041-8C79-6EF5B0C73881}"/>
    <cellStyle name="Comma 37 3 3 2 4 2 2" xfId="22832" xr:uid="{CFFDE72D-FC09-4053-AF18-F1A2E2CD6C1E}"/>
    <cellStyle name="Comma 37 3 3 2 4 2 2 2" xfId="22837" xr:uid="{C8282F84-8098-486F-A7CA-221AE7974499}"/>
    <cellStyle name="Comma 37 3 3 2 4 2 3" xfId="13606" xr:uid="{62CD34F3-0F5D-4397-99C5-42FA5C054C7E}"/>
    <cellStyle name="Comma 37 3 3 2 4 3" xfId="22839" xr:uid="{145AAAF3-ADCC-421F-8169-0FCDC99FCDFC}"/>
    <cellStyle name="Comma 37 3 3 2 4 3 2" xfId="22846" xr:uid="{6267C8F1-BCE2-47F9-B7F4-25656475B352}"/>
    <cellStyle name="Comma 37 3 3 2 4 4" xfId="22850" xr:uid="{65910011-F8D0-4CD4-B8D1-F4EB559BAFD4}"/>
    <cellStyle name="Comma 37 3 3 2 5" xfId="27778" xr:uid="{77FB3CC0-242C-4D8E-80F8-BAF86D68FA87}"/>
    <cellStyle name="Comma 37 3 3 2 5 2" xfId="22860" xr:uid="{B58D4B31-D6B7-4E02-B5A5-A34CA8CEFAB0}"/>
    <cellStyle name="Comma 37 3 3 2 5 2 2" xfId="22865" xr:uid="{6326E70A-C162-48EA-A68F-4C3FAD956572}"/>
    <cellStyle name="Comma 37 3 3 2 5 3" xfId="22869" xr:uid="{E0A63F7F-3A90-41C7-8355-691363DB4A6F}"/>
    <cellStyle name="Comma 37 3 3 2 6" xfId="27780" xr:uid="{9BC1E005-21D2-47A5-A4C9-00D36A3ADD55}"/>
    <cellStyle name="Comma 37 3 3 2 6 2" xfId="22882" xr:uid="{F46DFA12-4FE5-43E5-BC8E-E1D756AA5862}"/>
    <cellStyle name="Comma 37 3 3 2 7" xfId="27782" xr:uid="{E71F4C64-1C3E-4049-A7EE-167F8416619F}"/>
    <cellStyle name="Comma 37 3 3 2 8" xfId="24418" xr:uid="{566D2F78-D0D5-4909-BBE1-12F68605706B}"/>
    <cellStyle name="Comma 37 3 3 3" xfId="27785" xr:uid="{F46E1E91-742F-4628-A68D-9160AC8D3CE2}"/>
    <cellStyle name="Comma 37 3 3 3 2" xfId="27788" xr:uid="{D1EBCA3D-15D8-487F-AE55-CC547D733765}"/>
    <cellStyle name="Comma 37 3 3 3 2 2" xfId="22871" xr:uid="{B15A7D77-6377-4383-B74F-AE95A896067F}"/>
    <cellStyle name="Comma 37 3 3 3 2 2 2" xfId="22874" xr:uid="{73FDE201-8B59-48E1-A50E-57B24E8024DB}"/>
    <cellStyle name="Comma 37 3 3 3 2 2 2 2" xfId="22878" xr:uid="{40897147-5DB6-44CA-B3B7-355A475F233B}"/>
    <cellStyle name="Comma 37 3 3 3 2 2 2 2 2" xfId="14076" xr:uid="{596F88DA-6884-4425-9B8B-023B74CABE0E}"/>
    <cellStyle name="Comma 37 3 3 3 2 2 2 3" xfId="27790" xr:uid="{14275D3F-6D06-430E-A4C6-0046251970C3}"/>
    <cellStyle name="Comma 37 3 3 3 2 2 3" xfId="22883" xr:uid="{613971F4-EB04-43C4-B437-531D839117AF}"/>
    <cellStyle name="Comma 37 3 3 3 2 2 3 2" xfId="27791" xr:uid="{8026ACF5-C852-43CF-971C-48D30986E05D}"/>
    <cellStyle name="Comma 37 3 3 3 2 2 4" xfId="6214" xr:uid="{7AEAA1C6-44EA-4FC5-97FF-C049DBA12CDB}"/>
    <cellStyle name="Comma 37 3 3 3 2 3" xfId="22887" xr:uid="{71865988-FB37-427F-966C-582D51F11520}"/>
    <cellStyle name="Comma 37 3 3 3 2 3 2" xfId="22890" xr:uid="{011ADA31-C103-483D-BA8B-7A19A3C1AB8C}"/>
    <cellStyle name="Comma 37 3 3 3 2 3 2 2" xfId="27792" xr:uid="{E00D04B3-3AB6-45C2-815F-C899F8B55EAD}"/>
    <cellStyle name="Comma 37 3 3 3 2 3 3" xfId="27793" xr:uid="{C88FFD7C-460B-4F16-B23C-AC209F1E05D6}"/>
    <cellStyle name="Comma 37 3 3 3 2 4" xfId="22894" xr:uid="{C1FA41FA-7E60-474C-A57B-966AA3C0C53C}"/>
    <cellStyle name="Comma 37 3 3 3 2 4 2" xfId="27794" xr:uid="{E2F58F90-5749-4316-9473-B92FC62811CA}"/>
    <cellStyle name="Comma 37 3 3 3 2 5" xfId="22898" xr:uid="{89DF2D75-4374-4FF8-AB08-3F891B8D9C6A}"/>
    <cellStyle name="Comma 37 3 3 3 3" xfId="27795" xr:uid="{A0FAA05E-5F19-4211-90F4-8FD295707BC5}"/>
    <cellStyle name="Comma 37 3 3 3 3 2" xfId="22930" xr:uid="{FB305C04-E820-4062-BDEA-72F49AEB1389}"/>
    <cellStyle name="Comma 37 3 3 3 3 2 2" xfId="22933" xr:uid="{BCA02C79-D2CB-47BD-B749-C75BAC201299}"/>
    <cellStyle name="Comma 37 3 3 3 3 2 2 2" xfId="26183" xr:uid="{6278B376-BAE0-4814-A051-E3E03F1BABAA}"/>
    <cellStyle name="Comma 37 3 3 3 3 2 3" xfId="27797" xr:uid="{0E6B2906-E143-474B-B54B-DCF620A9A862}"/>
    <cellStyle name="Comma 37 3 3 3 3 3" xfId="22938" xr:uid="{1F3EAE7D-7A67-47DD-8453-B586AA088960}"/>
    <cellStyle name="Comma 37 3 3 3 3 3 2" xfId="27798" xr:uid="{E692DA3F-F39E-45F4-9FAB-98AECD49C9AF}"/>
    <cellStyle name="Comma 37 3 3 3 3 4" xfId="27799" xr:uid="{31BF8EC0-B21F-448D-B569-4C7722B58FD9}"/>
    <cellStyle name="Comma 37 3 3 3 4" xfId="27800" xr:uid="{D98059AA-BFBE-4F77-8A1A-D4E342ED23AF}"/>
    <cellStyle name="Comma 37 3 3 3 4 2" xfId="22911" xr:uid="{120528E9-49BE-4E91-B334-5F8002A96E72}"/>
    <cellStyle name="Comma 37 3 3 3 4 2 2" xfId="22918" xr:uid="{46F4425E-C51E-422E-9C8F-0D69B4B2F18E}"/>
    <cellStyle name="Comma 37 3 3 3 4 3" xfId="10151" xr:uid="{2DBC8453-4C83-4D88-B6CB-A8EC69E6303F}"/>
    <cellStyle name="Comma 37 3 3 3 5" xfId="27802" xr:uid="{9133A454-4971-4753-96BC-059F34AD58A6}"/>
    <cellStyle name="Comma 37 3 3 3 5 2" xfId="22928" xr:uid="{C87EA3CE-57E5-48EE-AE55-F9A9C86CA2CB}"/>
    <cellStyle name="Comma 37 3 3 3 6" xfId="27804" xr:uid="{FCC92604-6EE8-4BA3-A178-B3088F20947A}"/>
    <cellStyle name="Comma 37 3 3 3 7" xfId="27805" xr:uid="{11D901F3-D75F-4C46-AEC0-C8796B5CD46A}"/>
    <cellStyle name="Comma 37 3 3 4" xfId="27807" xr:uid="{8EAA224D-FC78-46EB-93A5-E68CE72B5F38}"/>
    <cellStyle name="Comma 37 3 3 4 2" xfId="27809" xr:uid="{0EC3E4C4-31D5-4DAD-9ACA-F5BD0C156746}"/>
    <cellStyle name="Comma 37 3 3 4 2 2" xfId="22982" xr:uid="{9476B7AC-DCC8-4C0D-BE8C-CCB182DFD206}"/>
    <cellStyle name="Comma 37 3 3 4 2 2 2" xfId="22985" xr:uid="{B940BEB9-FE00-40DB-B754-798131F4A0EC}"/>
    <cellStyle name="Comma 37 3 3 4 2 2 2 2" xfId="5516" xr:uid="{6AB44751-0CD3-42EA-8ACF-054F923E091F}"/>
    <cellStyle name="Comma 37 3 3 4 2 2 3" xfId="27811" xr:uid="{8B7905F0-8AD4-4AB6-BA90-BE131CCD7BFC}"/>
    <cellStyle name="Comma 37 3 3 4 2 3" xfId="22990" xr:uid="{37065030-C684-47C8-95AF-DE8251AB17AF}"/>
    <cellStyle name="Comma 37 3 3 4 2 3 2" xfId="27812" xr:uid="{545C2ED6-0CAA-4570-8B08-A72314163AE3}"/>
    <cellStyle name="Comma 37 3 3 4 2 4" xfId="27813" xr:uid="{4ED4C182-3E63-49F1-8BAF-43B941D406E8}"/>
    <cellStyle name="Comma 37 3 3 4 3" xfId="13696" xr:uid="{E829688C-0401-446D-BE48-5E682A6B112B}"/>
    <cellStyle name="Comma 37 3 3 4 3 2" xfId="13699" xr:uid="{A8CD7E18-BD45-4113-A898-282803E82203}"/>
    <cellStyle name="Comma 37 3 3 4 3 2 2" xfId="13705" xr:uid="{C6DAC10D-C970-4145-A5DC-011EF9C123A3}"/>
    <cellStyle name="Comma 37 3 3 4 3 3" xfId="13713" xr:uid="{F6B931A2-F497-47B4-B30E-5DF13A6199AA}"/>
    <cellStyle name="Comma 37 3 3 4 4" xfId="13719" xr:uid="{74972B16-E2D1-43A8-AA92-6E405C1DE945}"/>
    <cellStyle name="Comma 37 3 3 4 4 2" xfId="13724" xr:uid="{22DDF413-E060-48E7-8AC5-C22815595CEA}"/>
    <cellStyle name="Comma 37 3 3 4 5" xfId="13729" xr:uid="{52AD88C1-B3E4-4FA6-8C17-55167C06560C}"/>
    <cellStyle name="Comma 37 3 3 5" xfId="27816" xr:uid="{27C56D90-EE47-47FB-BA82-AC8D3A6A0E9C}"/>
    <cellStyle name="Comma 37 3 3 5 2" xfId="27818" xr:uid="{4B85B9B1-FC7C-4E98-AEB6-116D6A9D416B}"/>
    <cellStyle name="Comma 37 3 3 5 2 2" xfId="23031" xr:uid="{620D217D-28AF-4464-AF87-CFEFF1AEA5CA}"/>
    <cellStyle name="Comma 37 3 3 5 2 2 2" xfId="5004" xr:uid="{2483D667-4899-453D-BC08-2A50CBA62E18}"/>
    <cellStyle name="Comma 37 3 3 5 2 3" xfId="27820" xr:uid="{4E02BACC-8C11-4312-BFF7-A316A9285FEF}"/>
    <cellStyle name="Comma 37 3 3 5 3" xfId="13736" xr:uid="{DE9C30F8-A3FE-49B1-87C3-A2B72028538D}"/>
    <cellStyle name="Comma 37 3 3 5 3 2" xfId="13740" xr:uid="{529BEDC5-E2ED-4507-85AC-137CB96BFD6E}"/>
    <cellStyle name="Comma 37 3 3 5 4" xfId="13746" xr:uid="{B20C3436-E6CD-4DDC-AD66-5F931C5CCBFE}"/>
    <cellStyle name="Comma 37 3 3 6" xfId="27821" xr:uid="{630CBBE1-0B6C-4049-A539-7149C8818980}"/>
    <cellStyle name="Comma 37 3 3 6 2" xfId="27823" xr:uid="{63568A14-CC31-4F33-9BD3-2BEBB8C3EB66}"/>
    <cellStyle name="Comma 37 3 3 6 2 2" xfId="27825" xr:uid="{D2F370D2-0CE1-47A7-9A25-2954D0027454}"/>
    <cellStyle name="Comma 37 3 3 6 3" xfId="13751" xr:uid="{E8D3887D-60CD-4479-8189-210E7572794B}"/>
    <cellStyle name="Comma 37 3 3 7" xfId="5694" xr:uid="{7580590A-3B49-4304-82AB-B9E837637A83}"/>
    <cellStyle name="Comma 37 3 3 7 2" xfId="5701" xr:uid="{40EBB3B8-1092-4E08-B1A5-7C5E3C7E4A1E}"/>
    <cellStyle name="Comma 37 3 3 8" xfId="5650" xr:uid="{C5F2E0C3-D8A0-4734-83AE-A9BD7E7CCC63}"/>
    <cellStyle name="Comma 37 3 3 9" xfId="5661" xr:uid="{6AB7D110-2F76-4FBF-BA1B-8DA300306B74}"/>
    <cellStyle name="Comma 37 3 4" xfId="27826" xr:uid="{95223DDD-7B24-4704-A3E2-7BABF35ADFD7}"/>
    <cellStyle name="Comma 37 3 4 2" xfId="16949" xr:uid="{6209313B-11D8-4C95-AF17-2C17328DD195}"/>
    <cellStyle name="Comma 37 3 4 2 2" xfId="203" xr:uid="{2B2E420D-3093-4494-A28A-B7528E349784}"/>
    <cellStyle name="Comma 37 3 4 2 2 2" xfId="224" xr:uid="{2C532BF6-7559-49A9-8A7F-A1CFD394DE04}"/>
    <cellStyle name="Comma 37 3 4 2 2 2 2" xfId="282" xr:uid="{8885FAD9-4E4F-4A61-A550-442ED0D9858E}"/>
    <cellStyle name="Comma 37 3 4 2 2 2 2 2" xfId="27829" xr:uid="{101BDFED-E689-4EBC-8315-52824043319B}"/>
    <cellStyle name="Comma 37 3 4 2 2 2 2 2 2" xfId="27832" xr:uid="{9F184FAA-AC35-4D8C-A5B6-5F665FB897C6}"/>
    <cellStyle name="Comma 37 3 4 2 2 2 2 3" xfId="27834" xr:uid="{497BC77E-728F-46D9-849B-B738F30429F2}"/>
    <cellStyle name="Comma 37 3 4 2 2 2 3" xfId="567" xr:uid="{218FF136-31D8-40F2-83F9-DE911394C88F}"/>
    <cellStyle name="Comma 37 3 4 2 2 2 3 2" xfId="4874" xr:uid="{212F7996-13CA-46DC-A9EE-D5F686EB2246}"/>
    <cellStyle name="Comma 37 3 4 2 2 2 4" xfId="585" xr:uid="{C29C5C0A-7FF4-4BFE-8A8A-BF125B07B960}"/>
    <cellStyle name="Comma 37 3 4 2 2 3" xfId="490" xr:uid="{40F6A676-9CFD-4A79-8A40-A17D4BAAFCC9}"/>
    <cellStyle name="Comma 37 3 4 2 2 3 2" xfId="27836" xr:uid="{79BC24E2-21AB-40F3-AE47-8597C91B532B}"/>
    <cellStyle name="Comma 37 3 4 2 2 3 2 2" xfId="27840" xr:uid="{B8B83ACD-FA29-414F-B351-7FBB083006CC}"/>
    <cellStyle name="Comma 37 3 4 2 2 3 3" xfId="4886" xr:uid="{5A0E8550-0F26-491C-9DBD-B716F5A37EA3}"/>
    <cellStyle name="Comma 37 3 4 2 2 4" xfId="498" xr:uid="{9B83F7E6-607A-4276-A06D-DC2618A44486}"/>
    <cellStyle name="Comma 37 3 4 2 2 4 2" xfId="27842" xr:uid="{37CFCB53-1369-47ED-BE34-EC67F1ABCEB9}"/>
    <cellStyle name="Comma 37 3 4 2 2 5" xfId="503" xr:uid="{B10755E4-6BF9-46BF-8FFB-315D02CF4A16}"/>
    <cellStyle name="Comma 37 3 4 2 3" xfId="213" xr:uid="{5E102186-826E-41C7-BE0A-0B62BF873DD8}"/>
    <cellStyle name="Comma 37 3 4 2 3 2" xfId="1689" xr:uid="{ED793C5E-D956-438C-9834-AC9F2D3AF912}"/>
    <cellStyle name="Comma 37 3 4 2 3 2 2" xfId="453" xr:uid="{A40B10B3-293A-4002-B724-0897664093BC}"/>
    <cellStyle name="Comma 37 3 4 2 3 2 2 2" xfId="27844" xr:uid="{96208E0A-B0CD-4163-8D58-54C32CF9A2B8}"/>
    <cellStyle name="Comma 37 3 4 2 3 2 3" xfId="838" xr:uid="{144F91AE-EC29-4270-B6EC-B62A69EE3BED}"/>
    <cellStyle name="Comma 37 3 4 2 3 3" xfId="1710" xr:uid="{F1782D6D-D839-4759-B9E4-76BBE7CE658D}"/>
    <cellStyle name="Comma 37 3 4 2 3 3 2" xfId="27846" xr:uid="{2B594211-9BD7-4E14-A6AF-C4D47C6F25B7}"/>
    <cellStyle name="Comma 37 3 4 2 3 4" xfId="1717" xr:uid="{FBEA4D66-95AD-4F5B-B533-BB23B5B08960}"/>
    <cellStyle name="Comma 37 3 4 2 4" xfId="230" xr:uid="{07D231FA-45D9-41F0-BB88-EA343168042D}"/>
    <cellStyle name="Comma 37 3 4 2 4 2" xfId="275" xr:uid="{AC52D240-C3E0-4968-A72E-5A2DF3F773A7}"/>
    <cellStyle name="Comma 37 3 4 2 4 2 2" xfId="122" xr:uid="{1B54A3F4-1266-4FCF-BB85-97DE0A9F94F9}"/>
    <cellStyle name="Comma 37 3 4 2 4 3" xfId="561" xr:uid="{DF494792-B514-4096-9490-BF3162124821}"/>
    <cellStyle name="Comma 37 3 4 2 5" xfId="27847" xr:uid="{29777B28-87B6-48B5-9898-BBB92400E503}"/>
    <cellStyle name="Comma 37 3 4 2 5 2" xfId="22980" xr:uid="{9F0D9595-139A-4E8C-90A6-7DA1B5A778BE}"/>
    <cellStyle name="Comma 37 3 4 2 6" xfId="27849" xr:uid="{BFB4A320-ACAE-4D15-BF4E-B963EDBFCA59}"/>
    <cellStyle name="Comma 37 3 4 2 7" xfId="27850" xr:uid="{53F4115F-28D0-43B1-929E-8839F972953A}"/>
    <cellStyle name="Comma 37 3 4 3" xfId="17174" xr:uid="{883693BF-5374-4033-98AE-AF1F59F5CEDC}"/>
    <cellStyle name="Comma 37 3 4 3 2" xfId="27851" xr:uid="{2265BF16-A4D7-4DFA-9487-635889B03831}"/>
    <cellStyle name="Comma 37 3 4 3 2 2" xfId="23094" xr:uid="{8C9839B6-4F7D-4130-A624-5734DBC45D2F}"/>
    <cellStyle name="Comma 37 3 4 3 2 2 2" xfId="19226" xr:uid="{8E1DC177-8EF0-4C11-9926-DE0D573D3005}"/>
    <cellStyle name="Comma 37 3 4 3 2 2 2 2" xfId="27853" xr:uid="{83AD4602-4867-4E32-B739-8AF6D756BB12}"/>
    <cellStyle name="Comma 37 3 4 3 2 2 3" xfId="2642" xr:uid="{EB47C800-3A9C-42CC-BA22-57DD078D76A6}"/>
    <cellStyle name="Comma 37 3 4 3 2 3" xfId="23097" xr:uid="{BE936E82-17BC-4B57-8297-10C6D094B33B}"/>
    <cellStyle name="Comma 37 3 4 3 2 3 2" xfId="19281" xr:uid="{AA489528-F612-4909-AF2B-154D5F98EAB6}"/>
    <cellStyle name="Comma 37 3 4 3 2 4" xfId="27854" xr:uid="{FEDADC39-212F-4339-92B1-FF23FDA9DB39}"/>
    <cellStyle name="Comma 37 3 4 3 3" xfId="27855" xr:uid="{4FBFD0E8-DFAA-4A2A-9947-279129C28F60}"/>
    <cellStyle name="Comma 37 3 4 3 3 2" xfId="23111" xr:uid="{72322910-8A36-42FE-82AB-D6A166FA47C1}"/>
    <cellStyle name="Comma 37 3 4 3 3 2 2" xfId="27857" xr:uid="{B3EAC218-C237-470D-A246-022C3EC7433B}"/>
    <cellStyle name="Comma 37 3 4 3 3 3" xfId="27858" xr:uid="{CAE22CF4-329B-44C8-9541-7BFEA03E8E20}"/>
    <cellStyle name="Comma 37 3 4 3 4" xfId="27859" xr:uid="{785278BF-91E4-4FA0-A242-D49B35A96CE4}"/>
    <cellStyle name="Comma 37 3 4 3 4 2" xfId="23001" xr:uid="{CF0D5F08-C149-47E7-AB15-F52371EE02DF}"/>
    <cellStyle name="Comma 37 3 4 3 5" xfId="27861" xr:uid="{05D864F1-8C5E-4675-8B0C-92194F04A931}"/>
    <cellStyle name="Comma 37 3 4 4" xfId="17178" xr:uid="{D877D23C-D379-4284-8B9D-D5C6AF245CF6}"/>
    <cellStyle name="Comma 37 3 4 4 2" xfId="27862" xr:uid="{8E42FC5A-1F90-44D3-BD15-EF3AFB082AD4}"/>
    <cellStyle name="Comma 37 3 4 4 2 2" xfId="23145" xr:uid="{BAFE48D2-F92A-44B6-9015-C563784669FB}"/>
    <cellStyle name="Comma 37 3 4 4 2 2 2" xfId="27865" xr:uid="{338A59A9-4D48-48C9-8DF4-9311B08D11BE}"/>
    <cellStyle name="Comma 37 3 4 4 2 3" xfId="27866" xr:uid="{5E0BB2DB-1510-4B56-AA79-04F0D5ABF64C}"/>
    <cellStyle name="Comma 37 3 4 4 3" xfId="13768" xr:uid="{7C781C71-BC2B-473A-A4B1-61E570E890D5}"/>
    <cellStyle name="Comma 37 3 4 4 3 2" xfId="13772" xr:uid="{8FE23031-A828-4AAA-A857-1EF247499BE2}"/>
    <cellStyle name="Comma 37 3 4 4 4" xfId="13778" xr:uid="{00D751E7-EFE1-4B8C-AFE9-405867DC3AAF}"/>
    <cellStyle name="Comma 37 3 4 5" xfId="17183" xr:uid="{14E9BEB7-20C4-449F-AF51-3817D07CF9C8}"/>
    <cellStyle name="Comma 37 3 4 5 2" xfId="27867" xr:uid="{29545F23-EBAD-40F8-9E26-52F792CBF5DB}"/>
    <cellStyle name="Comma 37 3 4 5 2 2" xfId="27869" xr:uid="{7E910F9C-4A7B-456E-8CDB-EFBB0A3E6B46}"/>
    <cellStyle name="Comma 37 3 4 5 3" xfId="13784" xr:uid="{D36FA003-467E-4780-B631-EE2158FDD8B8}"/>
    <cellStyle name="Comma 37 3 4 6" xfId="17187" xr:uid="{30E9FB66-485C-4F1D-8949-060229FDE6A8}"/>
    <cellStyle name="Comma 37 3 4 6 2" xfId="27870" xr:uid="{4064CE1A-AE5F-4841-98BF-12F7F373BBC5}"/>
    <cellStyle name="Comma 37 3 4 7" xfId="5720" xr:uid="{41D2FBD9-1D85-4EC1-A9A2-97A8707D5A3E}"/>
    <cellStyle name="Comma 37 3 4 8" xfId="5674" xr:uid="{AE42ED44-0CC2-4248-ACE5-227B16587A57}"/>
    <cellStyle name="Comma 37 3 5" xfId="9222" xr:uid="{B3A47085-EB3E-4FE0-8F15-CD4DA6A46495}"/>
    <cellStyle name="Comma 37 3 5 2" xfId="27872" xr:uid="{8A95DD82-DA00-4C0A-991E-D118E808DF03}"/>
    <cellStyle name="Comma 37 3 5 2 2" xfId="27876" xr:uid="{5A77848A-CEBE-4AC0-BE09-8B6F248F1226}"/>
    <cellStyle name="Comma 37 3 5 2 2 2" xfId="27880" xr:uid="{4D4E54E2-804B-480F-A6C0-4625E3EB8E44}"/>
    <cellStyle name="Comma 37 3 5 2 2 2 2" xfId="12047" xr:uid="{2A3F2055-E92F-4301-9752-D84C4F6E42A0}"/>
    <cellStyle name="Comma 37 3 5 2 2 2 2 2" xfId="27883" xr:uid="{3E4A046D-8C1F-4280-8DD6-334D7CD5E1E8}"/>
    <cellStyle name="Comma 37 3 5 2 2 2 3" xfId="5221" xr:uid="{67940CB0-3351-459B-8977-DBCEC6BF2DEC}"/>
    <cellStyle name="Comma 37 3 5 2 2 3" xfId="27886" xr:uid="{951FC544-05D4-4CE0-8DB6-37FE1F532FC7}"/>
    <cellStyle name="Comma 37 3 5 2 2 3 2" xfId="27889" xr:uid="{AABA17C0-B59B-4AA5-A0DF-41B466B82272}"/>
    <cellStyle name="Comma 37 3 5 2 2 4" xfId="27890" xr:uid="{B62F084F-8F57-4BE5-954F-D1F19559C2CD}"/>
    <cellStyle name="Comma 37 3 5 2 3" xfId="27893" xr:uid="{B4B4E8ED-B4BE-4FC0-8BC5-E3462EE00F66}"/>
    <cellStyle name="Comma 37 3 5 2 3 2" xfId="27898" xr:uid="{E361B95D-B528-49E8-A24D-BE3C0809F3D5}"/>
    <cellStyle name="Comma 37 3 5 2 3 2 2" xfId="27901" xr:uid="{9AB8D3D3-A074-4CC6-9985-FA23347FAEB2}"/>
    <cellStyle name="Comma 37 3 5 2 3 3" xfId="27902" xr:uid="{42A6AFD9-D048-4074-B767-14DF2C53992C}"/>
    <cellStyle name="Comma 37 3 5 2 4" xfId="27907" xr:uid="{C4F4A076-4B0F-4A86-9808-DDE448077118}"/>
    <cellStyle name="Comma 37 3 5 2 4 2" xfId="23026" xr:uid="{544F84D0-AC41-4BE4-8DD6-411DE63F6EF2}"/>
    <cellStyle name="Comma 37 3 5 2 5" xfId="20737" xr:uid="{5923AD41-F2EC-4359-BB27-431DE6BD9C53}"/>
    <cellStyle name="Comma 37 3 5 3" xfId="27909" xr:uid="{B0D244D4-286F-43F0-B09C-14FE98746CC3}"/>
    <cellStyle name="Comma 37 3 5 3 2" xfId="27913" xr:uid="{1F9E56ED-9B00-4D18-81B3-AAD2327C354E}"/>
    <cellStyle name="Comma 37 3 5 3 2 2" xfId="23198" xr:uid="{28D3B6EE-9D34-4B0B-BDD9-C0411C8E4F3C}"/>
    <cellStyle name="Comma 37 3 5 3 2 2 2" xfId="27917" xr:uid="{7922A624-BC1E-4DD7-9A00-521456ACE300}"/>
    <cellStyle name="Comma 37 3 5 3 2 3" xfId="27918" xr:uid="{8140D3FB-5B03-44F8-B774-730E61F36DBF}"/>
    <cellStyle name="Comma 37 3 5 3 3" xfId="27921" xr:uid="{1AF3001A-8EAE-453E-893E-803516BCDD42}"/>
    <cellStyle name="Comma 37 3 5 3 3 2" xfId="27923" xr:uid="{A63CB83C-178D-4A3A-9DE8-639BA8CD9CBB}"/>
    <cellStyle name="Comma 37 3 5 3 4" xfId="27928" xr:uid="{4D4D8A6D-01FC-4409-80B7-C24BB278531E}"/>
    <cellStyle name="Comma 37 3 5 4" xfId="27929" xr:uid="{21D21F09-C8B4-457E-A4BC-FB74B2976BAA}"/>
    <cellStyle name="Comma 37 3 5 4 2" xfId="27933" xr:uid="{BDFFD0DC-884D-4A9B-9ACA-E23F3C52A5AC}"/>
    <cellStyle name="Comma 37 3 5 4 2 2" xfId="27935" xr:uid="{4B182DC5-B13E-4F37-A0ED-1850E9DFC397}"/>
    <cellStyle name="Comma 37 3 5 4 3" xfId="13795" xr:uid="{45F82EFA-FB62-4843-B3C1-831CC918EC53}"/>
    <cellStyle name="Comma 37 3 5 5" xfId="27936" xr:uid="{31111E7E-EBB8-4299-87C0-D7BA1873528E}"/>
    <cellStyle name="Comma 37 3 5 5 2" xfId="27938" xr:uid="{5EEFA94F-CB43-4533-B275-6D9C988E8863}"/>
    <cellStyle name="Comma 37 3 5 6" xfId="27939" xr:uid="{953FCE27-8A3C-4E34-A710-730D27B98CA1}"/>
    <cellStyle name="Comma 37 3 5 7" xfId="5734" xr:uid="{2ED204BC-2D99-464D-92B4-E2C7081CFE1B}"/>
    <cellStyle name="Comma 37 3 6" xfId="27940" xr:uid="{D8605E0C-C263-4A87-9173-F994E83B1CF3}"/>
    <cellStyle name="Comma 37 3 6 2" xfId="27942" xr:uid="{2F84A204-8FAA-47DB-B0BC-3739BF69D7CF}"/>
    <cellStyle name="Comma 37 3 6 2 2" xfId="18156" xr:uid="{6BAC12A6-D440-4F48-BD12-6A324281178A}"/>
    <cellStyle name="Comma 37 3 6 2 2 2" xfId="27946" xr:uid="{B01E2F49-96FF-4901-A27F-45E86CC6A41C}"/>
    <cellStyle name="Comma 37 3 6 2 2 2 2" xfId="25802" xr:uid="{63A4546D-A1F0-4819-94B9-EB1F07A7214B}"/>
    <cellStyle name="Comma 37 3 6 2 2 3" xfId="27948" xr:uid="{32D1C40B-EF16-461E-AA1D-1423B361EEA6}"/>
    <cellStyle name="Comma 37 3 6 2 3" xfId="18164" xr:uid="{6A2F6738-00D2-4E9E-A92D-FD05EBD2BFE9}"/>
    <cellStyle name="Comma 37 3 6 2 3 2" xfId="27949" xr:uid="{D1493AA2-4396-4EF0-915B-1D2B3FDBF90C}"/>
    <cellStyle name="Comma 37 3 6 2 4" xfId="18176" xr:uid="{522F3753-C9E3-4DF6-8918-4B1EF272B7E0}"/>
    <cellStyle name="Comma 37 3 6 3" xfId="27950" xr:uid="{1A33FF0C-C16B-4D99-B81A-A36FA21B854E}"/>
    <cellStyle name="Comma 37 3 6 3 2" xfId="27954" xr:uid="{99068DC8-876D-46F1-A6CD-FC45DDA3C988}"/>
    <cellStyle name="Comma 37 3 6 3 2 2" xfId="27956" xr:uid="{801C52BF-5E81-46B1-8CAB-ECD79C13F28F}"/>
    <cellStyle name="Comma 37 3 6 3 3" xfId="27958" xr:uid="{287D6B5B-ECEF-4841-868C-F8497707B898}"/>
    <cellStyle name="Comma 37 3 6 4" xfId="27959" xr:uid="{594A74FF-FF94-4419-93BE-753E55B93DC7}"/>
    <cellStyle name="Comma 37 3 6 4 2" xfId="27961" xr:uid="{CE17324D-F056-4A4A-B7B4-2437F09BFFFC}"/>
    <cellStyle name="Comma 37 3 6 5" xfId="27962" xr:uid="{F0961C27-74EA-41B4-A1E3-3E790CF86854}"/>
    <cellStyle name="Comma 37 3 7" xfId="27963" xr:uid="{FBB7CC4D-3B28-4497-A41E-4C790920DBCB}"/>
    <cellStyle name="Comma 37 3 7 2" xfId="27965" xr:uid="{9893E147-F50E-4EE7-A126-BFA9C30F829D}"/>
    <cellStyle name="Comma 37 3 7 2 2" xfId="18574" xr:uid="{36CD72BB-5A9F-47D8-9601-C07D591A55D7}"/>
    <cellStyle name="Comma 37 3 7 2 2 2" xfId="27967" xr:uid="{3D1DFA89-07B3-4FA6-95F5-677537CFF42D}"/>
    <cellStyle name="Comma 37 3 7 2 3" xfId="18578" xr:uid="{79627140-71C1-4882-B187-19B6F21DD9E8}"/>
    <cellStyle name="Comma 37 3 7 3" xfId="27968" xr:uid="{118B8CDA-4B9F-4328-A852-4BAF5D807113}"/>
    <cellStyle name="Comma 37 3 7 3 2" xfId="27970" xr:uid="{6A42A271-E184-4247-A09C-7C585D70B71D}"/>
    <cellStyle name="Comma 37 3 7 4" xfId="27971" xr:uid="{F5228E8D-73FB-490A-B000-905611281CD9}"/>
    <cellStyle name="Comma 37 3 8" xfId="27972" xr:uid="{A6F2BEFD-ACDD-4BF8-8CFF-2E3BA146B1B2}"/>
    <cellStyle name="Comma 37 3 8 2" xfId="18929" xr:uid="{CA504698-F6FC-469B-9BF7-4D27C94FC81E}"/>
    <cellStyle name="Comma 37 3 8 2 2" xfId="17807" xr:uid="{F3A2B3ED-D232-461B-B12C-C604C7FD5E23}"/>
    <cellStyle name="Comma 37 3 8 3" xfId="7900" xr:uid="{89298F0D-0C5C-4FEB-89A8-F61F0EB26CDB}"/>
    <cellStyle name="Comma 37 3 9" xfId="27974" xr:uid="{AE5748EE-3DEC-44F1-8BDE-A736B132EBC8}"/>
    <cellStyle name="Comma 37 3 9 2" xfId="19013" xr:uid="{45F9A41B-BEFE-4AB3-B69A-FE6901AD1266}"/>
    <cellStyle name="Comma 37 4" xfId="20605" xr:uid="{60BC0C80-E797-4E4D-ADA4-846A5F0A37D5}"/>
    <cellStyle name="Comma 37 4 10" xfId="27976" xr:uid="{223BBBDD-5F55-4F08-8371-592F07ABEE88}"/>
    <cellStyle name="Comma 37 4 2" xfId="27977" xr:uid="{C131A21C-6227-4185-911F-9572434C526B}"/>
    <cellStyle name="Comma 37 4 2 2" xfId="9097" xr:uid="{108EDE75-BAD1-4003-893B-0BA4DB43952A}"/>
    <cellStyle name="Comma 37 4 2 2 2" xfId="27980" xr:uid="{B81E704F-EF8C-486B-AB64-47926A919C65}"/>
    <cellStyle name="Comma 37 4 2 2 2 2" xfId="27983" xr:uid="{D8A26ECE-84B2-4493-8B68-7082A0859376}"/>
    <cellStyle name="Comma 37 4 2 2 2 2 2" xfId="27985" xr:uid="{F5DC019F-7D6A-487D-9B86-88B5334774EA}"/>
    <cellStyle name="Comma 37 4 2 2 2 2 2 2" xfId="1351" xr:uid="{7CE29C4A-6D85-451C-B314-1CD7A4C56FA7}"/>
    <cellStyle name="Comma 37 4 2 2 2 2 2 2 2" xfId="21628" xr:uid="{6EEEFA9C-D856-47E7-97C8-8CFDDFCA6A29}"/>
    <cellStyle name="Comma 37 4 2 2 2 2 2 2 2 2" xfId="21631" xr:uid="{911298DA-C76A-4C72-A0AE-493B1E2C349E}"/>
    <cellStyle name="Comma 37 4 2 2 2 2 2 2 3" xfId="21633" xr:uid="{CCCBF407-377A-473E-A5F6-A08D2FF11A11}"/>
    <cellStyle name="Comma 37 4 2 2 2 2 2 3" xfId="1354" xr:uid="{104CEDF4-AB5A-48A8-BA73-DE738EE31026}"/>
    <cellStyle name="Comma 37 4 2 2 2 2 2 3 2" xfId="21638" xr:uid="{4F1EE136-D52F-479C-B144-5461118D8EAC}"/>
    <cellStyle name="Comma 37 4 2 2 2 2 2 4" xfId="1358" xr:uid="{3A3D7398-B5AC-486F-AFB9-061A62801B31}"/>
    <cellStyle name="Comma 37 4 2 2 2 2 3" xfId="27987" xr:uid="{ADE9D51A-1998-462F-A3A4-0B49856AEBA1}"/>
    <cellStyle name="Comma 37 4 2 2 2 2 3 2" xfId="27989" xr:uid="{42586650-A3AE-47BD-B45A-44E69AB13284}"/>
    <cellStyle name="Comma 37 4 2 2 2 2 3 2 2" xfId="21676" xr:uid="{FDC09411-C26E-4ADB-9745-AD2D4F85BD6D}"/>
    <cellStyle name="Comma 37 4 2 2 2 2 3 3" xfId="27991" xr:uid="{63DD8D83-78DC-4EFF-B97A-111513748438}"/>
    <cellStyle name="Comma 37 4 2 2 2 2 4" xfId="24014" xr:uid="{B96D00E5-C992-44E7-9694-FAEBDE985621}"/>
    <cellStyle name="Comma 37 4 2 2 2 2 4 2" xfId="27992" xr:uid="{1D3D2284-C4C2-4A34-A3AB-0E14E6445DA2}"/>
    <cellStyle name="Comma 37 4 2 2 2 2 5" xfId="5751" xr:uid="{E658E06A-F993-458A-A4E7-15506FBA33BA}"/>
    <cellStyle name="Comma 37 4 2 2 2 3" xfId="27993" xr:uid="{D2CE74EC-BB9F-4643-BAB4-EA4A1DEDC2AF}"/>
    <cellStyle name="Comma 37 4 2 2 2 3 2" xfId="27995" xr:uid="{E764B0F8-2BDF-4374-867C-22522FED634E}"/>
    <cellStyle name="Comma 37 4 2 2 2 3 2 2" xfId="1412" xr:uid="{D20E713D-DDB7-4E73-B57A-07561D03C3D4}"/>
    <cellStyle name="Comma 37 4 2 2 2 3 2 2 2" xfId="21853" xr:uid="{FE3A247E-58F5-4F78-A2EF-1EEE372CCFB8}"/>
    <cellStyle name="Comma 37 4 2 2 2 3 2 3" xfId="1415" xr:uid="{7C5CEC8D-AD67-4A71-B232-A01CAE3E2318}"/>
    <cellStyle name="Comma 37 4 2 2 2 3 3" xfId="27997" xr:uid="{C5251E55-62EA-4009-94FD-AA0BB73C75F8}"/>
    <cellStyle name="Comma 37 4 2 2 2 3 3 2" xfId="27999" xr:uid="{BBF19A92-A7E7-43B9-9635-D5EDB2672FB3}"/>
    <cellStyle name="Comma 37 4 2 2 2 3 4" xfId="28000" xr:uid="{F99E5C01-9286-4D9F-B263-AFEA27C983C4}"/>
    <cellStyle name="Comma 37 4 2 2 2 4" xfId="28001" xr:uid="{C8C67A85-8F23-498D-850C-396F151F4F8E}"/>
    <cellStyle name="Comma 37 4 2 2 2 4 2" xfId="28003" xr:uid="{9D2B45C4-25B3-42CE-94CF-48B9BA92BE83}"/>
    <cellStyle name="Comma 37 4 2 2 2 4 2 2" xfId="11313" xr:uid="{4EA9E8CA-7E04-4AE7-B532-6347C27A719A}"/>
    <cellStyle name="Comma 37 4 2 2 2 4 3" xfId="28005" xr:uid="{E5925CF0-AE57-414E-A541-AA7668950D34}"/>
    <cellStyle name="Comma 37 4 2 2 2 5" xfId="28008" xr:uid="{3821D6AA-E675-4064-B07E-C8E26BBFCE2C}"/>
    <cellStyle name="Comma 37 4 2 2 2 5 2" xfId="28011" xr:uid="{6E22B549-4184-4157-87DA-0866886A9250}"/>
    <cellStyle name="Comma 37 4 2 2 2 6" xfId="28013" xr:uid="{70BD666C-2209-449B-86AF-F72E8FD07177}"/>
    <cellStyle name="Comma 37 4 2 2 2 7" xfId="7816" xr:uid="{AFC80EE9-2DAD-4340-BEB6-F49ADC56C700}"/>
    <cellStyle name="Comma 37 4 2 2 3" xfId="28015" xr:uid="{11774134-0BBA-4D28-B250-87DD26B67FE9}"/>
    <cellStyle name="Comma 37 4 2 2 3 2" xfId="28017" xr:uid="{87AA8A1B-F4A5-45FD-BBF6-7228682E6330}"/>
    <cellStyle name="Comma 37 4 2 2 3 2 2" xfId="28019" xr:uid="{9FD2F9E3-E013-4D25-8A3A-3775D403FFCE}"/>
    <cellStyle name="Comma 37 4 2 2 3 2 2 2" xfId="28021" xr:uid="{974404CF-F1E5-4B56-8A5E-3C75A7861F4B}"/>
    <cellStyle name="Comma 37 4 2 2 3 2 2 2 2" xfId="28025" xr:uid="{FE2FC10D-A1E2-4ED9-837B-84449B2F22D4}"/>
    <cellStyle name="Comma 37 4 2 2 3 2 2 3" xfId="28028" xr:uid="{8F7BEF94-3F85-484E-8A29-162500CE24B3}"/>
    <cellStyle name="Comma 37 4 2 2 3 2 3" xfId="28029" xr:uid="{75F2E54C-9E73-45FB-9BF9-A989BF98E200}"/>
    <cellStyle name="Comma 37 4 2 2 3 2 3 2" xfId="28031" xr:uid="{1756AE2B-FEFC-4AFA-83A7-52821698FBBA}"/>
    <cellStyle name="Comma 37 4 2 2 3 2 4" xfId="28032" xr:uid="{DE7F0246-2CC1-4296-BA2D-F2AB3B95FC33}"/>
    <cellStyle name="Comma 37 4 2 2 3 3" xfId="28033" xr:uid="{4B82E8BB-F17F-4985-A3FF-FFF4DEB5B779}"/>
    <cellStyle name="Comma 37 4 2 2 3 3 2" xfId="28035" xr:uid="{D6B77E95-14C6-45DB-896B-8AC45A69AE8F}"/>
    <cellStyle name="Comma 37 4 2 2 3 3 2 2" xfId="16600" xr:uid="{FB374ED8-31C9-4DA5-83F0-55242352DAEA}"/>
    <cellStyle name="Comma 37 4 2 2 3 3 3" xfId="28037" xr:uid="{B6090FFD-0322-45F1-895A-C6EB8B0E39B4}"/>
    <cellStyle name="Comma 37 4 2 2 3 4" xfId="28038" xr:uid="{E070DA16-1AC5-4E0C-B7F9-864DEB8B1E31}"/>
    <cellStyle name="Comma 37 4 2 2 3 4 2" xfId="28040" xr:uid="{AED763B7-A2A5-4BF8-BE55-6D6DD1DD5091}"/>
    <cellStyle name="Comma 37 4 2 2 3 5" xfId="28043" xr:uid="{B608DF78-0F10-40FC-AF13-CDE0544AF1ED}"/>
    <cellStyle name="Comma 37 4 2 2 4" xfId="28044" xr:uid="{B2D10E3F-C92B-4216-B7F7-A2D79A0B21A4}"/>
    <cellStyle name="Comma 37 4 2 2 4 2" xfId="28046" xr:uid="{C050DE6D-1423-4273-B825-51A8C1B75D8D}"/>
    <cellStyle name="Comma 37 4 2 2 4 2 2" xfId="28048" xr:uid="{4D30A034-4A3C-47D8-8065-508753E1F359}"/>
    <cellStyle name="Comma 37 4 2 2 4 2 2 2" xfId="19786" xr:uid="{72E901C9-9DEA-4BAE-A783-245E4385D2B2}"/>
    <cellStyle name="Comma 37 4 2 2 4 2 3" xfId="15337" xr:uid="{D03185FB-97ED-4B63-BE90-53AB90A558B6}"/>
    <cellStyle name="Comma 37 4 2 2 4 3" xfId="28050" xr:uid="{EEDBF07B-3AC6-408F-B3E9-8635B17A20F6}"/>
    <cellStyle name="Comma 37 4 2 2 4 3 2" xfId="28054" xr:uid="{789B5083-047F-46DF-BF7D-268D20761BE4}"/>
    <cellStyle name="Comma 37 4 2 2 4 4" xfId="28056" xr:uid="{B34C96BD-8158-4B99-AD1A-1145737D0883}"/>
    <cellStyle name="Comma 37 4 2 2 5" xfId="28057" xr:uid="{E394F6B1-8C40-4016-94D7-36CD5923D2C5}"/>
    <cellStyle name="Comma 37 4 2 2 5 2" xfId="1820" xr:uid="{2A0DF431-1FDE-4491-B031-B0358A45483E}"/>
    <cellStyle name="Comma 37 4 2 2 5 2 2" xfId="28060" xr:uid="{9484B2C2-8C45-4BC7-B3D6-99DC6AF71E4E}"/>
    <cellStyle name="Comma 37 4 2 2 5 3" xfId="28063" xr:uid="{2836B001-B301-4C6A-B095-4D6782ECF1DE}"/>
    <cellStyle name="Comma 37 4 2 2 6" xfId="4867" xr:uid="{8DF2E23F-FCBE-47D5-BFA6-841AAA2376C9}"/>
    <cellStyle name="Comma 37 4 2 2 6 2" xfId="568" xr:uid="{670DAA1A-E6DC-426E-A6C1-92155BD2EF31}"/>
    <cellStyle name="Comma 37 4 2 2 7" xfId="4878" xr:uid="{323423D4-1EFE-4942-9E9E-D3077CFDB623}"/>
    <cellStyle name="Comma 37 4 2 2 8" xfId="4891" xr:uid="{239540C0-C522-4866-BA4B-5D76A695D871}"/>
    <cellStyle name="Comma 37 4 2 3" xfId="28065" xr:uid="{D9B5E363-6553-4AC7-8A93-7F818ABAA2A4}"/>
    <cellStyle name="Comma 37 4 2 3 2" xfId="28068" xr:uid="{AA7C0E5B-F08B-47C8-B31F-0D47C4F82F7C}"/>
    <cellStyle name="Comma 37 4 2 3 2 2" xfId="28070" xr:uid="{BC74C13B-CD23-4674-A781-DFB83AE5CE25}"/>
    <cellStyle name="Comma 37 4 2 3 2 2 2" xfId="28072" xr:uid="{1D504D34-B2D1-4B53-834F-CBB3EF342E5B}"/>
    <cellStyle name="Comma 37 4 2 3 2 2 2 2" xfId="1035" xr:uid="{3ED3E911-8A23-43E6-825F-2AF63D432A64}"/>
    <cellStyle name="Comma 37 4 2 3 2 2 2 2 2" xfId="28074" xr:uid="{776F0ED7-5C76-472F-9EA2-CFA6F2469B77}"/>
    <cellStyle name="Comma 37 4 2 3 2 2 2 3" xfId="1040" xr:uid="{6C5E9FE4-00B3-4216-A363-F972292120DA}"/>
    <cellStyle name="Comma 37 4 2 3 2 2 3" xfId="28075" xr:uid="{78F90B09-B983-43ED-A16F-5F51C6FFE519}"/>
    <cellStyle name="Comma 37 4 2 3 2 2 3 2" xfId="28077" xr:uid="{36AA0DF3-15F9-4440-88F0-06F27279D9EE}"/>
    <cellStyle name="Comma 37 4 2 3 2 2 4" xfId="6343" xr:uid="{A62666AD-9F4B-4680-AC5E-E658FE56FCFC}"/>
    <cellStyle name="Comma 37 4 2 3 2 3" xfId="28078" xr:uid="{2A70BAE1-64E1-4C23-89AB-77DDA8234B6A}"/>
    <cellStyle name="Comma 37 4 2 3 2 3 2" xfId="28080" xr:uid="{BC20D018-076B-45A8-9371-0E07D1663C53}"/>
    <cellStyle name="Comma 37 4 2 3 2 3 2 2" xfId="28082" xr:uid="{F1231756-4EC6-41A2-AE05-840D8E400677}"/>
    <cellStyle name="Comma 37 4 2 3 2 3 3" xfId="28083" xr:uid="{23271F2C-6D8C-4DC5-B209-B27FA8EE30A7}"/>
    <cellStyle name="Comma 37 4 2 3 2 4" xfId="24328" xr:uid="{69E74BFC-E428-45B5-ADFB-FC9ABBB1FE34}"/>
    <cellStyle name="Comma 37 4 2 3 2 4 2" xfId="28084" xr:uid="{9578B759-FF21-47BC-BF8E-7FB89045A301}"/>
    <cellStyle name="Comma 37 4 2 3 2 5" xfId="27379" xr:uid="{88BC9F20-0BEC-463F-A1FB-6D552F89927F}"/>
    <cellStyle name="Comma 37 4 2 3 3" xfId="28085" xr:uid="{C2B67890-EF85-44C6-B19F-A2DB833BC07A}"/>
    <cellStyle name="Comma 37 4 2 3 3 2" xfId="28087" xr:uid="{EDFFDD32-A233-49B8-A65C-611DA26A3EE5}"/>
    <cellStyle name="Comma 37 4 2 3 3 2 2" xfId="28089" xr:uid="{A61CF56D-9F5D-4F79-B8F2-7A1AE4F40A34}"/>
    <cellStyle name="Comma 37 4 2 3 3 2 2 2" xfId="28091" xr:uid="{AD16DE87-F374-4FD7-ADE3-C941684DD481}"/>
    <cellStyle name="Comma 37 4 2 3 3 2 3" xfId="28092" xr:uid="{6870F848-9015-4F4B-9AC0-836F2E980DBF}"/>
    <cellStyle name="Comma 37 4 2 3 3 3" xfId="28093" xr:uid="{28DAF5EB-50FB-48CE-BEF5-56FE125987F5}"/>
    <cellStyle name="Comma 37 4 2 3 3 3 2" xfId="28095" xr:uid="{D2855064-D27F-4749-A2F8-4A5682C7743C}"/>
    <cellStyle name="Comma 37 4 2 3 3 4" xfId="28096" xr:uid="{F1BA6AF2-343F-428A-B84B-2D46F31A7FBC}"/>
    <cellStyle name="Comma 37 4 2 3 4" xfId="28097" xr:uid="{D8F57699-729F-4941-9EFC-D57E7B2195EF}"/>
    <cellStyle name="Comma 37 4 2 3 4 2" xfId="28099" xr:uid="{1F2D74F0-99AF-4347-9C0D-26B7F5C76FBD}"/>
    <cellStyle name="Comma 37 4 2 3 4 2 2" xfId="28102" xr:uid="{43C60967-8861-4AF2-B894-F68DF6594D4C}"/>
    <cellStyle name="Comma 37 4 2 3 4 3" xfId="28104" xr:uid="{A28B215B-3EF9-42B7-98A5-55ACC004D90A}"/>
    <cellStyle name="Comma 37 4 2 3 5" xfId="28105" xr:uid="{373EDFBF-7969-4A3A-9F7E-C254A15A2746}"/>
    <cellStyle name="Comma 37 4 2 3 5 2" xfId="28108" xr:uid="{2CF55883-399F-42EB-8C72-9F131F97D7DB}"/>
    <cellStyle name="Comma 37 4 2 3 6" xfId="4899" xr:uid="{DAA81220-B4E5-48CC-9055-02DD4ADE5CC3}"/>
    <cellStyle name="Comma 37 4 2 3 7" xfId="4903" xr:uid="{C845643A-2241-4B47-8734-49EE99F63369}"/>
    <cellStyle name="Comma 37 4 2 4" xfId="28110" xr:uid="{57CF04EF-ABA2-47EE-A70C-DC1946813187}"/>
    <cellStyle name="Comma 37 4 2 4 2" xfId="28112" xr:uid="{C9E09EED-533E-4845-980C-7DC4E80EE946}"/>
    <cellStyle name="Comma 37 4 2 4 2 2" xfId="28114" xr:uid="{5B14B298-8819-446E-8C3C-3E6735DE6F0E}"/>
    <cellStyle name="Comma 37 4 2 4 2 2 2" xfId="23799" xr:uid="{4B325B18-CBE1-43EF-8AEB-8B94AC98FFEA}"/>
    <cellStyle name="Comma 37 4 2 4 2 2 2 2" xfId="26186" xr:uid="{6F6CB6FD-C389-4190-AA85-380BC56FA476}"/>
    <cellStyle name="Comma 37 4 2 4 2 2 3" xfId="26190" xr:uid="{7F11C3E9-7686-40FF-8F3B-3A2C3AB04E37}"/>
    <cellStyle name="Comma 37 4 2 4 2 3" xfId="22801" xr:uid="{E728270B-79E6-442A-A210-2A37EBC7BE52}"/>
    <cellStyle name="Comma 37 4 2 4 2 3 2" xfId="20874" xr:uid="{8C210BD9-F819-494D-8088-AEAA0569C0F7}"/>
    <cellStyle name="Comma 37 4 2 4 2 4" xfId="28117" xr:uid="{23465B25-F266-4024-A924-A39ADB72F2F3}"/>
    <cellStyle name="Comma 37 4 2 4 3" xfId="13812" xr:uid="{7322F74D-7292-4703-B75B-FFFDA64D6E72}"/>
    <cellStyle name="Comma 37 4 2 4 3 2" xfId="13815" xr:uid="{34EB8526-E9A4-4A1B-9B80-79FBCC7DDED1}"/>
    <cellStyle name="Comma 37 4 2 4 3 2 2" xfId="13820" xr:uid="{54BC4D89-D06D-48C8-91BF-274D6DED9938}"/>
    <cellStyle name="Comma 37 4 2 4 3 3" xfId="13830" xr:uid="{73DEB78F-942A-41B2-8AAA-814B34DBC1A6}"/>
    <cellStyle name="Comma 37 4 2 4 4" xfId="13840" xr:uid="{7FFFEB59-D28A-46F4-947C-0942A5C88945}"/>
    <cellStyle name="Comma 37 4 2 4 4 2" xfId="13844" xr:uid="{2439FC4A-141E-42D9-8C8C-9BB31DDDF14E}"/>
    <cellStyle name="Comma 37 4 2 4 5" xfId="13851" xr:uid="{ED66357B-EAA8-463C-A5C6-E225336B4C8B}"/>
    <cellStyle name="Comma 37 4 2 5" xfId="28119" xr:uid="{EC2D20C7-AD63-4DA9-8083-D95BB5D2E429}"/>
    <cellStyle name="Comma 37 4 2 5 2" xfId="28121" xr:uid="{CADE39F0-8B48-4D9C-8AE3-E9E4740C1004}"/>
    <cellStyle name="Comma 37 4 2 5 2 2" xfId="28123" xr:uid="{794647CA-3F37-4688-8F89-49CE6A7435D3}"/>
    <cellStyle name="Comma 37 4 2 5 2 2 2" xfId="5583" xr:uid="{8663F349-36FC-4C1F-A457-1C28AFE43EFC}"/>
    <cellStyle name="Comma 37 4 2 5 2 3" xfId="28125" xr:uid="{F3D91AF4-58FC-4903-82B3-9DF688B11255}"/>
    <cellStyle name="Comma 37 4 2 5 3" xfId="13857" xr:uid="{C5BD913E-A3CD-475E-A65A-893EB572E20A}"/>
    <cellStyle name="Comma 37 4 2 5 3 2" xfId="13861" xr:uid="{B16B16BA-2C3A-4E1E-B4C2-133507A48CE4}"/>
    <cellStyle name="Comma 37 4 2 5 4" xfId="13868" xr:uid="{0E948B8D-35B1-4CF4-B164-364B0F8EB009}"/>
    <cellStyle name="Comma 37 4 2 6" xfId="28127" xr:uid="{6B369DF1-3C78-4C78-8953-97020B1F3834}"/>
    <cellStyle name="Comma 37 4 2 6 2" xfId="28129" xr:uid="{E6E309DA-CD93-48D5-A0ED-53685F3E8398}"/>
    <cellStyle name="Comma 37 4 2 6 2 2" xfId="28131" xr:uid="{009ED903-9598-4643-8C60-849BC0CBA9D7}"/>
    <cellStyle name="Comma 37 4 2 6 3" xfId="13874" xr:uid="{C1015214-46A7-4ABA-9477-3521F464C9E9}"/>
    <cellStyle name="Comma 37 4 2 7" xfId="28132" xr:uid="{5FDE1B33-6FF7-48AE-A8A2-72F94EF9A633}"/>
    <cellStyle name="Comma 37 4 2 7 2" xfId="28134" xr:uid="{A1FF1512-2EDE-446B-805B-4DD533B283CE}"/>
    <cellStyle name="Comma 37 4 2 8" xfId="28135" xr:uid="{985A0A3D-A702-481F-97FA-7307AE79AB84}"/>
    <cellStyle name="Comma 37 4 2 9" xfId="28138" xr:uid="{226FC511-A0B6-411C-B68C-7285685D07CA}"/>
    <cellStyle name="Comma 37 4 3" xfId="28139" xr:uid="{F447C482-CD29-4BEF-AC56-D8E10EF7BCE7}"/>
    <cellStyle name="Comma 37 4 3 2" xfId="28142" xr:uid="{4FCAAF46-4BF6-4143-8E52-123151B03AE1}"/>
    <cellStyle name="Comma 37 4 3 2 2" xfId="28145" xr:uid="{8FD51C1B-FBA5-4358-8F0C-01825F730F53}"/>
    <cellStyle name="Comma 37 4 3 2 2 2" xfId="19142" xr:uid="{A533566C-894B-4C1F-A268-D9603CFA625A}"/>
    <cellStyle name="Comma 37 4 3 2 2 2 2" xfId="28147" xr:uid="{CA29EEDC-00A2-41BC-ADA4-9CB41C5DC2E2}"/>
    <cellStyle name="Comma 37 4 3 2 2 2 2 2" xfId="28149" xr:uid="{49910BAC-3880-4FF7-8914-CD282C041780}"/>
    <cellStyle name="Comma 37 4 3 2 2 2 2 2 2" xfId="28151" xr:uid="{E39C68A4-CE49-406B-8A95-10C19C53C52C}"/>
    <cellStyle name="Comma 37 4 3 2 2 2 2 3" xfId="28152" xr:uid="{7BA4C4CA-264C-46EA-ACBF-83C4547D786B}"/>
    <cellStyle name="Comma 37 4 3 2 2 2 3" xfId="28153" xr:uid="{82ED24F6-6D2C-4B75-8229-E891C87643E2}"/>
    <cellStyle name="Comma 37 4 3 2 2 2 3 2" xfId="26802" xr:uid="{871F0228-A24F-486F-A3BA-EB8693CA2B6A}"/>
    <cellStyle name="Comma 37 4 3 2 2 2 4" xfId="28155" xr:uid="{A59F2832-3BE0-4922-A833-156345B27131}"/>
    <cellStyle name="Comma 37 4 3 2 2 3" xfId="28156" xr:uid="{415E7E1D-5971-440E-AA1E-DCF9FB80619E}"/>
    <cellStyle name="Comma 37 4 3 2 2 3 2" xfId="28158" xr:uid="{FE120ABF-084E-4BDF-9B01-C629DA1C6A0F}"/>
    <cellStyle name="Comma 37 4 3 2 2 3 2 2" xfId="28160" xr:uid="{30BA1FC8-07E8-497E-BD53-4757EA233373}"/>
    <cellStyle name="Comma 37 4 3 2 2 3 3" xfId="28161" xr:uid="{85C85185-E04B-4DDF-8F18-17B50B0FE397}"/>
    <cellStyle name="Comma 37 4 3 2 2 4" xfId="28162" xr:uid="{B3BDD13E-60A0-44C3-BBC0-E047E0CFAA97}"/>
    <cellStyle name="Comma 37 4 3 2 2 4 2" xfId="28164" xr:uid="{D2BF7791-2224-454B-AB78-F0CA56CE706B}"/>
    <cellStyle name="Comma 37 4 3 2 2 5" xfId="28168" xr:uid="{3BF50BE6-91D6-49DB-94A6-9EDEA39BDFD9}"/>
    <cellStyle name="Comma 37 4 3 2 3" xfId="28169" xr:uid="{9828F3A4-72CC-4A16-86EA-630315A7B63E}"/>
    <cellStyle name="Comma 37 4 3 2 3 2" xfId="28171" xr:uid="{9A3DAF26-C87D-4D4A-AA80-DD3809E71E59}"/>
    <cellStyle name="Comma 37 4 3 2 3 2 2" xfId="28173" xr:uid="{EFE7B0C2-5AAA-4330-86FA-7217858E695D}"/>
    <cellStyle name="Comma 37 4 3 2 3 2 2 2" xfId="28176" xr:uid="{B77DFF6F-8604-4AB7-8810-0CC86BC3A6B9}"/>
    <cellStyle name="Comma 37 4 3 2 3 2 3" xfId="28177" xr:uid="{C978158E-84A3-4EB4-91F7-5F0FCA5C0034}"/>
    <cellStyle name="Comma 37 4 3 2 3 3" xfId="28178" xr:uid="{096FAE64-C79A-4900-A1BF-0A115ACBC085}"/>
    <cellStyle name="Comma 37 4 3 2 3 3 2" xfId="28180" xr:uid="{5E8782DD-AE10-4439-8DFD-78F805CA387D}"/>
    <cellStyle name="Comma 37 4 3 2 3 4" xfId="28181" xr:uid="{D38D5242-B5E5-46B1-BD54-C29BF04D76C2}"/>
    <cellStyle name="Comma 37 4 3 2 4" xfId="136" xr:uid="{F4380808-EDD6-4A92-94E5-978A49EC6E4C}"/>
    <cellStyle name="Comma 37 4 3 2 4 2" xfId="23075" xr:uid="{7B7C6DF0-B807-4F18-9C86-14728ABE1151}"/>
    <cellStyle name="Comma 37 4 3 2 4 2 2" xfId="23081" xr:uid="{95B13DBC-CDAD-43CA-9EDD-FEAB9069E8A9}"/>
    <cellStyle name="Comma 37 4 3 2 4 3" xfId="23086" xr:uid="{0AC6AB9E-5872-4548-B703-D1C18F2BDDB1}"/>
    <cellStyle name="Comma 37 4 3 2 5" xfId="28182" xr:uid="{7F17DC94-2C0F-4148-9EA3-DA1BFFF078ED}"/>
    <cellStyle name="Comma 37 4 3 2 5 2" xfId="23092" xr:uid="{2B4AECEF-CA9A-4C89-A6BC-4FF171BD8F7E}"/>
    <cellStyle name="Comma 37 4 3 2 6" xfId="2632" xr:uid="{1F90CFC1-8345-449C-84F1-235A3C13F3CF}"/>
    <cellStyle name="Comma 37 4 3 2 7" xfId="2662" xr:uid="{DD597B9C-F1F7-4C3D-BFD4-A25E9271BBDC}"/>
    <cellStyle name="Comma 37 4 3 3" xfId="28185" xr:uid="{7B8D1E2E-9482-4899-92C2-5250A7701E06}"/>
    <cellStyle name="Comma 37 4 3 3 2" xfId="28187" xr:uid="{6CE1F70E-DE5B-418C-9C15-6C8181C60D21}"/>
    <cellStyle name="Comma 37 4 3 3 2 2" xfId="23285" xr:uid="{C96DDD29-923B-479B-A04A-E4BA41F1347E}"/>
    <cellStyle name="Comma 37 4 3 3 2 2 2" xfId="23288" xr:uid="{72E57D06-E39F-4CC3-B9C5-AF510538FA7A}"/>
    <cellStyle name="Comma 37 4 3 3 2 2 2 2" xfId="28189" xr:uid="{6202E981-B285-4962-AD26-D52E3C5CCBC9}"/>
    <cellStyle name="Comma 37 4 3 3 2 2 3" xfId="28190" xr:uid="{8204F5C9-6F0A-4E4E-84CB-21EBA8E91B9D}"/>
    <cellStyle name="Comma 37 4 3 3 2 3" xfId="23292" xr:uid="{63920DD9-CB64-44DC-8298-B784D74C43BC}"/>
    <cellStyle name="Comma 37 4 3 3 2 3 2" xfId="28191" xr:uid="{AFBC7156-80CB-4DF3-82EF-FFC17C618B0E}"/>
    <cellStyle name="Comma 37 4 3 3 2 4" xfId="28192" xr:uid="{F99F3A4E-B2FA-4133-94C1-43A7E03EBBC2}"/>
    <cellStyle name="Comma 37 4 3 3 3" xfId="28193" xr:uid="{E2981F2B-6DA0-4A1E-BB54-B54EA9F9D3CD}"/>
    <cellStyle name="Comma 37 4 3 3 3 2" xfId="23309" xr:uid="{9F62C82D-26E8-409F-87E6-CB395B3073D5}"/>
    <cellStyle name="Comma 37 4 3 3 3 2 2" xfId="28195" xr:uid="{C76DA05C-A197-49AC-9383-A5C8364F8E74}"/>
    <cellStyle name="Comma 37 4 3 3 3 3" xfId="28196" xr:uid="{9BD7CDD4-A2D2-4FFA-B757-AB746C881A5D}"/>
    <cellStyle name="Comma 37 4 3 3 4" xfId="28197" xr:uid="{744E1A92-A0BD-44E0-B1AC-004B820847F1}"/>
    <cellStyle name="Comma 37 4 3 3 4 2" xfId="23106" xr:uid="{787CA0DE-5B4D-4E4E-913E-AA9E414BEBFA}"/>
    <cellStyle name="Comma 37 4 3 3 5" xfId="28199" xr:uid="{B6FAB22F-2EA7-4E30-9482-3F46634F7072}"/>
    <cellStyle name="Comma 37 4 3 4" xfId="28200" xr:uid="{BFBD61DA-3490-47C6-BFE9-EFC760D24492}"/>
    <cellStyle name="Comma 37 4 3 4 2" xfId="28202" xr:uid="{DF6483C8-8761-40C5-B1AF-DAB895DD5D1C}"/>
    <cellStyle name="Comma 37 4 3 4 2 2" xfId="23332" xr:uid="{A5328742-4AAA-48FC-B1C3-1B6BC923029F}"/>
    <cellStyle name="Comma 37 4 3 4 2 2 2" xfId="26752" xr:uid="{BB631593-262F-4FE9-89CE-E86490EF668C}"/>
    <cellStyle name="Comma 37 4 3 4 2 3" xfId="28204" xr:uid="{08563281-2E1F-4946-84E4-9621C539EA78}"/>
    <cellStyle name="Comma 37 4 3 4 3" xfId="13888" xr:uid="{75ECA4C3-2C27-45C4-9126-D1CE54B9BA63}"/>
    <cellStyle name="Comma 37 4 3 4 3 2" xfId="13892" xr:uid="{D794BE51-3DA5-48A0-A53B-C4A819FC7956}"/>
    <cellStyle name="Comma 37 4 3 4 4" xfId="13899" xr:uid="{1A4D7701-D82E-473D-AD2D-47CAFBD0B9EC}"/>
    <cellStyle name="Comma 37 4 3 5" xfId="28205" xr:uid="{71884F5F-52CC-422E-AE9B-713615BB23B2}"/>
    <cellStyle name="Comma 37 4 3 5 2" xfId="28207" xr:uid="{BE7EE8FE-873E-4747-80B6-7740C60D5638}"/>
    <cellStyle name="Comma 37 4 3 5 2 2" xfId="28209" xr:uid="{3BCB72C4-844C-46C5-A3A3-D972A0A37FA8}"/>
    <cellStyle name="Comma 37 4 3 5 3" xfId="13907" xr:uid="{33356B3C-2B92-401E-8D1A-E47FBA6A4C05}"/>
    <cellStyle name="Comma 37 4 3 6" xfId="28210" xr:uid="{BDE904C4-DA64-4021-84AB-862533F9261C}"/>
    <cellStyle name="Comma 37 4 3 6 2" xfId="3080" xr:uid="{B3AD27D3-4759-4EE6-9F68-6C4B7C802D78}"/>
    <cellStyle name="Comma 37 4 3 7" xfId="5879" xr:uid="{F57E17C6-0D30-411A-837D-E99BCB79D343}"/>
    <cellStyle name="Comma 37 4 3 8" xfId="5699" xr:uid="{DCC8D3BC-12FA-4CA4-9F43-72921C3DFB4B}"/>
    <cellStyle name="Comma 37 4 4" xfId="28212" xr:uid="{BA927F07-98E9-4903-BE3C-5622EC24F63A}"/>
    <cellStyle name="Comma 37 4 4 2" xfId="28215" xr:uid="{938C3B5C-DAE0-400A-8C70-60C8FAB6A3F7}"/>
    <cellStyle name="Comma 37 4 4 2 2" xfId="28217" xr:uid="{CEDDBB81-A478-4FD2-9079-5B4AFA596ED3}"/>
    <cellStyle name="Comma 37 4 4 2 2 2" xfId="28219" xr:uid="{58EEA000-3FB3-41F4-A0E3-46A893EF3C51}"/>
    <cellStyle name="Comma 37 4 4 2 2 2 2" xfId="3323" xr:uid="{FEE97CE1-CBE6-4E8B-A496-DB85717853CF}"/>
    <cellStyle name="Comma 37 4 4 2 2 2 2 2" xfId="28222" xr:uid="{56021D33-8F59-4D82-B11E-ADAB79A423F2}"/>
    <cellStyle name="Comma 37 4 4 2 2 2 3" xfId="4767" xr:uid="{E398163F-610A-4D1B-8153-1FC71EB55D49}"/>
    <cellStyle name="Comma 37 4 4 2 2 3" xfId="28223" xr:uid="{ABB331F3-ED59-4994-A42E-855F4AD72FF8}"/>
    <cellStyle name="Comma 37 4 4 2 2 3 2" xfId="28225" xr:uid="{30D4F21F-D04E-4BAC-A662-FF9596BEE5A6}"/>
    <cellStyle name="Comma 37 4 4 2 2 4" xfId="28226" xr:uid="{98E3D9C8-3CB7-48A2-A479-693C20F44FD5}"/>
    <cellStyle name="Comma 37 4 4 2 3" xfId="28227" xr:uid="{CC631150-2225-45E1-A745-FC6330F46F18}"/>
    <cellStyle name="Comma 37 4 4 2 3 2" xfId="28229" xr:uid="{46705110-6D58-427C-9268-3B829DA77594}"/>
    <cellStyle name="Comma 37 4 4 2 3 2 2" xfId="26686" xr:uid="{10E56F86-9BBF-4A37-8E4F-4F2642390491}"/>
    <cellStyle name="Comma 37 4 4 2 3 3" xfId="28231" xr:uid="{75CDE5F1-4275-4364-9FE8-9F0AC43B3B7F}"/>
    <cellStyle name="Comma 37 4 4 2 4" xfId="28232" xr:uid="{D66440DE-F80A-4047-B52B-288B1B507D7A}"/>
    <cellStyle name="Comma 37 4 4 2 4 2" xfId="23140" xr:uid="{18836297-D851-460F-85B9-A382C8B064E0}"/>
    <cellStyle name="Comma 37 4 4 2 5" xfId="28234" xr:uid="{7EB28161-5AEB-43ED-ABAA-E2E86F4082CC}"/>
    <cellStyle name="Comma 37 4 4 3" xfId="28235" xr:uid="{90C6E469-B1EC-40F5-9626-716E91AA923D}"/>
    <cellStyle name="Comma 37 4 4 3 2" xfId="28237" xr:uid="{469105B5-3774-4CD3-AF04-EED0CEC35EBE}"/>
    <cellStyle name="Comma 37 4 4 3 2 2" xfId="23366" xr:uid="{ECEF6A7D-D3F0-422A-B173-CB4FE0DEC1B3}"/>
    <cellStyle name="Comma 37 4 4 3 2 2 2" xfId="28239" xr:uid="{9036465C-DA55-413B-8F3A-B8AF5446E937}"/>
    <cellStyle name="Comma 37 4 4 3 2 3" xfId="28240" xr:uid="{60A581F6-4F6E-4E6C-B2F6-3EDD37D11CE7}"/>
    <cellStyle name="Comma 37 4 4 3 3" xfId="28241" xr:uid="{7C26F62B-E63D-4E49-9BA5-D848308BA3D5}"/>
    <cellStyle name="Comma 37 4 4 3 3 2" xfId="28243" xr:uid="{008C3973-39BB-4F31-B443-7C13E1FA0D66}"/>
    <cellStyle name="Comma 37 4 4 3 4" xfId="28244" xr:uid="{93D18671-ED3D-418E-99E4-7CE05DA2DC60}"/>
    <cellStyle name="Comma 37 4 4 4" xfId="28245" xr:uid="{6061EC08-5061-4E18-9285-584C775405A2}"/>
    <cellStyle name="Comma 37 4 4 4 2" xfId="28247" xr:uid="{E8D4DACC-E06E-4F6B-98B8-D504EEAD5977}"/>
    <cellStyle name="Comma 37 4 4 4 2 2" xfId="28249" xr:uid="{FC61ECDA-40CA-4AE7-BEA8-B0FCCFF11986}"/>
    <cellStyle name="Comma 37 4 4 4 3" xfId="13918" xr:uid="{2D844428-B13F-4ED6-96B7-07112785C168}"/>
    <cellStyle name="Comma 37 4 4 5" xfId="28250" xr:uid="{FB7BF374-D2AB-41EC-A6DF-F0D414F7996A}"/>
    <cellStyle name="Comma 37 4 4 5 2" xfId="28252" xr:uid="{C1B73302-19EB-4EBF-86F0-5BE7D67B5B31}"/>
    <cellStyle name="Comma 37 4 4 6" xfId="28253" xr:uid="{64F0AA2E-7BBF-4EFF-B167-D632F5A71B23}"/>
    <cellStyle name="Comma 37 4 4 7" xfId="2964" xr:uid="{5AE4B2DE-5E8E-4CE3-80DD-71469CEED0CF}"/>
    <cellStyle name="Comma 37 4 5" xfId="28254" xr:uid="{1B311B59-C2EA-4F56-8414-B9DC5141C138}"/>
    <cellStyle name="Comma 37 4 5 2" xfId="15758" xr:uid="{B4886D2F-479D-426B-B32C-E41D2FA983A1}"/>
    <cellStyle name="Comma 37 4 5 2 2" xfId="28256" xr:uid="{E50DFF81-057F-4219-AB6F-B75643B94AB5}"/>
    <cellStyle name="Comma 37 4 5 2 2 2" xfId="28258" xr:uid="{0F2A1D09-CF9F-4245-9B8F-C67508AE9679}"/>
    <cellStyle name="Comma 37 4 5 2 2 2 2" xfId="28260" xr:uid="{631F954F-4B9F-4447-BFA3-578BBA6A5271}"/>
    <cellStyle name="Comma 37 4 5 2 2 3" xfId="28261" xr:uid="{51399DCE-9747-4036-B799-E28178759823}"/>
    <cellStyle name="Comma 37 4 5 2 3" xfId="28262" xr:uid="{4B9D2E80-664F-4E89-8881-A39648DE098F}"/>
    <cellStyle name="Comma 37 4 5 2 3 2" xfId="28264" xr:uid="{895953FB-3063-417A-BE1C-C1285EFEAAA3}"/>
    <cellStyle name="Comma 37 4 5 2 4" xfId="28265" xr:uid="{9D87027C-FB95-418E-962E-BECD1D287511}"/>
    <cellStyle name="Comma 37 4 5 3" xfId="28266" xr:uid="{3A7D01A5-B4F7-4C0C-876A-72E47C002427}"/>
    <cellStyle name="Comma 37 4 5 3 2" xfId="28268" xr:uid="{3DFE27D1-E9D3-45F0-B486-C5817B91F9DF}"/>
    <cellStyle name="Comma 37 4 5 3 2 2" xfId="25462" xr:uid="{848AC005-BD58-401B-B364-372538B3A8EA}"/>
    <cellStyle name="Comma 37 4 5 3 3" xfId="28270" xr:uid="{690F4B68-B8CB-4496-9DB7-30C69C15C4E5}"/>
    <cellStyle name="Comma 37 4 5 4" xfId="28271" xr:uid="{478EC0ED-B8B2-44A9-8185-28BF60E4DAEE}"/>
    <cellStyle name="Comma 37 4 5 4 2" xfId="28273" xr:uid="{05C37C3B-0A33-45B3-B0AF-2FFEDECF38AB}"/>
    <cellStyle name="Comma 37 4 5 5" xfId="28274" xr:uid="{DE04F8D2-438D-4203-89A6-B3CBBE5D966C}"/>
    <cellStyle name="Comma 37 4 6" xfId="28275" xr:uid="{2FE757D3-CF30-4373-A749-5E7F607D995A}"/>
    <cellStyle name="Comma 37 4 6 2" xfId="28278" xr:uid="{1FB3DA7B-73D0-4A1C-968E-685808A1A559}"/>
    <cellStyle name="Comma 37 4 6 2 2" xfId="28280" xr:uid="{63A1220A-610A-47C6-B4C9-082EBB4337DD}"/>
    <cellStyle name="Comma 37 4 6 2 2 2" xfId="28282" xr:uid="{FA393D7E-C2DA-4FFC-9AC8-C24EE15A5E27}"/>
    <cellStyle name="Comma 37 4 6 2 3" xfId="28283" xr:uid="{D9C5DB7D-EC5B-4C1E-8C51-803CA55A2E4C}"/>
    <cellStyle name="Comma 37 4 6 3" xfId="28284" xr:uid="{5B0895DE-3F38-4B0E-AF4A-D98606B87A03}"/>
    <cellStyle name="Comma 37 4 6 3 2" xfId="28286" xr:uid="{F4CAEE8F-C39A-4EB8-BC16-BD70DBDEEF08}"/>
    <cellStyle name="Comma 37 4 6 4" xfId="28287" xr:uid="{F9CF64AC-BE55-47B5-BF41-569A969E8B78}"/>
    <cellStyle name="Comma 37 4 7" xfId="28288" xr:uid="{C13AA169-6171-4E8F-8A64-3136D1718871}"/>
    <cellStyle name="Comma 37 4 7 2" xfId="28290" xr:uid="{5DB28E75-9B76-4EA3-9280-AA8C40A4D290}"/>
    <cellStyle name="Comma 37 4 7 2 2" xfId="28292" xr:uid="{5151BBDA-AA67-4038-882C-4C32782E3A10}"/>
    <cellStyle name="Comma 37 4 7 3" xfId="28293" xr:uid="{E88A99FD-84AF-4998-AAB5-9DBD9C1FF015}"/>
    <cellStyle name="Comma 37 4 8" xfId="28294" xr:uid="{19415FA4-B045-4470-9768-B5AD1D88F17F}"/>
    <cellStyle name="Comma 37 4 8 2" xfId="19189" xr:uid="{07D57DE0-A0A5-489E-92C3-C42A60E03EE3}"/>
    <cellStyle name="Comma 37 4 9" xfId="28296" xr:uid="{F9F27247-CD28-4704-9B58-0419ECF8A150}"/>
    <cellStyle name="Comma 37 5" xfId="28298" xr:uid="{13A1CBA6-B3B6-4F62-9EB0-E23603ACF917}"/>
    <cellStyle name="Comma 37 5 2" xfId="28300" xr:uid="{9D8369C4-A4AB-4CA5-AEAD-C78261049937}"/>
    <cellStyle name="Comma 37 5 2 2" xfId="28303" xr:uid="{74F62B6B-31DF-451C-BBEA-CC5A1E199487}"/>
    <cellStyle name="Comma 37 5 2 2 2" xfId="28309" xr:uid="{288EA1DF-A0C2-4FD7-95E7-7B99A32BF7C9}"/>
    <cellStyle name="Comma 37 5 2 2 2 2" xfId="28317" xr:uid="{6AABC630-A364-4F56-943F-556982C86453}"/>
    <cellStyle name="Comma 37 5 2 2 2 2 2" xfId="28323" xr:uid="{999A600B-BA99-4050-98C8-B7C9FC22D27C}"/>
    <cellStyle name="Comma 37 5 2 2 2 2 2 2" xfId="21880" xr:uid="{F020290F-B1F5-440D-86AD-4E0BD914FF75}"/>
    <cellStyle name="Comma 37 5 2 2 2 2 2 2 2" xfId="21883" xr:uid="{9673DF25-8008-4E48-8DF4-9D1D3D3E7543}"/>
    <cellStyle name="Comma 37 5 2 2 2 2 2 3" xfId="21886" xr:uid="{C868FF3B-907A-4478-85F3-3AF1BFE9EA1A}"/>
    <cellStyle name="Comma 37 5 2 2 2 2 3" xfId="28326" xr:uid="{BD0478B4-B1D6-4AFF-BA35-E06D6ECFDE34}"/>
    <cellStyle name="Comma 37 5 2 2 2 2 3 2" xfId="21891" xr:uid="{CA2C9E4A-101C-4BB2-B1D0-014DF79BEF3E}"/>
    <cellStyle name="Comma 37 5 2 2 2 2 4" xfId="25592" xr:uid="{796296C3-62F0-4856-B880-E7816A26A5BD}"/>
    <cellStyle name="Comma 37 5 2 2 2 3" xfId="21914" xr:uid="{56C2B6E9-F10A-422B-8290-2515F2737535}"/>
    <cellStyle name="Comma 37 5 2 2 2 3 2" xfId="28328" xr:uid="{5E908D07-5C56-4C52-A7B8-5CCCC98D585B}"/>
    <cellStyle name="Comma 37 5 2 2 2 3 2 2" xfId="21995" xr:uid="{3C5B3F3E-2D59-45D3-85C3-C7FBFD10006D}"/>
    <cellStyle name="Comma 37 5 2 2 2 3 3" xfId="28330" xr:uid="{A7A12A46-F04D-4B6C-A389-4C4F64FFF21E}"/>
    <cellStyle name="Comma 37 5 2 2 2 4" xfId="28331" xr:uid="{ECBA46FD-AD5C-43BE-86F2-9B1A0421133D}"/>
    <cellStyle name="Comma 37 5 2 2 2 4 2" xfId="28333" xr:uid="{7EB2E902-FC72-432A-A40B-5D04927423DF}"/>
    <cellStyle name="Comma 37 5 2 2 2 5" xfId="28334" xr:uid="{6294D085-32D6-484B-8C3F-DBD048663A5A}"/>
    <cellStyle name="Comma 37 5 2 2 3" xfId="28339" xr:uid="{80072129-EFDD-4DBE-9CE9-C083D11B7BA0}"/>
    <cellStyle name="Comma 37 5 2 2 3 2" xfId="28347" xr:uid="{43EB4B59-C8CC-43ED-A50A-177CAE4CA45C}"/>
    <cellStyle name="Comma 37 5 2 2 3 2 2" xfId="28355" xr:uid="{81BA665D-1055-4C30-A0C1-635E8C5099F2}"/>
    <cellStyle name="Comma 37 5 2 2 3 2 2 2" xfId="28359" xr:uid="{369FEFF0-0815-4843-855B-8AC0EAA6272D}"/>
    <cellStyle name="Comma 37 5 2 2 3 2 3" xfId="28361" xr:uid="{475DE988-8914-4C54-A0D3-0E0DBC802414}"/>
    <cellStyle name="Comma 37 5 2 2 3 3" xfId="28367" xr:uid="{D03A5F11-A3E6-45F3-8714-483F8A3B6915}"/>
    <cellStyle name="Comma 37 5 2 2 3 3 2" xfId="28371" xr:uid="{F75B3E3F-FB96-467E-9405-CA01C865E934}"/>
    <cellStyle name="Comma 37 5 2 2 3 4" xfId="28373" xr:uid="{0A6EFE82-1A31-4D70-8E38-BEF3D98689D3}"/>
    <cellStyle name="Comma 37 5 2 2 4" xfId="28378" xr:uid="{E34AA8AB-6363-4C1A-A291-48E03802FA95}"/>
    <cellStyle name="Comma 37 5 2 2 4 2" xfId="28385" xr:uid="{4B54A4BC-BB8E-4D1E-8069-E9FAE54F6842}"/>
    <cellStyle name="Comma 37 5 2 2 4 2 2" xfId="28392" xr:uid="{7E41DB50-0095-427D-A9D0-30AF3FF67B1F}"/>
    <cellStyle name="Comma 37 5 2 2 4 3" xfId="28399" xr:uid="{42EAFA7D-CD05-4103-9863-0977D7CEA0CE}"/>
    <cellStyle name="Comma 37 5 2 2 5" xfId="28406" xr:uid="{FF08FD3D-9C0F-4694-8C74-32BCF44F6B14}"/>
    <cellStyle name="Comma 37 5 2 2 5 2" xfId="12034" xr:uid="{E09E024E-E9C6-4EE3-B2A2-4F47AEEC4E40}"/>
    <cellStyle name="Comma 37 5 2 2 6" xfId="5212" xr:uid="{B41E383B-B2B1-47CA-ADF2-026808224FCA}"/>
    <cellStyle name="Comma 37 5 2 2 7" xfId="5228" xr:uid="{87010B5A-2FD6-42B8-9610-6B214ED7D8DD}"/>
    <cellStyle name="Comma 37 5 2 3" xfId="28409" xr:uid="{A4918654-18DF-402F-8B31-A571CE7DFFED}"/>
    <cellStyle name="Comma 37 5 2 3 2" xfId="28416" xr:uid="{7F156F00-53E7-4189-BF9A-C36B57D91BB7}"/>
    <cellStyle name="Comma 37 5 2 3 2 2" xfId="28421" xr:uid="{91DC90C5-BBE9-4C62-ADA2-A077628E50B6}"/>
    <cellStyle name="Comma 37 5 2 3 2 2 2" xfId="28424" xr:uid="{36C82B61-5872-4A5E-812D-D040087F5140}"/>
    <cellStyle name="Comma 37 5 2 3 2 2 2 2" xfId="28426" xr:uid="{0BED5CA4-82C4-45C8-8D84-99EF6DC0B32E}"/>
    <cellStyle name="Comma 37 5 2 3 2 2 3" xfId="28427" xr:uid="{528599A4-5DFC-4DC4-AC1E-3688558E5C78}"/>
    <cellStyle name="Comma 37 5 2 3 2 3" xfId="28429" xr:uid="{D57200EF-6499-4DDD-92B7-D2C81EED0B11}"/>
    <cellStyle name="Comma 37 5 2 3 2 3 2" xfId="28431" xr:uid="{58F15688-E462-439C-9941-2DC566CAF29A}"/>
    <cellStyle name="Comma 37 5 2 3 2 4" xfId="28432" xr:uid="{F81DC274-04D9-49FB-9570-675059CC1E99}"/>
    <cellStyle name="Comma 37 5 2 3 3" xfId="28438" xr:uid="{86B0C46B-CB3E-4A8F-8D35-92CAC7C370FF}"/>
    <cellStyle name="Comma 37 5 2 3 3 2" xfId="28444" xr:uid="{79477577-3CAA-4FFA-B496-D26568511DED}"/>
    <cellStyle name="Comma 37 5 2 3 3 2 2" xfId="28448" xr:uid="{D1484DD1-8BEA-42AA-8B33-AC45DCC10EF9}"/>
    <cellStyle name="Comma 37 5 2 3 3 3" xfId="28451" xr:uid="{68C1364D-0244-40D0-8574-DF855F7D7F00}"/>
    <cellStyle name="Comma 37 5 2 3 4" xfId="28457" xr:uid="{B93A0997-1187-4AA9-ACA2-C95F4290F5DD}"/>
    <cellStyle name="Comma 37 5 2 3 4 2" xfId="28464" xr:uid="{A09DBC2B-3556-436D-B004-AF4CD24152AD}"/>
    <cellStyle name="Comma 37 5 2 3 5" xfId="28470" xr:uid="{59605C3A-04C1-4FB6-861D-A895B5673C17}"/>
    <cellStyle name="Comma 37 5 2 4" xfId="28471" xr:uid="{F57E6654-D47C-48A5-87F4-E5B37551693C}"/>
    <cellStyle name="Comma 37 5 2 4 2" xfId="28478" xr:uid="{88F13402-2057-4D98-8CF6-0A3051B0CCF1}"/>
    <cellStyle name="Comma 37 5 2 4 2 2" xfId="28485" xr:uid="{6E5750F1-41D3-4838-BBB9-77A7017B3B73}"/>
    <cellStyle name="Comma 37 5 2 4 2 2 2" xfId="27429" xr:uid="{FE896904-8C24-4ABB-8859-D8549AB06C6B}"/>
    <cellStyle name="Comma 37 5 2 4 2 3" xfId="28488" xr:uid="{8033F065-7634-412D-8467-4C348AAE43ED}"/>
    <cellStyle name="Comma 37 5 2 4 3" xfId="13946" xr:uid="{ACFEE579-9AA3-4D8C-BE1D-43F0A34A12BE}"/>
    <cellStyle name="Comma 37 5 2 4 3 2" xfId="13955" xr:uid="{406CD764-39CD-44CB-AEFF-6BF99FDEF267}"/>
    <cellStyle name="Comma 37 5 2 4 4" xfId="9627" xr:uid="{5C209B97-0323-4A80-9DC7-B2EBDE5656A0}"/>
    <cellStyle name="Comma 37 5 2 5" xfId="28491" xr:uid="{AF6A6BC6-54D0-4D2E-9F57-BECACCCF8C53}"/>
    <cellStyle name="Comma 37 5 2 5 2" xfId="28500" xr:uid="{E9CD8B07-5FC2-4A55-A5FF-E22CD52BCF17}"/>
    <cellStyle name="Comma 37 5 2 5 2 2" xfId="28507" xr:uid="{E4451E9D-F062-4700-AEA8-4F562FD58B22}"/>
    <cellStyle name="Comma 37 5 2 5 3" xfId="13973" xr:uid="{8DE2FF2F-7CEB-4387-BD53-5D1C0BD510C1}"/>
    <cellStyle name="Comma 37 5 2 6" xfId="28511" xr:uid="{221B04CD-5149-4185-BECC-42C0267DE547}"/>
    <cellStyle name="Comma 37 5 2 6 2" xfId="28520" xr:uid="{D8987194-21F9-4ED5-85AD-3F67230103E9}"/>
    <cellStyle name="Comma 37 5 2 7" xfId="20127" xr:uid="{B7928146-A0D7-4907-9FE0-D16E3D17CFFE}"/>
    <cellStyle name="Comma 37 5 2 8" xfId="28523" xr:uid="{A1FF805B-1F85-45DE-BC65-619EB9F88048}"/>
    <cellStyle name="Comma 37 5 3" xfId="28524" xr:uid="{87D8E466-BEBB-49D6-8B83-9A3C43195B81}"/>
    <cellStyle name="Comma 37 5 3 2" xfId="28527" xr:uid="{CBC693DE-2A75-4490-8F36-5D1457E5EE73}"/>
    <cellStyle name="Comma 37 5 3 2 2" xfId="28529" xr:uid="{C0AE42C1-F03C-4EF2-ABF3-E2915FA94365}"/>
    <cellStyle name="Comma 37 5 3 2 2 2" xfId="1545" xr:uid="{9DE0849D-5D25-40D7-BAC5-C2F413B2B5FB}"/>
    <cellStyle name="Comma 37 5 3 2 2 2 2" xfId="28531" xr:uid="{97C21C8A-31BC-4E2D-B527-45C08CA5767C}"/>
    <cellStyle name="Comma 37 5 3 2 2 2 2 2" xfId="22523" xr:uid="{DA6578EA-2A60-4B62-9F11-B728129B2FC3}"/>
    <cellStyle name="Comma 37 5 3 2 2 2 3" xfId="28533" xr:uid="{DAA87415-F2C8-437C-8B80-B2097470BE5C}"/>
    <cellStyle name="Comma 37 5 3 2 2 3" xfId="1555" xr:uid="{AEC3E418-A98C-4E0A-A9B5-29D39FA89640}"/>
    <cellStyle name="Comma 37 5 3 2 2 3 2" xfId="28534" xr:uid="{69CA1613-680E-4B39-91D7-1AFBD0D830F2}"/>
    <cellStyle name="Comma 37 5 3 2 2 4" xfId="25389" xr:uid="{A769155B-D72A-4339-913B-A07EDC7CD1C8}"/>
    <cellStyle name="Comma 37 5 3 2 3" xfId="28537" xr:uid="{587887BC-BE06-4F11-9FA2-D1625193D517}"/>
    <cellStyle name="Comma 37 5 3 2 3 2" xfId="28542" xr:uid="{D02A3927-1A15-41C8-A6B5-1AA4EFB3659E}"/>
    <cellStyle name="Comma 37 5 3 2 3 2 2" xfId="28545" xr:uid="{48263FFB-FE5D-49E9-9DDF-CDA3E6751E32}"/>
    <cellStyle name="Comma 37 5 3 2 3 3" xfId="28547" xr:uid="{A5AAC658-2419-41BC-9E07-2E17682A86DD}"/>
    <cellStyle name="Comma 37 5 3 2 4" xfId="28549" xr:uid="{61EC576A-E64F-49A2-9E57-4CDFD382E6FE}"/>
    <cellStyle name="Comma 37 5 3 2 4 2" xfId="23193" xr:uid="{982538A1-3F1D-405E-A68D-3606E58D1EAF}"/>
    <cellStyle name="Comma 37 5 3 2 5" xfId="28551" xr:uid="{7FDC1597-4A35-4823-9BAE-5F13242B7AC2}"/>
    <cellStyle name="Comma 37 5 3 3" xfId="28552" xr:uid="{20D57AC1-BD41-437A-9A78-DF5D3F7A1FB6}"/>
    <cellStyle name="Comma 37 5 3 3 2" xfId="28554" xr:uid="{4CBF0877-92B9-47C1-8742-845F27FFFF5E}"/>
    <cellStyle name="Comma 37 5 3 3 2 2" xfId="23434" xr:uid="{F3AEF2D3-A023-404A-84F0-E0E4FF045EAC}"/>
    <cellStyle name="Comma 37 5 3 3 2 2 2" xfId="28556" xr:uid="{27E91323-DD12-4818-A6EB-F36BC4278454}"/>
    <cellStyle name="Comma 37 5 3 3 2 3" xfId="28557" xr:uid="{EC766431-BE16-4C43-A5E9-038D006B763D}"/>
    <cellStyle name="Comma 37 5 3 3 3" xfId="28560" xr:uid="{4F43555E-3C97-433E-920E-647FD40471AD}"/>
    <cellStyle name="Comma 37 5 3 3 3 2" xfId="28563" xr:uid="{07FFCB65-6BF9-485F-8E5C-5294CA7054FA}"/>
    <cellStyle name="Comma 37 5 3 3 4" xfId="28565" xr:uid="{3987F2A8-F3F5-40F3-9C29-201BD7FB6B64}"/>
    <cellStyle name="Comma 37 5 3 4" xfId="28566" xr:uid="{B78D006C-EC56-4D66-A63D-CDF727208642}"/>
    <cellStyle name="Comma 37 5 3 4 2" xfId="28568" xr:uid="{D6121BBE-BCB1-4F2F-AF7D-E7F9358F845A}"/>
    <cellStyle name="Comma 37 5 3 4 2 2" xfId="28570" xr:uid="{FA54730B-22DA-4D2C-A280-AC6626BEA5F9}"/>
    <cellStyle name="Comma 37 5 3 4 3" xfId="13999" xr:uid="{B0C2A41F-E1D7-4CBB-9139-538145A13775}"/>
    <cellStyle name="Comma 37 5 3 5" xfId="28573" xr:uid="{FEB4A664-ACAB-48F0-B424-302F280BE6CC}"/>
    <cellStyle name="Comma 37 5 3 5 2" xfId="28579" xr:uid="{7441AD09-85F6-4724-A071-E2BEB8A2DB96}"/>
    <cellStyle name="Comma 37 5 3 6" xfId="28583" xr:uid="{4AF6D40C-FE56-4780-AD7B-1CCA0BE2F06C}"/>
    <cellStyle name="Comma 37 5 3 7" xfId="5949" xr:uid="{FEC423F5-8B23-49E1-8874-5133B688D717}"/>
    <cellStyle name="Comma 37 5 4" xfId="28584" xr:uid="{8B0CC835-4BD6-4547-9FC4-4F020501C62C}"/>
    <cellStyle name="Comma 37 5 4 2" xfId="28586" xr:uid="{E20D322E-8ECE-469D-B419-25325D9FCB2F}"/>
    <cellStyle name="Comma 37 5 4 2 2" xfId="28589" xr:uid="{8CD8B8D9-6669-4AC3-904A-D2D2352BB61A}"/>
    <cellStyle name="Comma 37 5 4 2 2 2" xfId="28592" xr:uid="{4147115B-D2F5-438A-A381-8DEF6792CBFB}"/>
    <cellStyle name="Comma 37 5 4 2 2 2 2" xfId="2990" xr:uid="{71C7ED87-B4D1-4469-BDD7-683EF1BB2A1D}"/>
    <cellStyle name="Comma 37 5 4 2 2 3" xfId="28596" xr:uid="{7BF7C3F1-F0FC-49CA-9C83-FC74EADC456A}"/>
    <cellStyle name="Comma 37 5 4 2 3" xfId="28600" xr:uid="{7073FA0C-B0F5-4F55-A4B1-7F18D43DE203}"/>
    <cellStyle name="Comma 37 5 4 2 3 2" xfId="28602" xr:uid="{4E3F617E-1DD5-4E17-85DD-27DDF184A450}"/>
    <cellStyle name="Comma 37 5 4 2 4" xfId="28606" xr:uid="{672D5CA6-0A6F-4176-9BFD-777670D7AFF8}"/>
    <cellStyle name="Comma 37 5 4 3" xfId="28607" xr:uid="{AC19C130-C475-47FA-85B0-AC7480936917}"/>
    <cellStyle name="Comma 37 5 4 3 2" xfId="28610" xr:uid="{B87E8793-1ADD-45AF-B7FC-814E7D567CD8}"/>
    <cellStyle name="Comma 37 5 4 3 2 2" xfId="28612" xr:uid="{FE8421D0-DD40-443E-BFF8-A7AF41AE40C1}"/>
    <cellStyle name="Comma 37 5 4 3 3" xfId="28616" xr:uid="{359DEF2C-792E-44DA-855D-6A87FEA215B7}"/>
    <cellStyle name="Comma 37 5 4 4" xfId="28617" xr:uid="{8D51E6A6-4421-46E0-A57E-819981BC0DE7}"/>
    <cellStyle name="Comma 37 5 4 4 2" xfId="28619" xr:uid="{5B91042E-C4D3-4295-9D4D-789DB9096D32}"/>
    <cellStyle name="Comma 37 5 4 5" xfId="28622" xr:uid="{2CCEEEF9-F921-4365-ADE7-789E1373966B}"/>
    <cellStyle name="Comma 37 5 5" xfId="28623" xr:uid="{128605C5-C1E2-4256-858B-FC777C727074}"/>
    <cellStyle name="Comma 37 5 5 2" xfId="28625" xr:uid="{1E1C741F-8931-4A2D-AE5F-7CA9AFE0D453}"/>
    <cellStyle name="Comma 37 5 5 2 2" xfId="28628" xr:uid="{F6AE220F-E3CA-481D-A5E5-D64E28D66524}"/>
    <cellStyle name="Comma 37 5 5 2 2 2" xfId="18088" xr:uid="{2FD78C2C-810A-4464-B99A-1DB4ED1D8D7F}"/>
    <cellStyle name="Comma 37 5 5 2 3" xfId="28631" xr:uid="{178CC139-9ED8-4C3C-88AB-D4068E447503}"/>
    <cellStyle name="Comma 37 5 5 3" xfId="28632" xr:uid="{3B5E5956-60A4-454C-A425-91C3835E33F1}"/>
    <cellStyle name="Comma 37 5 5 3 2" xfId="28634" xr:uid="{4D370719-0929-4F8F-9F86-4F9AC3D3BB26}"/>
    <cellStyle name="Comma 37 5 5 4" xfId="28635" xr:uid="{3C979180-C14F-4B09-BE7B-409290D329C9}"/>
    <cellStyle name="Comma 37 5 6" xfId="28636" xr:uid="{5F68F589-A1A8-44CD-A5E1-81D8750D8889}"/>
    <cellStyle name="Comma 37 5 6 2" xfId="28638" xr:uid="{F96AE232-01ED-4289-8228-2C81A061AB97}"/>
    <cellStyle name="Comma 37 5 6 2 2" xfId="28642" xr:uid="{D006AA26-0A2D-4913-B571-55FA6CEB23F1}"/>
    <cellStyle name="Comma 37 5 6 3" xfId="28643" xr:uid="{3578B8BE-6BAB-4956-9A5E-42881A5D6521}"/>
    <cellStyle name="Comma 37 5 7" xfId="28644" xr:uid="{443A5F25-B651-4D83-B401-E3D7A5CBDB1B}"/>
    <cellStyle name="Comma 37 5 7 2" xfId="28646" xr:uid="{6FD8C860-DCFF-4FDB-AF1B-83980DF9268F}"/>
    <cellStyle name="Comma 37 5 8" xfId="28647" xr:uid="{4176DC3F-8E9A-40F6-BC34-EF9A0DBDCE23}"/>
    <cellStyle name="Comma 37 5 9" xfId="5149" xr:uid="{7067121F-086B-49B0-9787-FA819C2C891D}"/>
    <cellStyle name="Comma 37 6" xfId="28649" xr:uid="{DBDF4667-5650-4492-BFF7-3D588017298E}"/>
    <cellStyle name="Comma 37 6 2" xfId="28651" xr:uid="{6D7515F5-52FE-439D-A4CE-89BF8CFD6136}"/>
    <cellStyle name="Comma 37 6 2 2" xfId="28654" xr:uid="{520690AB-7B8E-4459-A61D-1FC621F8D941}"/>
    <cellStyle name="Comma 37 6 2 2 2" xfId="28656" xr:uid="{91B977E8-F38C-40BD-9E11-5A77854CA906}"/>
    <cellStyle name="Comma 37 6 2 2 2 2" xfId="28658" xr:uid="{F0FE56C4-4CA6-47D4-A64F-2A00B56390A3}"/>
    <cellStyle name="Comma 37 6 2 2 2 2 2" xfId="28660" xr:uid="{1796102E-E4A8-4683-93CC-40336B75F23B}"/>
    <cellStyle name="Comma 37 6 2 2 2 2 2 2" xfId="28662" xr:uid="{4AF87949-160A-4299-9F57-B09FC634714A}"/>
    <cellStyle name="Comma 37 6 2 2 2 2 3" xfId="28663" xr:uid="{CCB93F73-0FAD-40A9-B89E-57D01D73C3ED}"/>
    <cellStyle name="Comma 37 6 2 2 2 3" xfId="28665" xr:uid="{FEF2F3ED-FA18-4E5D-B439-F20E1A3A38A4}"/>
    <cellStyle name="Comma 37 6 2 2 2 3 2" xfId="28667" xr:uid="{89592DD9-C8F0-4B60-BA19-D12179E03B4A}"/>
    <cellStyle name="Comma 37 6 2 2 2 4" xfId="28668" xr:uid="{9354F813-A72B-4B92-BF23-19EF8E5D3C95}"/>
    <cellStyle name="Comma 37 6 2 2 3" xfId="28669" xr:uid="{DBC845F0-4E28-466E-8012-85CBDBEBFC8C}"/>
    <cellStyle name="Comma 37 6 2 2 3 2" xfId="28673" xr:uid="{B87B5E8E-0F96-42F7-9C94-44A5B9B11478}"/>
    <cellStyle name="Comma 37 6 2 2 3 2 2" xfId="28677" xr:uid="{F60DD6CF-802D-402C-89A1-31CC71AF14D3}"/>
    <cellStyle name="Comma 37 6 2 2 3 3" xfId="1757" xr:uid="{5FD87CE6-FF2B-4C9D-B218-BE5CE95DFFDF}"/>
    <cellStyle name="Comma 37 6 2 2 4" xfId="28678" xr:uid="{C7D64ED8-BCE7-4A0E-8C12-3DBF1B6A6A35}"/>
    <cellStyle name="Comma 37 6 2 2 4 2" xfId="28684" xr:uid="{5B455D3B-A55C-4029-81A0-054DA4BF6B42}"/>
    <cellStyle name="Comma 37 6 2 2 5" xfId="28685" xr:uid="{5FCA02B6-2A0F-4280-8468-C95D8A4E1F19}"/>
    <cellStyle name="Comma 37 6 2 3" xfId="28686" xr:uid="{EFD00311-DECD-404B-8F00-AAB675358678}"/>
    <cellStyle name="Comma 37 6 2 3 2" xfId="28688" xr:uid="{44E5028D-C065-402C-BB88-E318C2CAD810}"/>
    <cellStyle name="Comma 37 6 2 3 2 2" xfId="28691" xr:uid="{2E15C176-A5A7-4888-A759-C7A10EB6798D}"/>
    <cellStyle name="Comma 37 6 2 3 2 2 2" xfId="24559" xr:uid="{FD61CE61-323A-443E-AA85-5407E3004C88}"/>
    <cellStyle name="Comma 37 6 2 3 2 3" xfId="28694" xr:uid="{A9DBA387-03E1-4B0D-8771-C070146A7935}"/>
    <cellStyle name="Comma 37 6 2 3 3" xfId="28696" xr:uid="{87B4B94A-4D75-4BC6-9B64-9ECBD4960AB0}"/>
    <cellStyle name="Comma 37 6 2 3 3 2" xfId="28699" xr:uid="{7837DD4A-68D9-4BC0-8E56-C282DA2F12C4}"/>
    <cellStyle name="Comma 37 6 2 3 4" xfId="28701" xr:uid="{DC986EED-58B0-4A5E-B66B-7ABFD473292B}"/>
    <cellStyle name="Comma 37 6 2 4" xfId="20926" xr:uid="{04F28CE6-4C35-4682-9934-D12C38C7A735}"/>
    <cellStyle name="Comma 37 6 2 4 2" xfId="24573" xr:uid="{B0207E35-F7E0-4F98-A1F9-AE2A1DF3A72A}"/>
    <cellStyle name="Comma 37 6 2 4 2 2" xfId="28704" xr:uid="{9135A236-BFEE-4F2E-92F8-3884010D2F8A}"/>
    <cellStyle name="Comma 37 6 2 4 3" xfId="14036" xr:uid="{3801EA2A-5374-4AED-BFBB-0D16DBB5605E}"/>
    <cellStyle name="Comma 37 6 2 5" xfId="20931" xr:uid="{BE3220B4-2E0B-4EFD-9A31-3A26E964E3AD}"/>
    <cellStyle name="Comma 37 6 2 5 2" xfId="24626" xr:uid="{DC012BC8-6748-4AD2-95EF-A2C845428294}"/>
    <cellStyle name="Comma 37 6 2 6" xfId="28709" xr:uid="{F372EE53-28CB-45A5-BAB5-66AF088A425E}"/>
    <cellStyle name="Comma 37 6 2 7" xfId="28712" xr:uid="{EAC963E2-7597-4516-8D5F-B83F43BC75D0}"/>
    <cellStyle name="Comma 37 6 3" xfId="28713" xr:uid="{FDB4DDC8-DBB1-4223-BB12-F83B87FB9305}"/>
    <cellStyle name="Comma 37 6 3 2" xfId="28715" xr:uid="{1E34F67F-8DAA-4753-9F40-1318F1FCD95D}"/>
    <cellStyle name="Comma 37 6 3 2 2" xfId="28717" xr:uid="{FCD330CC-DEB5-4615-9C15-F46FF892E278}"/>
    <cellStyle name="Comma 37 6 3 2 2 2" xfId="28719" xr:uid="{F6C47CCD-D93F-4F26-A849-2B6FF6B102AD}"/>
    <cellStyle name="Comma 37 6 3 2 2 2 2" xfId="28721" xr:uid="{10EA958C-4096-45CF-A0B4-7DA6FCA1E718}"/>
    <cellStyle name="Comma 37 6 3 2 2 3" xfId="28722" xr:uid="{15465D68-22A7-42BF-AE3B-000272C5C287}"/>
    <cellStyle name="Comma 37 6 3 2 3" xfId="28723" xr:uid="{FA715AAA-0F17-4EF5-B501-F06A8150406E}"/>
    <cellStyle name="Comma 37 6 3 2 3 2" xfId="28726" xr:uid="{615E19F5-FDA4-45CB-B5A0-26953E0393FB}"/>
    <cellStyle name="Comma 37 6 3 2 4" xfId="28727" xr:uid="{430FC9EE-F2DB-4AE7-999F-CCC38F0896D3}"/>
    <cellStyle name="Comma 37 6 3 3" xfId="28728" xr:uid="{975364BA-A2EC-4D00-9EF6-91979DDC577E}"/>
    <cellStyle name="Comma 37 6 3 3 2" xfId="28730" xr:uid="{DA05B858-F08C-4494-9599-A9BC4D83630A}"/>
    <cellStyle name="Comma 37 6 3 3 2 2" xfId="28733" xr:uid="{A3A5F653-5A95-454F-BC94-DAE9CD1B41F2}"/>
    <cellStyle name="Comma 37 6 3 3 3" xfId="28735" xr:uid="{3C2004EE-C0FB-4537-98A5-8F1851BC7B70}"/>
    <cellStyle name="Comma 37 6 3 4" xfId="28737" xr:uid="{DB758E0A-3AF1-4E6F-B952-4E78E73D0A5B}"/>
    <cellStyle name="Comma 37 6 3 4 2" xfId="24763" xr:uid="{43A14D61-1A75-4442-A122-B6AD1D62170F}"/>
    <cellStyle name="Comma 37 6 3 5" xfId="28741" xr:uid="{29D07F7B-7473-4FAD-B754-2F0E74235BDD}"/>
    <cellStyle name="Comma 37 6 4" xfId="28743" xr:uid="{C2C385FD-5195-4902-938B-0A59CD6197BF}"/>
    <cellStyle name="Comma 37 6 4 2" xfId="28745" xr:uid="{84468B8C-676A-4012-B040-08D932FC393F}"/>
    <cellStyle name="Comma 37 6 4 2 2" xfId="1318" xr:uid="{292014C3-BEE2-400A-AF49-F22A3C845E21}"/>
    <cellStyle name="Comma 37 6 4 2 2 2" xfId="39" xr:uid="{2F00C951-22CD-42AC-BA07-0FF8C4C2F74E}"/>
    <cellStyle name="Comma 37 6 4 2 3" xfId="1373" xr:uid="{0345DFB8-2D47-41DF-8EF5-1EB43D6B8447}"/>
    <cellStyle name="Comma 37 6 4 3" xfId="28747" xr:uid="{FB99C2FF-CF4B-436B-A7A7-156D4CB30850}"/>
    <cellStyle name="Comma 37 6 4 3 2" xfId="1332" xr:uid="{B26C2325-6078-4320-9F2D-FE95F723BC9B}"/>
    <cellStyle name="Comma 37 6 4 4" xfId="28749" xr:uid="{7AA03C4B-FB14-46DA-A9E5-E95E5AB8DB1E}"/>
    <cellStyle name="Comma 37 6 5" xfId="28750" xr:uid="{2F374643-FC29-4632-BBDC-025A793B2622}"/>
    <cellStyle name="Comma 37 6 5 2" xfId="28752" xr:uid="{3FA2B09E-3167-4B46-95CF-6DAEF137B0E8}"/>
    <cellStyle name="Comma 37 6 5 2 2" xfId="28754" xr:uid="{B1155DCD-52E3-438D-B9D3-D52D1582F8F4}"/>
    <cellStyle name="Comma 37 6 5 3" xfId="28755" xr:uid="{8A7A3EA6-DC6A-4D02-8864-63131FA166A7}"/>
    <cellStyle name="Comma 37 6 6" xfId="28756" xr:uid="{1B94BC2F-0E2B-45C6-B461-A4473F59424E}"/>
    <cellStyle name="Comma 37 6 6 2" xfId="1422" xr:uid="{D012DEE1-39D5-4CEC-AFA6-BF020FB4B2F7}"/>
    <cellStyle name="Comma 37 6 7" xfId="12122" xr:uid="{A589766F-4C58-49E4-9A84-0FBA7F49B9A3}"/>
    <cellStyle name="Comma 37 6 8" xfId="12127" xr:uid="{24C90223-82E0-4CC0-AD90-1490F15F9E77}"/>
    <cellStyle name="Comma 37 7" xfId="28758" xr:uid="{1F3C26BE-ECAD-491F-AA15-32DBC212B9BC}"/>
    <cellStyle name="Comma 37 7 2" xfId="28760" xr:uid="{E2A6D766-FCC8-472F-A9AC-F6EBFF9676EA}"/>
    <cellStyle name="Comma 37 7 2 2" xfId="19235" xr:uid="{F1EB3953-8FF3-4CD1-9C7F-301D747B9F4A}"/>
    <cellStyle name="Comma 37 7 2 2 2" xfId="28762" xr:uid="{5DCC47DA-3A1F-4735-9598-09BA39B7EB8B}"/>
    <cellStyle name="Comma 37 7 2 2 2 2" xfId="28764" xr:uid="{CD3BE7B4-37BA-439C-A996-693D795FD3FA}"/>
    <cellStyle name="Comma 37 7 2 2 2 2 2" xfId="28766" xr:uid="{FE486639-2271-42BA-9773-12B7BBF65E60}"/>
    <cellStyle name="Comma 37 7 2 2 2 3" xfId="28767" xr:uid="{EF7794E7-75D3-4340-8E8F-0C46B6C74471}"/>
    <cellStyle name="Comma 37 7 2 2 3" xfId="28768" xr:uid="{33A0BF13-A7B1-40D3-8B41-3F028E3F26C2}"/>
    <cellStyle name="Comma 37 7 2 2 3 2" xfId="28770" xr:uid="{1AF1A5F3-78C6-4784-B4C2-7ED75E1256D0}"/>
    <cellStyle name="Comma 37 7 2 2 4" xfId="28771" xr:uid="{99840D80-21E4-4EF7-AEBA-FEC036D22D23}"/>
    <cellStyle name="Comma 37 7 2 3" xfId="19239" xr:uid="{4A72DAF2-2FBD-4BB6-AC73-A717B9CAF3D4}"/>
    <cellStyle name="Comma 37 7 2 3 2" xfId="5740" xr:uid="{3FF513AC-3A10-4495-997E-A7F508AC5922}"/>
    <cellStyle name="Comma 37 7 2 3 2 2" xfId="28772" xr:uid="{9FAA73F9-81D0-4F3F-8EE2-D6D0BE843B15}"/>
    <cellStyle name="Comma 37 7 2 3 3" xfId="5747" xr:uid="{6DF0EF57-931A-4360-8A06-8E61C5247397}"/>
    <cellStyle name="Comma 37 7 2 4" xfId="19243" xr:uid="{AB4BCB6E-DE34-4AEA-9C5E-4333328D0206}"/>
    <cellStyle name="Comma 37 7 2 4 2" xfId="5895" xr:uid="{DCEB7CF9-1FEA-4D67-A0E5-FBE4D6632BD3}"/>
    <cellStyle name="Comma 37 7 2 5" xfId="19249" xr:uid="{3111531D-8404-44E0-8EFC-1D7B56D7DA6B}"/>
    <cellStyle name="Comma 37 7 3" xfId="28774" xr:uid="{91F8D12C-028F-47CC-B7FD-9A70BE8D45F6}"/>
    <cellStyle name="Comma 37 7 3 2" xfId="28776" xr:uid="{9B3D0C40-0358-4EF4-A601-F149F828C881}"/>
    <cellStyle name="Comma 37 7 3 2 2" xfId="28778" xr:uid="{6B013E48-55FB-4D44-940A-07195E43F089}"/>
    <cellStyle name="Comma 37 7 3 2 2 2" xfId="28786" xr:uid="{1EB52747-560C-4FBD-8067-A4A47A036869}"/>
    <cellStyle name="Comma 37 7 3 2 3" xfId="28787" xr:uid="{B6A27922-5334-4CE4-9B45-5728ED1E5FB2}"/>
    <cellStyle name="Comma 37 7 3 3" xfId="28788" xr:uid="{9F660ADD-5BB6-4E1D-98C6-F210D4E325FC}"/>
    <cellStyle name="Comma 37 7 3 3 2" xfId="6164" xr:uid="{3D2C5810-DE90-4E13-9DB2-1B202A47AF5C}"/>
    <cellStyle name="Comma 37 7 3 4" xfId="28790" xr:uid="{5CABF7A6-7D23-4D94-A754-210BED24DFE6}"/>
    <cellStyle name="Comma 37 7 4" xfId="28791" xr:uid="{0022811E-B553-47BD-87E6-0A420DDC00C4}"/>
    <cellStyle name="Comma 37 7 4 2" xfId="28793" xr:uid="{6560B706-E39D-47FB-BAF1-CE5BC535C484}"/>
    <cellStyle name="Comma 37 7 4 2 2" xfId="28795" xr:uid="{DD1699A8-7AF4-4570-A387-1977D94D7734}"/>
    <cellStyle name="Comma 37 7 4 3" xfId="28796" xr:uid="{9D8C0626-8DB6-4B00-B1D5-A1090464B8A6}"/>
    <cellStyle name="Comma 37 7 5" xfId="28797" xr:uid="{E075D2D4-794A-42EB-A354-25FB6BB11289}"/>
    <cellStyle name="Comma 37 7 5 2" xfId="28799" xr:uid="{67193EC3-D10C-4135-9BE6-C8D5FC9D55EE}"/>
    <cellStyle name="Comma 37 7 6" xfId="28800" xr:uid="{ADFCA7D7-AF48-4B7C-BA95-4BF96CE91B23}"/>
    <cellStyle name="Comma 37 7 7" xfId="9602" xr:uid="{309860E5-4798-43BD-BCB5-88E9199EF5AB}"/>
    <cellStyle name="Comma 37 8" xfId="28801" xr:uid="{459491E3-03DE-4F46-94A4-AFBDAB0288AC}"/>
    <cellStyle name="Comma 37 8 2" xfId="28803" xr:uid="{5DDC41E4-141F-40DF-89E5-C2648DDD0574}"/>
    <cellStyle name="Comma 37 8 2 2" xfId="28805" xr:uid="{5C0F5531-D579-469A-8F2A-8C1E4772302D}"/>
    <cellStyle name="Comma 37 8 2 2 2" xfId="20330" xr:uid="{EC0B2E94-B0F3-476B-9B29-DC529A359D9C}"/>
    <cellStyle name="Comma 37 8 2 2 2 2" xfId="28807" xr:uid="{6318CEB6-3345-403D-A67F-3D08FEBA1D46}"/>
    <cellStyle name="Comma 37 8 2 2 3" xfId="28808" xr:uid="{A85EA70A-0A57-4076-8576-286A774093CE}"/>
    <cellStyle name="Comma 37 8 2 3" xfId="28809" xr:uid="{449168A4-F9F5-43B2-953E-72E52ECE137A}"/>
    <cellStyle name="Comma 37 8 2 3 2" xfId="28811" xr:uid="{DCDF9DE1-5F49-4D75-B2FA-A57A468A6892}"/>
    <cellStyle name="Comma 37 8 2 4" xfId="28813" xr:uid="{20114E2B-4937-4880-B73B-9931C463B7EC}"/>
    <cellStyle name="Comma 37 8 3" xfId="28814" xr:uid="{D100545B-381D-466E-B2CA-2E4A4244C962}"/>
    <cellStyle name="Comma 37 8 3 2" xfId="28816" xr:uid="{AFE09807-8432-4469-97F8-774F3CBFD555}"/>
    <cellStyle name="Comma 37 8 3 2 2" xfId="28818" xr:uid="{9C90C34A-DB47-48D7-888F-C9DD69169E20}"/>
    <cellStyle name="Comma 37 8 3 3" xfId="28819" xr:uid="{3C44AF1B-3AB9-4283-B114-3896867BFDE9}"/>
    <cellStyle name="Comma 37 8 4" xfId="28820" xr:uid="{19D2C7AA-0021-403F-B9C8-DB2AF69CAB21}"/>
    <cellStyle name="Comma 37 8 4 2" xfId="28822" xr:uid="{8FE2D01E-8F41-4F3A-A107-A3DACEF07711}"/>
    <cellStyle name="Comma 37 8 5" xfId="28823" xr:uid="{C99D677B-E90B-4BEF-A07C-74912C9A42A1}"/>
    <cellStyle name="Comma 37 9" xfId="28824" xr:uid="{DC688F0D-4331-4972-B35B-83C4C4800AF1}"/>
    <cellStyle name="Comma 37 9 2" xfId="28826" xr:uid="{D5C7C37F-DD3F-4F77-98A9-32CA181865F4}"/>
    <cellStyle name="Comma 37 9 2 2" xfId="28828" xr:uid="{A6BE28BD-76D3-437B-A4CB-028FD6971961}"/>
    <cellStyle name="Comma 37 9 2 2 2" xfId="28830" xr:uid="{CEC0ADE5-BD05-4AB2-9417-766C59947B6F}"/>
    <cellStyle name="Comma 37 9 2 3" xfId="28831" xr:uid="{40773EF9-CBE6-4714-92FE-07BB7A77C070}"/>
    <cellStyle name="Comma 37 9 3" xfId="28832" xr:uid="{33580FC1-6A42-4DFE-A8F0-B8690EC2BA54}"/>
    <cellStyle name="Comma 37 9 3 2" xfId="28834" xr:uid="{B0C30A2B-AD30-46F3-8267-DF8E35F3FF45}"/>
    <cellStyle name="Comma 37 9 4" xfId="20761" xr:uid="{B541E511-0AFA-4765-9629-137CD1146E13}"/>
    <cellStyle name="Comma 370" xfId="12992" xr:uid="{ABA09A4C-BDEE-40B9-B0FA-5EF625B8D3D2}"/>
    <cellStyle name="Comma 370 2" xfId="26078" xr:uid="{23B088A1-10BD-46F6-8FF2-A4B0B66A681B}"/>
    <cellStyle name="Comma 371" xfId="26082" xr:uid="{5E483968-2249-4E37-AB12-D56B00ACEA9C}"/>
    <cellStyle name="Comma 371 2" xfId="19325" xr:uid="{366B6712-D048-47D6-91FA-CE882D8229D2}"/>
    <cellStyle name="Comma 372" xfId="26086" xr:uid="{B42E7083-3D01-4CE8-A431-763DE3E20B7D}"/>
    <cellStyle name="Comma 372 2" xfId="9007" xr:uid="{B430DE4F-B620-4668-8BC4-C58C188BEA8C}"/>
    <cellStyle name="Comma 373" xfId="26090" xr:uid="{266F51A2-0317-448A-8AAA-6F7223D2DFD1}"/>
    <cellStyle name="Comma 373 2" xfId="9020" xr:uid="{F8AA6546-7E66-442C-B79D-27429E103237}"/>
    <cellStyle name="Comma 374" xfId="11177" xr:uid="{E88B028D-75D2-4E35-BB9A-2392D16469AC}"/>
    <cellStyle name="Comma 374 2" xfId="2401" xr:uid="{1723E54B-9707-46F9-B634-7D9432FB29C1}"/>
    <cellStyle name="Comma 375" xfId="11181" xr:uid="{9724F147-0CDE-45C2-8AAA-4989AC3588EC}"/>
    <cellStyle name="Comma 375 2" xfId="17092" xr:uid="{C15C3078-D1DB-41B4-BA68-940986E88187}"/>
    <cellStyle name="Comma 376" xfId="28836" xr:uid="{744DABA7-E4D1-4E1B-AC0B-BA340B8AA0A0}"/>
    <cellStyle name="Comma 376 2" xfId="25508" xr:uid="{1681AB33-A42A-4B78-9666-FCF439BDCCDB}"/>
    <cellStyle name="Comma 377" xfId="28840" xr:uid="{39ED4CDB-D749-4E2F-AEB9-AAD31BF3F3AC}"/>
    <cellStyle name="Comma 377 2" xfId="16717" xr:uid="{35A63EBD-A2D8-40A6-8713-E0A372AEC75D}"/>
    <cellStyle name="Comma 378" xfId="16649" xr:uid="{12274E2C-FBAA-4BD9-8A86-0216B93B4AB3}"/>
    <cellStyle name="Comma 378 2" xfId="16658" xr:uid="{16BB230E-6354-4D69-9F86-3C19C8ADE102}"/>
    <cellStyle name="Comma 379" xfId="16713" xr:uid="{2B4116A8-1B42-48E0-A95C-B838AC280715}"/>
    <cellStyle name="Comma 379 2" xfId="16726" xr:uid="{B8506103-C4B1-42B7-A772-2A953E5D3E0F}"/>
    <cellStyle name="Comma 38" xfId="20609" xr:uid="{A11BC336-AD5E-458B-90BB-BD8FDBF8D834}"/>
    <cellStyle name="Comma 38 2" xfId="20612" xr:uid="{7C7E163D-5EC2-4F21-8E26-B068FFFEC4C1}"/>
    <cellStyle name="Comma 38 2 2" xfId="20616" xr:uid="{24FD7C20-6FFA-49E0-A43E-E7A0CF0AE868}"/>
    <cellStyle name="Comma 38 2 3" xfId="28845" xr:uid="{08E396BC-97CC-4BFC-9995-6BD2ADB6078C}"/>
    <cellStyle name="Comma 38 3" xfId="20619" xr:uid="{5CFE9AC4-AF9C-4720-98E0-8BB19E29B5B6}"/>
    <cellStyle name="Comma 38 3 2" xfId="28847" xr:uid="{E53AED60-13FA-4CED-BB62-8C3C8683965D}"/>
    <cellStyle name="Comma 38 4" xfId="28848" xr:uid="{C9D4F27F-D1A9-4C27-A4C8-F37F6DBF3865}"/>
    <cellStyle name="Comma 38 4 2" xfId="28854" xr:uid="{DA20AB6D-085A-40FF-96CB-AEEAE06C0DD2}"/>
    <cellStyle name="Comma 38 5" xfId="28855" xr:uid="{00FF2FC0-2C54-4E63-9744-464EB0E94CC5}"/>
    <cellStyle name="Comma 380" xfId="11182" xr:uid="{EDC26DEF-2DD3-4384-A719-B854579F58A7}"/>
    <cellStyle name="Comma 380 2" xfId="17093" xr:uid="{DDAF995F-BFE6-4EDF-875D-D306638C5E61}"/>
    <cellStyle name="Comma 381" xfId="28837" xr:uid="{8B2CAE6C-6BA1-4713-AF78-6D739AEDD8C5}"/>
    <cellStyle name="Comma 381 2" xfId="25509" xr:uid="{AB67B41F-80FC-4128-972C-C7FD9C5A4151}"/>
    <cellStyle name="Comma 382" xfId="28841" xr:uid="{78D4BAB2-7413-48A5-B44C-31405EAE9F64}"/>
    <cellStyle name="Comma 382 2" xfId="16718" xr:uid="{E796E815-0314-4618-9405-4C2271D3F617}"/>
    <cellStyle name="Comma 383" xfId="16650" xr:uid="{40167195-FEB8-40D0-8ECC-947F7B0C40BA}"/>
    <cellStyle name="Comma 383 2" xfId="16659" xr:uid="{00E79373-047A-4FCE-BC60-B7CDB9F80D20}"/>
    <cellStyle name="Comma 384" xfId="16714" xr:uid="{1624D17A-012D-44C6-8425-09FC747584F7}"/>
    <cellStyle name="Comma 384 2" xfId="16727" xr:uid="{24AF0B8F-6DB2-4BEC-9090-98E6E50BB7AB}"/>
    <cellStyle name="Comma 385" xfId="16757" xr:uid="{A4D59FAF-BF98-4D1B-B5AE-E5536C48E3E8}"/>
    <cellStyle name="Comma 385 2" xfId="16769" xr:uid="{99EB6AAF-FF4B-432D-A3D8-B6E43DA41BAF}"/>
    <cellStyle name="Comma 386" xfId="16783" xr:uid="{33FE9098-DB8B-4242-99E9-98713BCA4173}"/>
    <cellStyle name="Comma 386 2" xfId="16794" xr:uid="{C5A25CB4-53D6-45F2-A4B9-42BCAD140725}"/>
    <cellStyle name="Comma 387" xfId="16799" xr:uid="{B7FB690E-41CE-49D4-BBC0-BE8CC67C4922}"/>
    <cellStyle name="Comma 387 2" xfId="28856" xr:uid="{5A43A4E2-AD17-455B-85F6-7DBB87E2D6E3}"/>
    <cellStyle name="Comma 388" xfId="16807" xr:uid="{79013988-8E26-4DBE-9269-41AB933E77CE}"/>
    <cellStyle name="Comma 388 2" xfId="28861" xr:uid="{87FA3518-86F5-4864-A757-9BC37C322066}"/>
    <cellStyle name="Comma 389" xfId="28866" xr:uid="{768E3C8A-BF1E-4247-AF7C-6A91C9E2BDB8}"/>
    <cellStyle name="Comma 389 2" xfId="28871" xr:uid="{579A2468-B0D2-4850-A460-7C0A12D3AE49}"/>
    <cellStyle name="Comma 39" xfId="2174" xr:uid="{712AFCBA-A85E-4BAD-A7E9-ABEB08316B37}"/>
    <cellStyle name="Comma 39 2" xfId="2179" xr:uid="{19764514-20E6-4F52-A031-2C87A4684504}"/>
    <cellStyle name="Comma 39 2 2" xfId="15026" xr:uid="{AB8C0FFD-5E8E-466E-8088-277E1F5D7824}"/>
    <cellStyle name="Comma 39 2 3" xfId="15032" xr:uid="{1F2F6163-2362-404D-A260-014212E70B78}"/>
    <cellStyle name="Comma 39 3" xfId="28875" xr:uid="{DCE0E620-BC6B-41B7-9577-AE81A4258BDD}"/>
    <cellStyle name="Comma 39 3 2" xfId="15050" xr:uid="{AA60C898-2702-4278-A6E2-145184661537}"/>
    <cellStyle name="Comma 39 4" xfId="28877" xr:uid="{F7DFBF6B-AA09-44CF-B927-96D7EE6B494A}"/>
    <cellStyle name="Comma 390" xfId="16758" xr:uid="{C949F357-01E5-4E2F-B1CA-99DABBD05D85}"/>
    <cellStyle name="Comma 390 2" xfId="16770" xr:uid="{7A346F41-ACB7-4788-8DA0-E49D8F2EE1ED}"/>
    <cellStyle name="Comma 391" xfId="16784" xr:uid="{7EC4E685-48E5-4578-AF52-237C5EE5F925}"/>
    <cellStyle name="Comma 391 2" xfId="16795" xr:uid="{3A9B5C98-0394-4598-B586-BC36305A5490}"/>
    <cellStyle name="Comma 392" xfId="16800" xr:uid="{8ED9AA34-6EB1-4F0E-AEEE-1AE6F2DAFEC7}"/>
    <cellStyle name="Comma 392 2" xfId="28857" xr:uid="{7799303E-6A9D-4572-AB73-16608CAFD325}"/>
    <cellStyle name="Comma 393" xfId="16808" xr:uid="{FEE9ECFC-B7F7-4078-B224-E5E9844C7B0C}"/>
    <cellStyle name="Comma 393 2" xfId="28862" xr:uid="{E468F30F-93D1-49C5-9633-F97945433FED}"/>
    <cellStyle name="Comma 394" xfId="28867" xr:uid="{69C6C8BC-BAB8-431B-BB2B-BBAE73156839}"/>
    <cellStyle name="Comma 394 2" xfId="28872" xr:uid="{ABABB6EC-0867-4536-B787-89EB02F4AF9F}"/>
    <cellStyle name="Comma 395" xfId="24378" xr:uid="{E6352C64-6881-403B-8D3C-60D503C4A908}"/>
    <cellStyle name="Comma 395 2" xfId="24384" xr:uid="{64EC8AE1-E09B-4C7E-8B16-0D10778DFBD5}"/>
    <cellStyle name="Comma 396" xfId="24388" xr:uid="{02839E78-27A7-431F-A3AA-EFA7025C615A}"/>
    <cellStyle name="Comma 396 2" xfId="28879" xr:uid="{FDC453C4-8062-4122-AFAF-DE67FF3D76A3}"/>
    <cellStyle name="Comma 397" xfId="28883" xr:uid="{5268AE57-BB39-45A8-8A7C-5D44E8170058}"/>
    <cellStyle name="Comma 397 2" xfId="1934" xr:uid="{D48D768B-16A2-400A-A58F-FBBC80C58601}"/>
    <cellStyle name="Comma 398" xfId="28887" xr:uid="{0CAE1A4C-263A-4E1E-BC3E-6300ADE972BB}"/>
    <cellStyle name="Comma 398 2" xfId="6345" xr:uid="{F4B4419A-1952-4360-8FA4-7760D07D9993}"/>
    <cellStyle name="Comma 399" xfId="9677" xr:uid="{BB4D5E68-7E37-4B14-8E6F-E30877C0B68E}"/>
    <cellStyle name="Comma 399 2" xfId="9683" xr:uid="{BEDCC19C-F473-4BE8-B0CD-CF5BBC9A93BA}"/>
    <cellStyle name="Comma 4" xfId="7" xr:uid="{3589FC7D-2C80-46C5-BD1E-4E7C3A0B0245}"/>
    <cellStyle name="Comma 4 10" xfId="28895" xr:uid="{50FF2962-F707-4CB9-8653-F45EC2C1CE45}"/>
    <cellStyle name="Comma 4 11" xfId="28900" xr:uid="{EFBDE5FD-C5C0-41AC-BBFD-15D56F6B5924}"/>
    <cellStyle name="Comma 4 12" xfId="28903" xr:uid="{46B49774-C5C1-4D70-BCF9-C71C36F7B6BC}"/>
    <cellStyle name="Comma 4 13" xfId="28905" xr:uid="{F2BD18AB-87DA-4092-8E59-5073F0DCC611}"/>
    <cellStyle name="Comma 4 14" xfId="28906" xr:uid="{44BB6ABC-4A47-4B65-8AC4-E2EEA022B8E6}"/>
    <cellStyle name="Comma 4 15" xfId="28909" xr:uid="{1E90F81B-6956-4B24-AAC4-4C5DC6E73B5E}"/>
    <cellStyle name="Comma 4 16" xfId="28913" xr:uid="{D1A16222-B385-4A15-BA2F-54EE470AED75}"/>
    <cellStyle name="Comma 4 17" xfId="28915" xr:uid="{DBDDDA61-B34E-443B-83D3-727165682B80}"/>
    <cellStyle name="Comma 4 18" xfId="28918" xr:uid="{3FBEE4E1-7392-4455-8AFA-8D5ADFAD1C1A}"/>
    <cellStyle name="Comma 4 19" xfId="28921" xr:uid="{2866D830-3449-419B-961F-4156C31A4F99}"/>
    <cellStyle name="Comma 4 2" xfId="28923" xr:uid="{910C16F5-B825-4F15-94F7-02E909205A84}"/>
    <cellStyle name="Comma 4 2 2" xfId="28924" xr:uid="{A3CE0808-E064-4307-B4BB-7450B3E6DCE5}"/>
    <cellStyle name="Comma 4 2 2 2" xfId="28925" xr:uid="{56414F3C-06A2-4FAA-8885-180F76C5D012}"/>
    <cellStyle name="Comma 4 2 2 2 2" xfId="28926" xr:uid="{979483C9-087C-4573-8148-2B28CD0B9FA0}"/>
    <cellStyle name="Comma 4 2 2 3" xfId="27608" xr:uid="{E2FEE11A-04C3-4F19-B156-89DE4830C569}"/>
    <cellStyle name="Comma 4 2 3" xfId="5465" xr:uid="{B5069533-2513-4BCC-BB99-5EC93CA90298}"/>
    <cellStyle name="Comma 4 20" xfId="28910" xr:uid="{1DE3DAFD-762A-445D-83F7-9C425B6386CE}"/>
    <cellStyle name="Comma 4 21" xfId="28914" xr:uid="{6584FC98-68FF-4E8A-9DE3-DD3ED896E291}"/>
    <cellStyle name="Comma 4 22" xfId="28916" xr:uid="{16B51DC0-4041-47E8-AE81-CAB71E009A99}"/>
    <cellStyle name="Comma 4 23" xfId="28919" xr:uid="{563556E7-5A19-4727-8470-BF51E40C2C0E}"/>
    <cellStyle name="Comma 4 24" xfId="28922" xr:uid="{C60A2EA7-4A8D-4EC7-9457-A90E19626A37}"/>
    <cellStyle name="Comma 4 25" xfId="28928" xr:uid="{9274D133-6811-40BF-972A-E2880CAFC7A0}"/>
    <cellStyle name="Comma 4 26" xfId="28931" xr:uid="{D92DE959-E181-4706-A314-AF0582596F3D}"/>
    <cellStyle name="Comma 4 27" xfId="28934" xr:uid="{561DAA88-4E0E-4327-BB6F-C5A4ED65D8E6}"/>
    <cellStyle name="Comma 4 28" xfId="28937" xr:uid="{189BE797-807A-496C-A689-2A427419F8B3}"/>
    <cellStyle name="Comma 4 29" xfId="28939" xr:uid="{E5D8F777-9AEE-489E-AE14-E050F9F45FAA}"/>
    <cellStyle name="Comma 4 3" xfId="28941" xr:uid="{00637BFE-44B4-4F34-836E-D6E892C1E0CA}"/>
    <cellStyle name="Comma 4 3 2" xfId="22334" xr:uid="{80B3B6B1-673E-4F95-9B17-F9E45ADE6A24}"/>
    <cellStyle name="Comma 4 3 2 2" xfId="28942" xr:uid="{4A189FAE-1C75-4D34-8FA8-4FA92B95CB0F}"/>
    <cellStyle name="Comma 4 3 2 2 2" xfId="28943" xr:uid="{311931E0-7FEE-4FA8-9A4F-AF094693E331}"/>
    <cellStyle name="Comma 4 3 2 3" xfId="28944" xr:uid="{E0B06F30-72D9-455B-B3A1-3066DE02CEC6}"/>
    <cellStyle name="Comma 4 3 3" xfId="19568" xr:uid="{4FA06DB4-D7EA-4836-ABFC-3011C06E2E51}"/>
    <cellStyle name="Comma 4 3 4" xfId="28946" xr:uid="{77923FE7-B9DC-49E6-ADC4-B20E3D422AC2}"/>
    <cellStyle name="Comma 4 3 4 2" xfId="28948" xr:uid="{7D2F6AF3-F2B8-41DC-BB3E-7D597F91CD97}"/>
    <cellStyle name="Comma 4 3 4 2 2" xfId="28951" xr:uid="{53906307-BD3B-4A98-ACA6-7C93D4F38517}"/>
    <cellStyle name="Comma 4 30" xfId="28929" xr:uid="{8F27A27D-2117-4291-9913-F7BD2611CCE5}"/>
    <cellStyle name="Comma 4 31" xfId="28932" xr:uid="{8161813B-4636-4104-BFF3-1C8D21951872}"/>
    <cellStyle name="Comma 4 32" xfId="28935" xr:uid="{AF8E67AC-C3B3-46CF-B7D1-CD5AB8F2453D}"/>
    <cellStyle name="Comma 4 33" xfId="28938" xr:uid="{2B412517-B82A-45D7-BFD2-2985F3BABD09}"/>
    <cellStyle name="Comma 4 34" xfId="28940" xr:uid="{14A4D827-C119-42E6-AD2C-7730899D9A11}"/>
    <cellStyle name="Comma 4 35" xfId="28952" xr:uid="{F62BBCEA-0576-48EA-8032-75EC953B24A5}"/>
    <cellStyle name="Comma 4 36" xfId="706" xr:uid="{95B0CAE5-CE72-4962-B31F-C7FF42A19B3C}"/>
    <cellStyle name="Comma 4 37" xfId="716" xr:uid="{A7DCCE89-7E5E-4FDF-B65B-FA91A2E789B7}"/>
    <cellStyle name="Comma 4 38" xfId="720" xr:uid="{ADF99D98-A2E0-4BA5-8C5C-83CD0498D00D}"/>
    <cellStyle name="Comma 4 39" xfId="728" xr:uid="{8AD3B7C6-1B7C-41A2-BA5E-753C5904F240}"/>
    <cellStyle name="Comma 4 4" xfId="28954" xr:uid="{5573FD66-C633-4506-B17E-BA020DED89CD}"/>
    <cellStyle name="Comma 4 4 2" xfId="28955" xr:uid="{7C52B286-D62B-4BDA-9813-3124F03615A6}"/>
    <cellStyle name="Comma 4 40" xfId="28953" xr:uid="{EB2A5526-3684-4969-B746-D3291C745FAE}"/>
    <cellStyle name="Comma 4 41" xfId="707" xr:uid="{C326FA0D-1A5A-46B1-80D4-60CD4459A34C}"/>
    <cellStyle name="Comma 4 42" xfId="717" xr:uid="{F87A669F-E732-48CC-9A1A-B340464E8B0D}"/>
    <cellStyle name="Comma 4 43" xfId="721" xr:uid="{C3EBC0D4-84B1-4A7B-B71D-F3CD867B77FE}"/>
    <cellStyle name="Comma 4 44" xfId="729" xr:uid="{AA760D28-942E-4788-BFD1-E0FA1957F187}"/>
    <cellStyle name="Comma 4 45" xfId="732" xr:uid="{9F64918D-6FF8-475B-A5F1-8DFCFF7BBF15}"/>
    <cellStyle name="Comma 4 46" xfId="736" xr:uid="{5649631D-F979-4AEC-A782-E120C63ED156}"/>
    <cellStyle name="Comma 4 47" xfId="740" xr:uid="{0203C706-DE44-4664-AE24-431DFE2F18B6}"/>
    <cellStyle name="Comma 4 48" xfId="744" xr:uid="{28F96266-710B-4646-8E7F-36C4BEF1FA4A}"/>
    <cellStyle name="Comma 4 49" xfId="747" xr:uid="{EBA1E607-AFF9-4090-BB3C-88271D450462}"/>
    <cellStyle name="Comma 4 5" xfId="1972" xr:uid="{083F9583-AFF0-4F79-BFF8-7FDC806ED8C9}"/>
    <cellStyle name="Comma 4 50" xfId="733" xr:uid="{88B73B26-987C-4A1B-A2B4-2A69523E6E87}"/>
    <cellStyle name="Comma 4 51" xfId="737" xr:uid="{6BA9B6AF-8080-4CE0-BD64-E5AA018B01A7}"/>
    <cellStyle name="Comma 4 52" xfId="741" xr:uid="{75DF4504-5D6F-47E4-867D-BD306CD057D8}"/>
    <cellStyle name="Comma 4 53" xfId="745" xr:uid="{4808C0D7-9BAC-48C2-BEA1-335BD1E00DD7}"/>
    <cellStyle name="Comma 4 54" xfId="748" xr:uid="{CDAC1C76-023F-4C60-8B6A-D6EB93794286}"/>
    <cellStyle name="Comma 4 55" xfId="757" xr:uid="{1E4A8ACB-F3D5-495C-BBFB-B386A8E6E50A}"/>
    <cellStyle name="Comma 4 56" xfId="3856" xr:uid="{00A3E544-F371-40B1-99BB-C09D329C9C5A}"/>
    <cellStyle name="Comma 4 57" xfId="2865" xr:uid="{E9F297A4-7CB1-47A4-A376-A9B80281ED2F}"/>
    <cellStyle name="Comma 4 58" xfId="3279" xr:uid="{817EA0E5-83D8-4A6D-A358-B7BC151788CC}"/>
    <cellStyle name="Comma 4 59" xfId="28956" xr:uid="{606F45C6-ACE5-41E5-A400-A09CBA03D4CD}"/>
    <cellStyle name="Comma 4 6" xfId="1991" xr:uid="{BBE44DE5-FD6F-4B18-81DC-6CBA22978B19}"/>
    <cellStyle name="Comma 4 60" xfId="758" xr:uid="{5AFBFE20-B1F8-43BA-BEBE-7FC7A3513601}"/>
    <cellStyle name="Comma 4 61" xfId="3857" xr:uid="{DAAFB319-3A37-4F49-AD01-14FB7B7C4EE5}"/>
    <cellStyle name="Comma 4 62" xfId="2866" xr:uid="{89F49AA8-1978-4434-8BFE-FFAD1B28E9B4}"/>
    <cellStyle name="Comma 4 63" xfId="3280" xr:uid="{1B039175-BEC8-484F-94A8-C40701FC048A}"/>
    <cellStyle name="Comma 4 64" xfId="28957" xr:uid="{EBACFB95-96E2-4440-8876-42B7446C78FC}"/>
    <cellStyle name="Comma 4 65" xfId="28958" xr:uid="{0CD9192F-3736-48BE-AF81-BA8B5E0FA25E}"/>
    <cellStyle name="Comma 4 66" xfId="27464" xr:uid="{056A79C6-1FC8-4166-9FA9-11582FE6B610}"/>
    <cellStyle name="Comma 4 67" xfId="28960" xr:uid="{B3720CE4-A6E4-4CDA-B71C-DB0A780737D2}"/>
    <cellStyle name="Comma 4 68" xfId="28962" xr:uid="{188190C0-702B-4622-A05A-5F674094F009}"/>
    <cellStyle name="Comma 4 69" xfId="28964" xr:uid="{665AB0C1-6FE9-42FF-A3B5-1E49311D1485}"/>
    <cellStyle name="Comma 4 7" xfId="2000" xr:uid="{E2980395-1425-4DE5-AA10-BF52C17927F9}"/>
    <cellStyle name="Comma 4 70" xfId="28959" xr:uid="{862CEDC1-7EBB-45A4-BB53-92E44CE19672}"/>
    <cellStyle name="Comma 4 71" xfId="27465" xr:uid="{A7F8AD44-6864-479E-B1E1-C058A636D90B}"/>
    <cellStyle name="Comma 4 72" xfId="28961" xr:uid="{4C31D12C-50F2-45D4-B493-0858C444D642}"/>
    <cellStyle name="Comma 4 73" xfId="28963" xr:uid="{CA9B3E87-32E6-4D82-A6E5-412D10492EF6}"/>
    <cellStyle name="Comma 4 74" xfId="28965" xr:uid="{A8848E58-6A0B-445C-A92D-546D2DD5050B}"/>
    <cellStyle name="Comma 4 75" xfId="28966" xr:uid="{72E6C6CF-82A1-4E51-B2C8-FDA1EB6A0130}"/>
    <cellStyle name="Comma 4 76" xfId="28968" xr:uid="{E61DD6F0-AB26-4DF8-96F5-18A3B4FC3B75}"/>
    <cellStyle name="Comma 4 77" xfId="28970" xr:uid="{DFA34EBD-AFD6-416C-83C1-9CD6F24EE650}"/>
    <cellStyle name="Comma 4 78" xfId="28023" xr:uid="{4E0B5C55-009E-4A60-971B-8931911348FE}"/>
    <cellStyle name="Comma 4 79" xfId="28026" xr:uid="{696BDE27-EE01-404E-9C96-B2A3EEF4E248}"/>
    <cellStyle name="Comma 4 8" xfId="2008" xr:uid="{82FE0248-3B3E-4F8A-A752-8E3400C58982}"/>
    <cellStyle name="Comma 4 80" xfId="28967" xr:uid="{0387ACF4-5DD8-46DC-85E3-53EC240EB48A}"/>
    <cellStyle name="Comma 4 81" xfId="28969" xr:uid="{94BC07DC-D962-4EEF-9E06-22F276F30605}"/>
    <cellStyle name="Comma 4 82" xfId="28971" xr:uid="{BDD0D110-FFAC-4839-9A43-6E2F5CBF47BB}"/>
    <cellStyle name="Comma 4 83" xfId="28024" xr:uid="{64534C21-043F-42CD-B7F2-52B04C6AD59C}"/>
    <cellStyle name="Comma 4 84" xfId="28027" xr:uid="{466CE0BE-0FED-4A58-9EE2-09585729DB32}"/>
    <cellStyle name="Comma 4 85" xfId="28972" xr:uid="{028192C0-3C32-42EA-84EC-7795B54A69FB}"/>
    <cellStyle name="Comma 4 86" xfId="28975" xr:uid="{2137F2F9-3711-4566-85E5-278DEEB7B9E4}"/>
    <cellStyle name="Comma 4 87" xfId="2460" xr:uid="{5EE0DC45-7159-453D-A5CA-275649088B1F}"/>
    <cellStyle name="Comma 4 88" xfId="2471" xr:uid="{482046DB-03C9-490E-BB9A-12B753B97F0D}"/>
    <cellStyle name="Comma 4 89" xfId="1575" xr:uid="{AFE873DD-286A-45A1-97BB-8DB15306956F}"/>
    <cellStyle name="Comma 4 9" xfId="2015" xr:uid="{753A2441-8004-499E-B161-CA0BE5DA69FA}"/>
    <cellStyle name="Comma 4 90" xfId="28973" xr:uid="{48C64B24-D8E1-4D3E-A82D-6974E0B3B2F6}"/>
    <cellStyle name="Comma 4 91" xfId="15841" xr:uid="{944BBA29-FC97-4763-B53D-735EE11585DC}"/>
    <cellStyle name="Comma 4 92" xfId="16" xr:uid="{B7A6E18F-227C-4524-A28B-64CF06E3F654}"/>
    <cellStyle name="Comma 40" xfId="26033" xr:uid="{A4FF42D1-806A-48D1-9354-60D69C999917}"/>
    <cellStyle name="Comma 40 2" xfId="26037" xr:uid="{FBCD5B41-B676-4115-9839-3F5D74695D9D}"/>
    <cellStyle name="Comma 40 2 2" xfId="28977" xr:uid="{141A737D-1028-4E2F-971B-7D5D15C21B69}"/>
    <cellStyle name="Comma 40 2 3" xfId="4378" xr:uid="{D5460730-330B-4F7D-A29A-BE9C2FD33B70}"/>
    <cellStyle name="Comma 40 3" xfId="28980" xr:uid="{83FCC0EE-3094-4CAF-A5AB-68B9CD75FAAB}"/>
    <cellStyle name="Comma 40 3 2" xfId="28983" xr:uid="{C3CBEA02-BE34-403B-9E6E-A5CB4B6C3AFE}"/>
    <cellStyle name="Comma 40 4" xfId="28985" xr:uid="{05AF701F-B595-498B-B8E4-7ACD5781F50A}"/>
    <cellStyle name="Comma 400" xfId="24352" xr:uid="{AB54E41E-2F12-4A0E-ABC2-92A29DF3D9D5}"/>
    <cellStyle name="Comma 400 2" xfId="24358" xr:uid="{83DE4ADA-C7A3-4087-AC56-639A3419EF0B}"/>
    <cellStyle name="Comma 401" xfId="24365" xr:uid="{FEC6B742-6331-4F1A-BE7A-CA9DA2DF0CA6}"/>
    <cellStyle name="Comma 401 2" xfId="24370" xr:uid="{57AE56D0-696B-4554-B658-BEDD9986B59A}"/>
    <cellStyle name="Comma 402" xfId="24375" xr:uid="{C8FC41F5-9632-4FB8-90CD-0FB7768026C6}"/>
    <cellStyle name="Comma 402 2" xfId="25558" xr:uid="{50B6D3DA-BC5B-4B8F-A3FD-A9EF84058F46}"/>
    <cellStyle name="Comma 403" xfId="25563" xr:uid="{7FBA4B28-0FFE-4E36-A260-A120DA1FD785}"/>
    <cellStyle name="Comma 403 2" xfId="24022" xr:uid="{B6757AF3-F62E-4265-B099-1031CBEE9CD2}"/>
    <cellStyle name="Comma 404" xfId="25568" xr:uid="{9223414C-4B0A-4263-9BA9-C13A1F9A0C8B}"/>
    <cellStyle name="Comma 404 2" xfId="25572" xr:uid="{8412E29A-9968-4160-934D-CDF92C46E711}"/>
    <cellStyle name="Comma 405" xfId="23405" xr:uid="{A178493B-D6ED-4177-9635-B23F4957F999}"/>
    <cellStyle name="Comma 405 2" xfId="26040" xr:uid="{D2C84C81-B64A-45B7-8055-AB3CB38B3A80}"/>
    <cellStyle name="Comma 406" xfId="26044" xr:uid="{A227C370-8378-401A-BCF2-8016E600E47A}"/>
    <cellStyle name="Comma 406 2" xfId="26048" xr:uid="{24738C4E-44CD-4D2D-91D7-9882EB9F867D}"/>
    <cellStyle name="Comma 407" xfId="26052" xr:uid="{E59EE480-3D12-4336-8B67-F30B14C942D1}"/>
    <cellStyle name="Comma 407 2" xfId="26056" xr:uid="{A36A68D7-CE5C-4E08-9EAA-A8506B0FAAC2}"/>
    <cellStyle name="Comma 408" xfId="16351" xr:uid="{DB2A616B-6936-44C6-BA44-9DD87BFF8054}"/>
    <cellStyle name="Comma 408 2" xfId="10872" xr:uid="{FE647FA7-981C-40D9-8518-FE8815AEC168}"/>
    <cellStyle name="Comma 409" xfId="26060" xr:uid="{236F9C30-C044-443B-A37F-897AC615EBE8}"/>
    <cellStyle name="Comma 409 2" xfId="26064" xr:uid="{FC18BE95-2EAA-48A2-B25F-2034A66EEAD7}"/>
    <cellStyle name="Comma 41" xfId="26069" xr:uid="{B929C870-3EAD-4774-A371-5CDA0B465C16}"/>
    <cellStyle name="Comma 41 10" xfId="24065" xr:uid="{022CCA42-AB0D-4908-8D0C-419835185B21}"/>
    <cellStyle name="Comma 41 10 2" xfId="28986" xr:uid="{88BDBD59-72DC-4ADE-8A25-2AACF38A0862}"/>
    <cellStyle name="Comma 41 10 2 2" xfId="28987" xr:uid="{B8484BB7-419F-433C-A8A0-993166983330}"/>
    <cellStyle name="Comma 41 10 3" xfId="28988" xr:uid="{57A9E1BB-7A60-4B2F-93DA-54B5A39D5A85}"/>
    <cellStyle name="Comma 41 11" xfId="28989" xr:uid="{78C9F5DF-B878-432B-875E-D44AC1AD8059}"/>
    <cellStyle name="Comma 41 11 2" xfId="28991" xr:uid="{DCF04434-7960-4CA3-B188-E2E1AD5F48B4}"/>
    <cellStyle name="Comma 41 12" xfId="28993" xr:uid="{D6413399-A488-478A-A307-9A0A8D8F3E49}"/>
    <cellStyle name="Comma 41 13" xfId="28997" xr:uid="{B05AC1EE-6055-4562-AFE4-AA6D0E8C4AE9}"/>
    <cellStyle name="Comma 41 14" xfId="23166" xr:uid="{BC4C4089-557A-48C8-B24A-9078104F74DE}"/>
    <cellStyle name="Comma 41 15" xfId="28998" xr:uid="{0AD9D039-FB0B-416B-A8BA-C3684BF9C447}"/>
    <cellStyle name="Comma 41 2" xfId="26072" xr:uid="{217B5B25-993F-4DDF-9292-13F6C41773CF}"/>
    <cellStyle name="Comma 41 2 10" xfId="28999" xr:uid="{88EFE48C-B14C-4A59-82E2-C7D950ACFC6E}"/>
    <cellStyle name="Comma 41 2 10 2" xfId="6117" xr:uid="{97370304-8966-4437-9232-1056108FB16D}"/>
    <cellStyle name="Comma 41 2 11" xfId="18250" xr:uid="{4C430F3F-9D88-4D53-A46E-3F77727CC753}"/>
    <cellStyle name="Comma 41 2 12" xfId="23736" xr:uid="{655EAC2B-FCFC-45BE-8656-E16AFB7AA99A}"/>
    <cellStyle name="Comma 41 2 13" xfId="29000" xr:uid="{99FD558E-9D84-4F08-821C-DEFCA461B2FB}"/>
    <cellStyle name="Comma 41 2 2" xfId="10967" xr:uid="{62932513-0081-4557-B197-7080E7A36EDA}"/>
    <cellStyle name="Comma 41 2 2 10" xfId="29002" xr:uid="{5379B7E5-8973-4B3B-A349-289D0E8886DD}"/>
    <cellStyle name="Comma 41 2 2 11" xfId="29003" xr:uid="{DB8675C0-77A2-4366-BCC4-A4E06DCF2E28}"/>
    <cellStyle name="Comma 41 2 2 12" xfId="29005" xr:uid="{610F4C9E-AB69-4118-93E5-40B34A30F54D}"/>
    <cellStyle name="Comma 41 2 2 2" xfId="29006" xr:uid="{E6DEF266-6A02-4C56-B936-0521A671FA00}"/>
    <cellStyle name="Comma 41 2 2 2 10" xfId="11772" xr:uid="{73B54226-68A3-4A94-A36A-35B5E448BDC5}"/>
    <cellStyle name="Comma 41 2 2 2 2" xfId="29007" xr:uid="{9074DC09-B764-46E0-8D24-052C1CBBB78B}"/>
    <cellStyle name="Comma 41 2 2 2 2 2" xfId="29008" xr:uid="{E2B35685-0C1F-4465-B394-4C098569D2C4}"/>
    <cellStyle name="Comma 41 2 2 2 2 2 2" xfId="29009" xr:uid="{9C0161E7-A6B3-4DDC-9A20-51ABC7F9A371}"/>
    <cellStyle name="Comma 41 2 2 2 2 2 2 2" xfId="29010" xr:uid="{786197B1-6B1C-4D86-A22D-3EA861FC73DB}"/>
    <cellStyle name="Comma 41 2 2 2 2 2 2 2 2" xfId="22556" xr:uid="{4941612E-72C5-4C99-988D-EF885CDDFD22}"/>
    <cellStyle name="Comma 41 2 2 2 2 2 2 2 2 2" xfId="29011" xr:uid="{F4B4B3DC-7F44-4F8F-A5E1-E9C7DEFF3CA2}"/>
    <cellStyle name="Comma 41 2 2 2 2 2 2 2 2 2 2" xfId="29012" xr:uid="{4BF1B42A-54EE-4896-B18A-CF4EA696B28C}"/>
    <cellStyle name="Comma 41 2 2 2 2 2 2 2 2 2 2 2" xfId="19133" xr:uid="{EDCE494F-D36A-4296-9911-4C366AF0A4F6}"/>
    <cellStyle name="Comma 41 2 2 2 2 2 2 2 2 2 3" xfId="29013" xr:uid="{2CDEA5C5-8528-4432-9507-244DFFC377AA}"/>
    <cellStyle name="Comma 41 2 2 2 2 2 2 2 2 3" xfId="29014" xr:uid="{605A63D1-C39B-4F2F-8151-F4986E467065}"/>
    <cellStyle name="Comma 41 2 2 2 2 2 2 2 2 3 2" xfId="29015" xr:uid="{DFCD7E13-AFD3-41DE-9602-79E46757BFA7}"/>
    <cellStyle name="Comma 41 2 2 2 2 2 2 2 2 4" xfId="29016" xr:uid="{26FBA325-3109-470B-9A5F-2AE0E020097C}"/>
    <cellStyle name="Comma 41 2 2 2 2 2 2 2 3" xfId="27089" xr:uid="{35C43124-1AB5-46F2-A7E8-789B96F3D636}"/>
    <cellStyle name="Comma 41 2 2 2 2 2 2 2 3 2" xfId="11146" xr:uid="{0DB9716E-F891-4CE4-B6A4-3C7FBC26A974}"/>
    <cellStyle name="Comma 41 2 2 2 2 2 2 2 3 2 2" xfId="29017" xr:uid="{21984AAE-683A-42FB-9FCA-11BFF529E7E3}"/>
    <cellStyle name="Comma 41 2 2 2 2 2 2 2 3 3" xfId="29019" xr:uid="{8C030826-EA9A-4B5B-A508-1C7682E91E94}"/>
    <cellStyle name="Comma 41 2 2 2 2 2 2 2 4" xfId="22176" xr:uid="{F1033C0E-737D-46F0-9FE4-A11F70661E44}"/>
    <cellStyle name="Comma 41 2 2 2 2 2 2 2 4 2" xfId="22178" xr:uid="{700D2FF3-EFF0-4BE3-AF8C-71097F3EA456}"/>
    <cellStyle name="Comma 41 2 2 2 2 2 2 2 5" xfId="22180" xr:uid="{2C89A01A-566E-43DB-961A-F45104E36087}"/>
    <cellStyle name="Comma 41 2 2 2 2 2 2 3" xfId="13516" xr:uid="{83F1BC46-2AC7-49A4-BD99-F0301B93A6CB}"/>
    <cellStyle name="Comma 41 2 2 2 2 2 2 3 2" xfId="13520" xr:uid="{0C68A860-2EE5-4D66-9CF3-79683CC8656B}"/>
    <cellStyle name="Comma 41 2 2 2 2 2 2 3 2 2" xfId="13523" xr:uid="{F882BE52-932F-49DA-9DED-0CB918345935}"/>
    <cellStyle name="Comma 41 2 2 2 2 2 2 3 2 2 2" xfId="13526" xr:uid="{F1D56606-0A2A-4BFA-A4BF-EA18D1D2C902}"/>
    <cellStyle name="Comma 41 2 2 2 2 2 2 3 2 3" xfId="13529" xr:uid="{9481AFF2-E67C-48E6-AA5B-70459853DE8D}"/>
    <cellStyle name="Comma 41 2 2 2 2 2 2 3 3" xfId="13533" xr:uid="{D3E3CFFC-7229-4A81-96F9-6018AB3EBF00}"/>
    <cellStyle name="Comma 41 2 2 2 2 2 2 3 3 2" xfId="13536" xr:uid="{2E591CEB-83F3-4FC3-88C7-5D646FCE7C28}"/>
    <cellStyle name="Comma 41 2 2 2 2 2 2 3 4" xfId="13539" xr:uid="{8C4429F0-0472-491A-AAE1-F73DFBCF566C}"/>
    <cellStyle name="Comma 41 2 2 2 2 2 2 4" xfId="13545" xr:uid="{103A2874-554E-48FF-AD9B-EBB1F77B1A9C}"/>
    <cellStyle name="Comma 41 2 2 2 2 2 2 4 2" xfId="13547" xr:uid="{46097B04-35A7-4741-ACF6-5BDC332AD613}"/>
    <cellStyle name="Comma 41 2 2 2 2 2 2 4 2 2" xfId="13550" xr:uid="{DEECAE49-7C39-407B-B1D4-7304085C3737}"/>
    <cellStyle name="Comma 41 2 2 2 2 2 2 4 3" xfId="13552" xr:uid="{C803EE4E-D5DD-4E24-9AEF-29E518E696BE}"/>
    <cellStyle name="Comma 41 2 2 2 2 2 2 5" xfId="13555" xr:uid="{861683D9-F299-4F7D-BCAE-D1A3394E763F}"/>
    <cellStyle name="Comma 41 2 2 2 2 2 2 5 2" xfId="13558" xr:uid="{217A4CD7-0229-4410-8CA0-E3786AC936CF}"/>
    <cellStyle name="Comma 41 2 2 2 2 2 2 6" xfId="5333" xr:uid="{4D83ABF0-C028-427A-8B02-ED28452FA5AD}"/>
    <cellStyle name="Comma 41 2 2 2 2 2 2 7" xfId="7839" xr:uid="{38561FE3-D94C-419C-A112-6149DA87334A}"/>
    <cellStyle name="Comma 41 2 2 2 2 2 3" xfId="29020" xr:uid="{5083FEF0-A7D1-4B01-859F-4AC448C68DA5}"/>
    <cellStyle name="Comma 41 2 2 2 2 2 3 2" xfId="29021" xr:uid="{ECF995C2-9D41-4C3A-B222-B872B0770075}"/>
    <cellStyle name="Comma 41 2 2 2 2 2 3 2 2" xfId="29022" xr:uid="{E8D236BF-DEC5-4C91-8DC9-98FE2751BA56}"/>
    <cellStyle name="Comma 41 2 2 2 2 2 3 2 2 2" xfId="6640" xr:uid="{5EF0F80F-BF02-47CD-8420-71D8B452359A}"/>
    <cellStyle name="Comma 41 2 2 2 2 2 3 2 2 2 2" xfId="29023" xr:uid="{A723C76A-E39C-47DE-B1E3-F0D24D03CF89}"/>
    <cellStyle name="Comma 41 2 2 2 2 2 3 2 2 3" xfId="29024" xr:uid="{4DDA2058-F132-4EA3-95AF-2BC05DF0D2B1}"/>
    <cellStyle name="Comma 41 2 2 2 2 2 3 2 3" xfId="13391" xr:uid="{8FBBEDF0-9EE6-474D-83EF-FEF4230DB401}"/>
    <cellStyle name="Comma 41 2 2 2 2 2 3 2 3 2" xfId="398" xr:uid="{854F5064-8FBE-4C7B-9398-CA5F8385C338}"/>
    <cellStyle name="Comma 41 2 2 2 2 2 3 2 4" xfId="22189" xr:uid="{FF9F86C7-7FD3-4917-8DE7-855A53C34E1D}"/>
    <cellStyle name="Comma 41 2 2 2 2 2 3 3" xfId="13570" xr:uid="{CC030AA7-1D23-4944-BA18-0F65332F39B5}"/>
    <cellStyle name="Comma 41 2 2 2 2 2 3 3 2" xfId="13572" xr:uid="{4A0921BD-0CBA-4579-9887-A56E48966F2A}"/>
    <cellStyle name="Comma 41 2 2 2 2 2 3 3 2 2" xfId="13575" xr:uid="{FA422699-CC53-4BA2-8EF5-688519AC0DED}"/>
    <cellStyle name="Comma 41 2 2 2 2 2 3 3 3" xfId="13577" xr:uid="{F308134C-C848-49F2-9128-522425522840}"/>
    <cellStyle name="Comma 41 2 2 2 2 2 3 4" xfId="13581" xr:uid="{1BAA40E8-87E5-4CB1-8B1D-6B78161E6465}"/>
    <cellStyle name="Comma 41 2 2 2 2 2 3 4 2" xfId="13584" xr:uid="{00CEC49D-8B7F-4BE7-96B4-D22CEDD39223}"/>
    <cellStyle name="Comma 41 2 2 2 2 2 3 5" xfId="13586" xr:uid="{101AC3D6-8B25-4852-B9EA-E874BE110F5A}"/>
    <cellStyle name="Comma 41 2 2 2 2 2 4" xfId="22816" xr:uid="{36EBE0C6-CCC3-4712-A191-A38218BA0AFA}"/>
    <cellStyle name="Comma 41 2 2 2 2 2 4 2" xfId="22818" xr:uid="{1F242C6E-CF9E-4737-9965-1FF78A76E0E9}"/>
    <cellStyle name="Comma 41 2 2 2 2 2 4 2 2" xfId="22820" xr:uid="{CEF923E0-F1C9-421B-83AB-63DDE4344604}"/>
    <cellStyle name="Comma 41 2 2 2 2 2 4 2 2 2" xfId="22823" xr:uid="{249B52AB-A6E4-4C26-8EE9-1A97DB0AF94A}"/>
    <cellStyle name="Comma 41 2 2 2 2 2 4 2 3" xfId="22825" xr:uid="{5469FB2B-5F1A-49D2-BE25-2687E6C2531E}"/>
    <cellStyle name="Comma 41 2 2 2 2 2 4 3" xfId="13591" xr:uid="{974D37EB-0CA6-4221-96AC-22BAB4ECB561}"/>
    <cellStyle name="Comma 41 2 2 2 2 2 4 3 2" xfId="13595" xr:uid="{E91CC04A-5537-410B-A33A-14CB1B368C36}"/>
    <cellStyle name="Comma 41 2 2 2 2 2 4 4" xfId="13600" xr:uid="{B9C4B95A-4A17-44D4-92AE-3CDCEFA9ABED}"/>
    <cellStyle name="Comma 41 2 2 2 2 2 5" xfId="22830" xr:uid="{E675E475-4DE7-4C91-A5EE-124DFE0E1722}"/>
    <cellStyle name="Comma 41 2 2 2 2 2 5 2" xfId="22834" xr:uid="{55D97735-CEF8-44B1-A43B-72E3FF7BD661}"/>
    <cellStyle name="Comma 41 2 2 2 2 2 5 2 2" xfId="22836" xr:uid="{4D554097-67D3-4DC9-93B3-9A19BE31FFB3}"/>
    <cellStyle name="Comma 41 2 2 2 2 2 5 3" xfId="13605" xr:uid="{AB111D2B-04F0-45C0-9B9C-8A302FD2780B}"/>
    <cellStyle name="Comma 41 2 2 2 2 2 6" xfId="22842" xr:uid="{6CFD5AD5-35EC-47A5-8272-CB9F8E8DA8CF}"/>
    <cellStyle name="Comma 41 2 2 2 2 2 6 2" xfId="22845" xr:uid="{ADF0E2B1-041F-4389-9174-15E7C22A1EAA}"/>
    <cellStyle name="Comma 41 2 2 2 2 2 7" xfId="22849" xr:uid="{874A5C3D-B81B-41BC-90E1-6A4E529B3914}"/>
    <cellStyle name="Comma 41 2 2 2 2 2 8" xfId="29025" xr:uid="{9EC3FE78-32A7-4DEB-BFB7-BD8E1AC5A28F}"/>
    <cellStyle name="Comma 41 2 2 2 2 3" xfId="29026" xr:uid="{7CE9DBCF-D931-4489-AB62-566D7ED9D35F}"/>
    <cellStyle name="Comma 41 2 2 2 2 3 2" xfId="29027" xr:uid="{B62E186E-119C-45C4-AAE1-467E9F5BAF8A}"/>
    <cellStyle name="Comma 41 2 2 2 2 3 2 2" xfId="29028" xr:uid="{760E629C-5F3B-4D54-B09C-C85F6BA9B01B}"/>
    <cellStyle name="Comma 41 2 2 2 2 3 2 2 2" xfId="29030" xr:uid="{0074A84B-6278-4D54-B048-6CB48E4C139E}"/>
    <cellStyle name="Comma 41 2 2 2 2 3 2 2 2 2" xfId="29031" xr:uid="{3059BE1C-B4CD-4476-A881-8A1B9361535C}"/>
    <cellStyle name="Comma 41 2 2 2 2 3 2 2 2 2 2" xfId="29032" xr:uid="{E83280D6-636E-441B-A2D8-196B8CFD1246}"/>
    <cellStyle name="Comma 41 2 2 2 2 3 2 2 2 3" xfId="29033" xr:uid="{85431D3B-3107-4488-A43B-21262502F7B5}"/>
    <cellStyle name="Comma 41 2 2 2 2 3 2 2 3" xfId="29035" xr:uid="{1DB957CB-D31D-43D0-9448-9010ED978EFC}"/>
    <cellStyle name="Comma 41 2 2 2 2 3 2 2 3 2" xfId="29036" xr:uid="{2D05EB5E-6F3E-4DBD-AC26-EBC9EE73A317}"/>
    <cellStyle name="Comma 41 2 2 2 2 3 2 2 4" xfId="22210" xr:uid="{FE09B75B-8EC2-419E-A6C7-14272FCCAFC6}"/>
    <cellStyle name="Comma 41 2 2 2 2 3 2 3" xfId="13619" xr:uid="{33CFEAE4-8144-4702-9D5F-E3BA89806D5E}"/>
    <cellStyle name="Comma 41 2 2 2 2 3 2 3 2" xfId="1888" xr:uid="{9E0EDB5B-345D-4D95-B917-E482BCE7E41A}"/>
    <cellStyle name="Comma 41 2 2 2 2 3 2 3 2 2" xfId="13625" xr:uid="{94993F38-1D6D-46C4-9933-8D2F63ED36E9}"/>
    <cellStyle name="Comma 41 2 2 2 2 3 2 3 3" xfId="13627" xr:uid="{EF411D48-7BB1-44A9-83EB-141F4512B99E}"/>
    <cellStyle name="Comma 41 2 2 2 2 3 2 4" xfId="13630" xr:uid="{FF74B477-CE37-434D-A3C7-25655943F949}"/>
    <cellStyle name="Comma 41 2 2 2 2 3 2 4 2" xfId="13633" xr:uid="{86CCACDC-27C3-4FAB-8647-1F6571115B55}"/>
    <cellStyle name="Comma 41 2 2 2 2 3 2 5" xfId="13638" xr:uid="{AE47B398-0BF4-447E-B7D6-EFB8FBD5C526}"/>
    <cellStyle name="Comma 41 2 2 2 2 3 3" xfId="26724" xr:uid="{33172CA7-0CAD-4E5C-ABB2-30ECB6EA04E0}"/>
    <cellStyle name="Comma 41 2 2 2 2 3 3 2" xfId="29037" xr:uid="{35195EFF-EAB1-45F8-83C1-6BF63CC8A74D}"/>
    <cellStyle name="Comma 41 2 2 2 2 3 3 2 2" xfId="29038" xr:uid="{E4CD695E-A339-4DC8-8ACE-4A4B67EE68C2}"/>
    <cellStyle name="Comma 41 2 2 2 2 3 3 2 2 2" xfId="29040" xr:uid="{EFE70096-D96E-49BD-A23F-40CEE2EFEF6F}"/>
    <cellStyle name="Comma 41 2 2 2 2 3 3 2 3" xfId="29041" xr:uid="{22D512AE-7845-48B0-8979-C7B11BA1A32E}"/>
    <cellStyle name="Comma 41 2 2 2 2 3 3 3" xfId="13645" xr:uid="{FAD1B125-D99F-4D0C-BE19-D3F363D13452}"/>
    <cellStyle name="Comma 41 2 2 2 2 3 3 3 2" xfId="13648" xr:uid="{77FEFB77-B2AA-42AE-B52B-7E24D72DADB6}"/>
    <cellStyle name="Comma 41 2 2 2 2 3 3 4" xfId="13650" xr:uid="{E84CB295-EF64-4800-B592-97D8F955DBFC}"/>
    <cellStyle name="Comma 41 2 2 2 2 3 4" xfId="22853" xr:uid="{75BF2ED0-52BA-4D40-BB1D-3C6718365C99}"/>
    <cellStyle name="Comma 41 2 2 2 2 3 4 2" xfId="22855" xr:uid="{81C3D52D-7319-4A1C-B57E-5A58CA1F7201}"/>
    <cellStyle name="Comma 41 2 2 2 2 3 4 2 2" xfId="22857" xr:uid="{6D7D2DE5-03EE-424C-850F-C3B3242A507D}"/>
    <cellStyle name="Comma 41 2 2 2 2 3 4 3" xfId="13654" xr:uid="{5F86371C-B9CB-41EB-A819-CA4F03DB8FB1}"/>
    <cellStyle name="Comma 41 2 2 2 2 3 5" xfId="22862" xr:uid="{089898BF-84CE-46DB-AA46-39CA988AC788}"/>
    <cellStyle name="Comma 41 2 2 2 2 3 5 2" xfId="22864" xr:uid="{969A06FC-C69C-4C16-8909-5E16114B66FA}"/>
    <cellStyle name="Comma 41 2 2 2 2 3 6" xfId="22868" xr:uid="{15D43E33-C742-4A2F-A8B0-595177C3E137}"/>
    <cellStyle name="Comma 41 2 2 2 2 3 7" xfId="29042" xr:uid="{40029260-C234-4A38-B3D3-BF29DC0C6BCE}"/>
    <cellStyle name="Comma 41 2 2 2 2 4" xfId="29043" xr:uid="{EB99C1CC-6AC4-40A3-A9EA-9F9180884750}"/>
    <cellStyle name="Comma 41 2 2 2 2 4 2" xfId="29044" xr:uid="{27F55EEE-D52D-4A20-A96D-8EBBEFE6BAC5}"/>
    <cellStyle name="Comma 41 2 2 2 2 4 2 2" xfId="29045" xr:uid="{6000755F-6EE4-4DE2-AD04-7C91FCB0FF83}"/>
    <cellStyle name="Comma 41 2 2 2 2 4 2 2 2" xfId="29046" xr:uid="{353D5667-7C02-4E88-A7E5-B69FADCCC9E2}"/>
    <cellStyle name="Comma 41 2 2 2 2 4 2 2 2 2" xfId="21691" xr:uid="{4C3CCA53-DD49-44C1-A77C-43E93CDFC68B}"/>
    <cellStyle name="Comma 41 2 2 2 2 4 2 2 3" xfId="29047" xr:uid="{C621DE8F-E3F4-4104-9FDB-C32DB56D04EA}"/>
    <cellStyle name="Comma 41 2 2 2 2 4 2 3" xfId="13664" xr:uid="{631EF6BF-3B00-48DA-AA3F-A01B6516BE2C}"/>
    <cellStyle name="Comma 41 2 2 2 2 4 2 3 2" xfId="12177" xr:uid="{3D4E74AD-2D95-4F89-B8DF-A8863119A941}"/>
    <cellStyle name="Comma 41 2 2 2 2 4 2 4" xfId="13669" xr:uid="{C19FDA54-4398-4D26-B7C8-595FC7EF6BD7}"/>
    <cellStyle name="Comma 41 2 2 2 2 4 3" xfId="29048" xr:uid="{EFC0729E-B735-426F-B12C-D74AEA233DF6}"/>
    <cellStyle name="Comma 41 2 2 2 2 4 3 2" xfId="29049" xr:uid="{85C3752E-5C2F-48C7-855D-2C32CCBD2B05}"/>
    <cellStyle name="Comma 41 2 2 2 2 4 3 2 2" xfId="29050" xr:uid="{82969F4E-E196-49AE-9F4A-60438EFBE81B}"/>
    <cellStyle name="Comma 41 2 2 2 2 4 3 3" xfId="13674" xr:uid="{BD0D238B-2823-4237-85AC-A64131E66E6F}"/>
    <cellStyle name="Comma 41 2 2 2 2 4 4" xfId="22876" xr:uid="{930CF943-A9BF-4931-A200-F1975ADC2C31}"/>
    <cellStyle name="Comma 41 2 2 2 2 4 4 2" xfId="22880" xr:uid="{48977483-5194-4296-9F29-A100D469A638}"/>
    <cellStyle name="Comma 41 2 2 2 2 4 5" xfId="22885" xr:uid="{B95B79AD-F8D9-422C-AB70-069DD1FA29F1}"/>
    <cellStyle name="Comma 41 2 2 2 2 5" xfId="29051" xr:uid="{433C4C6D-1ABB-4E88-B3EB-86771A26A4CA}"/>
    <cellStyle name="Comma 41 2 2 2 2 5 2" xfId="29052" xr:uid="{1A77F3D4-E6BC-4766-AE85-8C5EF2535A1D}"/>
    <cellStyle name="Comma 41 2 2 2 2 5 2 2" xfId="29055" xr:uid="{0B495FE2-58B6-461C-9A39-CF01AA9756A8}"/>
    <cellStyle name="Comma 41 2 2 2 2 5 2 2 2" xfId="29056" xr:uid="{155A9421-A8AC-48BD-B939-77714A2B2953}"/>
    <cellStyle name="Comma 41 2 2 2 2 5 2 3" xfId="13682" xr:uid="{89A96391-716E-41E2-BF6E-F67DB086B092}"/>
    <cellStyle name="Comma 41 2 2 2 2 5 3" xfId="29057" xr:uid="{7130B3A3-1BEA-4886-B411-BF0BF856098F}"/>
    <cellStyle name="Comma 41 2 2 2 2 5 3 2" xfId="29058" xr:uid="{7E3A0585-7F44-48DD-8653-1B886482EA48}"/>
    <cellStyle name="Comma 41 2 2 2 2 5 4" xfId="22892" xr:uid="{9B926EFA-4C5C-479F-AC80-27AD1A793311}"/>
    <cellStyle name="Comma 41 2 2 2 2 6" xfId="29059" xr:uid="{8B6EEA00-959C-4103-93DA-BE70E471B475}"/>
    <cellStyle name="Comma 41 2 2 2 2 6 2" xfId="29060" xr:uid="{8017209F-A968-42ED-A604-C3820A33334C}"/>
    <cellStyle name="Comma 41 2 2 2 2 6 2 2" xfId="29061" xr:uid="{79E0314B-838D-4277-8360-99CDCFEACB3D}"/>
    <cellStyle name="Comma 41 2 2 2 2 6 3" xfId="1144" xr:uid="{53F3772E-F91E-4E62-A68C-9D11132D64FD}"/>
    <cellStyle name="Comma 41 2 2 2 2 7" xfId="29062" xr:uid="{31201213-C271-4E70-8B9D-F60E5AAE8A41}"/>
    <cellStyle name="Comma 41 2 2 2 2 7 2" xfId="29063" xr:uid="{61E4331E-7B9C-4838-9868-4F5BF0EE3088}"/>
    <cellStyle name="Comma 41 2 2 2 2 8" xfId="29064" xr:uid="{2B1D2BB0-A0C2-4BF2-BDBD-0F21AAFD3454}"/>
    <cellStyle name="Comma 41 2 2 2 2 9" xfId="29065" xr:uid="{E6C211CA-4747-414F-9A5E-C0D015B1CE65}"/>
    <cellStyle name="Comma 41 2 2 2 3" xfId="29066" xr:uid="{4271AB09-19DC-4E71-AD79-CE2C42824046}"/>
    <cellStyle name="Comma 41 2 2 2 3 2" xfId="29067" xr:uid="{231F4CDA-1947-4E8D-8B43-4B746364279E}"/>
    <cellStyle name="Comma 41 2 2 2 3 2 2" xfId="29068" xr:uid="{A15E1FBF-6D2B-4684-90B5-2C6BBE74369F}"/>
    <cellStyle name="Comma 41 2 2 2 3 2 2 2" xfId="23003" xr:uid="{00B7ADA0-3CAD-4AB4-ACDC-07DAB5F245E7}"/>
    <cellStyle name="Comma 41 2 2 2 3 2 2 2 2" xfId="23005" xr:uid="{D6E9C3B5-4C41-439D-A1E1-C6ADA6CB2408}"/>
    <cellStyle name="Comma 41 2 2 2 3 2 2 2 2 2" xfId="29069" xr:uid="{884D69B5-55AA-45C0-BDF9-C03AE9F70EE6}"/>
    <cellStyle name="Comma 41 2 2 2 3 2 2 2 2 2 2" xfId="29070" xr:uid="{A9BE1430-8D17-4411-B8CE-1CBAC5434B45}"/>
    <cellStyle name="Comma 41 2 2 2 3 2 2 2 2 3" xfId="29071" xr:uid="{D74AF1E8-EACB-4FF3-B0D7-134B4036425D}"/>
    <cellStyle name="Comma 41 2 2 2 3 2 2 2 3" xfId="29072" xr:uid="{2109A4DE-DF7B-41E2-BEFF-D7E56ADEBBD7}"/>
    <cellStyle name="Comma 41 2 2 2 3 2 2 2 3 2" xfId="29073" xr:uid="{1F0F28DD-EE02-44A9-B074-C6E8E0A5EABA}"/>
    <cellStyle name="Comma 41 2 2 2 3 2 2 2 4" xfId="22263" xr:uid="{02F87F79-6BB9-4813-B0ED-776560B4F490}"/>
    <cellStyle name="Comma 41 2 2 2 3 2 2 3" xfId="13701" xr:uid="{43A804C7-9572-4E8F-B327-8A5D0BE8B953}"/>
    <cellStyle name="Comma 41 2 2 2 3 2 2 3 2" xfId="13704" xr:uid="{521F3DFC-0B30-4A2C-AA17-14DF09947AAE}"/>
    <cellStyle name="Comma 41 2 2 2 3 2 2 3 2 2" xfId="13707" xr:uid="{C5B07766-705F-4D78-8F48-6EC81F43F659}"/>
    <cellStyle name="Comma 41 2 2 2 3 2 2 3 3" xfId="13709" xr:uid="{4C7754D2-367A-41B3-91C7-54E6D55A665E}"/>
    <cellStyle name="Comma 41 2 2 2 3 2 2 4" xfId="13712" xr:uid="{07B249D5-B073-4EA2-99C0-C64DD9DCFF43}"/>
    <cellStyle name="Comma 41 2 2 2 3 2 2 4 2" xfId="13715" xr:uid="{41E56FED-BC04-45B5-B0CE-DD773FB83DEB}"/>
    <cellStyle name="Comma 41 2 2 2 3 2 2 5" xfId="13717" xr:uid="{A1B59465-BE95-4649-B6A3-7E6502FDA8F5}"/>
    <cellStyle name="Comma 41 2 2 2 3 2 3" xfId="22942" xr:uid="{539BFAF3-1009-4EC2-82C3-B9F013F029A0}"/>
    <cellStyle name="Comma 41 2 2 2 3 2 3 2" xfId="22944" xr:uid="{BED80CBE-6270-49D8-A8D6-0ED8E352F318}"/>
    <cellStyle name="Comma 41 2 2 2 3 2 3 2 2" xfId="22948" xr:uid="{FA6C7EFE-213F-4FBA-A404-EE3DF92B4A7B}"/>
    <cellStyle name="Comma 41 2 2 2 3 2 3 2 2 2" xfId="29074" xr:uid="{9BB11672-F60B-4009-B999-C145E0059167}"/>
    <cellStyle name="Comma 41 2 2 2 3 2 3 2 3" xfId="29075" xr:uid="{6B27F2FC-64B0-44BD-ABBF-80E71F8580F2}"/>
    <cellStyle name="Comma 41 2 2 2 3 2 3 3" xfId="13722" xr:uid="{151F2BFD-C281-4166-985A-1270E15CC960}"/>
    <cellStyle name="Comma 41 2 2 2 3 2 3 3 2" xfId="13727" xr:uid="{C1868E0C-0296-4A48-9011-C0E418A44BCA}"/>
    <cellStyle name="Comma 41 2 2 2 3 2 3 4" xfId="10166" xr:uid="{63FD4171-32A4-49CF-B21F-02EAAB0CF241}"/>
    <cellStyle name="Comma 41 2 2 2 3 2 4" xfId="22902" xr:uid="{E8F43773-A745-4EDA-836A-2CC203A35167}"/>
    <cellStyle name="Comma 41 2 2 2 3 2 4 2" xfId="22905" xr:uid="{2E082B27-79FA-4EDC-9C3F-98FC001CB9AC}"/>
    <cellStyle name="Comma 41 2 2 2 3 2 4 2 2" xfId="22909" xr:uid="{9FE70042-F53E-4CDB-AE9E-4D8A914A841D}"/>
    <cellStyle name="Comma 41 2 2 2 3 2 4 3" xfId="13731" xr:uid="{A3A161BE-66ED-49CC-AC52-EEEF6D25E850}"/>
    <cellStyle name="Comma 41 2 2 2 3 2 5" xfId="22914" xr:uid="{94226987-3A39-4C4D-BAD8-B7239938DCDB}"/>
    <cellStyle name="Comma 41 2 2 2 3 2 5 2" xfId="22917" xr:uid="{940A905E-D26F-448B-ABDE-F759D5372598}"/>
    <cellStyle name="Comma 41 2 2 2 3 2 6" xfId="10150" xr:uid="{7F7A9CD5-5022-4B2C-8561-DCC0F70D6073}"/>
    <cellStyle name="Comma 41 2 2 2 3 2 7" xfId="10155" xr:uid="{7BFB4DD2-C32C-497B-92BA-1CC0878B0D4A}"/>
    <cellStyle name="Comma 41 2 2 2 3 3" xfId="29076" xr:uid="{0B020578-47B7-468C-B87C-EE2E1EA3E1D0}"/>
    <cellStyle name="Comma 41 2 2 2 3 3 2" xfId="29077" xr:uid="{2EF98B13-F0B5-46A2-9744-9CA885804C72}"/>
    <cellStyle name="Comma 41 2 2 2 3 3 2 2" xfId="23036" xr:uid="{513A163D-6323-4C53-A2BF-873EB1F901F2}"/>
    <cellStyle name="Comma 41 2 2 2 3 3 2 2 2" xfId="9454" xr:uid="{78820D6C-6857-462A-AF4E-AC2E5E41F474}"/>
    <cellStyle name="Comma 41 2 2 2 3 3 2 2 2 2" xfId="29078" xr:uid="{ED93B939-CEA7-4A08-A475-62169697F845}"/>
    <cellStyle name="Comma 41 2 2 2 3 3 2 2 3" xfId="29080" xr:uid="{3F385AA4-FA4E-41F9-9127-85CD1FDD9B03}"/>
    <cellStyle name="Comma 41 2 2 2 3 3 2 3" xfId="13739" xr:uid="{3A85F955-1C34-4297-884E-04B8B3D5645E}"/>
    <cellStyle name="Comma 41 2 2 2 3 3 2 3 2" xfId="13742" xr:uid="{DDA456BD-60BE-460E-929A-F7E015D2F8F5}"/>
    <cellStyle name="Comma 41 2 2 2 3 3 2 4" xfId="13744" xr:uid="{5794AEF0-9455-475D-9382-3903877DC0DD}"/>
    <cellStyle name="Comma 41 2 2 2 3 3 3" xfId="22953" xr:uid="{E48AF069-16FE-473D-A568-145D7A5790FE}"/>
    <cellStyle name="Comma 41 2 2 2 3 3 3 2" xfId="22955" xr:uid="{AC9F69AD-1FA5-40C0-A6DF-8B686E81558B}"/>
    <cellStyle name="Comma 41 2 2 2 3 3 3 2 2" xfId="29081" xr:uid="{DF837F62-7E9A-4BAF-B126-222864F5F535}"/>
    <cellStyle name="Comma 41 2 2 2 3 3 3 3" xfId="13748" xr:uid="{C91DF8D6-A32A-45CA-B9B6-F6C8D3DED83E}"/>
    <cellStyle name="Comma 41 2 2 2 3 3 4" xfId="22922" xr:uid="{00529A87-35C2-4950-95BE-1F5CBBF655A9}"/>
    <cellStyle name="Comma 41 2 2 2 3 3 4 2" xfId="22925" xr:uid="{5ECF0170-D800-4652-B44C-426296DA13CD}"/>
    <cellStyle name="Comma 41 2 2 2 3 3 5" xfId="22927" xr:uid="{7D17E556-CBF8-4B87-8D2E-FAB04A13D5AE}"/>
    <cellStyle name="Comma 41 2 2 2 3 4" xfId="29082" xr:uid="{F944E88A-4507-4643-9E0D-28AB4BC12954}"/>
    <cellStyle name="Comma 41 2 2 2 3 4 2" xfId="29083" xr:uid="{19AE8AFB-F712-4D20-AA85-28A4ED253FE0}"/>
    <cellStyle name="Comma 41 2 2 2 3 4 2 2" xfId="26149" xr:uid="{F4DABA1F-0C02-4B17-9E7E-41C6C2E826A6}"/>
    <cellStyle name="Comma 41 2 2 2 3 4 2 2 2" xfId="26152" xr:uid="{19732784-B192-486B-A32C-E0096F2BD8F1}"/>
    <cellStyle name="Comma 41 2 2 2 3 4 2 3" xfId="13754" xr:uid="{09A831ED-52F0-4C15-A285-D8D919840914}"/>
    <cellStyle name="Comma 41 2 2 2 3 4 3" xfId="22960" xr:uid="{0D11A598-D862-44AF-B99C-E96D71F58A22}"/>
    <cellStyle name="Comma 41 2 2 2 3 4 3 2" xfId="26176" xr:uid="{AE02A581-3827-4B24-9764-4A14215C72DC}"/>
    <cellStyle name="Comma 41 2 2 2 3 4 4" xfId="22935" xr:uid="{67D26146-1057-4A3A-A9E5-4E30D0883016}"/>
    <cellStyle name="Comma 41 2 2 2 3 5" xfId="29084" xr:uid="{0E62DF51-88CF-4EAF-B1C2-8CD6FE860A35}"/>
    <cellStyle name="Comma 41 2 2 2 3 5 2" xfId="29085" xr:uid="{A3B9161C-4D2C-41F8-8DEF-24C439DA8701}"/>
    <cellStyle name="Comma 41 2 2 2 3 5 2 2" xfId="26208" xr:uid="{1264B9D9-3E57-4001-B0D4-F0466933B154}"/>
    <cellStyle name="Comma 41 2 2 2 3 5 3" xfId="29086" xr:uid="{BB8A1EC5-3A89-439E-973E-1D451CB3E48F}"/>
    <cellStyle name="Comma 41 2 2 2 3 6" xfId="29087" xr:uid="{811270E6-1718-48EF-A804-1A6E82105839}"/>
    <cellStyle name="Comma 41 2 2 2 3 6 2" xfId="29088" xr:uid="{C484F9B4-37A8-4599-B7DC-47BC50844941}"/>
    <cellStyle name="Comma 41 2 2 2 3 7" xfId="29089" xr:uid="{DDA15460-7001-4C76-878A-5F7347E87E61}"/>
    <cellStyle name="Comma 41 2 2 2 3 8" xfId="29090" xr:uid="{EB1E46E2-75BD-4EDD-858B-E8748F50C116}"/>
    <cellStyle name="Comma 41 2 2 2 4" xfId="29091" xr:uid="{82A627C9-EC42-4528-A227-96E2F86DE278}"/>
    <cellStyle name="Comma 41 2 2 2 4 2" xfId="29092" xr:uid="{F81EBEEA-344A-4D2C-94C5-781F2B28ACDA}"/>
    <cellStyle name="Comma 41 2 2 2 4 2 2" xfId="29093" xr:uid="{83AEC0D6-8C63-4247-8864-BDA77F5CF6D9}"/>
    <cellStyle name="Comma 41 2 2 2 4 2 2 2" xfId="23153" xr:uid="{86419F7B-5B62-4D07-B46F-32C4D02B79A3}"/>
    <cellStyle name="Comma 41 2 2 2 4 2 2 2 2" xfId="29094" xr:uid="{274C5AD8-14D4-4E9E-8E6A-68152EFE2728}"/>
    <cellStyle name="Comma 41 2 2 2 4 2 2 2 2 2" xfId="29095" xr:uid="{06A8EE03-2DE7-4D7D-9B78-BCFFF24A461E}"/>
    <cellStyle name="Comma 41 2 2 2 4 2 2 2 3" xfId="29096" xr:uid="{38B7A0DF-37EC-446C-ADAA-7F95FF89A978}"/>
    <cellStyle name="Comma 41 2 2 2 4 2 2 3" xfId="13771" xr:uid="{79172632-AC9F-4EFE-9221-2DB469A7E072}"/>
    <cellStyle name="Comma 41 2 2 2 4 2 2 3 2" xfId="13774" xr:uid="{CFC296FB-9736-4995-974E-800A6285F68B}"/>
    <cellStyle name="Comma 41 2 2 2 4 2 2 4" xfId="13776" xr:uid="{C2D7F130-FF1A-420C-80CA-4ADCE6555A1D}"/>
    <cellStyle name="Comma 41 2 2 2 4 2 3" xfId="23008" xr:uid="{3D4EF97D-452A-4D5D-9CAD-33046C9386C7}"/>
    <cellStyle name="Comma 41 2 2 2 4 2 3 2" xfId="23010" xr:uid="{1FACC219-BA94-4D68-ABD5-A979C77C30CB}"/>
    <cellStyle name="Comma 41 2 2 2 4 2 3 2 2" xfId="18309" xr:uid="{E4D879FC-E337-473B-A070-9CD5DABB976C}"/>
    <cellStyle name="Comma 41 2 2 2 4 2 3 3" xfId="13780" xr:uid="{0844C893-8FA1-4735-BD05-DBAD4F44BDA9}"/>
    <cellStyle name="Comma 41 2 2 2 4 2 4" xfId="22945" xr:uid="{7F939400-23C7-404E-9237-EBB68209E0A0}"/>
    <cellStyle name="Comma 41 2 2 2 4 2 4 2" xfId="22949" xr:uid="{BA6FF5CE-8E36-4ACB-AD3C-07131567438A}"/>
    <cellStyle name="Comma 41 2 2 2 4 2 5" xfId="13723" xr:uid="{376F6C9A-CD09-4185-8EF6-83DC2EAB6B5A}"/>
    <cellStyle name="Comma 41 2 2 2 4 3" xfId="21415" xr:uid="{A8D99777-19E8-486B-84EB-75FACB1B1539}"/>
    <cellStyle name="Comma 41 2 2 2 4 3 2" xfId="29097" xr:uid="{9BE42385-7F1F-4C26-8919-3DD76C34B2FA}"/>
    <cellStyle name="Comma 41 2 2 2 4 3 2 2" xfId="29098" xr:uid="{209A32F0-68F0-45EC-B352-196F1582B8A3}"/>
    <cellStyle name="Comma 41 2 2 2 4 3 2 2 2" xfId="29103" xr:uid="{2F34AE7A-5EFC-4E3D-95F7-5B72CEBCDBD4}"/>
    <cellStyle name="Comma 41 2 2 2 4 3 2 3" xfId="13786" xr:uid="{BB4477B8-616D-4F0C-BB64-F14BBCF8F8C0}"/>
    <cellStyle name="Comma 41 2 2 2 4 3 3" xfId="23014" xr:uid="{421B2EF7-497B-44D5-9E79-39099FF16803}"/>
    <cellStyle name="Comma 41 2 2 2 4 3 3 2" xfId="29104" xr:uid="{55941794-887E-4743-A2CA-2868DA4976AC}"/>
    <cellStyle name="Comma 41 2 2 2 4 3 4" xfId="22906" xr:uid="{FAB79FDD-32EE-47A0-9A62-11D82FC69F03}"/>
    <cellStyle name="Comma 41 2 2 2 4 4" xfId="29105" xr:uid="{C74A5DA5-645B-4222-ABAE-DC9BDE33E2A3}"/>
    <cellStyle name="Comma 41 2 2 2 4 4 2" xfId="29107" xr:uid="{E8F6A9E4-091C-4F69-B806-CB15423C78D8}"/>
    <cellStyle name="Comma 41 2 2 2 4 4 2 2" xfId="26310" xr:uid="{3421B97D-AB60-4911-BB43-254D45E8A26A}"/>
    <cellStyle name="Comma 41 2 2 2 4 4 3" xfId="29108" xr:uid="{E68CC9DB-1C12-4467-A100-42FEEDC9D30D}"/>
    <cellStyle name="Comma 41 2 2 2 4 5" xfId="29109" xr:uid="{5E99C877-8718-4556-BF8D-3CBA06F71BF5}"/>
    <cellStyle name="Comma 41 2 2 2 4 5 2" xfId="29110" xr:uid="{284FDFAA-0304-445E-B4DC-3CC4E83CEB15}"/>
    <cellStyle name="Comma 41 2 2 2 4 6" xfId="29111" xr:uid="{DF0D098D-AD1B-4D49-A731-2A68E8CAB3CD}"/>
    <cellStyle name="Comma 41 2 2 2 4 7" xfId="29112" xr:uid="{D1CF6AD9-DE5A-48CD-B3CD-9546E92496A6}"/>
    <cellStyle name="Comma 41 2 2 2 5" xfId="29113" xr:uid="{6DD0A7C3-F514-4FB8-8616-AAEBD7F26965}"/>
    <cellStyle name="Comma 41 2 2 2 5 2" xfId="29114" xr:uid="{420A5C8A-BA9E-478C-BED1-01C285B2FC4B}"/>
    <cellStyle name="Comma 41 2 2 2 5 2 2" xfId="29115" xr:uid="{97967F31-9B04-4142-B8F9-3AE4D20B6E2E}"/>
    <cellStyle name="Comma 41 2 2 2 5 2 2 2" xfId="29116" xr:uid="{6DD2D4EA-8B02-4704-8C21-6AD792101987}"/>
    <cellStyle name="Comma 41 2 2 2 5 2 2 2 2" xfId="29117" xr:uid="{BCA83816-1A8A-49C2-B361-50C211B556E4}"/>
    <cellStyle name="Comma 41 2 2 2 5 2 2 3" xfId="13797" xr:uid="{CE13D4F9-2873-4227-8647-7C4352041F0B}"/>
    <cellStyle name="Comma 41 2 2 2 5 2 3" xfId="23039" xr:uid="{791DE60A-9593-47CD-AD52-EFF4614D2C64}"/>
    <cellStyle name="Comma 41 2 2 2 5 2 3 2" xfId="9473" xr:uid="{FA559532-82DB-4EC9-A434-26F6CEB265D0}"/>
    <cellStyle name="Comma 41 2 2 2 5 2 4" xfId="22956" xr:uid="{4754F9C7-A82E-45D2-90FB-1C7284457097}"/>
    <cellStyle name="Comma 41 2 2 2 5 3" xfId="29118" xr:uid="{47F9B959-72F5-4CE1-ACF2-F92C9384D5EA}"/>
    <cellStyle name="Comma 41 2 2 2 5 3 2" xfId="29119" xr:uid="{B8654339-105A-400A-9C83-C32B497FB8C4}"/>
    <cellStyle name="Comma 41 2 2 2 5 3 2 2" xfId="29120" xr:uid="{671208E8-874B-4CFA-A268-5E0A426D8192}"/>
    <cellStyle name="Comma 41 2 2 2 5 3 3" xfId="29121" xr:uid="{08770280-88D1-4A13-BA76-5DD5774A7F4D}"/>
    <cellStyle name="Comma 41 2 2 2 5 4" xfId="29122" xr:uid="{FC294654-2A43-4301-ABDB-AE863DBA912D}"/>
    <cellStyle name="Comma 41 2 2 2 5 4 2" xfId="29123" xr:uid="{75F80ED5-70F7-4190-9AE8-22DAB5BA613E}"/>
    <cellStyle name="Comma 41 2 2 2 5 5" xfId="29124" xr:uid="{4201FC09-275D-4714-8678-C7954BBDCD14}"/>
    <cellStyle name="Comma 41 2 2 2 6" xfId="29125" xr:uid="{C343ABD8-2597-4E57-9803-8C8058E38904}"/>
    <cellStyle name="Comma 41 2 2 2 6 2" xfId="26158" xr:uid="{2E8CD1BD-195D-4F6A-8ACF-CE6EC893F297}"/>
    <cellStyle name="Comma 41 2 2 2 6 2 2" xfId="26161" xr:uid="{2471AE15-AEDC-47B7-A764-FFE9B64EC833}"/>
    <cellStyle name="Comma 41 2 2 2 6 2 2 2" xfId="26164" xr:uid="{2DE98178-797A-4B3B-AF2A-D62769FFE5BF}"/>
    <cellStyle name="Comma 41 2 2 2 6 2 3" xfId="26170" xr:uid="{DC18833B-1E7D-4D79-88E2-E0106CB1E451}"/>
    <cellStyle name="Comma 41 2 2 2 6 3" xfId="23778" xr:uid="{CEB35E00-56C5-48CF-AD9E-88F34E42FF31}"/>
    <cellStyle name="Comma 41 2 2 2 6 3 2" xfId="23782" xr:uid="{1B89AC30-80D6-4CA0-ACC7-ECECBCE6BB9C}"/>
    <cellStyle name="Comma 41 2 2 2 6 4" xfId="23792" xr:uid="{1897BE86-E030-431D-85F9-D4AB40A883ED}"/>
    <cellStyle name="Comma 41 2 2 2 7" xfId="26810" xr:uid="{8B4452F2-48FB-4ED4-B747-B69E3BB469DA}"/>
    <cellStyle name="Comma 41 2 2 2 7 2" xfId="26213" xr:uid="{E5EB856B-FA47-48EC-986C-70FB0714A715}"/>
    <cellStyle name="Comma 41 2 2 2 7 2 2" xfId="26216" xr:uid="{9A92B7D7-2EE7-44E3-89C4-4DCE4EB9853D}"/>
    <cellStyle name="Comma 41 2 2 2 7 3" xfId="23806" xr:uid="{4C9B855B-D0F1-4CEE-9CCC-8B66CAA132D1}"/>
    <cellStyle name="Comma 41 2 2 2 8" xfId="29129" xr:uid="{30A378A2-D6FA-4247-A630-79D4BD28EC82}"/>
    <cellStyle name="Comma 41 2 2 2 8 2" xfId="26247" xr:uid="{60A7E41B-DFEA-47CF-95A0-DE87C0F7928B}"/>
    <cellStyle name="Comma 41 2 2 2 9" xfId="29133" xr:uid="{61F4EE87-D242-4290-8C6B-327BEF13EDB6}"/>
    <cellStyle name="Comma 41 2 2 3" xfId="29136" xr:uid="{304CC401-3FA9-4A0C-8DEB-DCC7FB267079}"/>
    <cellStyle name="Comma 41 2 2 3 2" xfId="29137" xr:uid="{15E0F0D0-A988-4ACE-92D9-B5C048FC919C}"/>
    <cellStyle name="Comma 41 2 2 3 2 2" xfId="29138" xr:uid="{ED26B702-3CFD-4172-A849-ED8992E1A5AE}"/>
    <cellStyle name="Comma 41 2 2 3 2 2 2" xfId="29139" xr:uid="{81A60B18-3DE8-4AFC-BC6B-D7041FB70C36}"/>
    <cellStyle name="Comma 41 2 2 3 2 2 2 2" xfId="29140" xr:uid="{4F68FCD0-1B95-498C-AE42-57B979ED4D64}"/>
    <cellStyle name="Comma 41 2 2 3 2 2 2 2 2" xfId="29141" xr:uid="{970A3427-3B09-41B8-95DF-11E2CE8537E7}"/>
    <cellStyle name="Comma 41 2 2 3 2 2 2 2 2 2" xfId="29142" xr:uid="{199EA9B0-F012-486C-9C4A-9A3BC125C881}"/>
    <cellStyle name="Comma 41 2 2 3 2 2 2 2 2 2 2" xfId="29143" xr:uid="{B5F85DCA-84CD-4A4D-9064-E81C5F8FCEBD}"/>
    <cellStyle name="Comma 41 2 2 3 2 2 2 2 2 3" xfId="29144" xr:uid="{38B84672-ABA9-4F9B-8D27-12F355C68216}"/>
    <cellStyle name="Comma 41 2 2 3 2 2 2 2 3" xfId="29145" xr:uid="{7FEA79FE-86A7-41EA-A3C8-40419B9B4D51}"/>
    <cellStyle name="Comma 41 2 2 3 2 2 2 2 3 2" xfId="29146" xr:uid="{328DDB44-D97B-42E3-AC6B-B4B985D3E763}"/>
    <cellStyle name="Comma 41 2 2 3 2 2 2 2 4" xfId="22357" xr:uid="{252AE239-96F2-4FE0-8E21-68A3EFC3FF13}"/>
    <cellStyle name="Comma 41 2 2 3 2 2 2 3" xfId="13817" xr:uid="{4CFED419-8E6D-4996-BEDB-09CF20E13799}"/>
    <cellStyle name="Comma 41 2 2 3 2 2 2 3 2" xfId="13819" xr:uid="{46FE7940-2F59-4AF2-93EF-361704BF0A83}"/>
    <cellStyle name="Comma 41 2 2 3 2 2 2 3 2 2" xfId="13823" xr:uid="{C67D358D-507B-4AC1-9367-A8210AC4D819}"/>
    <cellStyle name="Comma 41 2 2 3 2 2 2 3 3" xfId="13825" xr:uid="{31394FE1-277B-4303-8172-6E78C8DD0973}"/>
    <cellStyle name="Comma 41 2 2 3 2 2 2 4" xfId="13829" xr:uid="{F8BAA893-C3AB-421E-9BE3-9FCC06DBF1F7}"/>
    <cellStyle name="Comma 41 2 2 3 2 2 2 4 2" xfId="13833" xr:uid="{9BEBB5D8-41B1-43E7-9AE4-7A249B6B3A37}"/>
    <cellStyle name="Comma 41 2 2 3 2 2 2 5" xfId="13837" xr:uid="{CA6BB2C2-73CB-4C6E-B318-B7604A802658}"/>
    <cellStyle name="Comma 41 2 2 3 2 2 3" xfId="29147" xr:uid="{70CCBBC4-A816-4C74-AA7E-491A62A4F033}"/>
    <cellStyle name="Comma 41 2 2 3 2 2 3 2" xfId="29148" xr:uid="{993DB776-8D1D-4FE6-82B2-C9288A4D084A}"/>
    <cellStyle name="Comma 41 2 2 3 2 2 3 2 2" xfId="29150" xr:uid="{4A7564AA-A060-4683-8627-C55249FEBA2C}"/>
    <cellStyle name="Comma 41 2 2 3 2 2 3 2 2 2" xfId="29151" xr:uid="{01A2E1EE-F53E-4E4E-9C30-EFA09F24E5BC}"/>
    <cellStyle name="Comma 41 2 2 3 2 2 3 2 3" xfId="29152" xr:uid="{99284414-9B34-45B1-AABB-CF05197F03B4}"/>
    <cellStyle name="Comma 41 2 2 3 2 2 3 3" xfId="13843" xr:uid="{B9821977-D3BF-4DCF-B740-DE8CAE0B259C}"/>
    <cellStyle name="Comma 41 2 2 3 2 2 3 3 2" xfId="13846" xr:uid="{5B5EE353-52FF-47B1-A83D-BE8C9B901825}"/>
    <cellStyle name="Comma 41 2 2 3 2 2 3 4" xfId="13848" xr:uid="{514C660D-2C77-47C8-9AC1-86E327CD8FA0}"/>
    <cellStyle name="Comma 41 2 2 3 2 2 4" xfId="22968" xr:uid="{3AE5B415-7EE3-45E8-9C2A-74C6D22F1285}"/>
    <cellStyle name="Comma 41 2 2 3 2 2 4 2" xfId="22970" xr:uid="{D90D12ED-A81A-45D1-B839-7BEDE112F271}"/>
    <cellStyle name="Comma 41 2 2 3 2 2 4 2 2" xfId="22972" xr:uid="{5D531FF3-9965-4553-BBD7-0C462C385E19}"/>
    <cellStyle name="Comma 41 2 2 3 2 2 4 3" xfId="13853" xr:uid="{0AA0095B-5949-4ACC-B04C-EC0EB737BB60}"/>
    <cellStyle name="Comma 41 2 2 3 2 2 5" xfId="277" xr:uid="{CEFB710B-B9FA-4AB7-AFA8-0BA4C6E55C89}"/>
    <cellStyle name="Comma 41 2 2 3 2 2 5 2" xfId="120" xr:uid="{6B6D111A-71F2-4BCB-A001-6A8EC0250E00}"/>
    <cellStyle name="Comma 41 2 2 3 2 2 6" xfId="560" xr:uid="{D10EC13B-76DC-4566-8472-C279FEFF18F6}"/>
    <cellStyle name="Comma 41 2 2 3 2 2 7" xfId="577" xr:uid="{595D5ED5-FAAB-48A6-A571-90A6516DF0C7}"/>
    <cellStyle name="Comma 41 2 2 3 2 3" xfId="29153" xr:uid="{5A51FB68-6FCF-49A8-AE33-2E54A91EF854}"/>
    <cellStyle name="Comma 41 2 2 3 2 3 2" xfId="29154" xr:uid="{176D1EA0-EABE-4457-A703-95844BA07153}"/>
    <cellStyle name="Comma 41 2 2 3 2 3 2 2" xfId="29155" xr:uid="{735E19BE-657F-47CB-B97D-CC445E559F83}"/>
    <cellStyle name="Comma 41 2 2 3 2 3 2 2 2" xfId="29156" xr:uid="{15576FF5-183D-4DB5-90A6-1F651457FA48}"/>
    <cellStyle name="Comma 41 2 2 3 2 3 2 2 2 2" xfId="29157" xr:uid="{1D3D7FDA-4B38-406F-B2C4-5F9D79469AEC}"/>
    <cellStyle name="Comma 41 2 2 3 2 3 2 2 3" xfId="29158" xr:uid="{766644A0-33C7-4CAF-9F7D-3A7BD0558391}"/>
    <cellStyle name="Comma 41 2 2 3 2 3 2 3" xfId="13860" xr:uid="{909EBE8D-F5DB-40CE-ACC5-F005E37F1EDD}"/>
    <cellStyle name="Comma 41 2 2 3 2 3 2 3 2" xfId="13863" xr:uid="{EDD3A4A7-F77E-4D1B-8CEC-BE45DB537393}"/>
    <cellStyle name="Comma 41 2 2 3 2 3 2 4" xfId="13865" xr:uid="{5FE60BA6-C878-4D29-B5B0-38893147819E}"/>
    <cellStyle name="Comma 41 2 2 3 2 3 3" xfId="29159" xr:uid="{56809D26-C1C4-49A5-B2A6-870A9EDA5741}"/>
    <cellStyle name="Comma 41 2 2 3 2 3 3 2" xfId="29160" xr:uid="{61577B37-9B5D-4137-9DDB-5678A86DE4AA}"/>
    <cellStyle name="Comma 41 2 2 3 2 3 3 2 2" xfId="29161" xr:uid="{DC6D52E2-6EB4-4D10-AA49-F9A2832BA97F}"/>
    <cellStyle name="Comma 41 2 2 3 2 3 3 3" xfId="13870" xr:uid="{96685F9E-D966-4DF5-9C0E-744EE088891F}"/>
    <cellStyle name="Comma 41 2 2 3 2 3 4" xfId="22975" xr:uid="{2B731F4A-C528-4F31-AFCD-73112FC52D49}"/>
    <cellStyle name="Comma 41 2 2 3 2 3 4 2" xfId="22977" xr:uid="{C80C583F-5717-41C9-8F80-4C57CD8082F6}"/>
    <cellStyle name="Comma 41 2 2 3 2 3 5" xfId="22979" xr:uid="{33EA0D6C-0727-4651-BA0E-DFF48F52BA55}"/>
    <cellStyle name="Comma 41 2 2 3 2 4" xfId="23656" xr:uid="{C160DB00-610D-4CBE-B4CA-B5FD925E6EA6}"/>
    <cellStyle name="Comma 41 2 2 3 2 4 2" xfId="23658" xr:uid="{4A83BCA6-B11A-425C-A9D8-9AE2EB7CEF9B}"/>
    <cellStyle name="Comma 41 2 2 3 2 4 2 2" xfId="23660" xr:uid="{C20AD3F2-547B-426B-9B3C-E049958250D3}"/>
    <cellStyle name="Comma 41 2 2 3 2 4 2 2 2" xfId="23662" xr:uid="{A441292C-D7D6-4ED3-A5ED-B8282AB8F638}"/>
    <cellStyle name="Comma 41 2 2 3 2 4 2 3" xfId="13876" xr:uid="{0A76921A-3130-45D8-8321-275D182DF1BB}"/>
    <cellStyle name="Comma 41 2 2 3 2 4 3" xfId="23664" xr:uid="{6EA09EC7-2FD3-423E-A272-E1A38D54FDE1}"/>
    <cellStyle name="Comma 41 2 2 3 2 4 3 2" xfId="23666" xr:uid="{4AACDE83-7FEC-4693-A96C-A6BCFD19FCB5}"/>
    <cellStyle name="Comma 41 2 2 3 2 4 4" xfId="22987" xr:uid="{2DE6AFC1-5C12-42CB-AD69-6C09363A7183}"/>
    <cellStyle name="Comma 41 2 2 3 2 5" xfId="23668" xr:uid="{AF2385E5-E5F0-4691-9DB6-B55ACAA060AE}"/>
    <cellStyle name="Comma 41 2 2 3 2 5 2" xfId="23670" xr:uid="{971989A4-9F66-49A2-9524-BAE8C5C86AC4}"/>
    <cellStyle name="Comma 41 2 2 3 2 5 2 2" xfId="23672" xr:uid="{10DF3544-B54C-45A6-911A-47454072E455}"/>
    <cellStyle name="Comma 41 2 2 3 2 5 3" xfId="23674" xr:uid="{BAC0205D-15A7-4FC7-B6EB-C6A3915A3096}"/>
    <cellStyle name="Comma 41 2 2 3 2 6" xfId="23676" xr:uid="{3E1D4B74-E3E7-41A4-B911-B8F26C644FE8}"/>
    <cellStyle name="Comma 41 2 2 3 2 6 2" xfId="23678" xr:uid="{9ABADE44-967E-411D-A3BE-5033A521813A}"/>
    <cellStyle name="Comma 41 2 2 3 2 7" xfId="23680" xr:uid="{E22196B7-65C9-4BA2-A8F1-B9D25E1EA8FB}"/>
    <cellStyle name="Comma 41 2 2 3 2 8" xfId="29162" xr:uid="{A5C45398-EEA9-4F7F-BD89-5BD9C77B7DDB}"/>
    <cellStyle name="Comma 41 2 2 3 3" xfId="29164" xr:uid="{AAEA4ACE-E5A3-4774-8C9B-D12DA64A012F}"/>
    <cellStyle name="Comma 41 2 2 3 3 2" xfId="29165" xr:uid="{B3514807-5728-42C1-A0A8-E493B28FFB28}"/>
    <cellStyle name="Comma 41 2 2 3 3 2 2" xfId="29166" xr:uid="{559CA641-E75D-471C-A4AF-EE307C86B5A8}"/>
    <cellStyle name="Comma 41 2 2 3 3 2 2 2" xfId="23341" xr:uid="{116D46D5-B8FF-45C5-808A-C1E499592695}"/>
    <cellStyle name="Comma 41 2 2 3 3 2 2 2 2" xfId="29167" xr:uid="{7C5886C5-CB8E-441D-8A82-25E7D4885ACA}"/>
    <cellStyle name="Comma 41 2 2 3 3 2 2 2 2 2" xfId="29168" xr:uid="{95472451-EB5A-46AA-9181-A246FCF6CCD4}"/>
    <cellStyle name="Comma 41 2 2 3 3 2 2 2 3" xfId="29170" xr:uid="{B4845EE7-95C5-4C70-95DC-2E5E4DC9FBC6}"/>
    <cellStyle name="Comma 41 2 2 3 3 2 2 3" xfId="13891" xr:uid="{FAA35449-FFB4-41A9-A9D1-4D02F25C6645}"/>
    <cellStyle name="Comma 41 2 2 3 3 2 2 3 2" xfId="13894" xr:uid="{2203CC34-A097-4577-94A5-BB217524A39D}"/>
    <cellStyle name="Comma 41 2 2 3 3 2 2 4" xfId="13896" xr:uid="{2FE13553-6755-4321-97B6-E68DC6744510}"/>
    <cellStyle name="Comma 41 2 2 3 3 2 3" xfId="23115" xr:uid="{8DEC9472-2FB1-4ADD-874F-B8DD64C0FB3E}"/>
    <cellStyle name="Comma 41 2 2 3 3 2 3 2" xfId="23117" xr:uid="{5F93A0AD-4A84-4A55-B8E1-CAC0892FACCA}"/>
    <cellStyle name="Comma 41 2 2 3 3 2 3 2 2" xfId="1085" xr:uid="{1783EB50-336F-441F-ABAB-906C9750ADDB}"/>
    <cellStyle name="Comma 41 2 2 3 3 2 3 3" xfId="13901" xr:uid="{8137A53D-56CC-413E-9BB2-558154F55FCB}"/>
    <cellStyle name="Comma 41 2 2 3 3 2 4" xfId="22995" xr:uid="{DAC535EC-8924-4305-BFEA-B877DA59A851}"/>
    <cellStyle name="Comma 41 2 2 3 3 2 4 2" xfId="22998" xr:uid="{56182E11-8DC8-4121-97E0-A8F19A4714F9}"/>
    <cellStyle name="Comma 41 2 2 3 3 2 5" xfId="23000" xr:uid="{3E5C7B31-1508-4D88-87CD-C4AF7A0DE771}"/>
    <cellStyle name="Comma 41 2 2 3 3 3" xfId="29173" xr:uid="{F2D1118C-9142-4632-BBC4-AEF2B11729A9}"/>
    <cellStyle name="Comma 41 2 2 3 3 3 2" xfId="29174" xr:uid="{D68D9E35-2FAE-4A57-805E-99366EE23DF8}"/>
    <cellStyle name="Comma 41 2 2 3 3 3 2 2" xfId="29175" xr:uid="{F16BAF97-CDDE-4450-9C19-03E9312ECD00}"/>
    <cellStyle name="Comma 41 2 2 3 3 3 2 2 2" xfId="29176" xr:uid="{FDD43A70-570C-4B31-9F4F-422357E5DBB5}"/>
    <cellStyle name="Comma 41 2 2 3 3 3 2 3" xfId="13909" xr:uid="{24CA4B7B-CFAF-4F16-9F32-93D055BA4D5F}"/>
    <cellStyle name="Comma 41 2 2 3 3 3 3" xfId="23121" xr:uid="{767C854C-7BF8-4EC7-8BA3-8484894EE045}"/>
    <cellStyle name="Comma 41 2 2 3 3 3 3 2" xfId="29177" xr:uid="{58E0F63E-186A-41CD-9211-2FC2A3DF6D9A}"/>
    <cellStyle name="Comma 41 2 2 3 3 3 4" xfId="23006" xr:uid="{1A6E9657-3511-47B9-8802-9611ABE102FA}"/>
    <cellStyle name="Comma 41 2 2 3 3 4" xfId="23683" xr:uid="{C0569B04-6754-486F-ABBD-BA9EEF0F4500}"/>
    <cellStyle name="Comma 41 2 2 3 3 4 2" xfId="23685" xr:uid="{C4B3E9FB-B225-4A51-B380-0F3F89D91CC6}"/>
    <cellStyle name="Comma 41 2 2 3 3 4 2 2" xfId="23688" xr:uid="{7622AEC0-B7F3-4D63-AAA7-062865FFDC00}"/>
    <cellStyle name="Comma 41 2 2 3 3 4 3" xfId="23691" xr:uid="{774F623F-E3B8-4764-AD36-A9BFB4205E48}"/>
    <cellStyle name="Comma 41 2 2 3 3 5" xfId="23693" xr:uid="{76AFEF5F-12EC-402C-B428-4205B82C4C9C}"/>
    <cellStyle name="Comma 41 2 2 3 3 5 2" xfId="23695" xr:uid="{6BB49B8E-28CB-4189-B161-77F4F975C3C9}"/>
    <cellStyle name="Comma 41 2 2 3 3 6" xfId="23697" xr:uid="{D3C0575D-AE3B-4D46-94CF-7E49D148A52E}"/>
    <cellStyle name="Comma 41 2 2 3 3 7" xfId="29178" xr:uid="{82D69A5D-484E-4C92-BC3A-8459F0561F7E}"/>
    <cellStyle name="Comma 41 2 2 3 4" xfId="11808" xr:uid="{D05C8687-32F4-42E2-9F1F-E78E77C2A33D}"/>
    <cellStyle name="Comma 41 2 2 3 4 2" xfId="29180" xr:uid="{24695516-4322-4249-AD01-958C65397EA8}"/>
    <cellStyle name="Comma 41 2 2 3 4 2 2" xfId="29181" xr:uid="{17FA0132-D6AD-46DD-857B-E95F43661642}"/>
    <cellStyle name="Comma 41 2 2 3 4 2 2 2" xfId="29182" xr:uid="{511F8BA5-1242-40AC-83C8-76429ED79243}"/>
    <cellStyle name="Comma 41 2 2 3 4 2 2 2 2" xfId="2802" xr:uid="{F07AD73B-3125-4102-8163-3FC752215187}"/>
    <cellStyle name="Comma 41 2 2 3 4 2 2 3" xfId="13920" xr:uid="{05EE1760-8D26-49B8-AF7D-EE34CD7C0563}"/>
    <cellStyle name="Comma 41 2 2 3 4 2 3" xfId="23157" xr:uid="{453A69CA-3821-447A-BA59-E09D3833B705}"/>
    <cellStyle name="Comma 41 2 2 3 4 2 3 2" xfId="18297" xr:uid="{EAF9BAC0-9080-45B3-A7E8-D3AF364E3C37}"/>
    <cellStyle name="Comma 41 2 2 3 4 2 4" xfId="23011" xr:uid="{C07B63A1-418B-4D85-B277-E90FBBF3D7C4}"/>
    <cellStyle name="Comma 41 2 2 3 4 3" xfId="29183" xr:uid="{981C2EE4-615A-4BCA-91EA-89779CE166B2}"/>
    <cellStyle name="Comma 41 2 2 3 4 3 2" xfId="29184" xr:uid="{0D78824C-8F8E-4D67-BDC2-E9D24A7F4488}"/>
    <cellStyle name="Comma 41 2 2 3 4 3 2 2" xfId="29185" xr:uid="{281EC6D9-F0C6-45A0-9284-24336209E9E6}"/>
    <cellStyle name="Comma 41 2 2 3 4 3 3" xfId="29186" xr:uid="{E97D264B-EF5B-4FC6-9370-D64E737F7C2A}"/>
    <cellStyle name="Comma 41 2 2 3 4 4" xfId="23702" xr:uid="{38541B15-3241-4CBB-8839-228EEFB1F4E1}"/>
    <cellStyle name="Comma 41 2 2 3 4 4 2" xfId="23704" xr:uid="{E2C1D0EF-AE68-48D4-8FAB-2D90AB950968}"/>
    <cellStyle name="Comma 41 2 2 3 4 5" xfId="23706" xr:uid="{99D64BEB-27AB-4644-8D18-128169D3BCBD}"/>
    <cellStyle name="Comma 41 2 2 3 5" xfId="29187" xr:uid="{8590DD1E-B273-465C-8CFE-5F850A17B75F}"/>
    <cellStyle name="Comma 41 2 2 3 5 2" xfId="29188" xr:uid="{37FC0ACD-96EF-43FA-AFA3-2E099A6AA381}"/>
    <cellStyle name="Comma 41 2 2 3 5 2 2" xfId="29189" xr:uid="{F7F2A4A1-4C17-4AAA-B2FF-04A9DB2FC19F}"/>
    <cellStyle name="Comma 41 2 2 3 5 2 2 2" xfId="29190" xr:uid="{CF324C99-3E16-4CB4-BC7C-15DF619D48D5}"/>
    <cellStyle name="Comma 41 2 2 3 5 2 3" xfId="29191" xr:uid="{F9F55993-9EE6-477F-8F6F-7D70D98F9735}"/>
    <cellStyle name="Comma 41 2 2 3 5 3" xfId="29192" xr:uid="{3BF13E51-8432-4369-B479-572BDF4B03C3}"/>
    <cellStyle name="Comma 41 2 2 3 5 3 2" xfId="29193" xr:uid="{BFDB0F24-F81A-4CEB-82AF-0444321C744F}"/>
    <cellStyle name="Comma 41 2 2 3 5 4" xfId="23709" xr:uid="{44309FFA-F5B4-4E58-A55D-82ABE96BD1A3}"/>
    <cellStyle name="Comma 41 2 2 3 6" xfId="29194" xr:uid="{67A9423E-3DC0-49C1-8672-451534ED649B}"/>
    <cellStyle name="Comma 41 2 2 3 6 2" xfId="26315" xr:uid="{32EA8A40-167F-4B8B-A24F-FA6966F06038}"/>
    <cellStyle name="Comma 41 2 2 3 6 2 2" xfId="26318" xr:uid="{4D03A04D-05C7-409F-AC30-DAF840D38E6B}"/>
    <cellStyle name="Comma 41 2 2 3 6 3" xfId="23822" xr:uid="{2E2D8F0C-ADBF-4ED7-ABF3-B3FACB0EE693}"/>
    <cellStyle name="Comma 41 2 2 3 7" xfId="29195" xr:uid="{555F026A-ABDF-4A44-970F-662B4F178DEF}"/>
    <cellStyle name="Comma 41 2 2 3 7 2" xfId="26347" xr:uid="{C8277C7C-8EED-4F03-872F-4E697AF75E62}"/>
    <cellStyle name="Comma 41 2 2 3 8" xfId="29199" xr:uid="{F03181B8-7AE9-4749-A280-4896603D9782}"/>
    <cellStyle name="Comma 41 2 2 3 9" xfId="29202" xr:uid="{FDA91C7E-56AC-47AA-88DE-543A09E43C29}"/>
    <cellStyle name="Comma 41 2 2 4" xfId="29203" xr:uid="{342FBDB8-994D-40E6-83B4-15124064547E}"/>
    <cellStyle name="Comma 41 2 2 4 2" xfId="29206" xr:uid="{4758860F-8DAB-4B20-BC6C-E32A0CF574CE}"/>
    <cellStyle name="Comma 41 2 2 4 2 2" xfId="29207" xr:uid="{5F2802F1-9701-47B2-84A9-0F8CBDAD6582}"/>
    <cellStyle name="Comma 41 2 2 4 2 2 2" xfId="29208" xr:uid="{15094839-BD35-4100-9BE3-F53334F2A3E3}"/>
    <cellStyle name="Comma 41 2 2 4 2 2 2 2" xfId="29209" xr:uid="{3D898FF6-2359-4705-BBAD-89EEDDFBC9BB}"/>
    <cellStyle name="Comma 41 2 2 4 2 2 2 2 2" xfId="29212" xr:uid="{96338BBF-19AA-429B-B8BC-BAA2D55DD23F}"/>
    <cellStyle name="Comma 41 2 2 4 2 2 2 2 2 2" xfId="29213" xr:uid="{D8F6250E-B4CA-4966-BB6E-CB696D6FCD06}"/>
    <cellStyle name="Comma 41 2 2 4 2 2 2 2 3" xfId="29214" xr:uid="{21AC2771-6B8E-4678-9F55-7D507A2CFE76}"/>
    <cellStyle name="Comma 41 2 2 4 2 2 2 3" xfId="13949" xr:uid="{7EAA7ABB-B000-4070-85E9-195D02E41537}"/>
    <cellStyle name="Comma 41 2 2 4 2 2 2 3 2" xfId="13959" xr:uid="{5AC1C19C-7B21-4495-B9C1-DBEE2F767FC0}"/>
    <cellStyle name="Comma 41 2 2 4 2 2 2 4" xfId="13961" xr:uid="{53484525-A63D-482B-95C8-88269AEB7A07}"/>
    <cellStyle name="Comma 41 2 2 4 2 2 3" xfId="29215" xr:uid="{7F4A1C5C-8655-413C-94A7-7F607F25E940}"/>
    <cellStyle name="Comma 41 2 2 4 2 2 3 2" xfId="5165" xr:uid="{1C720AA2-C5BB-4EAF-8E40-BE4668ABA309}"/>
    <cellStyle name="Comma 41 2 2 4 2 2 3 2 2" xfId="2511" xr:uid="{15E97D92-BFFD-4299-9DDF-BE8FE1EE6AC4}"/>
    <cellStyle name="Comma 41 2 2 4 2 2 3 3" xfId="7659" xr:uid="{D2D08B05-5631-4DAD-8AF6-3EF685E6D4B9}"/>
    <cellStyle name="Comma 41 2 2 4 2 2 4" xfId="23023" xr:uid="{0E5377AF-9C51-42A2-8B5A-ACB8FA8C414E}"/>
    <cellStyle name="Comma 41 2 2 4 2 2 4 2" xfId="7682" xr:uid="{3516FF5D-6C91-418F-B4F9-D99F32D27F48}"/>
    <cellStyle name="Comma 41 2 2 4 2 2 5" xfId="23025" xr:uid="{D4E345F0-701C-44C6-A231-05555D72BA13}"/>
    <cellStyle name="Comma 41 2 2 4 2 3" xfId="29216" xr:uid="{0FC72274-3C6D-4A94-90E0-0B0EC10CA415}"/>
    <cellStyle name="Comma 41 2 2 4 2 3 2" xfId="29217" xr:uid="{C7C68054-2503-4795-A14A-9827F720EF10}"/>
    <cellStyle name="Comma 41 2 2 4 2 3 2 2" xfId="29218" xr:uid="{CFF9907C-3488-4F25-B15C-C14B8053EAD4}"/>
    <cellStyle name="Comma 41 2 2 4 2 3 2 2 2" xfId="22139" xr:uid="{3DDF1465-BE49-431C-BC3E-16D4186E422A}"/>
    <cellStyle name="Comma 41 2 2 4 2 3 2 3" xfId="13977" xr:uid="{EE70F916-7DDE-40C3-982A-E13B5988B396}"/>
    <cellStyle name="Comma 41 2 2 4 2 3 3" xfId="29219" xr:uid="{B0EB3873-C27F-47C0-86E6-F612BD7CA937}"/>
    <cellStyle name="Comma 41 2 2 4 2 3 3 2" xfId="7763" xr:uid="{54FA2A3D-67E2-4284-8D65-DA0B1C5DB43D}"/>
    <cellStyle name="Comma 41 2 2 4 2 3 4" xfId="23029" xr:uid="{36665EC7-EB41-4530-AE1B-9CAC590103A7}"/>
    <cellStyle name="Comma 41 2 2 4 2 4" xfId="4991" xr:uid="{1363803E-39DC-4064-BB74-2547B7452EEF}"/>
    <cellStyle name="Comma 41 2 2 4 2 4 2" xfId="4995" xr:uid="{26C69716-7A7E-42C1-BF0F-81B2CC4F95AE}"/>
    <cellStyle name="Comma 41 2 2 4 2 4 2 2" xfId="4334" xr:uid="{4DF5A3A4-7518-4EC3-AA0B-E080CF83CFF7}"/>
    <cellStyle name="Comma 41 2 2 4 2 4 3" xfId="4999" xr:uid="{132F5648-B180-45B4-9C0D-DE6CB962907F}"/>
    <cellStyle name="Comma 41 2 2 4 2 5" xfId="5006" xr:uid="{A3384B34-3FB8-4E00-A9E0-A88E7BB3066C}"/>
    <cellStyle name="Comma 41 2 2 4 2 5 2" xfId="5010" xr:uid="{461BD0F1-DF51-4840-A009-D1EE7CE6F0B1}"/>
    <cellStyle name="Comma 41 2 2 4 2 6" xfId="5019" xr:uid="{430B642A-4A6A-48F0-8733-69A900EEFA3B}"/>
    <cellStyle name="Comma 41 2 2 4 2 7" xfId="5026" xr:uid="{F4A892C6-2DE2-4352-9069-6B57ACB9D248}"/>
    <cellStyle name="Comma 41 2 2 4 3" xfId="9414" xr:uid="{FFD32932-60DA-4B47-B1B3-F7B4D33B3F9B}"/>
    <cellStyle name="Comma 41 2 2 4 3 2" xfId="9416" xr:uid="{0CB25A09-39C2-4B7A-B2D1-1454637B62DA}"/>
    <cellStyle name="Comma 41 2 2 4 3 2 2" xfId="9418" xr:uid="{5E84E75A-F04C-47E5-A0D5-AAFA94070E11}"/>
    <cellStyle name="Comma 41 2 2 4 3 2 2 2" xfId="9420" xr:uid="{65EB9B83-D16A-4ADE-A452-8CE77FB68982}"/>
    <cellStyle name="Comma 41 2 2 4 3 2 2 2 2" xfId="9422" xr:uid="{03CFB6E5-2506-4E24-8B3E-2614E1BBA52E}"/>
    <cellStyle name="Comma 41 2 2 4 3 2 2 3" xfId="9427" xr:uid="{59DE8370-0A19-4F35-B6DA-CC27B441B462}"/>
    <cellStyle name="Comma 41 2 2 4 3 2 3" xfId="9432" xr:uid="{06ECE3E2-C4E6-4153-9D0B-0643B23240D1}"/>
    <cellStyle name="Comma 41 2 2 4 3 2 3 2" xfId="2269" xr:uid="{A3DB3432-E67A-4998-A68E-DC6B22A01500}"/>
    <cellStyle name="Comma 41 2 2 4 3 2 4" xfId="9438" xr:uid="{8A4EAE25-39CB-46F4-853C-24B1F54B23CB}"/>
    <cellStyle name="Comma 41 2 2 4 3 3" xfId="9443" xr:uid="{10F47F84-DF75-474E-B748-CCFA5B27B6FA}"/>
    <cellStyle name="Comma 41 2 2 4 3 3 2" xfId="9445" xr:uid="{CDBDF7B1-9F4A-481C-8C09-5E046F9FA888}"/>
    <cellStyle name="Comma 41 2 2 4 3 3 2 2" xfId="9447" xr:uid="{02BCD7DF-E476-4E56-B31C-24FC0930727D}"/>
    <cellStyle name="Comma 41 2 2 4 3 3 3" xfId="9451" xr:uid="{D29BBC80-6FA5-4B5E-8AE1-6EF49A765162}"/>
    <cellStyle name="Comma 41 2 2 4 3 4" xfId="5030" xr:uid="{4959E68B-62B4-4550-B305-865FBE0F719B}"/>
    <cellStyle name="Comma 41 2 2 4 3 4 2" xfId="5037" xr:uid="{5740EBF0-7BA1-42E0-A211-C26C87B952B8}"/>
    <cellStyle name="Comma 41 2 2 4 3 5" xfId="3937" xr:uid="{CF0E923B-53CB-4476-9E37-EDD6B18EF9D0}"/>
    <cellStyle name="Comma 41 2 2 4 4" xfId="9460" xr:uid="{B0A36080-3FC8-4304-95FC-9F9533259B69}"/>
    <cellStyle name="Comma 41 2 2 4 4 2" xfId="9462" xr:uid="{6EB993F9-9BE3-4134-9404-8C614CDE5829}"/>
    <cellStyle name="Comma 41 2 2 4 4 2 2" xfId="9464" xr:uid="{4D20A969-F18C-4D25-AF7A-68829522A94B}"/>
    <cellStyle name="Comma 41 2 2 4 4 2 2 2" xfId="9466" xr:uid="{E4A407CA-EFBE-40A9-B1B8-7A121944B866}"/>
    <cellStyle name="Comma 41 2 2 4 4 2 3" xfId="9470" xr:uid="{E41E31E0-88F7-420B-B9B4-CEA5F551193F}"/>
    <cellStyle name="Comma 41 2 2 4 4 3" xfId="9475" xr:uid="{5BCC65E1-1CC0-433A-8A7A-22050F37FEC2}"/>
    <cellStyle name="Comma 41 2 2 4 4 3 2" xfId="9477" xr:uid="{EE311653-BB6B-4440-950B-1AFEFDF40EFA}"/>
    <cellStyle name="Comma 41 2 2 4 4 4" xfId="5046" xr:uid="{CEC117E1-2527-4AB7-8CA7-8E3BEB5650CB}"/>
    <cellStyle name="Comma 41 2 2 4 5" xfId="9483" xr:uid="{4E455912-74A1-4F57-9B60-2D3482E61901}"/>
    <cellStyle name="Comma 41 2 2 4 5 2" xfId="9485" xr:uid="{B94FC434-1237-4196-AB80-8FCFB35348DF}"/>
    <cellStyle name="Comma 41 2 2 4 5 2 2" xfId="9489" xr:uid="{3E57901D-82D7-4007-A82E-74E26AF63B54}"/>
    <cellStyle name="Comma 41 2 2 4 5 3" xfId="9495" xr:uid="{A86D2771-96F4-4DA6-BFAD-AFB5569E7518}"/>
    <cellStyle name="Comma 41 2 2 4 6" xfId="9502" xr:uid="{8965769C-E083-4EC2-93D8-06A24CCB0D20}"/>
    <cellStyle name="Comma 41 2 2 4 6 2" xfId="9505" xr:uid="{27F1AC0B-92F4-401C-8677-76B84C618A11}"/>
    <cellStyle name="Comma 41 2 2 4 7" xfId="9519" xr:uid="{2D24617F-0265-4B77-87BE-3E1A2BC8CC11}"/>
    <cellStyle name="Comma 41 2 2 4 8" xfId="9531" xr:uid="{B976CC22-EE74-4F3F-9C2B-450814181C75}"/>
    <cellStyle name="Comma 41 2 2 5" xfId="29220" xr:uid="{0D3BD7E5-7345-4A89-9543-E7FD33A895B2}"/>
    <cellStyle name="Comma 41 2 2 5 2" xfId="29221" xr:uid="{C45E1C6D-28C8-4458-B8E9-DEC214660659}"/>
    <cellStyle name="Comma 41 2 2 5 2 2" xfId="29223" xr:uid="{9ADE894B-6878-4247-899C-11BB012BFEB4}"/>
    <cellStyle name="Comma 41 2 2 5 2 2 2" xfId="29224" xr:uid="{C1F28A02-F278-4F27-9DCB-F0E29255AF02}"/>
    <cellStyle name="Comma 41 2 2 5 2 2 2 2" xfId="29225" xr:uid="{933B922A-DE63-4514-ACE6-477A172F2B31}"/>
    <cellStyle name="Comma 41 2 2 5 2 2 2 2 2" xfId="6075" xr:uid="{B84E9580-B60B-4EB9-9A53-8DBAF242A065}"/>
    <cellStyle name="Comma 41 2 2 5 2 2 2 3" xfId="14041" xr:uid="{3BFB0281-A552-4819-9BF6-00DDE1D093FA}"/>
    <cellStyle name="Comma 41 2 2 5 2 2 3" xfId="29226" xr:uid="{A6BB162E-55CB-4C58-84F0-53A1D0147302}"/>
    <cellStyle name="Comma 41 2 2 5 2 2 3 2" xfId="8073" xr:uid="{9560A625-CE36-4501-A846-D5CC6FB5AA03}"/>
    <cellStyle name="Comma 41 2 2 5 2 2 4" xfId="23044" xr:uid="{96EC9B8C-BD35-49DE-988E-6A75B5D47E11}"/>
    <cellStyle name="Comma 41 2 2 5 2 3" xfId="29228" xr:uid="{E84C94ED-9201-4BFE-BB15-8A6E22AB4B9B}"/>
    <cellStyle name="Comma 41 2 2 5 2 3 2" xfId="29229" xr:uid="{0E80E313-8450-4EB2-BF4A-F4610F977392}"/>
    <cellStyle name="Comma 41 2 2 5 2 3 2 2" xfId="29230" xr:uid="{E423CA14-999B-4B63-B1CB-7E533976246A}"/>
    <cellStyle name="Comma 41 2 2 5 2 3 3" xfId="29232" xr:uid="{B917E857-7CA5-4B2C-9E1A-4D200884D3AA}"/>
    <cellStyle name="Comma 41 2 2 5 2 4" xfId="5101" xr:uid="{FF1DF14D-C122-4860-8F0D-966F2F0DF128}"/>
    <cellStyle name="Comma 41 2 2 5 2 4 2" xfId="3721" xr:uid="{6709759B-4832-4795-9678-82F7FE20B29B}"/>
    <cellStyle name="Comma 41 2 2 5 2 5" xfId="5107" xr:uid="{69C67FED-27A0-4156-8987-8E84BDFA4B23}"/>
    <cellStyle name="Comma 41 2 2 5 3" xfId="9538" xr:uid="{E398B835-6FA4-408C-A778-B0AC617F236C}"/>
    <cellStyle name="Comma 41 2 2 5 3 2" xfId="9541" xr:uid="{C182104E-8C03-44C4-BD79-D88FC2B8CD4C}"/>
    <cellStyle name="Comma 41 2 2 5 3 2 2" xfId="9544" xr:uid="{D46174C4-453B-4CA4-B21C-F4654FF52F82}"/>
    <cellStyle name="Comma 41 2 2 5 3 2 2 2" xfId="9546" xr:uid="{CBFA4F5E-DC66-4E8C-899E-170757C12045}"/>
    <cellStyle name="Comma 41 2 2 5 3 2 3" xfId="9552" xr:uid="{6B9AEF3D-EA65-4B1F-AC52-5C1EA52834E5}"/>
    <cellStyle name="Comma 41 2 2 5 3 3" xfId="9558" xr:uid="{36045BC6-6EBE-4E7B-9440-ED1B9BE8A676}"/>
    <cellStyle name="Comma 41 2 2 5 3 3 2" xfId="9560" xr:uid="{CED05AF3-B4B1-4C70-B3EE-9481007C3122}"/>
    <cellStyle name="Comma 41 2 2 5 3 4" xfId="5117" xr:uid="{B1535776-2713-4B92-85EC-B7B4B6236B64}"/>
    <cellStyle name="Comma 41 2 2 5 4" xfId="9565" xr:uid="{3A85AD63-765C-4CF9-911B-7B00B0819786}"/>
    <cellStyle name="Comma 41 2 2 5 4 2" xfId="9567" xr:uid="{01019CE3-3E11-4CBB-8107-ADBDE7D10712}"/>
    <cellStyle name="Comma 41 2 2 5 4 2 2" xfId="9570" xr:uid="{3D98E3E9-B33A-4B0B-84E1-F12C3C9E6AC5}"/>
    <cellStyle name="Comma 41 2 2 5 4 3" xfId="9574" xr:uid="{2BFD0511-A49E-4DF5-8631-0E64D022420B}"/>
    <cellStyle name="Comma 41 2 2 5 5" xfId="9577" xr:uid="{52D4CA63-A025-4CE6-8903-6069F4EC4ED9}"/>
    <cellStyle name="Comma 41 2 2 5 5 2" xfId="9579" xr:uid="{B0E5BC61-E158-4189-8B14-53E1A8C10F3D}"/>
    <cellStyle name="Comma 41 2 2 5 6" xfId="9585" xr:uid="{577745F8-D411-4055-B473-3EF69475E143}"/>
    <cellStyle name="Comma 41 2 2 5 7" xfId="9592" xr:uid="{1730D65E-CCA7-4187-91E8-BF72A39EC741}"/>
    <cellStyle name="Comma 41 2 2 6" xfId="29236" xr:uid="{F70AE874-F085-4E88-879D-1DF7E43304F0}"/>
    <cellStyle name="Comma 41 2 2 6 2" xfId="29237" xr:uid="{A09DBA7E-F4A8-4FB0-973C-D2BDE47884AF}"/>
    <cellStyle name="Comma 41 2 2 6 2 2" xfId="12124" xr:uid="{21F378A1-7FF1-4726-B758-554846191B90}"/>
    <cellStyle name="Comma 41 2 2 6 2 2 2" xfId="18363" xr:uid="{029D8D41-0A66-4D2C-B065-0D0228FFE4E3}"/>
    <cellStyle name="Comma 41 2 2 6 2 2 2 2" xfId="29238" xr:uid="{D2037A86-BF91-4943-B06E-B80243D8D4F7}"/>
    <cellStyle name="Comma 41 2 2 6 2 2 3" xfId="18369" xr:uid="{015313DF-BB82-4387-8CF0-E2C06FD96D8F}"/>
    <cellStyle name="Comma 41 2 2 6 2 3" xfId="12125" xr:uid="{2E4A2449-FC43-4A49-B462-AECE0085A0AD}"/>
    <cellStyle name="Comma 41 2 2 6 2 3 2" xfId="29239" xr:uid="{3AAB26B1-8F54-4F8B-932E-B4F9950F7FE5}"/>
    <cellStyle name="Comma 41 2 2 6 2 4" xfId="5173" xr:uid="{C9EE9CE2-0F78-4055-83E3-A37E815CE7B6}"/>
    <cellStyle name="Comma 41 2 2 6 3" xfId="9599" xr:uid="{EAA4FCC4-1D4C-4654-A405-70148D677147}"/>
    <cellStyle name="Comma 41 2 2 6 3 2" xfId="9601" xr:uid="{F2114E39-3535-4B05-887A-E89A550A7B7D}"/>
    <cellStyle name="Comma 41 2 2 6 3 2 2" xfId="4805" xr:uid="{029325A7-4D2B-4E3C-9F3E-EC202325204D}"/>
    <cellStyle name="Comma 41 2 2 6 3 3" xfId="9604" xr:uid="{621EC6F7-B1B7-41C3-8FD7-24661325BAF4}"/>
    <cellStyle name="Comma 41 2 2 6 4" xfId="9606" xr:uid="{D599F687-C2BE-4B12-B9C3-4D1888A3324A}"/>
    <cellStyle name="Comma 41 2 2 6 4 2" xfId="9608" xr:uid="{240C3C8E-DA15-4EDC-9016-34FC4EDAAF59}"/>
    <cellStyle name="Comma 41 2 2 6 5" xfId="9611" xr:uid="{15E01CF9-F063-4BDB-8D33-9BDE4E45307E}"/>
    <cellStyle name="Comma 41 2 2 7" xfId="29240" xr:uid="{211B9F78-D18D-4C0C-BBFF-D3C555750363}"/>
    <cellStyle name="Comma 41 2 2 7 2" xfId="29241" xr:uid="{7BD966B9-4EE8-412C-894C-845F382DB523}"/>
    <cellStyle name="Comma 41 2 2 7 2 2" xfId="28459" xr:uid="{F30B1561-6551-4255-8366-46517ED893B4}"/>
    <cellStyle name="Comma 41 2 2 7 2 2 2" xfId="28460" xr:uid="{F5C635C5-5490-48E8-B32A-E5D3C757B8CD}"/>
    <cellStyle name="Comma 41 2 2 7 2 3" xfId="28465" xr:uid="{677E40E4-2B52-4AE6-9CB4-FED9549F6603}"/>
    <cellStyle name="Comma 41 2 2 7 3" xfId="9618" xr:uid="{4027197B-AFF2-4C2D-8673-ADD914C05C93}"/>
    <cellStyle name="Comma 41 2 2 7 3 2" xfId="9620" xr:uid="{68A59FF6-12DC-4DDF-9C6C-E22B6B414580}"/>
    <cellStyle name="Comma 41 2 2 7 4" xfId="9635" xr:uid="{5BF2FC8C-8AE1-45C4-BF9C-80CBDA2DE912}"/>
    <cellStyle name="Comma 41 2 2 8" xfId="29242" xr:uid="{C5AB790D-E11C-41FA-8C72-9864FB7AE511}"/>
    <cellStyle name="Comma 41 2 2 8 2" xfId="29243" xr:uid="{8B1B50F9-DC75-402B-8C05-99A29914DE11}"/>
    <cellStyle name="Comma 41 2 2 8 2 2" xfId="28564" xr:uid="{FD5729DA-CA99-417A-AB17-A58947A52C2C}"/>
    <cellStyle name="Comma 41 2 2 8 3" xfId="9650" xr:uid="{405CF9BD-40E1-4943-A127-66D75AFB4A4B}"/>
    <cellStyle name="Comma 41 2 2 9" xfId="29249" xr:uid="{9F2BE9E2-C9BA-44B2-B789-51EF94CB6AC6}"/>
    <cellStyle name="Comma 41 2 2 9 2" xfId="29258" xr:uid="{32A0D26F-771D-4F98-9285-4694E1F819F9}"/>
    <cellStyle name="Comma 41 2 3" xfId="29260" xr:uid="{552D2743-5874-41FF-AFED-6A6681C16B16}"/>
    <cellStyle name="Comma 41 2 3 10" xfId="29261" xr:uid="{157010DC-5D02-484D-AEE0-28A494C284B4}"/>
    <cellStyle name="Comma 41 2 3 2" xfId="29262" xr:uid="{F24B2BED-BD13-4E50-B02D-43A50AF28566}"/>
    <cellStyle name="Comma 41 2 3 2 2" xfId="29263" xr:uid="{44920FBC-6458-4775-AB12-3129C3A47818}"/>
    <cellStyle name="Comma 41 2 3 2 2 2" xfId="29264" xr:uid="{A5DBB783-72AC-4B55-B92A-0B56F0505EB7}"/>
    <cellStyle name="Comma 41 2 3 2 2 2 2" xfId="29265" xr:uid="{5BF59CCF-ED2F-40E6-AA88-6C90DCE11AA1}"/>
    <cellStyle name="Comma 41 2 3 2 2 2 2 2" xfId="29266" xr:uid="{7E963A7C-CE99-4B78-9578-FE163E7ED800}"/>
    <cellStyle name="Comma 41 2 3 2 2 2 2 2 2" xfId="29267" xr:uid="{80BA774D-37C5-48DB-92CE-08734CA6CD9C}"/>
    <cellStyle name="Comma 41 2 3 2 2 2 2 2 2 2" xfId="29268" xr:uid="{B0AA0BF7-FAA9-4012-903E-37A3187DAB7E}"/>
    <cellStyle name="Comma 41 2 3 2 2 2 2 2 2 2 2" xfId="23643" xr:uid="{367272F3-EC4E-4F87-85CF-7F0DFE649AAF}"/>
    <cellStyle name="Comma 41 2 3 2 2 2 2 2 2 3" xfId="29269" xr:uid="{A564E5BE-2817-488A-9D77-69639D5EA933}"/>
    <cellStyle name="Comma 41 2 3 2 2 2 2 2 3" xfId="553" xr:uid="{44323512-10C9-4098-BCD5-FC30A609A598}"/>
    <cellStyle name="Comma 41 2 3 2 2 2 2 2 3 2" xfId="650" xr:uid="{EDB23F0C-0991-41C4-8F83-13520504F5D8}"/>
    <cellStyle name="Comma 41 2 3 2 2 2 2 2 4" xfId="672" xr:uid="{FD567EF6-C0AF-4E83-9B4F-AA59B50744D2}"/>
    <cellStyle name="Comma 41 2 3 2 2 2 2 3" xfId="15514" xr:uid="{4A36F763-52C5-45BF-95BA-110A9ABB62E8}"/>
    <cellStyle name="Comma 41 2 3 2 2 2 2 3 2" xfId="15517" xr:uid="{EFBA3C57-E51D-445E-8AEE-CBEEE08BB3DC}"/>
    <cellStyle name="Comma 41 2 3 2 2 2 2 3 2 2" xfId="15519" xr:uid="{834EFFC3-8F13-4C2C-A814-5D59C45E2784}"/>
    <cellStyle name="Comma 41 2 3 2 2 2 2 3 3" xfId="698" xr:uid="{E6201E1B-55E7-43F7-86F1-35D7689A6FEE}"/>
    <cellStyle name="Comma 41 2 3 2 2 2 2 4" xfId="15521" xr:uid="{7EC5EBBD-F3F0-4FE5-8D9F-3032AA817895}"/>
    <cellStyle name="Comma 41 2 3 2 2 2 2 4 2" xfId="15523" xr:uid="{98F6D636-06B2-4D36-A205-E56442681EC5}"/>
    <cellStyle name="Comma 41 2 3 2 2 2 2 5" xfId="15525" xr:uid="{C8B06E36-DB3A-41E1-9BD5-28076DB27473}"/>
    <cellStyle name="Comma 41 2 3 2 2 2 3" xfId="14885" xr:uid="{A2C745A2-3DC1-412F-B5CD-AEA97B9466C1}"/>
    <cellStyle name="Comma 41 2 3 2 2 2 3 2" xfId="29270" xr:uid="{3AECB7EC-9C6F-4F23-BF67-1A8FCA917FED}"/>
    <cellStyle name="Comma 41 2 3 2 2 2 3 2 2" xfId="19467" xr:uid="{627D7BF8-9B75-4B1C-B154-1A0B3A5E8CCF}"/>
    <cellStyle name="Comma 41 2 3 2 2 2 3 2 2 2" xfId="19469" xr:uid="{7A259E3F-0A23-4486-8EF4-A0788084EF9A}"/>
    <cellStyle name="Comma 41 2 3 2 2 2 3 2 3" xfId="19472" xr:uid="{BEF1EAE0-599D-443E-8FD0-82E5AF207083}"/>
    <cellStyle name="Comma 41 2 3 2 2 2 3 3" xfId="15529" xr:uid="{8BA530C5-7140-4A76-BB19-423DA448E43B}"/>
    <cellStyle name="Comma 41 2 3 2 2 2 3 3 2" xfId="15531" xr:uid="{78CE6162-CE3E-4140-8966-23BC72A56B91}"/>
    <cellStyle name="Comma 41 2 3 2 2 2 3 4" xfId="15533" xr:uid="{74E4199F-2F6D-40F8-B3FA-3B18D09C9950}"/>
    <cellStyle name="Comma 41 2 3 2 2 2 4" xfId="23066" xr:uid="{A058485D-028C-43B7-A8A9-60D49667E2F2}"/>
    <cellStyle name="Comma 41 2 3 2 2 2 4 2" xfId="23068" xr:uid="{8E17183E-3A63-4939-9EC0-3EF824F8A524}"/>
    <cellStyle name="Comma 41 2 3 2 2 2 4 2 2" xfId="23070" xr:uid="{55E27CF8-5BC7-420F-A8D8-1750F25F9563}"/>
    <cellStyle name="Comma 41 2 3 2 2 2 4 3" xfId="15536" xr:uid="{3A949618-A00C-4595-AC9B-7CDEFB8ED2FF}"/>
    <cellStyle name="Comma 41 2 3 2 2 2 5" xfId="23077" xr:uid="{40365556-270F-4FC7-9C04-C3129AE011CC}"/>
    <cellStyle name="Comma 41 2 3 2 2 2 5 2" xfId="23080" xr:uid="{69CEBC3D-2EB8-43CA-A250-8B0F57864853}"/>
    <cellStyle name="Comma 41 2 3 2 2 2 6" xfId="23085" xr:uid="{38806A77-7C19-488F-A72B-E40F1E96047E}"/>
    <cellStyle name="Comma 41 2 3 2 2 2 7" xfId="29272" xr:uid="{BAA53625-A4E7-49EB-A062-6D89AEB6224C}"/>
    <cellStyle name="Comma 41 2 3 2 2 3" xfId="9336" xr:uid="{21F0B6F7-4616-466A-9C74-D775E71F4083}"/>
    <cellStyle name="Comma 41 2 3 2 2 3 2" xfId="9338" xr:uid="{C2784B27-4B44-46E7-94CA-7DC529137D3C}"/>
    <cellStyle name="Comma 41 2 3 2 2 3 2 2" xfId="9340" xr:uid="{F16D106E-2408-4DC0-8833-06B10E6F7242}"/>
    <cellStyle name="Comma 41 2 3 2 2 3 2 2 2" xfId="9344" xr:uid="{1173EC1B-683E-4889-83AB-AC24380BAE61}"/>
    <cellStyle name="Comma 41 2 3 2 2 3 2 2 2 2" xfId="29274" xr:uid="{57212483-CE1D-4D8D-A0B9-E68C0CD0AD10}"/>
    <cellStyle name="Comma 41 2 3 2 2 3 2 2 3" xfId="29276" xr:uid="{D5CB1CF2-0FCF-4DF5-A152-1191D59C72B2}"/>
    <cellStyle name="Comma 41 2 3 2 2 3 2 3" xfId="9345" xr:uid="{6A53C087-45C0-42F7-A4CA-62F4C483A952}"/>
    <cellStyle name="Comma 41 2 3 2 2 3 2 3 2" xfId="15544" xr:uid="{0FCCD70B-CC57-4863-A310-DA47D431DCB5}"/>
    <cellStyle name="Comma 41 2 3 2 2 3 2 4" xfId="15546" xr:uid="{DE62FBD2-2B6E-456D-9FEA-45BE42BEDA0C}"/>
    <cellStyle name="Comma 41 2 3 2 2 3 3" xfId="9348" xr:uid="{2D4DEC9E-E005-4026-8EB4-283EDF8CE696}"/>
    <cellStyle name="Comma 41 2 3 2 2 3 3 2" xfId="9351" xr:uid="{994BD885-FA06-4C82-9E31-D815E0A2A523}"/>
    <cellStyle name="Comma 41 2 3 2 2 3 3 2 2" xfId="28277" xr:uid="{F30F8655-E45D-404D-A5B2-D4C976484F28}"/>
    <cellStyle name="Comma 41 2 3 2 2 3 3 3" xfId="15549" xr:uid="{1898D931-3A07-4F85-B641-ED6DB13885B4}"/>
    <cellStyle name="Comma 41 2 3 2 2 3 4" xfId="9353" xr:uid="{C6BDF689-E2CA-4EC5-A2A0-709A40510DC0}"/>
    <cellStyle name="Comma 41 2 3 2 2 3 4 2" xfId="23089" xr:uid="{FE651027-9688-4A13-B3AB-958D000E897F}"/>
    <cellStyle name="Comma 41 2 3 2 2 3 5" xfId="23091" xr:uid="{F7ACF89D-4B40-4F06-A7F3-8EF7AB3F6530}"/>
    <cellStyle name="Comma 41 2 3 2 2 4" xfId="9356" xr:uid="{063F542E-2C42-41B7-9EF3-C70577054DAC}"/>
    <cellStyle name="Comma 41 2 3 2 2 4 2" xfId="9358" xr:uid="{8DE802C2-9F04-4C59-BA4F-6CD7609F2C01}"/>
    <cellStyle name="Comma 41 2 3 2 2 4 2 2" xfId="9362" xr:uid="{3E971220-9BF8-483B-A05B-FBAFBC39791C}"/>
    <cellStyle name="Comma 41 2 3 2 2 4 2 2 2" xfId="29277" xr:uid="{37E1F71E-363B-46C7-BF84-8EE3BDB017BD}"/>
    <cellStyle name="Comma 41 2 3 2 2 4 2 3" xfId="15554" xr:uid="{667B84F4-9214-4968-ABF3-5BCB89152F79}"/>
    <cellStyle name="Comma 41 2 3 2 2 4 3" xfId="9364" xr:uid="{896CC8A0-571C-4096-81ED-A0D0B952A924}"/>
    <cellStyle name="Comma 41 2 3 2 2 4 3 2" xfId="29278" xr:uid="{7DE9EA0B-33FE-4647-BABD-BF1C4CABCAD6}"/>
    <cellStyle name="Comma 41 2 3 2 2 4 4" xfId="19228" xr:uid="{88DA9E2C-9F8A-438F-AAE8-64D8FDA1F66C}"/>
    <cellStyle name="Comma 41 2 3 2 2 5" xfId="9368" xr:uid="{74A02D03-4B73-489E-80CD-FE5BA8DADFBD}"/>
    <cellStyle name="Comma 41 2 3 2 2 5 2" xfId="9370" xr:uid="{D40B5BE1-2FE1-4141-BAD3-6B623EAC7BFF}"/>
    <cellStyle name="Comma 41 2 3 2 2 5 2 2" xfId="29279" xr:uid="{027902BF-2E0D-4A59-9D3C-3D14225CD32F}"/>
    <cellStyle name="Comma 41 2 3 2 2 5 3" xfId="19279" xr:uid="{D288F3CB-E765-4001-8494-70BD64D0688C}"/>
    <cellStyle name="Comma 41 2 3 2 2 6" xfId="9373" xr:uid="{D4AAC13B-9583-4DE5-992F-437236B2291F}"/>
    <cellStyle name="Comma 41 2 3 2 2 6 2" xfId="29280" xr:uid="{8D2854A3-65FA-41B5-AF6D-8CA66BBE20D8}"/>
    <cellStyle name="Comma 41 2 3 2 2 7" xfId="15869" xr:uid="{F71BC4C5-40A1-4CA0-8267-B2BC063EAD3E}"/>
    <cellStyle name="Comma 41 2 3 2 2 8" xfId="15874" xr:uid="{39FB4883-119A-40FC-A357-52264D63A683}"/>
    <cellStyle name="Comma 41 2 3 2 3" xfId="29281" xr:uid="{09C2E6CC-3FF0-48CC-9BAC-20E43F4F045C}"/>
    <cellStyle name="Comma 41 2 3 2 3 2" xfId="29282" xr:uid="{D4C87E41-5B1D-4C8A-B00B-884537D6B7B8}"/>
    <cellStyle name="Comma 41 2 3 2 3 2 2" xfId="29283" xr:uid="{216EACB6-945A-4E0C-8780-0851E83A7430}"/>
    <cellStyle name="Comma 41 2 3 2 3 2 2 2" xfId="4112" xr:uid="{49EF995E-F7D9-4E20-8EC5-6E49953F0FCE}"/>
    <cellStyle name="Comma 41 2 3 2 3 2 2 2 2" xfId="4117" xr:uid="{E9C09FCA-6E6A-4C57-92D0-FEB8E10C9CC4}"/>
    <cellStyle name="Comma 41 2 3 2 3 2 2 2 2 2" xfId="29284" xr:uid="{FE2691A9-010F-4C5D-93AC-6B1A296AF472}"/>
    <cellStyle name="Comma 41 2 3 2 3 2 2 2 3" xfId="21437" xr:uid="{06F4EA79-4E99-4240-985C-2F9C0F1B783E}"/>
    <cellStyle name="Comma 41 2 3 2 3 2 2 3" xfId="4122" xr:uid="{B32F7745-0272-4050-BA1E-B19B3798C0C4}"/>
    <cellStyle name="Comma 41 2 3 2 3 2 2 3 2" xfId="12073" xr:uid="{88C7E501-9433-4278-AE26-3421082BD7E5}"/>
    <cellStyle name="Comma 41 2 3 2 3 2 2 4" xfId="15572" xr:uid="{C3667DF8-88D4-43FB-ADDC-BB0350947E6F}"/>
    <cellStyle name="Comma 41 2 3 2 3 2 3" xfId="23312" xr:uid="{E6483053-7100-4815-8E6D-ADF42CBD3EAB}"/>
    <cellStyle name="Comma 41 2 3 2 3 2 3 2" xfId="4129" xr:uid="{8A06FE4A-0B6E-4F7D-A13B-A72225458464}"/>
    <cellStyle name="Comma 41 2 3 2 3 2 3 2 2" xfId="29285" xr:uid="{4722885E-E6A0-411B-A8BB-3C96BDCFD883}"/>
    <cellStyle name="Comma 41 2 3 2 3 2 3 3" xfId="15576" xr:uid="{EBAC44A2-8E65-4560-8288-2CC8C4271013}"/>
    <cellStyle name="Comma 41 2 3 2 3 2 4" xfId="23102" xr:uid="{346D9134-B445-4748-9DAB-05A8B905D3A4}"/>
    <cellStyle name="Comma 41 2 3 2 3 2 4 2" xfId="902" xr:uid="{2BB8AD95-9C6C-4267-BD97-02F18CC6C847}"/>
    <cellStyle name="Comma 41 2 3 2 3 2 5" xfId="23105" xr:uid="{BC9A5607-87AE-4524-A9B5-68043C58F6B8}"/>
    <cellStyle name="Comma 41 2 3 2 3 3" xfId="9376" xr:uid="{8B638AA0-F0D1-4393-B20D-C0373B206D21}"/>
    <cellStyle name="Comma 41 2 3 2 3 3 2" xfId="9378" xr:uid="{7E1533D8-AF8E-4455-BA73-C805DE2CB5E0}"/>
    <cellStyle name="Comma 41 2 3 2 3 3 2 2" xfId="4147" xr:uid="{DDF2FF06-A151-4B84-8039-9277D7F2CF97}"/>
    <cellStyle name="Comma 41 2 3 2 3 3 2 2 2" xfId="13003" xr:uid="{38739621-C104-4776-B59E-151DA24B54D0}"/>
    <cellStyle name="Comma 41 2 3 2 3 3 2 3" xfId="15583" xr:uid="{0E1BE02D-5E9E-459D-A0B2-CE6226C88E23}"/>
    <cellStyle name="Comma 41 2 3 2 3 3 3" xfId="9381" xr:uid="{D7E00D06-B927-4310-843D-CA1676414230}"/>
    <cellStyle name="Comma 41 2 3 2 3 3 3 2" xfId="29286" xr:uid="{3B7F6404-3BE3-4C48-9662-83E74F63AB80}"/>
    <cellStyle name="Comma 41 2 3 2 3 3 4" xfId="23109" xr:uid="{DEE49A3C-5E7C-4A00-A956-CF1348ECE857}"/>
    <cellStyle name="Comma 41 2 3 2 3 4" xfId="9385" xr:uid="{F9E27ACC-70D1-44E9-99CC-8B4A0D23BAE1}"/>
    <cellStyle name="Comma 41 2 3 2 3 4 2" xfId="9387" xr:uid="{AC88E995-12B6-469B-AAC1-9CF659422E5B}"/>
    <cellStyle name="Comma 41 2 3 2 3 4 2 2" xfId="26732" xr:uid="{8F649F73-2725-496B-A9D7-9E2E5E3BC376}"/>
    <cellStyle name="Comma 41 2 3 2 3 4 3" xfId="29287" xr:uid="{88BD538D-C89D-4081-9E2E-143414DC5034}"/>
    <cellStyle name="Comma 41 2 3 2 3 5" xfId="9390" xr:uid="{83181717-15E5-4934-89D5-8D0EE85DECD6}"/>
    <cellStyle name="Comma 41 2 3 2 3 5 2" xfId="29288" xr:uid="{57B223B1-9B3F-4822-827A-6727615F3BC4}"/>
    <cellStyle name="Comma 41 2 3 2 3 6" xfId="29289" xr:uid="{FBE000BA-BC68-4856-A356-D3669C93382E}"/>
    <cellStyle name="Comma 41 2 3 2 3 7" xfId="15879" xr:uid="{38160603-AD43-41B9-9618-ED0B05BC27D6}"/>
    <cellStyle name="Comma 41 2 3 2 4" xfId="29290" xr:uid="{39A9A8BA-5B9C-4825-8255-41252BD34603}"/>
    <cellStyle name="Comma 41 2 3 2 4 2" xfId="29291" xr:uid="{E51C189A-5C01-43A0-92E8-CE58CCCCB1D4}"/>
    <cellStyle name="Comma 41 2 3 2 4 2 2" xfId="29292" xr:uid="{FEC8FAFC-3EEF-4DFC-92AE-DE9AD55154A6}"/>
    <cellStyle name="Comma 41 2 3 2 4 2 2 2" xfId="4172" xr:uid="{3FD2B544-8866-4715-B2E5-34E3BAB2FD6F}"/>
    <cellStyle name="Comma 41 2 3 2 4 2 2 2 2" xfId="29293" xr:uid="{DF42B529-E859-4444-8917-E4199CE9E1BB}"/>
    <cellStyle name="Comma 41 2 3 2 4 2 2 3" xfId="15597" xr:uid="{CBDB1C52-9B42-4B98-B0E7-5C037B2FFC86}"/>
    <cellStyle name="Comma 41 2 3 2 4 2 3" xfId="23346" xr:uid="{9A19BC84-C560-4A44-93F0-CF536EE2CC6E}"/>
    <cellStyle name="Comma 41 2 3 2 4 2 3 2" xfId="29294" xr:uid="{9504BE4B-C439-422B-9DCA-D364830A2675}"/>
    <cellStyle name="Comma 41 2 3 2 4 2 4" xfId="23118" xr:uid="{F6435941-77FE-4B70-B0E7-D9A1CA0FD5EF}"/>
    <cellStyle name="Comma 41 2 3 2 4 3" xfId="9394" xr:uid="{DDC57CFC-9CBA-4D37-9369-26AE8A92F797}"/>
    <cellStyle name="Comma 41 2 3 2 4 3 2" xfId="9396" xr:uid="{0B4950CB-79A3-47F0-911E-4B8AC68FA595}"/>
    <cellStyle name="Comma 41 2 3 2 4 3 2 2" xfId="29297" xr:uid="{575545E4-5C5B-4DF1-BACF-ABEF289FCEA1}"/>
    <cellStyle name="Comma 41 2 3 2 4 3 3" xfId="29299" xr:uid="{CD7BDE4F-5026-4B5A-A23B-062881436E22}"/>
    <cellStyle name="Comma 41 2 3 2 4 4" xfId="9399" xr:uid="{8B9D75C7-741C-4BBD-8EF0-00C5BD8A6AC2}"/>
    <cellStyle name="Comma 41 2 3 2 4 4 2" xfId="29300" xr:uid="{18A508D1-A0F2-4C8C-87B2-0868AD9D429E}"/>
    <cellStyle name="Comma 41 2 3 2 4 5" xfId="29301" xr:uid="{D08B2F38-1293-4648-9132-9061AB927614}"/>
    <cellStyle name="Comma 41 2 3 2 5" xfId="29302" xr:uid="{D3E4EFC5-890E-4C96-8A32-C8B5B8779B31}"/>
    <cellStyle name="Comma 41 2 3 2 5 2" xfId="29303" xr:uid="{6BBE52AC-1F48-4F92-8913-E6B1CCD5B9AB}"/>
    <cellStyle name="Comma 41 2 3 2 5 2 2" xfId="29304" xr:uid="{9E2368DF-175D-4DFD-B5E6-B9DDDC4194F2}"/>
    <cellStyle name="Comma 41 2 3 2 5 2 2 2" xfId="29305" xr:uid="{CA506D32-296F-404B-9D02-1180F03176DA}"/>
    <cellStyle name="Comma 41 2 3 2 5 2 3" xfId="29306" xr:uid="{D864A14B-B7DB-40FA-A409-14A64F2D1F03}"/>
    <cellStyle name="Comma 41 2 3 2 5 3" xfId="9402" xr:uid="{7832D6B9-F8C8-4F06-8E88-5EADA28B4C49}"/>
    <cellStyle name="Comma 41 2 3 2 5 3 2" xfId="29307" xr:uid="{BC3948AB-3701-4A82-B88B-DF2C7FD750E1}"/>
    <cellStyle name="Comma 41 2 3 2 5 4" xfId="29308" xr:uid="{04F43357-DF0A-4FCB-AA35-C1C6DD2A09FC}"/>
    <cellStyle name="Comma 41 2 3 2 6" xfId="29309" xr:uid="{D9301A70-0978-43D6-8EA5-F067E7B178B2}"/>
    <cellStyle name="Comma 41 2 3 2 6 2" xfId="26494" xr:uid="{1B1D27D1-0546-4E1F-B65E-3CB586777798}"/>
    <cellStyle name="Comma 41 2 3 2 6 2 2" xfId="26497" xr:uid="{93E6FE78-63FE-4567-A226-4B5609C04144}"/>
    <cellStyle name="Comma 41 2 3 2 6 3" xfId="5562" xr:uid="{A7BF6D49-380D-4F36-B0BC-9813393DEF8A}"/>
    <cellStyle name="Comma 41 2 3 2 7" xfId="29310" xr:uid="{47C85CA5-1BEA-4221-80CF-7C18047CA164}"/>
    <cellStyle name="Comma 41 2 3 2 7 2" xfId="26522" xr:uid="{8E3270BF-7DA8-4829-A332-EF309252CB80}"/>
    <cellStyle name="Comma 41 2 3 2 8" xfId="29315" xr:uid="{05805BAD-7011-4543-B5E9-4B0E63A4F8A8}"/>
    <cellStyle name="Comma 41 2 3 2 9" xfId="29319" xr:uid="{2123D302-DBDC-4766-A94B-68A244A819FC}"/>
    <cellStyle name="Comma 41 2 3 3" xfId="29320" xr:uid="{794BA35D-7C19-485D-9EE6-77645EDEA392}"/>
    <cellStyle name="Comma 41 2 3 3 2" xfId="29321" xr:uid="{E87090A9-B8A1-41EE-8466-81961F558655}"/>
    <cellStyle name="Comma 41 2 3 3 2 2" xfId="29322" xr:uid="{1EA2C73B-080B-42F5-BD1B-679472B04001}"/>
    <cellStyle name="Comma 41 2 3 3 2 2 2" xfId="29325" xr:uid="{25D5575F-67C7-4E36-9B88-679BCEA98A6F}"/>
    <cellStyle name="Comma 41 2 3 3 2 2 2 2" xfId="29328" xr:uid="{1E3E1B1A-3BBB-4A6A-BAB0-92B96031F34B}"/>
    <cellStyle name="Comma 41 2 3 3 2 2 2 2 2" xfId="1081" xr:uid="{138289A0-CF08-44FD-A6FB-7AA8C5AC9C0D}"/>
    <cellStyle name="Comma 41 2 3 3 2 2 2 2 2 2" xfId="21544" xr:uid="{205A9A17-9BD8-4B97-83D3-127B40781FF2}"/>
    <cellStyle name="Comma 41 2 3 3 2 2 2 2 3" xfId="1088" xr:uid="{BE7D2B6C-193C-4973-B876-85739A9DA6E1}"/>
    <cellStyle name="Comma 41 2 3 3 2 2 2 3" xfId="15620" xr:uid="{86C99620-E1A1-4804-9E65-EDA9AFD735E1}"/>
    <cellStyle name="Comma 41 2 3 3 2 2 2 3 2" xfId="15622" xr:uid="{D1FFBD5E-5E3C-48D1-9591-91051C5EB8A6}"/>
    <cellStyle name="Comma 41 2 3 3 2 2 2 4" xfId="15626" xr:uid="{AAB6DF3D-300D-40BC-8FD8-6FC85EEC6CA0}"/>
    <cellStyle name="Comma 41 2 3 3 2 2 3" xfId="29331" xr:uid="{4E80762C-9F1B-47AD-BE93-67E97DC7E0AF}"/>
    <cellStyle name="Comma 41 2 3 3 2 2 3 2" xfId="29333" xr:uid="{FE7E9664-C204-4974-B48D-76BC2C4ABDD4}"/>
    <cellStyle name="Comma 41 2 3 3 2 2 3 2 2" xfId="1174" xr:uid="{1B3165FA-1FE0-4359-A05A-580352E84A35}"/>
    <cellStyle name="Comma 41 2 3 3 2 2 3 3" xfId="15630" xr:uid="{3BA8BBDC-76A5-4740-A81D-856A4D02826D}"/>
    <cellStyle name="Comma 41 2 3 3 2 2 4" xfId="23134" xr:uid="{735B2DB2-5591-42E6-A339-27117BBA1115}"/>
    <cellStyle name="Comma 41 2 3 3 2 2 4 2" xfId="23137" xr:uid="{1811F4DF-FFB1-44FE-9826-773360E1D65B}"/>
    <cellStyle name="Comma 41 2 3 3 2 2 5" xfId="23139" xr:uid="{9EDF3938-A475-4500-A300-3A2F5D86F589}"/>
    <cellStyle name="Comma 41 2 3 3 2 3" xfId="9895" xr:uid="{E3E69A90-2192-47DA-B570-A5FFBB9F1E4A}"/>
    <cellStyle name="Comma 41 2 3 3 2 3 2" xfId="9898" xr:uid="{FFB7E5C4-2BAD-4A2B-8877-C822B3CCFA2E}"/>
    <cellStyle name="Comma 41 2 3 3 2 3 2 2" xfId="9903" xr:uid="{4B68A80E-5B3F-44C3-98B6-FAE4A31D851E}"/>
    <cellStyle name="Comma 41 2 3 3 2 3 2 2 2" xfId="29334" xr:uid="{010EDCB1-B757-4EA2-B2C2-EFFEEC8206D7}"/>
    <cellStyle name="Comma 41 2 3 3 2 3 2 3" xfId="15636" xr:uid="{980A0052-D5DF-4EF5-A511-1062B6B2D770}"/>
    <cellStyle name="Comma 41 2 3 3 2 3 3" xfId="9904" xr:uid="{7AF55624-C3A6-4E9A-A4E9-B0683C0CCF67}"/>
    <cellStyle name="Comma 41 2 3 3 2 3 3 2" xfId="29337" xr:uid="{6F7F68DC-C2E9-442B-85E7-078326250DC1}"/>
    <cellStyle name="Comma 41 2 3 3 2 3 4" xfId="23143" xr:uid="{74243367-45AF-4E4B-8AC3-5F24D1F27258}"/>
    <cellStyle name="Comma 41 2 3 3 2 4" xfId="9906" xr:uid="{C94E9EE1-C496-4FDA-8EDB-C2DD888D6D0B}"/>
    <cellStyle name="Comma 41 2 3 3 2 4 2" xfId="9909" xr:uid="{8C8823B1-EED1-482A-AAD6-C17E9EC68BF5}"/>
    <cellStyle name="Comma 41 2 3 3 2 4 2 2" xfId="23728" xr:uid="{BE23E0CF-D215-4EEA-AA0C-7704AC898D3B}"/>
    <cellStyle name="Comma 41 2 3 3 2 4 3" xfId="23730" xr:uid="{500FBEE8-0764-475C-864B-180254042E36}"/>
    <cellStyle name="Comma 41 2 3 3 2 5" xfId="9913" xr:uid="{57AED5D1-F195-4EAB-991E-A1ECECEF1281}"/>
    <cellStyle name="Comma 41 2 3 3 2 5 2" xfId="18240" xr:uid="{95ABD06F-D944-4F20-8A9E-99B16ACD43D6}"/>
    <cellStyle name="Comma 41 2 3 3 2 6" xfId="23732" xr:uid="{77924FE2-C975-4709-860E-24713CACEB37}"/>
    <cellStyle name="Comma 41 2 3 3 2 7" xfId="15964" xr:uid="{05CAD490-EBBA-4FCB-A80D-AEF2FA747AB2}"/>
    <cellStyle name="Comma 41 2 3 3 3" xfId="29338" xr:uid="{CFDD70C0-AFB8-41F5-ABEA-3CF288063D8F}"/>
    <cellStyle name="Comma 41 2 3 3 3 2" xfId="29339" xr:uid="{F3E0FD60-C9F6-4395-ACE9-20778CC3C619}"/>
    <cellStyle name="Comma 41 2 3 3 3 2 2" xfId="29341" xr:uid="{4CD6C228-3299-40CA-8339-CFA69092FCEA}"/>
    <cellStyle name="Comma 41 2 3 3 3 2 2 2" xfId="4227" xr:uid="{F57A28C6-571C-4900-BD0A-0A949ED2C035}"/>
    <cellStyle name="Comma 41 2 3 3 3 2 2 2 2" xfId="22143" xr:uid="{BD3E2BFD-BCC9-4C93-8204-D44EC0A1776E}"/>
    <cellStyle name="Comma 41 2 3 3 3 2 2 3" xfId="15647" xr:uid="{4534BA71-8F10-45CF-B7B8-F8E736D9CE01}"/>
    <cellStyle name="Comma 41 2 3 3 3 2 3" xfId="23377" xr:uid="{90D44804-8CE8-492B-B9E0-5988544A62C8}"/>
    <cellStyle name="Comma 41 2 3 3 3 2 3 2" xfId="22152" xr:uid="{F5C88A17-21E8-411B-A62F-6BB796AA2752}"/>
    <cellStyle name="Comma 41 2 3 3 3 2 4" xfId="23151" xr:uid="{00D916AB-81F0-4226-9BDB-E746774903DA}"/>
    <cellStyle name="Comma 41 2 3 3 3 3" xfId="9917" xr:uid="{757EFD64-4725-4054-8066-5B325E2253B8}"/>
    <cellStyle name="Comma 41 2 3 3 3 3 2" xfId="9919" xr:uid="{E73BCF39-19AD-423B-9D02-0FB95A2185DB}"/>
    <cellStyle name="Comma 41 2 3 3 3 3 2 2" xfId="22182" xr:uid="{B8E3DBC4-3FFB-4607-9B64-44935C7A6E0B}"/>
    <cellStyle name="Comma 41 2 3 3 3 3 3" xfId="29342" xr:uid="{2A208A26-D34E-482B-BBB3-10165C5CE63D}"/>
    <cellStyle name="Comma 41 2 3 3 3 4" xfId="9922" xr:uid="{9020281C-AAEF-4283-BF6A-04B7F8B03317}"/>
    <cellStyle name="Comma 41 2 3 3 3 4 2" xfId="23735" xr:uid="{91A45965-696C-45D5-80A3-AC77B8778D4C}"/>
    <cellStyle name="Comma 41 2 3 3 3 5" xfId="23738" xr:uid="{173C6CEF-0102-49E9-96AF-A0AE9D890C86}"/>
    <cellStyle name="Comma 41 2 3 3 4" xfId="29343" xr:uid="{8834EECB-9C9B-4ECF-B928-1B775C96EA77}"/>
    <cellStyle name="Comma 41 2 3 3 4 2" xfId="29344" xr:uid="{F8488841-98AC-4CCB-AD33-A9A6ADA2EEB1}"/>
    <cellStyle name="Comma 41 2 3 3 4 2 2" xfId="29345" xr:uid="{129B5417-0CDF-4F0B-8EDC-D6AE99E0C4D6}"/>
    <cellStyle name="Comma 41 2 3 3 4 2 2 2" xfId="22255" xr:uid="{A054FBEB-83D4-4849-A933-BA8D4423EFF9}"/>
    <cellStyle name="Comma 41 2 3 3 4 2 3" xfId="18277" xr:uid="{FF9FC4E3-4857-4E17-981F-68D75C0CA1AD}"/>
    <cellStyle name="Comma 41 2 3 3 4 3" xfId="9926" xr:uid="{9E19016F-A7B8-4930-85A9-8C5D452B2C81}"/>
    <cellStyle name="Comma 41 2 3 3 4 3 2" xfId="29346" xr:uid="{53B92D0C-2E1A-441B-951C-7FD85B90FD11}"/>
    <cellStyle name="Comma 41 2 3 3 4 4" xfId="23741" xr:uid="{5AFF123A-BE21-446E-B117-73214E922C65}"/>
    <cellStyle name="Comma 41 2 3 3 5" xfId="29347" xr:uid="{B8E01F06-C8D0-4BDE-9671-D81A638F00A6}"/>
    <cellStyle name="Comma 41 2 3 3 5 2" xfId="29348" xr:uid="{396865D8-2568-4843-ADCC-37A6A4FC74E1}"/>
    <cellStyle name="Comma 41 2 3 3 5 2 2" xfId="29349" xr:uid="{145DA581-25B4-4803-A262-DB2BC8A49055}"/>
    <cellStyle name="Comma 41 2 3 3 5 3" xfId="29350" xr:uid="{CF05A7B0-89C9-49D3-9DA0-1FF24607044F}"/>
    <cellStyle name="Comma 41 2 3 3 6" xfId="29351" xr:uid="{2CF3F545-30F7-45DC-9C66-4A643C07A384}"/>
    <cellStyle name="Comma 41 2 3 3 6 2" xfId="26550" xr:uid="{EE737098-3D1B-458A-8D47-331FE15DD9DB}"/>
    <cellStyle name="Comma 41 2 3 3 7" xfId="29352" xr:uid="{CCECC798-4C12-4B64-8385-B68143795483}"/>
    <cellStyle name="Comma 41 2 3 3 8" xfId="29358" xr:uid="{806F8AC1-808E-49E7-8331-49CBBBA79AC7}"/>
    <cellStyle name="Comma 41 2 3 4" xfId="29359" xr:uid="{DBCFA55E-D3DA-4CDB-B263-7BC1BB38DE94}"/>
    <cellStyle name="Comma 41 2 3 4 2" xfId="29361" xr:uid="{A058858D-E8A2-4FA8-961C-787697BE9158}"/>
    <cellStyle name="Comma 41 2 3 4 2 2" xfId="29362" xr:uid="{E3D2ECB5-65EA-4223-888F-28F842B73C22}"/>
    <cellStyle name="Comma 41 2 3 4 2 2 2" xfId="28995" xr:uid="{ECBF9A07-60B3-49BE-BCB9-9FE30FEA2CCF}"/>
    <cellStyle name="Comma 41 2 3 4 2 2 2 2" xfId="29363" xr:uid="{2E7F3D7C-84C2-415F-9E21-F0A121AFC468}"/>
    <cellStyle name="Comma 41 2 3 4 2 2 2 2 2" xfId="25175" xr:uid="{6B14172C-DE65-4953-A249-910889819152}"/>
    <cellStyle name="Comma 41 2 3 4 2 2 2 3" xfId="15673" xr:uid="{89DC5F46-75E1-4AB9-9BAB-E5A68179EB32}"/>
    <cellStyle name="Comma 41 2 3 4 2 2 3" xfId="28996" xr:uid="{51033EEC-E931-43B7-AF8F-27EAA2713BA4}"/>
    <cellStyle name="Comma 41 2 3 4 2 2 3 2" xfId="8694" xr:uid="{01565FF2-A88A-480E-AC80-AFFDD98B4232}"/>
    <cellStyle name="Comma 41 2 3 4 2 2 4" xfId="23165" xr:uid="{6398D925-E8BF-4ABE-BB34-7F18AE20D1A1}"/>
    <cellStyle name="Comma 41 2 3 4 2 3" xfId="10134" xr:uid="{26E01F59-B6C8-4FFF-80F5-44AD56FF5174}"/>
    <cellStyle name="Comma 41 2 3 4 2 3 2" xfId="10136" xr:uid="{6D870249-F684-4332-B1D1-34E2FBB12E0D}"/>
    <cellStyle name="Comma 41 2 3 4 2 3 2 2" xfId="29364" xr:uid="{1E59FFA5-91DF-470E-85AA-C9A42B7A74B5}"/>
    <cellStyle name="Comma 41 2 3 4 2 3 3" xfId="29365" xr:uid="{095EEE8C-DB85-4E2A-BE21-8D1BD7B31A27}"/>
    <cellStyle name="Comma 41 2 3 4 2 4" xfId="1265" xr:uid="{158406AC-7F1B-4AA1-8740-893F457A467C}"/>
    <cellStyle name="Comma 41 2 3 4 2 4 2" xfId="182" xr:uid="{5A204FA9-7BF3-4734-8F5D-E4A69F8845F9}"/>
    <cellStyle name="Comma 41 2 3 4 2 5" xfId="1272" xr:uid="{01E97271-6A83-4A21-83EA-F27A5FB7631B}"/>
    <cellStyle name="Comma 41 2 3 4 3" xfId="9673" xr:uid="{B9C864F1-4472-4A7D-B086-12D0563A7407}"/>
    <cellStyle name="Comma 41 2 3 4 3 2" xfId="9675" xr:uid="{A12AED21-EDF5-41DE-A8C6-0D48067AB852}"/>
    <cellStyle name="Comma 41 2 3 4 3 2 2" xfId="9681" xr:uid="{8E205873-E279-465B-8F3A-34FE8433C834}"/>
    <cellStyle name="Comma 41 2 3 4 3 2 2 2" xfId="9686" xr:uid="{08B40D4D-D0F2-4732-9C41-267DFF18D5CF}"/>
    <cellStyle name="Comma 41 2 3 4 3 2 3" xfId="9696" xr:uid="{0814DBFD-4190-49D9-A9FE-889C91F4E840}"/>
    <cellStyle name="Comma 41 2 3 4 3 3" xfId="9706" xr:uid="{3253D149-82D4-48A5-A1C4-6B5106C1A2A4}"/>
    <cellStyle name="Comma 41 2 3 4 3 3 2" xfId="9713" xr:uid="{DC1431CD-D8BC-4421-AA72-646EF7BB78EF}"/>
    <cellStyle name="Comma 41 2 3 4 3 4" xfId="5268" xr:uid="{69857F19-A840-4585-BC59-AB51B0514A50}"/>
    <cellStyle name="Comma 41 2 3 4 4" xfId="9723" xr:uid="{69F244C9-4807-4111-BD02-063C9E24D2AB}"/>
    <cellStyle name="Comma 41 2 3 4 4 2" xfId="9725" xr:uid="{C39A780D-8BFD-44AC-B4E9-17BA785A6E40}"/>
    <cellStyle name="Comma 41 2 3 4 4 2 2" xfId="9727" xr:uid="{94CDA650-722D-42C6-90AE-081E70A2979C}"/>
    <cellStyle name="Comma 41 2 3 4 4 3" xfId="9732" xr:uid="{3A8F1049-8568-4F10-B53A-930BE8E4079F}"/>
    <cellStyle name="Comma 41 2 3 4 5" xfId="9735" xr:uid="{986F22FF-CFF4-4797-B603-E279F0A87EE7}"/>
    <cellStyle name="Comma 41 2 3 4 5 2" xfId="9737" xr:uid="{637A822F-C1EE-49E9-B31B-C2DFE6877125}"/>
    <cellStyle name="Comma 41 2 3 4 6" xfId="9743" xr:uid="{6BE6332E-A713-4860-9A13-87D3B4D89F3E}"/>
    <cellStyle name="Comma 41 2 3 4 7" xfId="9748" xr:uid="{BBA5FB14-30CB-4429-96EB-958C19B64401}"/>
    <cellStyle name="Comma 41 2 3 5" xfId="29368" xr:uid="{A23D8637-65B4-4DEF-87CA-C32AC943D475}"/>
    <cellStyle name="Comma 41 2 3 5 2" xfId="29369" xr:uid="{E05A58BB-5CCA-456F-A192-2DB684EC8B99}"/>
    <cellStyle name="Comma 41 2 3 5 2 2" xfId="29370" xr:uid="{775A3966-BA0B-4E9F-95E8-1C8209F4B06F}"/>
    <cellStyle name="Comma 41 2 3 5 2 2 2" xfId="29371" xr:uid="{089B8E3C-7240-49F3-BC07-9DB3A44D130D}"/>
    <cellStyle name="Comma 41 2 3 5 2 2 2 2" xfId="29372" xr:uid="{F28AB906-A3ED-4856-95DF-57AD0B28FDA4}"/>
    <cellStyle name="Comma 41 2 3 5 2 2 3" xfId="29374" xr:uid="{0E1CE904-D84A-4B57-98E0-775068C10A4C}"/>
    <cellStyle name="Comma 41 2 3 5 2 3" xfId="10246" xr:uid="{185660C7-8D45-4EE3-9BF5-F8017A8EE528}"/>
    <cellStyle name="Comma 41 2 3 5 2 3 2" xfId="29375" xr:uid="{B85F8530-1B2F-480F-BBE7-3B66F56CC38D}"/>
    <cellStyle name="Comma 41 2 3 5 2 4" xfId="1344" xr:uid="{CB2813A8-2B7C-41F8-8943-D155E9AC47EE}"/>
    <cellStyle name="Comma 41 2 3 5 3" xfId="9756" xr:uid="{DAC09154-42B5-4698-83DE-46F65CD4A7F9}"/>
    <cellStyle name="Comma 41 2 3 5 3 2" xfId="9758" xr:uid="{3CAB84F3-C64F-4C7D-894D-A0A4527929E7}"/>
    <cellStyle name="Comma 41 2 3 5 3 2 2" xfId="9760" xr:uid="{AB8DD84C-B17F-4818-9B33-23563C07E53B}"/>
    <cellStyle name="Comma 41 2 3 5 3 3" xfId="9764" xr:uid="{482D1F52-D810-48C4-8EE0-A96D7823BB94}"/>
    <cellStyle name="Comma 41 2 3 5 4" xfId="9767" xr:uid="{CA15CE9E-7B2C-421A-A08E-F3EBAB3CB714}"/>
    <cellStyle name="Comma 41 2 3 5 4 2" xfId="9769" xr:uid="{8EBD75C1-F290-4E43-8C2B-89530808E16E}"/>
    <cellStyle name="Comma 41 2 3 5 5" xfId="9773" xr:uid="{3CE4B51D-93B2-42A1-BEDE-A1D47B6DE42A}"/>
    <cellStyle name="Comma 41 2 3 6" xfId="29376" xr:uid="{524AAA4F-4F62-4615-B257-78EA05E703DA}"/>
    <cellStyle name="Comma 41 2 3 6 2" xfId="29377" xr:uid="{FE653B27-044C-40C2-A1B0-8D7DF80B1CA8}"/>
    <cellStyle name="Comma 41 2 3 6 2 2" xfId="29378" xr:uid="{085B3E2F-BC48-49F5-9925-97D51C4274DC}"/>
    <cellStyle name="Comma 41 2 3 6 2 2 2" xfId="29379" xr:uid="{8E0B0AEB-7900-465A-AF42-DBB8FCE93405}"/>
    <cellStyle name="Comma 41 2 3 6 2 3" xfId="29380" xr:uid="{9EDAD482-35DB-4A4F-9A11-6EFBF7637F0C}"/>
    <cellStyle name="Comma 41 2 3 6 3" xfId="9779" xr:uid="{0E9A0B59-1E82-482E-ABAF-B6E9EB59B962}"/>
    <cellStyle name="Comma 41 2 3 6 3 2" xfId="9784" xr:uid="{B3D66A1F-A434-4E63-8D08-8A8700940908}"/>
    <cellStyle name="Comma 41 2 3 6 4" xfId="9790" xr:uid="{4063BB51-20F1-4935-A89E-46CA803C8AB9}"/>
    <cellStyle name="Comma 41 2 3 7" xfId="29381" xr:uid="{BB379E31-E212-4EE5-81D7-4851307AC67C}"/>
    <cellStyle name="Comma 41 2 3 7 2" xfId="29382" xr:uid="{8DD5FA6A-8FD9-435C-BAA6-1C5537F828B9}"/>
    <cellStyle name="Comma 41 2 3 7 2 2" xfId="28703" xr:uid="{998DD88C-F403-4D4E-9B8F-4EC5622FA65B}"/>
    <cellStyle name="Comma 41 2 3 7 3" xfId="9799" xr:uid="{8717435A-2B83-4FFC-90A2-74F65F205B77}"/>
    <cellStyle name="Comma 41 2 3 8" xfId="29383" xr:uid="{E823AE28-6800-4954-B754-E9B7AAD04CA6}"/>
    <cellStyle name="Comma 41 2 3 8 2" xfId="29384" xr:uid="{8BD32016-16FE-4493-A687-1D48D41BAA8C}"/>
    <cellStyle name="Comma 41 2 3 9" xfId="29389" xr:uid="{4B39F491-C244-45C5-B2C1-CE8374E780F4}"/>
    <cellStyle name="Comma 41 2 4" xfId="29391" xr:uid="{B0FCF44B-0843-4AC2-83B1-27C39E2DF1A7}"/>
    <cellStyle name="Comma 41 2 4 2" xfId="29392" xr:uid="{A6BD5ACD-D01A-4ACC-9512-EF768D434CD4}"/>
    <cellStyle name="Comma 41 2 4 2 2" xfId="29393" xr:uid="{35D0D3CB-48E4-4141-A88C-1CCED0FA6B8F}"/>
    <cellStyle name="Comma 41 2 4 2 2 2" xfId="29394" xr:uid="{B2D5DA06-8B04-40FC-8270-7DF98C3CD77A}"/>
    <cellStyle name="Comma 41 2 4 2 2 2 2" xfId="29395" xr:uid="{379C9E74-E39E-4962-8C18-0B8776A21543}"/>
    <cellStyle name="Comma 41 2 4 2 2 2 2 2" xfId="29396" xr:uid="{0AF8B376-BE9B-4994-A4EF-817DE5DFC417}"/>
    <cellStyle name="Comma 41 2 4 2 2 2 2 2 2" xfId="29397" xr:uid="{7E028576-1661-4465-9C94-42DB779D75BB}"/>
    <cellStyle name="Comma 41 2 4 2 2 2 2 2 2 2" xfId="29398" xr:uid="{39FAF06B-2C8A-4432-B8F1-1361D172766B}"/>
    <cellStyle name="Comma 41 2 4 2 2 2 2 2 3" xfId="29399" xr:uid="{93A38541-0804-4575-99B1-8C557F427A64}"/>
    <cellStyle name="Comma 41 2 4 2 2 2 2 3" xfId="29401" xr:uid="{8A12B78D-1FC4-4417-BA6B-BC22AE911105}"/>
    <cellStyle name="Comma 41 2 4 2 2 2 2 3 2" xfId="29403" xr:uid="{113531A3-3A4F-43B7-B0CA-AAAD0C9DF418}"/>
    <cellStyle name="Comma 41 2 4 2 2 2 2 4" xfId="29405" xr:uid="{4963908C-353E-430F-9EEE-B3BD12E0A495}"/>
    <cellStyle name="Comma 41 2 4 2 2 2 3" xfId="29406" xr:uid="{323E5CAF-4376-49D3-8BB2-94D1FE1F8706}"/>
    <cellStyle name="Comma 41 2 4 2 2 2 3 2" xfId="29409" xr:uid="{917A5109-FA5B-459F-9825-F6E0F65EC57F}"/>
    <cellStyle name="Comma 41 2 4 2 2 2 3 2 2" xfId="29410" xr:uid="{0FB9BD50-3137-4A99-B9BE-13CFA5F6A51E}"/>
    <cellStyle name="Comma 41 2 4 2 2 2 3 3" xfId="29414" xr:uid="{4756C753-ED19-4A9D-8B86-1F3D7C3702C7}"/>
    <cellStyle name="Comma 41 2 4 2 2 2 4" xfId="23187" xr:uid="{F12E013C-F8BE-4DD0-AA9D-7F72F9EE4977}"/>
    <cellStyle name="Comma 41 2 4 2 2 2 4 2" xfId="23189" xr:uid="{9C810711-D3A8-492A-9B52-138344E2572E}"/>
    <cellStyle name="Comma 41 2 4 2 2 2 5" xfId="23191" xr:uid="{DF768394-CBE6-408F-AF45-5B835DE32C3D}"/>
    <cellStyle name="Comma 41 2 4 2 2 3" xfId="12895" xr:uid="{F6D6AC0D-4FF9-4CDF-B30B-1729ACA5E83B}"/>
    <cellStyle name="Comma 41 2 4 2 2 3 2" xfId="12897" xr:uid="{0542F07D-92B7-43C5-9FF4-AF775F76B2B7}"/>
    <cellStyle name="Comma 41 2 4 2 2 3 2 2" xfId="185" xr:uid="{F349DA8C-A836-40A9-BE1E-F725F5ECAFEB}"/>
    <cellStyle name="Comma 41 2 4 2 2 3 2 2 2" xfId="1479" xr:uid="{22AD6B97-BC4A-42AB-82F1-E6CEE551E96C}"/>
    <cellStyle name="Comma 41 2 4 2 2 3 2 3" xfId="196" xr:uid="{C14D24A8-C455-4E92-8D46-60BE5FA49E66}"/>
    <cellStyle name="Comma 41 2 4 2 2 3 3" xfId="12899" xr:uid="{8372F48A-3EB4-45C7-BBF5-4400B01907DD}"/>
    <cellStyle name="Comma 41 2 4 2 2 3 3 2" xfId="12901" xr:uid="{2C89F1FE-1C11-4DD1-B894-624704FDC0E8}"/>
    <cellStyle name="Comma 41 2 4 2 2 3 4" xfId="12903" xr:uid="{C355A935-EF4C-48CD-8C75-9B85BACC4243}"/>
    <cellStyle name="Comma 41 2 4 2 2 4" xfId="12906" xr:uid="{FA2581B3-4DAC-45CF-88F1-FBB5DC886C0F}"/>
    <cellStyle name="Comma 41 2 4 2 2 4 2" xfId="12908" xr:uid="{04E5DDB0-7238-4238-A08A-ED21781E7591}"/>
    <cellStyle name="Comma 41 2 4 2 2 4 2 2" xfId="12910" xr:uid="{528387DC-F849-48AC-A2A8-9E436E331BBB}"/>
    <cellStyle name="Comma 41 2 4 2 2 4 3" xfId="12912" xr:uid="{7F764079-4ADE-4D0B-8220-4343771D3B80}"/>
    <cellStyle name="Comma 41 2 4 2 2 5" xfId="12914" xr:uid="{7EB5D639-228F-437D-993B-7FB4C4867222}"/>
    <cellStyle name="Comma 41 2 4 2 2 5 2" xfId="12918" xr:uid="{CCFC87D2-1198-439B-8A7B-BEE1907D1FCA}"/>
    <cellStyle name="Comma 41 2 4 2 2 6" xfId="12922" xr:uid="{E10F49FB-BBB7-4DF2-821E-797D582BAFFC}"/>
    <cellStyle name="Comma 41 2 4 2 2 7" xfId="16085" xr:uid="{40BDAEDF-88AB-42FE-AF44-35416D59EB0E}"/>
    <cellStyle name="Comma 41 2 4 2 3" xfId="29415" xr:uid="{6AAB8F68-417D-4293-87AC-B0167C5A9819}"/>
    <cellStyle name="Comma 41 2 4 2 3 2" xfId="29416" xr:uid="{05DDE30F-C942-4541-A43E-C581153C0ECD}"/>
    <cellStyle name="Comma 41 2 4 2 3 2 2" xfId="29417" xr:uid="{B085224B-2459-44D4-94A0-3C7A73698E94}"/>
    <cellStyle name="Comma 41 2 4 2 3 2 2 2" xfId="29418" xr:uid="{9ABC5280-FB7C-48F5-B8A6-A5343F216CAE}"/>
    <cellStyle name="Comma 41 2 4 2 3 2 2 2 2" xfId="29419" xr:uid="{C1C08096-8328-43EB-95EF-408AAE7E3ACD}"/>
    <cellStyle name="Comma 41 2 4 2 3 2 2 3" xfId="29420" xr:uid="{F395D6B9-07A5-444A-AC6E-E98B1EBDA8BD}"/>
    <cellStyle name="Comma 41 2 4 2 3 2 3" xfId="23443" xr:uid="{52E2B0E1-3A1E-4142-99F4-B2A6C99CFAF2}"/>
    <cellStyle name="Comma 41 2 4 2 3 2 3 2" xfId="29421" xr:uid="{C8DA49E9-AEB6-44B2-A882-D1EC60F91027}"/>
    <cellStyle name="Comma 41 2 4 2 3 2 4" xfId="23203" xr:uid="{84B88C94-86C1-47C2-9312-D86B4D1C3F95}"/>
    <cellStyle name="Comma 41 2 4 2 3 3" xfId="12927" xr:uid="{1B2ECDCA-BD43-4626-9300-174FFD35C996}"/>
    <cellStyle name="Comma 41 2 4 2 3 3 2" xfId="12929" xr:uid="{4AF15383-9A6D-4D0F-8BB3-4646CF76B850}"/>
    <cellStyle name="Comma 41 2 4 2 3 3 2 2" xfId="12932" xr:uid="{BF35BF67-E3A4-4E93-A92C-047D357CB578}"/>
    <cellStyle name="Comma 41 2 4 2 3 3 3" xfId="12934" xr:uid="{BAC4CF84-DBC8-4808-9C99-1F42E495BFC9}"/>
    <cellStyle name="Comma 41 2 4 2 3 4" xfId="12938" xr:uid="{3E310D5D-130E-45EB-90C0-BC1718BBFE8A}"/>
    <cellStyle name="Comma 41 2 4 2 3 4 2" xfId="12941" xr:uid="{85BAC3FA-8F08-45A1-BF6C-356163C7558D}"/>
    <cellStyle name="Comma 41 2 4 2 3 5" xfId="12944" xr:uid="{835CD489-4137-4144-BCD3-73A12ECAC3A2}"/>
    <cellStyle name="Comma 41 2 4 2 4" xfId="29422" xr:uid="{83485562-81A1-46FB-A0D0-D0A34E80BB2C}"/>
    <cellStyle name="Comma 41 2 4 2 4 2" xfId="29423" xr:uid="{5C18E11E-C3E0-4A3E-8AB1-A0A5D86316F1}"/>
    <cellStyle name="Comma 41 2 4 2 4 2 2" xfId="5325" xr:uid="{054E7C68-057D-44E0-BAA5-259904B663B1}"/>
    <cellStyle name="Comma 41 2 4 2 4 2 2 2" xfId="5332" xr:uid="{A157F298-56D1-4A61-B091-1208659844B3}"/>
    <cellStyle name="Comma 41 2 4 2 4 2 3" xfId="5338" xr:uid="{F9474E09-E53E-44C4-8CB5-1E035F3697D1}"/>
    <cellStyle name="Comma 41 2 4 2 4 3" xfId="12949" xr:uid="{054B4D06-42AC-42CC-9FAD-BA2A94A783A5}"/>
    <cellStyle name="Comma 41 2 4 2 4 3 2" xfId="1402" xr:uid="{13F8A2ED-ED61-4994-A3B5-DBC98DF1B7B1}"/>
    <cellStyle name="Comma 41 2 4 2 4 4" xfId="12952" xr:uid="{9C6EAA50-77C3-4FCB-8D6A-E9D48A74C4CD}"/>
    <cellStyle name="Comma 41 2 4 2 5" xfId="29424" xr:uid="{2B43F342-DBD5-4C1F-BC40-436E9EB47649}"/>
    <cellStyle name="Comma 41 2 4 2 5 2" xfId="29425" xr:uid="{B04CF970-ACCB-4A0B-AD26-7E883B1A279B}"/>
    <cellStyle name="Comma 41 2 4 2 5 2 2" xfId="5347" xr:uid="{1F81B0F4-6397-435F-868D-E66919730EA0}"/>
    <cellStyle name="Comma 41 2 4 2 5 3" xfId="12955" xr:uid="{A216269E-A29F-4435-9A0C-5BC1E41958E1}"/>
    <cellStyle name="Comma 41 2 4 2 6" xfId="29426" xr:uid="{055024B5-4E0B-4358-801F-0E0BAE8D3C04}"/>
    <cellStyle name="Comma 41 2 4 2 6 2" xfId="26652" xr:uid="{F2165B5C-3106-4E84-AE30-4CFFAC4FE67F}"/>
    <cellStyle name="Comma 41 2 4 2 7" xfId="29427" xr:uid="{23D81866-42C5-45BB-A076-5E7804021369}"/>
    <cellStyle name="Comma 41 2 4 2 8" xfId="29433" xr:uid="{FBF79349-658A-41E4-BFE9-46992F8F39A4}"/>
    <cellStyle name="Comma 41 2 4 3" xfId="29434" xr:uid="{94FBB528-3B5E-4B99-B4FF-18A05E2160DC}"/>
    <cellStyle name="Comma 41 2 4 3 2" xfId="29435" xr:uid="{50BA9D8E-EB43-4D94-B322-53B85EEF6AB5}"/>
    <cellStyle name="Comma 41 2 4 3 2 2" xfId="29436" xr:uid="{658116AD-9375-46E8-9BF2-FB41AA0407BA}"/>
    <cellStyle name="Comma 41 2 4 3 2 2 2" xfId="27311" xr:uid="{CDB15CFF-BA55-4B44-AE63-178EBEA57FC7}"/>
    <cellStyle name="Comma 41 2 4 3 2 2 2 2" xfId="27313" xr:uid="{EAA4ED6D-5262-4F5E-A83F-16680A38FFCC}"/>
    <cellStyle name="Comma 41 2 4 3 2 2 2 2 2" xfId="20860" xr:uid="{BCA725C9-3F65-44A6-A025-7F9FF26156BF}"/>
    <cellStyle name="Comma 41 2 4 3 2 2 2 3" xfId="29437" xr:uid="{071EEDE7-AF19-4E15-BA50-D0F4E787D1D6}"/>
    <cellStyle name="Comma 41 2 4 3 2 2 3" xfId="27317" xr:uid="{FEF7B1F2-61B7-4541-A85B-CA3B04E21008}"/>
    <cellStyle name="Comma 41 2 4 3 2 2 3 2" xfId="29438" xr:uid="{9D681033-C017-44E5-90E9-D9CBE4827D62}"/>
    <cellStyle name="Comma 41 2 4 3 2 2 4" xfId="23212" xr:uid="{FAAA20BB-A8AE-4DFA-A71A-E2BA30D66080}"/>
    <cellStyle name="Comma 41 2 4 3 2 3" xfId="13465" xr:uid="{2C548962-7775-4A73-B87B-9F4309667731}"/>
    <cellStyle name="Comma 41 2 4 3 2 3 2" xfId="13470" xr:uid="{49F98AEA-EDE5-4CA6-973E-8288ACC4624E}"/>
    <cellStyle name="Comma 41 2 4 3 2 3 2 2" xfId="13473" xr:uid="{92C1952E-3043-443E-A02F-4600536861C3}"/>
    <cellStyle name="Comma 41 2 4 3 2 3 3" xfId="13478" xr:uid="{F888C853-E6E8-4039-B189-3DD3E756C513}"/>
    <cellStyle name="Comma 41 2 4 3 2 4" xfId="13480" xr:uid="{C84A5C2F-61CB-46AB-B10B-9CAE9B4EC103}"/>
    <cellStyle name="Comma 41 2 4 3 2 4 2" xfId="13484" xr:uid="{9D3E685A-EF17-4C20-A048-140136426B30}"/>
    <cellStyle name="Comma 41 2 4 3 2 5" xfId="13487" xr:uid="{F8358126-83C7-4003-8B2A-E4FD257F2D73}"/>
    <cellStyle name="Comma 41 2 4 3 3" xfId="29439" xr:uid="{165A15AC-61B0-4345-8950-B122918E2897}"/>
    <cellStyle name="Comma 41 2 4 3 3 2" xfId="29440" xr:uid="{CF131EB1-2511-4E58-B79B-32EEE0642180}"/>
    <cellStyle name="Comma 41 2 4 3 3 2 2" xfId="27364" xr:uid="{0523871B-3A64-4272-9E02-B8C55A80EB5C}"/>
    <cellStyle name="Comma 41 2 4 3 3 2 2 2" xfId="22471" xr:uid="{3D6596FF-8C57-4DEC-9426-C198CD315C8A}"/>
    <cellStyle name="Comma 41 2 4 3 3 2 3" xfId="29442" xr:uid="{C4C53B56-4533-419D-BCA1-383F451D3A1F}"/>
    <cellStyle name="Comma 41 2 4 3 3 3" xfId="13493" xr:uid="{01088480-7F1C-4811-BD8D-BE28751C108B}"/>
    <cellStyle name="Comma 41 2 4 3 3 3 2" xfId="13495" xr:uid="{8982023D-26EC-400B-B96F-3DEEAB5D8F7B}"/>
    <cellStyle name="Comma 41 2 4 3 3 4" xfId="13498" xr:uid="{F5E2081C-4F4E-45B1-B1BC-B0AAD222CE9A}"/>
    <cellStyle name="Comma 41 2 4 3 4" xfId="29443" xr:uid="{796D887E-DA1F-4F21-9EA3-36B269FCBEDF}"/>
    <cellStyle name="Comma 41 2 4 3 4 2" xfId="29444" xr:uid="{42763F15-52A5-4FFB-B267-3EBEE10F1E09}"/>
    <cellStyle name="Comma 41 2 4 3 4 2 2" xfId="5423" xr:uid="{9DBD4111-AC25-41B0-993D-214E56544729}"/>
    <cellStyle name="Comma 41 2 4 3 4 3" xfId="13503" xr:uid="{DF51BC3C-4063-40EF-8003-DF9CC4704EB1}"/>
    <cellStyle name="Comma 41 2 4 3 5" xfId="29445" xr:uid="{EA951997-AAE7-4102-902C-FBA99F04DC9C}"/>
    <cellStyle name="Comma 41 2 4 3 5 2" xfId="29446" xr:uid="{77DE2EC4-B8F5-4349-9A10-5C439DC194B7}"/>
    <cellStyle name="Comma 41 2 4 3 6" xfId="29447" xr:uid="{CB99E6EF-1982-42C0-B8B1-EBAA13F1D2B1}"/>
    <cellStyle name="Comma 41 2 4 3 7" xfId="29448" xr:uid="{CD52DDCB-6922-460A-8458-1F6E4FCCC5B1}"/>
    <cellStyle name="Comma 41 2 4 4" xfId="29449" xr:uid="{504E0568-8A4B-452E-9545-D84DA424E0AC}"/>
    <cellStyle name="Comma 41 2 4 4 2" xfId="29450" xr:uid="{AB3EC7A5-3D81-41AD-ADB8-8DDAD66C1700}"/>
    <cellStyle name="Comma 41 2 4 4 2 2" xfId="29451" xr:uid="{A57AA015-BD73-4F61-97C0-9C5601AB3225}"/>
    <cellStyle name="Comma 41 2 4 4 2 2 2" xfId="27957" xr:uid="{B23797BB-F089-4A75-86B7-571EA2FA8CCC}"/>
    <cellStyle name="Comma 41 2 4 4 2 2 2 2" xfId="26136" xr:uid="{DB407B7B-DD81-4ED4-8D59-3CABDF8C3898}"/>
    <cellStyle name="Comma 41 2 4 4 2 2 3" xfId="29452" xr:uid="{E5DB95BC-4D26-4631-AED1-30EDC45C5519}"/>
    <cellStyle name="Comma 41 2 4 4 2 3" xfId="13801" xr:uid="{679DC3E6-255E-41EB-86A3-CDE2900126B7}"/>
    <cellStyle name="Comma 41 2 4 4 2 3 2" xfId="13803" xr:uid="{40562931-7F27-4E2F-A8E5-9E67478D4604}"/>
    <cellStyle name="Comma 41 2 4 4 2 4" xfId="5381" xr:uid="{95646DF8-75A1-4F52-887C-C948620C7771}"/>
    <cellStyle name="Comma 41 2 4 4 3" xfId="9821" xr:uid="{1A310C78-FF30-4D14-B2EF-EFA5720DC94D}"/>
    <cellStyle name="Comma 41 2 4 4 3 2" xfId="9823" xr:uid="{6ADCFE06-48AA-4DDF-A994-818FD8DE2164}"/>
    <cellStyle name="Comma 41 2 4 4 3 2 2" xfId="9825" xr:uid="{A3D85622-1001-482C-A6CF-B71EDAACF4F0}"/>
    <cellStyle name="Comma 41 2 4 4 3 3" xfId="9829" xr:uid="{E01169E1-BF3B-49BE-BAE0-3CA339AFD372}"/>
    <cellStyle name="Comma 41 2 4 4 4" xfId="9833" xr:uid="{1E9CB071-7D29-43FA-AC05-A1299EF87FD7}"/>
    <cellStyle name="Comma 41 2 4 4 4 2" xfId="9835" xr:uid="{C710FD14-D31E-4E73-A5C1-1E8B50CE3A75}"/>
    <cellStyle name="Comma 41 2 4 4 5" xfId="9838" xr:uid="{C5324630-AB3D-4045-9590-A51B5313FBEB}"/>
    <cellStyle name="Comma 41 2 4 5" xfId="29453" xr:uid="{FCBB6141-705D-409B-858D-B43EA2034637}"/>
    <cellStyle name="Comma 41 2 4 5 2" xfId="29454" xr:uid="{CDDF2437-0D44-49D5-ACB0-1DA26DCD9B1D}"/>
    <cellStyle name="Comma 41 2 4 5 2 2" xfId="29455" xr:uid="{53B2013A-83AE-4D02-BEC9-EBFDC5FB7C75}"/>
    <cellStyle name="Comma 41 2 4 5 2 2 2" xfId="29456" xr:uid="{E4A71334-3B0D-465E-96EF-5F7E41C36471}"/>
    <cellStyle name="Comma 41 2 4 5 2 3" xfId="13933" xr:uid="{9F0CDE50-06CA-44C9-890C-DD16DF9BC8F9}"/>
    <cellStyle name="Comma 41 2 4 5 3" xfId="9843" xr:uid="{5035C0EA-1A19-4936-AB90-012E4798914C}"/>
    <cellStyle name="Comma 41 2 4 5 3 2" xfId="9845" xr:uid="{3A5EED2B-6337-4D25-B689-BCEED8FFF61C}"/>
    <cellStyle name="Comma 41 2 4 5 4" xfId="9849" xr:uid="{A5B23B6F-C6D2-4CBE-A196-D3A3D58FF2F9}"/>
    <cellStyle name="Comma 41 2 4 6" xfId="29457" xr:uid="{3D1E72C6-71F0-406B-9466-37DB220F11AB}"/>
    <cellStyle name="Comma 41 2 4 6 2" xfId="29458" xr:uid="{37D87826-02A3-4B25-BCEC-AA02F43474F5}"/>
    <cellStyle name="Comma 41 2 4 6 2 2" xfId="29459" xr:uid="{FE10CBD1-DA45-47F3-B66F-5B0B06EE346D}"/>
    <cellStyle name="Comma 41 2 4 6 3" xfId="9854" xr:uid="{AC3A5250-97F7-4517-B320-9AAB31B47E58}"/>
    <cellStyle name="Comma 41 2 4 7" xfId="29460" xr:uid="{09A8DB77-F3A4-4AB0-BEAA-F9DDFAFA7123}"/>
    <cellStyle name="Comma 41 2 4 7 2" xfId="29461" xr:uid="{1431750A-DE48-465D-BEB5-15B71ADB4C1A}"/>
    <cellStyle name="Comma 41 2 4 8" xfId="29462" xr:uid="{2CE07626-4949-4D2A-8BD7-234F30E20B8C}"/>
    <cellStyle name="Comma 41 2 4 9" xfId="29467" xr:uid="{8EDC8013-26E3-419A-BEA3-AD8FEBD4E32B}"/>
    <cellStyle name="Comma 41 2 5" xfId="29469" xr:uid="{C0CDFB5A-5C4C-4DFB-B424-0DD1CCA635D8}"/>
    <cellStyle name="Comma 41 2 5 2" xfId="29470" xr:uid="{123EE186-A2B7-473E-AF33-10E711B81043}"/>
    <cellStyle name="Comma 41 2 5 2 2" xfId="29472" xr:uid="{3FCE4E0A-2624-4FFF-9DF6-18CF20FD9DA4}"/>
    <cellStyle name="Comma 41 2 5 2 2 2" xfId="29474" xr:uid="{A44BB619-B4E3-4C0D-A665-BBD8DA97B49B}"/>
    <cellStyle name="Comma 41 2 5 2 2 2 2" xfId="29476" xr:uid="{C8BC4285-FDB2-4D71-BDA1-3B59486782A9}"/>
    <cellStyle name="Comma 41 2 5 2 2 2 2 2" xfId="29478" xr:uid="{B042336A-7678-4108-B2A6-C8E7A89B425C}"/>
    <cellStyle name="Comma 41 2 5 2 2 2 2 2 2" xfId="29479" xr:uid="{183E1CCC-E964-4DFE-A6E6-3F51FD1C7D11}"/>
    <cellStyle name="Comma 41 2 5 2 2 2 2 3" xfId="16264" xr:uid="{790D6987-1C17-4863-BA61-1E9BB23D32D9}"/>
    <cellStyle name="Comma 41 2 5 2 2 2 3" xfId="29481" xr:uid="{FB3AB0AF-D2EB-4C1B-9297-646086747A67}"/>
    <cellStyle name="Comma 41 2 5 2 2 2 3 2" xfId="29482" xr:uid="{59EDECB3-FED2-4199-BEC6-BD331F939632}"/>
    <cellStyle name="Comma 41 2 5 2 2 2 4" xfId="23234" xr:uid="{01FC0DE8-A05F-46DC-94F7-1330188B0654}"/>
    <cellStyle name="Comma 41 2 5 2 2 3" xfId="15265" xr:uid="{4003339B-B1C7-49EA-A841-09A17E8305AF}"/>
    <cellStyle name="Comma 41 2 5 2 2 3 2" xfId="15269" xr:uid="{2439A9B2-7945-421D-BFE2-A4E9B3B528ED}"/>
    <cellStyle name="Comma 41 2 5 2 2 3 2 2" xfId="15271" xr:uid="{047047DC-E78E-42BB-AA5E-D905A3F33330}"/>
    <cellStyle name="Comma 41 2 5 2 2 3 3" xfId="15273" xr:uid="{B440AB86-3B71-4A57-B698-46A197555CC0}"/>
    <cellStyle name="Comma 41 2 5 2 2 4" xfId="15277" xr:uid="{E3626B11-5F73-4BFC-83C8-E4886CDFA0C7}"/>
    <cellStyle name="Comma 41 2 5 2 2 4 2" xfId="15279" xr:uid="{EF8349A5-5B2A-4FA9-92B9-3EFD9E5D6F58}"/>
    <cellStyle name="Comma 41 2 5 2 2 5" xfId="15282" xr:uid="{358C1D1B-4BC1-40F4-80A9-F79D9FCE75C4}"/>
    <cellStyle name="Comma 41 2 5 2 3" xfId="1104" xr:uid="{D626CB75-C59A-4667-9A80-8B2A567C32C2}"/>
    <cellStyle name="Comma 41 2 5 2 3 2" xfId="29484" xr:uid="{017101E7-C68D-4EE0-9B80-D0B37F76171A}"/>
    <cellStyle name="Comma 41 2 5 2 3 2 2" xfId="29487" xr:uid="{F4A6B717-3FF7-4B5F-9C53-9E47CD3D3B15}"/>
    <cellStyle name="Comma 41 2 5 2 3 2 2 2" xfId="29488" xr:uid="{B3D98950-7719-4C07-B8B7-FACAC775D99D}"/>
    <cellStyle name="Comma 41 2 5 2 3 2 3" xfId="29489" xr:uid="{FADE9CB4-CFDC-4EB4-BF95-6DFA6ACC4B1E}"/>
    <cellStyle name="Comma 41 2 5 2 3 3" xfId="15288" xr:uid="{EA36903A-C3A2-4F29-9F74-2176F091BA03}"/>
    <cellStyle name="Comma 41 2 5 2 3 3 2" xfId="15290" xr:uid="{CC4F11DA-6FF2-4973-8740-0A8450DA449C}"/>
    <cellStyle name="Comma 41 2 5 2 3 4" xfId="15293" xr:uid="{FFCE0828-82B0-4336-9037-2EB73914F8FE}"/>
    <cellStyle name="Comma 41 2 5 2 4" xfId="149" xr:uid="{997D946F-09A8-47D9-A1E2-9A28E46AA28F}"/>
    <cellStyle name="Comma 41 2 5 2 4 2" xfId="29491" xr:uid="{8C7A8974-F064-47EF-94CC-00CCA10F8B20}"/>
    <cellStyle name="Comma 41 2 5 2 4 2 2" xfId="5942" xr:uid="{5FC18156-497B-4DAF-8125-1998A8776278}"/>
    <cellStyle name="Comma 41 2 5 2 4 3" xfId="15296" xr:uid="{FB35B02C-300D-43A5-A791-F208293C18C4}"/>
    <cellStyle name="Comma 41 2 5 2 5" xfId="1118" xr:uid="{AB09C809-BF6A-4379-B781-F202587FB658}"/>
    <cellStyle name="Comma 41 2 5 2 5 2" xfId="29493" xr:uid="{83D694CC-7D8F-49FC-997D-2DE6DCA30FD6}"/>
    <cellStyle name="Comma 41 2 5 2 6" xfId="1127" xr:uid="{FCD7EBB6-DCB9-4AEE-9EEB-19440CD6042E}"/>
    <cellStyle name="Comma 41 2 5 2 7" xfId="1139" xr:uid="{41C13CD0-CBD4-4D2E-AD54-EBECD2F2DE09}"/>
    <cellStyle name="Comma 41 2 5 3" xfId="29494" xr:uid="{E6C5AA55-3FF3-4E11-8F28-80FF8AE78C31}"/>
    <cellStyle name="Comma 41 2 5 3 2" xfId="29496" xr:uid="{E5B239F4-F6E8-40FD-A048-BCE3FD89855F}"/>
    <cellStyle name="Comma 41 2 5 3 2 2" xfId="29498" xr:uid="{0F144376-2F09-40D8-9531-F4C60AC20CD9}"/>
    <cellStyle name="Comma 41 2 5 3 2 2 2" xfId="29500" xr:uid="{D4998488-8BFC-4768-80F4-BA16054E621F}"/>
    <cellStyle name="Comma 41 2 5 3 2 2 2 2" xfId="29501" xr:uid="{A08BFC11-5C4D-4462-8738-FD81EE779631}"/>
    <cellStyle name="Comma 41 2 5 3 2 2 3" xfId="29502" xr:uid="{B812DBEE-8456-4E34-9789-23C3442F8E37}"/>
    <cellStyle name="Comma 41 2 5 3 2 3" xfId="15490" xr:uid="{EE05DC2E-5BF9-46AA-9D0F-CD3A3687DE92}"/>
    <cellStyle name="Comma 41 2 5 3 2 3 2" xfId="15492" xr:uid="{A8BDA53D-3A35-4DE2-866F-6127A1F53392}"/>
    <cellStyle name="Comma 41 2 5 3 2 4" xfId="15495" xr:uid="{EF55B7A3-FE52-4122-862E-F41315DDB25C}"/>
    <cellStyle name="Comma 41 2 5 3 3" xfId="29504" xr:uid="{656ADD8D-78AF-49D4-AF13-632F537C6C99}"/>
    <cellStyle name="Comma 41 2 5 3 3 2" xfId="29506" xr:uid="{D3AF9CCC-F27D-45DA-978E-4E87BB18CC2E}"/>
    <cellStyle name="Comma 41 2 5 3 3 2 2" xfId="29508" xr:uid="{0CD23869-4932-4AE4-BCA7-A75644D5ABBB}"/>
    <cellStyle name="Comma 41 2 5 3 3 3" xfId="15501" xr:uid="{98EA1414-8B6F-46AE-8B64-701A78A2CBCD}"/>
    <cellStyle name="Comma 41 2 5 3 4" xfId="29510" xr:uid="{DDA83591-D7D3-436C-96C8-CF3491D672B2}"/>
    <cellStyle name="Comma 41 2 5 3 4 2" xfId="29511" xr:uid="{CFE8086D-E4C0-4FFB-81FC-2470F7147D9A}"/>
    <cellStyle name="Comma 41 2 5 3 5" xfId="29513" xr:uid="{22A36E00-C65C-4BF9-87E3-56902041F41B}"/>
    <cellStyle name="Comma 41 2 5 4" xfId="29514" xr:uid="{F50E2DCC-9406-4928-8958-E035E87A39C5}"/>
    <cellStyle name="Comma 41 2 5 4 2" xfId="29516" xr:uid="{E4B44B77-A65C-4893-8922-FCFACF19B8AE}"/>
    <cellStyle name="Comma 41 2 5 4 2 2" xfId="29518" xr:uid="{B9010924-4650-4528-98CE-217F67ABEA67}"/>
    <cellStyle name="Comma 41 2 5 4 2 2 2" xfId="29521" xr:uid="{12F79876-231D-4067-93C1-57DB918D0DA7}"/>
    <cellStyle name="Comma 41 2 5 4 2 3" xfId="15610" xr:uid="{18B5E8DD-4592-4D2D-A884-ED520FACAA66}"/>
    <cellStyle name="Comma 41 2 5 4 3" xfId="9871" xr:uid="{FE083CC9-D103-4C55-80FC-B211262F08C4}"/>
    <cellStyle name="Comma 41 2 5 4 3 2" xfId="9873" xr:uid="{3E2B48C4-8437-4F1D-AC11-45B489AF90B6}"/>
    <cellStyle name="Comma 41 2 5 4 4" xfId="9879" xr:uid="{CDA47D42-5E3E-424C-A543-A31173BA971F}"/>
    <cellStyle name="Comma 41 2 5 5" xfId="18197" xr:uid="{B5ECD6FB-2FAD-4FD4-B468-7D74F2544AFD}"/>
    <cellStyle name="Comma 41 2 5 5 2" xfId="18200" xr:uid="{FD9C32BD-28DB-4984-B422-B8D04F6079A0}"/>
    <cellStyle name="Comma 41 2 5 5 2 2" xfId="18202" xr:uid="{608852DA-B584-4925-9FEA-5918E7D1B3DE}"/>
    <cellStyle name="Comma 41 2 5 5 3" xfId="9885" xr:uid="{FD7CA176-AB13-4F19-95CF-4D2D291AF476}"/>
    <cellStyle name="Comma 41 2 5 6" xfId="18213" xr:uid="{35913EDE-70DB-4160-91BF-B75C1BC7D8CF}"/>
    <cellStyle name="Comma 41 2 5 6 2" xfId="18215" xr:uid="{4D2FC3EC-44AE-4779-ABC0-C72B6ED85AA8}"/>
    <cellStyle name="Comma 41 2 5 7" xfId="18218" xr:uid="{4A45EE4D-B083-431F-9C48-2E2B95CAAA6A}"/>
    <cellStyle name="Comma 41 2 5 8" xfId="18223" xr:uid="{A1B978A7-BA56-42EF-8C28-5E01FDD551DD}"/>
    <cellStyle name="Comma 41 2 6" xfId="29523" xr:uid="{88859581-9C29-4397-B7D1-C11A7E67CA0D}"/>
    <cellStyle name="Comma 41 2 6 2" xfId="29524" xr:uid="{5EC71201-4695-43A7-88D7-19D70BD02207}"/>
    <cellStyle name="Comma 41 2 6 2 2" xfId="29526" xr:uid="{6C839D3A-8D91-45F5-AC5C-8A4EC81F057D}"/>
    <cellStyle name="Comma 41 2 6 2 2 2" xfId="29528" xr:uid="{6CA4312F-596D-4D6F-B3E5-B5F2138C2135}"/>
    <cellStyle name="Comma 41 2 6 2 2 2 2" xfId="29531" xr:uid="{EF7D0EF1-E254-4C3E-9963-D3F2D94F21D6}"/>
    <cellStyle name="Comma 41 2 6 2 2 2 2 2" xfId="29532" xr:uid="{64509290-7140-4E2D-B14F-8DBB23A34E02}"/>
    <cellStyle name="Comma 41 2 6 2 2 2 3" xfId="29535" xr:uid="{5BED6BED-AD55-458F-AF2C-F2BD5F5BC3F0}"/>
    <cellStyle name="Comma 41 2 6 2 2 3" xfId="29537" xr:uid="{77B830B1-9117-4DCA-B137-0D35BFC3C96B}"/>
    <cellStyle name="Comma 41 2 6 2 2 3 2" xfId="29539" xr:uid="{12764D19-1F10-452F-B7E0-52CDE894034E}"/>
    <cellStyle name="Comma 41 2 6 2 2 4" xfId="29540" xr:uid="{7E2CF9C5-9955-45C8-BE54-4F75A7FB14D9}"/>
    <cellStyle name="Comma 41 2 6 2 3" xfId="29542" xr:uid="{9306A6B4-6636-4013-B6C1-EE83FCBF9F79}"/>
    <cellStyle name="Comma 41 2 6 2 3 2" xfId="29544" xr:uid="{2DFF56BD-839D-4B30-B3DA-7CCC7443897A}"/>
    <cellStyle name="Comma 41 2 6 2 3 2 2" xfId="29545" xr:uid="{BCEA8A9B-5041-4D00-9756-F7DCA2A8DA4A}"/>
    <cellStyle name="Comma 41 2 6 2 3 3" xfId="29546" xr:uid="{3A180D93-6C46-4B96-97B8-45F2F95DDEA4}"/>
    <cellStyle name="Comma 41 2 6 2 4" xfId="29550" xr:uid="{8E765B05-5B59-4759-AD2E-2D2BF3BCC99D}"/>
    <cellStyle name="Comma 41 2 6 2 4 2" xfId="29551" xr:uid="{D2462C58-3DDF-482D-A74E-B38A4E0F0D36}"/>
    <cellStyle name="Comma 41 2 6 2 5" xfId="29553" xr:uid="{F6B618AE-C9AC-4597-86F2-0031A341B89A}"/>
    <cellStyle name="Comma 41 2 6 3" xfId="6310" xr:uid="{92B1FA26-D3D7-47C0-8938-10E9CAF6D70D}"/>
    <cellStyle name="Comma 41 2 6 3 2" xfId="29555" xr:uid="{1A3D4B53-D6E3-4D09-8407-1322E695CD97}"/>
    <cellStyle name="Comma 41 2 6 3 2 2" xfId="29558" xr:uid="{2D260D58-2D2B-4FF3-A255-1EC24035D516}"/>
    <cellStyle name="Comma 41 2 6 3 2 2 2" xfId="982" xr:uid="{27E49E44-A6D1-491C-9218-5F58B2602ACA}"/>
    <cellStyle name="Comma 41 2 6 3 2 3" xfId="21005" xr:uid="{03AF942F-990B-4977-8212-6F9ED0ED6D56}"/>
    <cellStyle name="Comma 41 2 6 3 3" xfId="29324" xr:uid="{D3842491-D5BD-496A-92B1-B5C5FF2DC572}"/>
    <cellStyle name="Comma 41 2 6 3 3 2" xfId="29327" xr:uid="{7F562905-F36E-4EFB-8280-31A0F9F588C3}"/>
    <cellStyle name="Comma 41 2 6 3 4" xfId="29330" xr:uid="{788AE1B3-C2C4-4D0F-A06D-9082FA88019B}"/>
    <cellStyle name="Comma 41 2 6 4" xfId="29039" xr:uid="{B452B968-5036-4989-86D2-EE8567A9290F}"/>
    <cellStyle name="Comma 41 2 6 4 2" xfId="29560" xr:uid="{31B39A02-95BA-4DB9-BD45-E2F32A7D82B9}"/>
    <cellStyle name="Comma 41 2 6 4 2 2" xfId="29563" xr:uid="{B42A6AAF-81D9-488C-A914-74A949166C8E}"/>
    <cellStyle name="Comma 41 2 6 4 3" xfId="9897" xr:uid="{271ED417-63FD-489F-99C7-ECAC28EA7840}"/>
    <cellStyle name="Comma 41 2 6 5" xfId="18232" xr:uid="{60E1EFDD-1881-48FD-B403-2D72DCAE6EDA}"/>
    <cellStyle name="Comma 41 2 6 5 2" xfId="18234" xr:uid="{9C176318-30C0-4A29-8BC3-E29495E21F8D}"/>
    <cellStyle name="Comma 41 2 6 6" xfId="18237" xr:uid="{D073E6CE-11EC-4630-BF6C-2D5E3F7A1D2E}"/>
    <cellStyle name="Comma 41 2 6 7" xfId="18244" xr:uid="{3748568E-DF67-495B-AA7A-8CB1A048DFDC}"/>
    <cellStyle name="Comma 41 2 7" xfId="29565" xr:uid="{B8B67DC7-2391-404C-AABC-DEFEE5B0BA5F}"/>
    <cellStyle name="Comma 41 2 7 2" xfId="29566" xr:uid="{8D4544AC-5AB7-4394-AC4D-D65200C783FD}"/>
    <cellStyle name="Comma 41 2 7 2 2" xfId="29568" xr:uid="{7B8AC3B3-2EF3-4BD1-A58E-F569F80B4C90}"/>
    <cellStyle name="Comma 41 2 7 2 2 2" xfId="23958" xr:uid="{B8F37A8D-359A-4F63-9768-E25B6B6837C0}"/>
    <cellStyle name="Comma 41 2 7 2 2 2 2" xfId="23963" xr:uid="{ECFD7D23-A2C0-4383-8A0D-C4835756F12F}"/>
    <cellStyle name="Comma 41 2 7 2 2 3" xfId="16158" xr:uid="{865F83DE-DE0A-4D82-955D-2FA1DE8CB9DB}"/>
    <cellStyle name="Comma 41 2 7 2 3" xfId="29570" xr:uid="{A7565566-9C4B-46FD-BA2D-38319C9F8E04}"/>
    <cellStyle name="Comma 41 2 7 2 3 2" xfId="23971" xr:uid="{5F75EDA5-70AC-4E07-BD46-5AB2D3A47CC4}"/>
    <cellStyle name="Comma 41 2 7 2 4" xfId="23372" xr:uid="{81D75CCD-97C5-455E-B9D7-7C2F41195B39}"/>
    <cellStyle name="Comma 41 2 7 3" xfId="29571" xr:uid="{C0810FFA-9F53-40BE-9F01-7A771AB9009F}"/>
    <cellStyle name="Comma 41 2 7 3 2" xfId="29573" xr:uid="{6DED2D93-37BB-4C7C-BE8C-9014BD3588B4}"/>
    <cellStyle name="Comma 41 2 7 3 2 2" xfId="6052" xr:uid="{5455BD34-EDC9-4EE0-A5D1-B00C367F9196}"/>
    <cellStyle name="Comma 41 2 7 3 3" xfId="29340" xr:uid="{E7F3C098-BBD8-44BD-8036-ED08DA8B42F4}"/>
    <cellStyle name="Comma 41 2 7 4" xfId="29574" xr:uid="{8EA1FD55-AEE2-4A80-9DA9-45A84D192A82}"/>
    <cellStyle name="Comma 41 2 7 4 2" xfId="29575" xr:uid="{0BB33BF8-EC39-4311-B101-FB449AA31403}"/>
    <cellStyle name="Comma 41 2 7 5" xfId="18249" xr:uid="{02B2DFCC-3159-4DCA-B9C6-CDFD35A7BCD8}"/>
    <cellStyle name="Comma 41 2 8" xfId="29578" xr:uid="{DC89C7B3-5220-4C13-8108-BD3D399DA76C}"/>
    <cellStyle name="Comma 41 2 8 2" xfId="29579" xr:uid="{B03F5268-E592-4FFB-A076-1D69848A76D9}"/>
    <cellStyle name="Comma 41 2 8 2 2" xfId="29580" xr:uid="{900E71DD-7830-4547-B564-D4C69F4F1ACD}"/>
    <cellStyle name="Comma 41 2 8 2 2 2" xfId="23989" xr:uid="{768F7B9E-D81B-4541-A970-ADD63233CD5E}"/>
    <cellStyle name="Comma 41 2 8 2 3" xfId="29581" xr:uid="{3CBAF30F-6EC8-4D83-BF66-B8D88E46E3FA}"/>
    <cellStyle name="Comma 41 2 8 3" xfId="15084" xr:uid="{CBA1D874-2F00-4B9B-B484-407857C0B1DF}"/>
    <cellStyle name="Comma 41 2 8 3 2" xfId="29582" xr:uid="{8712178D-4739-4DC6-9A62-10AC8AA05F51}"/>
    <cellStyle name="Comma 41 2 8 4" xfId="29583" xr:uid="{981C5B85-CC55-4115-9F3E-9721D91EE243}"/>
    <cellStyle name="Comma 41 2 9" xfId="29586" xr:uid="{741B14A0-92C0-4950-B304-AC54E7AFA581}"/>
    <cellStyle name="Comma 41 2 9 2" xfId="29587" xr:uid="{9ED507A5-7796-4255-B21C-3724447049CB}"/>
    <cellStyle name="Comma 41 2 9 2 2" xfId="29588" xr:uid="{784B507B-BB1B-4F6E-9045-42E299A1FF7C}"/>
    <cellStyle name="Comma 41 2 9 3" xfId="29589" xr:uid="{9F6B924D-D5CE-4BA9-A8C8-CC83D45BBAA3}"/>
    <cellStyle name="Comma 41 3" xfId="26074" xr:uid="{DAAA70B5-7C08-471D-8D6E-D9CBDFAA644C}"/>
    <cellStyle name="Comma 41 3 10" xfId="29590" xr:uid="{0DF9F1F7-4CB7-4CD3-ADA2-03187DBA6677}"/>
    <cellStyle name="Comma 41 3 11" xfId="29591" xr:uid="{D1F2CE0C-680A-42A0-96F1-E4DE69B1343C}"/>
    <cellStyle name="Comma 41 3 12" xfId="29592" xr:uid="{C9A140D5-4EFF-4E32-830E-44F3B037FCE4}"/>
    <cellStyle name="Comma 41 3 2" xfId="29594" xr:uid="{C508E6C1-F146-4BE5-A5F7-2775B337F7AD}"/>
    <cellStyle name="Comma 41 3 2 10" xfId="29595" xr:uid="{30306681-AC3A-4C24-BEC3-2881D760E467}"/>
    <cellStyle name="Comma 41 3 2 2" xfId="6912" xr:uid="{E2AB166F-DFAB-46DE-A946-D34BFA3D5A6E}"/>
    <cellStyle name="Comma 41 3 2 2 2" xfId="3540" xr:uid="{983C304A-0D62-4AB1-A089-B6F5428EDC4B}"/>
    <cellStyle name="Comma 41 3 2 2 2 2" xfId="21678" xr:uid="{D413ADD8-23A6-4E67-8D7F-0293B814FD32}"/>
    <cellStyle name="Comma 41 3 2 2 2 2 2" xfId="21680" xr:uid="{176C389D-B11D-4D3F-99BD-D781B7D53055}"/>
    <cellStyle name="Comma 41 3 2 2 2 2 2 2" xfId="29596" xr:uid="{9BD6EF65-507C-405F-907F-7FDA0CCF3D32}"/>
    <cellStyle name="Comma 41 3 2 2 2 2 2 2 2" xfId="29597" xr:uid="{484D0AA6-C2A6-4B26-AC7C-C61C7F6EA09D}"/>
    <cellStyle name="Comma 41 3 2 2 2 2 2 2 2 2" xfId="27092" xr:uid="{AE57E463-D497-405E-9B4B-927B748170AB}"/>
    <cellStyle name="Comma 41 3 2 2 2 2 2 2 2 2 2" xfId="27095" xr:uid="{44CBFBB3-30CB-4685-B2A5-4EE86F3486F8}"/>
    <cellStyle name="Comma 41 3 2 2 2 2 2 2 2 3" xfId="27102" xr:uid="{668C82B3-6120-400D-A9E5-D8EAF0020CAE}"/>
    <cellStyle name="Comma 41 3 2 2 2 2 2 2 3" xfId="29598" xr:uid="{96E819AE-0E8B-4A3C-B913-FDC424BD7270}"/>
    <cellStyle name="Comma 41 3 2 2 2 2 2 2 3 2" xfId="27229" xr:uid="{E967D10B-A278-4295-94DE-1E4036A09378}"/>
    <cellStyle name="Comma 41 3 2 2 2 2 2 2 4" xfId="22858" xr:uid="{600997F5-66ED-47BB-82E0-EFB1D415A352}"/>
    <cellStyle name="Comma 41 3 2 2 2 2 2 3" xfId="2441" xr:uid="{88B0E066-7ACD-4FCA-B3DB-E1ED7DB30DBC}"/>
    <cellStyle name="Comma 41 3 2 2 2 2 2 3 2" xfId="2447" xr:uid="{7B7EF224-0420-45A6-B559-BD9CE8D79E9C}"/>
    <cellStyle name="Comma 41 3 2 2 2 2 2 3 2 2" xfId="17180" xr:uid="{5A3ACECD-0D85-4B52-929B-B5BF248FED47}"/>
    <cellStyle name="Comma 41 3 2 2 2 2 2 3 3" xfId="29599" xr:uid="{12135CD5-BB92-4E26-860A-4DA37C3665C0}"/>
    <cellStyle name="Comma 41 3 2 2 2 2 2 4" xfId="2483" xr:uid="{3CDF0D85-B1AC-4F98-B7CC-60DE3AC2B671}"/>
    <cellStyle name="Comma 41 3 2 2 2 2 2 4 2" xfId="29600" xr:uid="{127E0157-093D-4909-8B1D-BB00522E237C}"/>
    <cellStyle name="Comma 41 3 2 2 2 2 2 5" xfId="15420" xr:uid="{268B64D7-1262-4198-AC81-EED83955720F}"/>
    <cellStyle name="Comma 41 3 2 2 2 2 3" xfId="29602" xr:uid="{805C3DD8-3425-4776-BFF7-D27B7ADC0CD3}"/>
    <cellStyle name="Comma 41 3 2 2 2 2 3 2" xfId="29603" xr:uid="{A5751CE5-910B-48B5-8B1B-40C4435CCE43}"/>
    <cellStyle name="Comma 41 3 2 2 2 2 3 2 2" xfId="29604" xr:uid="{355E30DD-7601-443D-B96C-2CA75E249920}"/>
    <cellStyle name="Comma 41 3 2 2 2 2 3 2 2 2" xfId="29605" xr:uid="{C80EB189-A05B-4242-9DDF-8285665754C2}"/>
    <cellStyle name="Comma 41 3 2 2 2 2 3 2 3" xfId="29606" xr:uid="{D88C80C4-D070-4A22-92D0-2A0BEDE266C4}"/>
    <cellStyle name="Comma 41 3 2 2 2 2 3 3" xfId="4624" xr:uid="{3CBDE009-D53E-4BB9-B904-F96800450303}"/>
    <cellStyle name="Comma 41 3 2 2 2 2 3 3 2" xfId="20986" xr:uid="{E283C2B9-3EDF-4DCB-9E6C-F18116BA2ECF}"/>
    <cellStyle name="Comma 41 3 2 2 2 2 3 4" xfId="28101" xr:uid="{E9B92DBE-C861-482F-A288-D7973992CAEB}"/>
    <cellStyle name="Comma 41 3 2 2 2 2 4" xfId="23262" xr:uid="{8FB16DE2-B2AA-44DD-B332-3DF9438C488A}"/>
    <cellStyle name="Comma 41 3 2 2 2 2 4 2" xfId="23264" xr:uid="{57A2471C-619A-4312-9289-59F647ED6A73}"/>
    <cellStyle name="Comma 41 3 2 2 2 2 4 2 2" xfId="23266" xr:uid="{9736ED9B-F4CF-4F38-8D16-AAA72A36DF6D}"/>
    <cellStyle name="Comma 41 3 2 2 2 2 4 3" xfId="23268" xr:uid="{A87A4270-B81E-42A4-ABB8-F7FA16C9DF14}"/>
    <cellStyle name="Comma 41 3 2 2 2 2 5" xfId="23270" xr:uid="{EE97A1F6-F8DD-4B9E-95DD-DCE45F78B9A1}"/>
    <cellStyle name="Comma 41 3 2 2 2 2 5 2" xfId="23273" xr:uid="{BB2DFC35-C5FB-454F-BEF6-3F226097AA90}"/>
    <cellStyle name="Comma 41 3 2 2 2 2 6" xfId="23276" xr:uid="{C3DAC1C8-1D9C-443F-8D0F-20B61130B3B2}"/>
    <cellStyle name="Comma 41 3 2 2 2 2 7" xfId="29607" xr:uid="{9DE12087-4EAA-48E6-92B0-833FC59A4FB6}"/>
    <cellStyle name="Comma 41 3 2 2 2 3" xfId="21682" xr:uid="{4B99C64A-7AF8-4BCC-887E-A64DD7FE91C5}"/>
    <cellStyle name="Comma 41 3 2 2 2 3 2" xfId="29608" xr:uid="{8F92028E-0C29-4B42-A36C-8B66C24150EA}"/>
    <cellStyle name="Comma 41 3 2 2 2 3 2 2" xfId="29609" xr:uid="{B0063780-B1BE-4ED6-9DDA-2CB17C58A2C1}"/>
    <cellStyle name="Comma 41 3 2 2 2 3 2 2 2" xfId="29610" xr:uid="{4AD08B8E-F868-419C-B334-0474BCC91604}"/>
    <cellStyle name="Comma 41 3 2 2 2 3 2 2 2 2" xfId="29611" xr:uid="{783158E7-2B2E-4F05-B556-67ED7BFBF787}"/>
    <cellStyle name="Comma 41 3 2 2 2 3 2 2 3" xfId="5908" xr:uid="{58051712-7733-44D8-9773-CEFE013687BE}"/>
    <cellStyle name="Comma 41 3 2 2 2 3 2 3" xfId="1752" xr:uid="{619E62AD-DDA8-4CF8-9062-CE98BB3AC903}"/>
    <cellStyle name="Comma 41 3 2 2 2 3 2 3 2" xfId="12280" xr:uid="{293D72FD-AEC3-4B9D-8847-084E32FBFB54}"/>
    <cellStyle name="Comma 41 3 2 2 2 3 2 4" xfId="29612" xr:uid="{D967BEC0-3220-4D27-8F38-CDBCC10C95ED}"/>
    <cellStyle name="Comma 41 3 2 2 2 3 3" xfId="29613" xr:uid="{D9D524B8-1753-4382-BB3B-DFE93F3A7EEE}"/>
    <cellStyle name="Comma 41 3 2 2 2 3 3 2" xfId="29614" xr:uid="{6511F990-B998-4C1F-BFE7-D5036ACC8C27}"/>
    <cellStyle name="Comma 41 3 2 2 2 3 3 2 2" xfId="29615" xr:uid="{CF8DFAF5-C364-41EA-A03F-92CDF1A2436D}"/>
    <cellStyle name="Comma 41 3 2 2 2 3 3 3" xfId="29616" xr:uid="{D851E42E-BD90-496D-84DD-BE4864C1A6E2}"/>
    <cellStyle name="Comma 41 3 2 2 2 3 4" xfId="23279" xr:uid="{5DC2F40B-D947-4FC7-B5CE-4E41F982DD1D}"/>
    <cellStyle name="Comma 41 3 2 2 2 3 4 2" xfId="23281" xr:uid="{4F3EB873-9AF4-4264-9D0C-A0D3F15C4A7F}"/>
    <cellStyle name="Comma 41 3 2 2 2 3 5" xfId="23283" xr:uid="{AB981D87-CA03-4E6D-ACEF-9DB3736F0CC8}"/>
    <cellStyle name="Comma 41 3 2 2 2 4" xfId="29617" xr:uid="{DA73D730-F1A6-47BB-9EE2-420231E3B5F4}"/>
    <cellStyle name="Comma 41 3 2 2 2 4 2" xfId="29618" xr:uid="{81CA3C3E-F517-4354-93D0-4B7F1FE83CA3}"/>
    <cellStyle name="Comma 41 3 2 2 2 4 2 2" xfId="24707" xr:uid="{B1E3C2BC-B633-4CF7-BB63-607EAA727AA9}"/>
    <cellStyle name="Comma 41 3 2 2 2 4 2 2 2" xfId="29619" xr:uid="{EA84C995-94AE-49B6-820C-97E0277711B6}"/>
    <cellStyle name="Comma 41 3 2 2 2 4 2 3" xfId="24709" xr:uid="{F2C8D1D7-2139-45C8-B55C-B2D4EB990276}"/>
    <cellStyle name="Comma 41 3 2 2 2 4 3" xfId="29620" xr:uid="{BA2769C4-9D50-45DE-ABAC-A301A20B25A7}"/>
    <cellStyle name="Comma 41 3 2 2 2 4 3 2" xfId="29621" xr:uid="{8BD90C5A-DD93-4EA6-8F8A-B3A8643163CA}"/>
    <cellStyle name="Comma 41 3 2 2 2 4 4" xfId="23290" xr:uid="{0C3DCA21-04D8-46E4-9F02-62AB9F2268DD}"/>
    <cellStyle name="Comma 41 3 2 2 2 5" xfId="29622" xr:uid="{07E27248-26FE-4B1D-BBEE-2BDC3D73850F}"/>
    <cellStyle name="Comma 41 3 2 2 2 5 2" xfId="29623" xr:uid="{BB5CCB1F-8AF8-42B6-B221-05D2319EC858}"/>
    <cellStyle name="Comma 41 3 2 2 2 5 2 2" xfId="29624" xr:uid="{DD6CAD61-4EB7-4328-94B8-247310C7D0B0}"/>
    <cellStyle name="Comma 41 3 2 2 2 5 3" xfId="29625" xr:uid="{0BF04BA6-6AC8-4F09-963E-0987A688FF5C}"/>
    <cellStyle name="Comma 41 3 2 2 2 6" xfId="29626" xr:uid="{5CA94708-E775-403B-B430-F484F62B0332}"/>
    <cellStyle name="Comma 41 3 2 2 2 6 2" xfId="29627" xr:uid="{7390EF1A-9105-446A-84B0-4FFD2D90A0D5}"/>
    <cellStyle name="Comma 41 3 2 2 2 7" xfId="29628" xr:uid="{C4B71D43-675F-47D3-B5B5-72A555D3521D}"/>
    <cellStyle name="Comma 41 3 2 2 2 8" xfId="29629" xr:uid="{86679226-7853-478E-A06F-B4D7FD197781}"/>
    <cellStyle name="Comma 41 3 2 2 3" xfId="21684" xr:uid="{19FE4965-B480-4302-B2E9-1FEC5BE9C7EF}"/>
    <cellStyle name="Comma 41 3 2 2 3 2" xfId="21686" xr:uid="{A1418130-0706-4C48-A014-10329FA08CFC}"/>
    <cellStyle name="Comma 41 3 2 2 3 2 2" xfId="29630" xr:uid="{4C364552-353C-474E-9E05-26634446BA25}"/>
    <cellStyle name="Comma 41 3 2 2 3 2 2 2" xfId="9496" xr:uid="{3E48A520-5B6F-4BE3-9999-6202AC41FECD}"/>
    <cellStyle name="Comma 41 3 2 2 3 2 2 2 2" xfId="9498" xr:uid="{3941DA7B-8239-49C6-A47F-6C9F6295FFA0}"/>
    <cellStyle name="Comma 41 3 2 2 3 2 2 2 2 2" xfId="22734" xr:uid="{0E5891E3-BAC5-4115-9A80-1C66D78AD66F}"/>
    <cellStyle name="Comma 41 3 2 2 3 2 2 2 3" xfId="29631" xr:uid="{9C49C24D-12F7-49CF-A38C-FE950135DB14}"/>
    <cellStyle name="Comma 41 3 2 2 3 2 2 3" xfId="5054" xr:uid="{B32893ED-B01D-477A-B9D0-34EB0252A389}"/>
    <cellStyle name="Comma 41 3 2 2 3 2 2 3 2" xfId="29004" xr:uid="{6A6082AB-BE10-4275-A33C-CD329B9B8C33}"/>
    <cellStyle name="Comma 41 3 2 2 3 2 2 4" xfId="29149" xr:uid="{BAA654FB-4A73-40BD-BD8D-A22E375EE2C4}"/>
    <cellStyle name="Comma 41 3 2 2 3 2 3" xfId="23839" xr:uid="{F8E2D40D-D9AA-4E7F-9557-664E25CA67D2}"/>
    <cellStyle name="Comma 41 3 2 2 3 2 3 2" xfId="9512" xr:uid="{860E764D-10AE-4866-9237-AF46093254B8}"/>
    <cellStyle name="Comma 41 3 2 2 3 2 3 2 2" xfId="26387" xr:uid="{7E4563E5-1FEC-4069-A985-3D6596B8B313}"/>
    <cellStyle name="Comma 41 3 2 2 3 2 3 3" xfId="26389" xr:uid="{BEDE0E03-E8BE-41B8-8CBE-A95A894F3C82}"/>
    <cellStyle name="Comma 41 3 2 2 3 2 4" xfId="23297" xr:uid="{7A526B34-7588-4EC1-A146-4591CEE217BE}"/>
    <cellStyle name="Comma 41 3 2 2 3 2 4 2" xfId="23301" xr:uid="{2CBBB779-5D56-437B-85FF-93C8F12620AA}"/>
    <cellStyle name="Comma 41 3 2 2 3 2 5" xfId="23304" xr:uid="{037D4B56-4AB4-4A0C-93D0-31C0C36EF502}"/>
    <cellStyle name="Comma 41 3 2 2 3 3" xfId="29632" xr:uid="{6C559D00-FD38-477E-A2AD-A4FC04F4034D}"/>
    <cellStyle name="Comma 41 3 2 2 3 3 2" xfId="29633" xr:uid="{351F0618-846B-4EFA-8A6B-F4143F1E9D76}"/>
    <cellStyle name="Comma 41 3 2 2 3 3 2 2" xfId="9583" xr:uid="{7A84950B-7074-4DDE-A42F-B845D036E0B0}"/>
    <cellStyle name="Comma 41 3 2 2 3 3 2 2 2" xfId="29634" xr:uid="{E94EFA58-EA27-410A-96D4-5F1353807699}"/>
    <cellStyle name="Comma 41 3 2 2 3 3 2 3" xfId="29636" xr:uid="{96F17F96-1B33-492E-BA0E-37D2E46B9F36}"/>
    <cellStyle name="Comma 41 3 2 2 3 3 3" xfId="23842" xr:uid="{568AEBAA-3B49-466B-BFED-A16191CA9CA9}"/>
    <cellStyle name="Comma 41 3 2 2 3 3 3 2" xfId="26411" xr:uid="{2294ECBB-EC4D-47EA-A847-94517ADB2762}"/>
    <cellStyle name="Comma 41 3 2 2 3 3 4" xfId="23307" xr:uid="{0107D56F-B9F9-4708-AE9D-910B67AD6106}"/>
    <cellStyle name="Comma 41 3 2 2 3 4" xfId="29638" xr:uid="{981E373C-6B63-4FE5-AA25-01879DBACC7C}"/>
    <cellStyle name="Comma 41 3 2 2 3 4 2" xfId="29639" xr:uid="{2350850B-ED2B-485C-9489-15049FDE6B69}"/>
    <cellStyle name="Comma 41 3 2 2 3 4 2 2" xfId="27415" xr:uid="{4E4237FA-FCCE-491D-8B35-071AFF8724B3}"/>
    <cellStyle name="Comma 41 3 2 2 3 4 3" xfId="48" xr:uid="{A0392217-2C51-4C60-93D4-4BE9AFF1C46F}"/>
    <cellStyle name="Comma 41 3 2 2 3 5" xfId="29640" xr:uid="{DEBA3225-DFCB-4D95-A1E3-D5C6AF540BAB}"/>
    <cellStyle name="Comma 41 3 2 2 3 5 2" xfId="29641" xr:uid="{A9988D54-56E7-44FC-9CAE-58F4F4E93AD9}"/>
    <cellStyle name="Comma 41 3 2 2 3 6" xfId="29642" xr:uid="{F0DFCD5D-A3BB-4C21-B445-E98B786E85F1}"/>
    <cellStyle name="Comma 41 3 2 2 3 7" xfId="29643" xr:uid="{10B3A3B6-DC73-4720-BA61-4746251315E1}"/>
    <cellStyle name="Comma 41 3 2 2 4" xfId="21688" xr:uid="{C475B7A4-A93D-49DC-8263-FD2A7472DC4B}"/>
    <cellStyle name="Comma 41 3 2 2 4 2" xfId="29644" xr:uid="{3A03C5D7-B481-4DE3-AC46-97DD8BFFB736}"/>
    <cellStyle name="Comma 41 3 2 2 4 2 2" xfId="10140" xr:uid="{73F8FF5E-A8C4-45B2-96D7-E9FE48F3B46F}"/>
    <cellStyle name="Comma 41 3 2 2 4 2 2 2" xfId="9741" xr:uid="{62856ABE-1673-412E-8A53-299404841D2F}"/>
    <cellStyle name="Comma 41 3 2 2 4 2 2 2 2" xfId="29645" xr:uid="{1E053C10-1C6E-4F92-92C5-CAF3A4178D7B}"/>
    <cellStyle name="Comma 41 3 2 2 4 2 2 3" xfId="29646" xr:uid="{6078B2EB-50E6-4E7A-B029-BD4135DAD0DC}"/>
    <cellStyle name="Comma 41 3 2 2 4 2 3" xfId="1277" xr:uid="{C798FDCB-600E-4E96-A3C5-4D00A3245CB8}"/>
    <cellStyle name="Comma 41 3 2 2 4 2 3 2" xfId="2225" xr:uid="{E7D6D09C-6573-455D-B7C8-EEBC88FE124B}"/>
    <cellStyle name="Comma 41 3 2 2 4 2 4" xfId="4130" xr:uid="{3687643F-CB99-46F1-9C87-59876A1BCF91}"/>
    <cellStyle name="Comma 41 3 2 2 4 3" xfId="29648" xr:uid="{EB4E6D76-F182-40F9-88A1-6BD061A75BD0}"/>
    <cellStyle name="Comma 41 3 2 2 4 3 2" xfId="29650" xr:uid="{0EAE8E03-0F09-460B-B1A5-E9850BB97021}"/>
    <cellStyle name="Comma 41 3 2 2 4 3 2 2" xfId="29652" xr:uid="{6C268044-E0C1-4AC3-BA69-DA75BDDBDA17}"/>
    <cellStyle name="Comma 41 3 2 2 4 3 3" xfId="1376" xr:uid="{390E397D-2FFE-428D-9207-349A858500F2}"/>
    <cellStyle name="Comma 41 3 2 2 4 4" xfId="29654" xr:uid="{376137F3-5B96-4B2D-992A-F92DBF27E582}"/>
    <cellStyle name="Comma 41 3 2 2 4 4 2" xfId="29656" xr:uid="{0FDC0482-7BB1-43E8-868C-0A73E9C48CC5}"/>
    <cellStyle name="Comma 41 3 2 2 4 5" xfId="23323" xr:uid="{30EA2FF2-BAB6-4AA7-96CA-B1832A68973E}"/>
    <cellStyle name="Comma 41 3 2 2 5" xfId="21690" xr:uid="{6BE3D459-5A3E-4B57-9058-8F1F3676FE31}"/>
    <cellStyle name="Comma 41 3 2 2 5 2" xfId="29657" xr:uid="{BF7257B1-735A-415A-A79A-E0ECAE1543A1}"/>
    <cellStyle name="Comma 41 3 2 2 5 2 2" xfId="13807" xr:uid="{57F3A590-04E3-473A-8407-301A459448E8}"/>
    <cellStyle name="Comma 41 3 2 2 5 2 2 2" xfId="29658" xr:uid="{E6B5E011-1915-4EE7-A714-03F85ADA0C11}"/>
    <cellStyle name="Comma 41 3 2 2 5 2 3" xfId="5642" xr:uid="{95478C7C-3FB6-421D-A9D7-5B3D8BFFE8A6}"/>
    <cellStyle name="Comma 41 3 2 2 5 3" xfId="29661" xr:uid="{B62666B0-9DE1-4A00-A065-90938FDEE6A3}"/>
    <cellStyle name="Comma 41 3 2 2 5 3 2" xfId="29663" xr:uid="{E68ACD75-01FE-488E-BA1C-9A54C269D4FE}"/>
    <cellStyle name="Comma 41 3 2 2 5 4" xfId="29665" xr:uid="{94CB929D-3E01-412A-BA06-598C2D874762}"/>
    <cellStyle name="Comma 41 3 2 2 6" xfId="14965" xr:uid="{7CBF7305-513E-4CC4-BDFF-492534799429}"/>
    <cellStyle name="Comma 41 3 2 2 6 2" xfId="26737" xr:uid="{B6D6F986-A895-4D14-B502-713C6A7451C8}"/>
    <cellStyle name="Comma 41 3 2 2 6 2 2" xfId="26740" xr:uid="{DDE817C9-DEC9-471E-9C4E-0B7A19BD068D}"/>
    <cellStyle name="Comma 41 3 2 2 6 3" xfId="23862" xr:uid="{30465B09-600A-4DD1-A0F9-6022F5696E28}"/>
    <cellStyle name="Comma 41 3 2 2 7" xfId="29666" xr:uid="{6AC9C471-A583-4FD1-83CC-3737B55A581B}"/>
    <cellStyle name="Comma 41 3 2 2 7 2" xfId="26768" xr:uid="{134CBEA2-55FB-43C4-9743-54329A6D9276}"/>
    <cellStyle name="Comma 41 3 2 2 8" xfId="29669" xr:uid="{592F4C2A-77F0-420E-B244-873F96DF9141}"/>
    <cellStyle name="Comma 41 3 2 2 9" xfId="29670" xr:uid="{A2053DE7-B942-4F78-9F1E-788EFB45FB72}"/>
    <cellStyle name="Comma 41 3 2 3" xfId="7828" xr:uid="{5DF474A1-A470-4058-86D8-840317115631}"/>
    <cellStyle name="Comma 41 3 2 3 2" xfId="21705" xr:uid="{239B787F-E2E6-4665-8B79-BA0516A0E352}"/>
    <cellStyle name="Comma 41 3 2 3 2 2" xfId="21707" xr:uid="{5B2E4464-F208-4550-A5F0-4319BA04CD5C}"/>
    <cellStyle name="Comma 41 3 2 3 2 2 2" xfId="29647" xr:uid="{F3C59736-EC04-421E-B87E-47B880172772}"/>
    <cellStyle name="Comma 41 3 2 3 2 2 2 2" xfId="29649" xr:uid="{2180D2D8-DD2A-41A7-A066-6B0475E36A2C}"/>
    <cellStyle name="Comma 41 3 2 3 2 2 2 2 2" xfId="29651" xr:uid="{ED151618-F5BB-4E36-A172-E634E81127E5}"/>
    <cellStyle name="Comma 41 3 2 3 2 2 2 2 2 2" xfId="29671" xr:uid="{DCB81DB3-A69C-4B6A-ACA7-97AA2B298BD9}"/>
    <cellStyle name="Comma 41 3 2 3 2 2 2 2 3" xfId="29672" xr:uid="{E79C8CA2-76BC-4F7C-915D-1EDB05947F2A}"/>
    <cellStyle name="Comma 41 3 2 3 2 2 2 3" xfId="1375" xr:uid="{05D9C292-325E-4B1B-8617-330863B11201}"/>
    <cellStyle name="Comma 41 3 2 3 2 2 2 3 2" xfId="29674" xr:uid="{7FBAB413-C108-4772-8178-F181FA662AA2}"/>
    <cellStyle name="Comma 41 3 2 3 2 2 2 4" xfId="901" xr:uid="{2F2B7E8F-3599-4FC9-8B85-91933CD3621B}"/>
    <cellStyle name="Comma 41 3 2 3 2 2 3" xfId="29653" xr:uid="{DE57988A-5786-4F00-B7E9-FD0E3170C51A}"/>
    <cellStyle name="Comma 41 3 2 3 2 2 3 2" xfId="29655" xr:uid="{337042EE-01F3-4FCB-9941-0523FF85F57E}"/>
    <cellStyle name="Comma 41 3 2 3 2 2 3 2 2" xfId="27489" xr:uid="{E0C43DA8-4746-4C38-BCD6-4791945CAEB1}"/>
    <cellStyle name="Comma 41 3 2 3 2 2 3 3" xfId="29675" xr:uid="{9926D073-3828-40AE-8C70-8A2D7CA2C353}"/>
    <cellStyle name="Comma 41 3 2 3 2 2 4" xfId="23322" xr:uid="{2837889C-4CDA-47D3-A6E6-C191B2677BF4}"/>
    <cellStyle name="Comma 41 3 2 3 2 2 4 2" xfId="23325" xr:uid="{F99CC1DC-AC1F-4328-BA08-3D428FB52FE7}"/>
    <cellStyle name="Comma 41 3 2 3 2 2 5" xfId="23327" xr:uid="{AF1CB69C-2049-4459-9B93-C366E26F01D0}"/>
    <cellStyle name="Comma 41 3 2 3 2 3" xfId="29676" xr:uid="{7A2DB369-4DB6-4546-AFD2-CAC7435A7FF0}"/>
    <cellStyle name="Comma 41 3 2 3 2 3 2" xfId="29659" xr:uid="{B042EBA2-9984-4CF2-B264-CF1B9A6BD3DE}"/>
    <cellStyle name="Comma 41 3 2 3 2 3 2 2" xfId="29662" xr:uid="{A96FDD54-C38A-44C8-83BE-49EBD90F3D71}"/>
    <cellStyle name="Comma 41 3 2 3 2 3 2 2 2" xfId="29677" xr:uid="{51139EEF-6BED-4A89-880C-7C3FDF2DAC70}"/>
    <cellStyle name="Comma 41 3 2 3 2 3 2 3" xfId="29678" xr:uid="{3B1DE4B9-483C-492C-A099-2DE88EABB303}"/>
    <cellStyle name="Comma 41 3 2 3 2 3 3" xfId="29664" xr:uid="{4A04AFEC-70D5-471C-A179-2CF840E5360B}"/>
    <cellStyle name="Comma 41 3 2 3 2 3 3 2" xfId="29679" xr:uid="{B33AC472-7F26-4A5F-813D-32BF89451402}"/>
    <cellStyle name="Comma 41 3 2 3 2 3 4" xfId="23330" xr:uid="{96BFC5DC-7449-4F1D-A3B8-23AC0D270A92}"/>
    <cellStyle name="Comma 41 3 2 3 2 4" xfId="23859" xr:uid="{35CCC5F7-CD8F-4D8B-B4F1-B6C9A05362BF}"/>
    <cellStyle name="Comma 41 3 2 3 2 4 2" xfId="23864" xr:uid="{AD967E45-6A2F-43B4-A30F-5DE84599A5DC}"/>
    <cellStyle name="Comma 41 3 2 3 2 4 2 2" xfId="23868" xr:uid="{420A739B-C39E-43F8-83C5-B5195B526012}"/>
    <cellStyle name="Comma 41 3 2 3 2 4 3" xfId="23872" xr:uid="{47819276-2E23-4AB6-B4B0-E79029CB1497}"/>
    <cellStyle name="Comma 41 3 2 3 2 5" xfId="23874" xr:uid="{911DC11A-BFC1-4F0E-808D-E61B280B8DB1}"/>
    <cellStyle name="Comma 41 3 2 3 2 5 2" xfId="23878" xr:uid="{BC3ADCF9-779F-4EE7-B6BC-067A82503F04}"/>
    <cellStyle name="Comma 41 3 2 3 2 6" xfId="23882" xr:uid="{909AEDF9-BCB0-4EAB-AAC1-077A983B12F7}"/>
    <cellStyle name="Comma 41 3 2 3 2 7" xfId="29682" xr:uid="{DBCFC76B-105D-4D40-B814-7FDF5CCFEA12}"/>
    <cellStyle name="Comma 41 3 2 3 3" xfId="21709" xr:uid="{BEADBF5D-473B-4D66-AD82-2B01EB240380}"/>
    <cellStyle name="Comma 41 3 2 3 3 2" xfId="22124" xr:uid="{208F0944-6144-449B-AD6A-8C355F0EE99E}"/>
    <cellStyle name="Comma 41 3 2 3 3 2 2" xfId="29684" xr:uid="{5D2C295E-9981-4C36-91EB-0D12204606F4}"/>
    <cellStyle name="Comma 41 3 2 3 3 2 2 2" xfId="9980" xr:uid="{648D7707-E40C-4772-AE4A-BA0057876433}"/>
    <cellStyle name="Comma 41 3 2 3 3 2 2 2 2" xfId="29685" xr:uid="{B13377E8-7411-47B3-BD42-9013AE172646}"/>
    <cellStyle name="Comma 41 3 2 3 3 2 2 3" xfId="29686" xr:uid="{EE393995-D202-4879-9267-1E915804A704}"/>
    <cellStyle name="Comma 41 3 2 3 3 2 3" xfId="23895" xr:uid="{40EEE07A-BEC0-4234-A6AF-1F78C40707F7}"/>
    <cellStyle name="Comma 41 3 2 3 3 2 3 2" xfId="26858" xr:uid="{B4B85FAC-7D9F-409E-9AA4-D22922E0C442}"/>
    <cellStyle name="Comma 41 3 2 3 3 2 4" xfId="23339" xr:uid="{F7727C6A-BFFC-45DA-B544-1994E075A3ED}"/>
    <cellStyle name="Comma 41 3 2 3 3 3" xfId="29687" xr:uid="{58CB9C75-C42D-4AD6-9A7A-9B5D6D117E90}"/>
    <cellStyle name="Comma 41 3 2 3 3 3 2" xfId="29689" xr:uid="{4EAD34DF-59A9-4165-9EC3-1EEF1223BC37}"/>
    <cellStyle name="Comma 41 3 2 3 3 3 2 2" xfId="29690" xr:uid="{701844CE-276F-47BF-9D5F-563C61A2B51C}"/>
    <cellStyle name="Comma 41 3 2 3 3 3 3" xfId="29691" xr:uid="{E9F42E2C-EC7A-4A5F-A1E4-20269D13BAB4}"/>
    <cellStyle name="Comma 41 3 2 3 3 4" xfId="23885" xr:uid="{40E28657-3033-4FBC-99F4-344E4945BF64}"/>
    <cellStyle name="Comma 41 3 2 3 3 4 2" xfId="23889" xr:uid="{605D8B87-6B3B-4EC9-B562-C6F6E34D9F0A}"/>
    <cellStyle name="Comma 41 3 2 3 3 5" xfId="23891" xr:uid="{51D4AE10-2BB8-4F4B-9DAA-7CB2C3204F70}"/>
    <cellStyle name="Comma 41 3 2 3 4" xfId="29692" xr:uid="{77B6BAA3-2B9D-4BA2-8BCF-A24393124F80}"/>
    <cellStyle name="Comma 41 3 2 3 4 2" xfId="29693" xr:uid="{813EF2FC-8D84-40D8-A202-5D6A945CE412}"/>
    <cellStyle name="Comma 41 3 2 3 4 2 2" xfId="9970" xr:uid="{C95963FC-88B4-45D7-A230-31EB320FCD20}"/>
    <cellStyle name="Comma 41 3 2 3 4 2 2 2" xfId="9972" xr:uid="{56BAA754-AECF-4955-85EC-605BF70CF650}"/>
    <cellStyle name="Comma 41 3 2 3 4 2 3" xfId="5830" xr:uid="{A69D46E3-FD5E-4ADE-B468-7FD522A6693F}"/>
    <cellStyle name="Comma 41 3 2 3 4 3" xfId="29683" xr:uid="{BA4230A4-5C35-4D47-91CD-2AC145AB699A}"/>
    <cellStyle name="Comma 41 3 2 3 4 3 2" xfId="9979" xr:uid="{2926A564-5C66-4711-BF88-02632A63EEF2}"/>
    <cellStyle name="Comma 41 3 2 3 4 4" xfId="23894" xr:uid="{65AA621D-93BD-4589-A67D-F83697EBCE52}"/>
    <cellStyle name="Comma 41 3 2 3 5" xfId="29694" xr:uid="{0F896372-F4F7-4343-A849-D0184897305D}"/>
    <cellStyle name="Comma 41 3 2 3 5 2" xfId="29695" xr:uid="{0906CC7C-027E-49FA-BBCA-5332E537F836}"/>
    <cellStyle name="Comma 41 3 2 3 5 2 2" xfId="10012" xr:uid="{6287573E-74C4-4A9B-BCC4-11C186038611}"/>
    <cellStyle name="Comma 41 3 2 3 5 3" xfId="29688" xr:uid="{11A81CCA-9AD8-426E-B6C3-9DB80190533E}"/>
    <cellStyle name="Comma 41 3 2 3 6" xfId="29696" xr:uid="{2D378336-35E5-40AC-B7C9-EACEB28BC6A0}"/>
    <cellStyle name="Comma 41 3 2 3 6 2" xfId="26820" xr:uid="{65E89243-4590-4818-A0C1-9652F4BFF910}"/>
    <cellStyle name="Comma 41 3 2 3 7" xfId="29697" xr:uid="{630D824F-A4AA-4A13-936A-6CC9EB54A51C}"/>
    <cellStyle name="Comma 41 3 2 3 8" xfId="29699" xr:uid="{4A460ECB-8B2A-4EDF-9EB2-168C0C9F0813}"/>
    <cellStyle name="Comma 41 3 2 4" xfId="7830" xr:uid="{56692821-50C6-44DB-BDC4-C03E8DE7AD16}"/>
    <cellStyle name="Comma 41 3 2 4 2" xfId="21717" xr:uid="{E1748DBC-12C8-4DD4-8F74-5EAE54915C72}"/>
    <cellStyle name="Comma 41 3 2 4 2 2" xfId="29700" xr:uid="{17D7A3E3-9EB4-46A0-AEB0-328FF8E42C5B}"/>
    <cellStyle name="Comma 41 3 2 4 2 2 2" xfId="22155" xr:uid="{DB261F7A-B523-4BDA-8A93-73E3A82F0189}"/>
    <cellStyle name="Comma 41 3 2 4 2 2 2 2" xfId="22158" xr:uid="{C2BFC2E4-E6F2-47EB-A7F7-33E0A8A14EAF}"/>
    <cellStyle name="Comma 41 3 2 4 2 2 2 2 2" xfId="22160" xr:uid="{10F8E3B4-C614-468A-9F62-A92A9E6F3D97}"/>
    <cellStyle name="Comma 41 3 2 4 2 2 2 3" xfId="22162" xr:uid="{3E8826DF-F536-42FE-BF26-9089F47047CD}"/>
    <cellStyle name="Comma 41 3 2 4 2 2 3" xfId="22166" xr:uid="{D4CEEF97-A0CE-47BD-9FB9-A812D8919798}"/>
    <cellStyle name="Comma 41 3 2 4 2 2 3 2" xfId="10858" xr:uid="{B67501F0-A4B2-49CE-956A-425BD3D61154}"/>
    <cellStyle name="Comma 41 3 2 4 2 2 4" xfId="22168" xr:uid="{6822AC6E-AE40-4025-B175-0DF0E74E6A67}"/>
    <cellStyle name="Comma 41 3 2 4 2 3" xfId="29701" xr:uid="{45A2ECBE-3957-4C5B-ACC2-3D02B1E57CF2}"/>
    <cellStyle name="Comma 41 3 2 4 2 3 2" xfId="22193" xr:uid="{BF78C25A-26CF-46BE-8AD2-1A3284DB6E8F}"/>
    <cellStyle name="Comma 41 3 2 4 2 3 2 2" xfId="22195" xr:uid="{A677184B-27EB-4A4B-A226-1DAA508153F9}"/>
    <cellStyle name="Comma 41 3 2 4 2 3 3" xfId="22197" xr:uid="{E20A70DC-F00A-4A79-813D-5A911B384C81}"/>
    <cellStyle name="Comma 41 3 2 4 2 4" xfId="5788" xr:uid="{75926798-5E83-4F43-A881-89854565F453}"/>
    <cellStyle name="Comma 41 3 2 4 2 4 2" xfId="5799" xr:uid="{1CF28D47-636E-4648-813E-44120BBE7E96}"/>
    <cellStyle name="Comma 41 3 2 4 2 5" xfId="5811" xr:uid="{740ADA45-42BE-4C6A-9B21-EAA45E22F228}"/>
    <cellStyle name="Comma 41 3 2 4 3" xfId="9933" xr:uid="{5B77872A-EB40-4B13-80FB-B6664A98E6EC}"/>
    <cellStyle name="Comma 41 3 2 4 3 2" xfId="9935" xr:uid="{85CE2CC1-B1B0-472B-9644-11D344B98C53}"/>
    <cellStyle name="Comma 41 3 2 4 3 2 2" xfId="9938" xr:uid="{4492BC40-DB4D-4A0B-899A-373B9DA2FACF}"/>
    <cellStyle name="Comma 41 3 2 4 3 2 2 2" xfId="9942" xr:uid="{12B0661A-C75A-432F-AEF7-5A92A59F5A02}"/>
    <cellStyle name="Comma 41 3 2 4 3 2 3" xfId="9946" xr:uid="{518F9B81-83B8-4E18-9BD9-9BCD199AC016}"/>
    <cellStyle name="Comma 41 3 2 4 3 3" xfId="9952" xr:uid="{366AA2DA-154E-4E9E-B313-34C8E6389682}"/>
    <cellStyle name="Comma 41 3 2 4 3 3 2" xfId="9954" xr:uid="{C9D0BDE6-CABC-44E4-8071-A6D635810E65}"/>
    <cellStyle name="Comma 41 3 2 4 3 4" xfId="5820" xr:uid="{6373BA69-9774-49D3-B1B6-77ECEA019F40}"/>
    <cellStyle name="Comma 41 3 2 4 4" xfId="9959" xr:uid="{2CED6B62-FF8D-4B84-B5DB-4035481C1CF7}"/>
    <cellStyle name="Comma 41 3 2 4 4 2" xfId="9961" xr:uid="{88EDCD5F-B432-487F-940A-9F64918CFF31}"/>
    <cellStyle name="Comma 41 3 2 4 4 2 2" xfId="9963" xr:uid="{3323B57F-32D5-499A-B6E1-1586DC64F6E1}"/>
    <cellStyle name="Comma 41 3 2 4 4 3" xfId="9969" xr:uid="{8465830A-9949-4766-9EBD-0AEE8FB8A21A}"/>
    <cellStyle name="Comma 41 3 2 4 5" xfId="9974" xr:uid="{9504005F-D09F-428D-ABC6-E84B3CA2EBE1}"/>
    <cellStyle name="Comma 41 3 2 4 5 2" xfId="9976" xr:uid="{0E3883EA-FE40-4FE3-8CFE-B391A69CD314}"/>
    <cellStyle name="Comma 41 3 2 4 6" xfId="9982" xr:uid="{12DC6035-8674-4241-AF14-869F573A014F}"/>
    <cellStyle name="Comma 41 3 2 4 7" xfId="9987" xr:uid="{B76934F9-D3BF-4E27-AF0F-299BAD7426A8}"/>
    <cellStyle name="Comma 41 3 2 5" xfId="29702" xr:uid="{6C2BEA34-4F26-417A-91D5-6F78D9C521B6}"/>
    <cellStyle name="Comma 41 3 2 5 2" xfId="29704" xr:uid="{DD13B26E-D13F-4EBE-934C-032C30981AEB}"/>
    <cellStyle name="Comma 41 3 2 5 2 2" xfId="29705" xr:uid="{80DA0D77-98B5-4448-A529-DD73C99E0D71}"/>
    <cellStyle name="Comma 41 3 2 5 2 2 2" xfId="22350" xr:uid="{2AB7C30C-7C40-4858-B4DC-81B0D8F349EC}"/>
    <cellStyle name="Comma 41 3 2 5 2 2 2 2" xfId="8832" xr:uid="{B6D8AADF-F7D1-44AE-A649-900931FFC05A}"/>
    <cellStyle name="Comma 41 3 2 5 2 2 3" xfId="22352" xr:uid="{9FE03457-2C2B-4795-9E20-267C9FAC63D6}"/>
    <cellStyle name="Comma 41 3 2 5 2 3" xfId="29706" xr:uid="{23C94036-8B44-4EFD-BE26-8245BB93E28E}"/>
    <cellStyle name="Comma 41 3 2 5 2 3 2" xfId="22361" xr:uid="{A9218A3E-EAB3-4F09-9DAA-F03A74419E1C}"/>
    <cellStyle name="Comma 41 3 2 5 2 4" xfId="5846" xr:uid="{0EB3DB44-B756-4F8B-95FA-65DCDCBD4BB3}"/>
    <cellStyle name="Comma 41 3 2 5 3" xfId="9995" xr:uid="{42EBF7DB-31D7-4792-B252-B550FECF3778}"/>
    <cellStyle name="Comma 41 3 2 5 3 2" xfId="9997" xr:uid="{F4CAA1BC-29DC-454E-9BC3-16323405375E}"/>
    <cellStyle name="Comma 41 3 2 5 3 2 2" xfId="9999" xr:uid="{D0EF03F9-5E5B-4263-87AF-BFB6C2AE5FDB}"/>
    <cellStyle name="Comma 41 3 2 5 3 3" xfId="10004" xr:uid="{430A5DEC-A4FD-45CA-9221-2F12FB46EEE4}"/>
    <cellStyle name="Comma 41 3 2 5 4" xfId="10007" xr:uid="{6C281D19-3C0E-491D-B4C9-F30E51CD3C47}"/>
    <cellStyle name="Comma 41 3 2 5 4 2" xfId="10009" xr:uid="{DB37EEBF-0369-48A6-899E-2164EF75B712}"/>
    <cellStyle name="Comma 41 3 2 5 5" xfId="10014" xr:uid="{F88EE3D6-C87B-4687-938D-56D49CE936C5}"/>
    <cellStyle name="Comma 41 3 2 6" xfId="29710" xr:uid="{C4BF3A4E-F90F-4260-9B94-052D97A03894}"/>
    <cellStyle name="Comma 41 3 2 6 2" xfId="29711" xr:uid="{662B03D9-5C05-4E1D-9231-08E4B5402CF9}"/>
    <cellStyle name="Comma 41 3 2 6 2 2" xfId="29712" xr:uid="{6CD0D434-A3CA-4565-8596-7BD18783DBCF}"/>
    <cellStyle name="Comma 41 3 2 6 2 2 2" xfId="22409" xr:uid="{8DB4E85B-04EE-4041-BC01-6D411BE78A2F}"/>
    <cellStyle name="Comma 41 3 2 6 2 3" xfId="29713" xr:uid="{A246C2C5-67DD-43CB-AB5E-658A4BF6B0F5}"/>
    <cellStyle name="Comma 41 3 2 6 3" xfId="10022" xr:uid="{091DEA9E-C34E-4AEA-9B83-03AC6374D5BB}"/>
    <cellStyle name="Comma 41 3 2 6 3 2" xfId="10024" xr:uid="{FBD57B2C-4EF6-4BAB-A8F1-C972A507F77E}"/>
    <cellStyle name="Comma 41 3 2 6 4" xfId="10029" xr:uid="{BD5A8569-D530-4C7A-BDE5-970A4BB3C7BF}"/>
    <cellStyle name="Comma 41 3 2 7" xfId="29714" xr:uid="{7E523195-0E43-4554-9933-12FA6CF2AA99}"/>
    <cellStyle name="Comma 41 3 2 7 2" xfId="29715" xr:uid="{D5C51CDD-E7F0-426C-9AB8-67C831FB73DC}"/>
    <cellStyle name="Comma 41 3 2 7 2 2" xfId="29716" xr:uid="{68AA4800-E4B7-4545-97EA-8FBF7666117A}"/>
    <cellStyle name="Comma 41 3 2 7 3" xfId="10034" xr:uid="{A0A6DFAA-ED2F-4AC6-B7C2-CBD394C8C0B7}"/>
    <cellStyle name="Comma 41 3 2 8" xfId="21753" xr:uid="{22B31EDC-6A41-4A3C-873E-F4D7BCA3DBA1}"/>
    <cellStyle name="Comma 41 3 2 8 2" xfId="21756" xr:uid="{5651AA3A-DFF1-4BD5-ADBD-607B678C3B64}"/>
    <cellStyle name="Comma 41 3 2 9" xfId="21758" xr:uid="{632791C8-0F0A-4F94-BCAC-726FA8FDD6BA}"/>
    <cellStyle name="Comma 41 3 3" xfId="29717" xr:uid="{92292FC6-95EA-482A-B197-2A50B98575E3}"/>
    <cellStyle name="Comma 41 3 3 2" xfId="6891" xr:uid="{ECFF0B1C-B838-448C-B543-DE29717DA4AE}"/>
    <cellStyle name="Comma 41 3 3 2 2" xfId="17005" xr:uid="{287E5FDD-9EFD-46BD-AAFB-1245B74C2DA7}"/>
    <cellStyle name="Comma 41 3 3 2 2 2" xfId="21871" xr:uid="{53C90538-3F1B-436E-AC3B-88EA0C120133}"/>
    <cellStyle name="Comma 41 3 3 2 2 2 2" xfId="29718" xr:uid="{B7825DFC-3077-4D08-8D6D-5758F69154E6}"/>
    <cellStyle name="Comma 41 3 3 2 2 2 2 2" xfId="29719" xr:uid="{758AB7CD-D101-44C1-9530-4FD9FAFD60F8}"/>
    <cellStyle name="Comma 41 3 3 2 2 2 2 2 2" xfId="29725" xr:uid="{5A6158C4-0009-4CB7-9C03-083D637C262E}"/>
    <cellStyle name="Comma 41 3 3 2 2 2 2 2 2 2" xfId="29730" xr:uid="{A378AFC2-F046-4BB7-B801-97BB4BB4484B}"/>
    <cellStyle name="Comma 41 3 3 2 2 2 2 2 3" xfId="29735" xr:uid="{72E6ABB5-CC59-4464-B522-DFC5454C270A}"/>
    <cellStyle name="Comma 41 3 3 2 2 2 2 3" xfId="29737" xr:uid="{A7C5235C-F278-4842-B94E-288871061085}"/>
    <cellStyle name="Comma 41 3 3 2 2 2 2 3 2" xfId="29743" xr:uid="{1C01CB64-7E1D-41FF-BF56-FA2EF04C998E}"/>
    <cellStyle name="Comma 41 3 3 2 2 2 2 4" xfId="29744" xr:uid="{7B5362F4-DB6E-4C03-91E9-86C3737E4F5B}"/>
    <cellStyle name="Comma 41 3 3 2 2 2 3" xfId="29745" xr:uid="{E4382614-309C-4E1D-B771-12553C5F70D9}"/>
    <cellStyle name="Comma 41 3 3 2 2 2 3 2" xfId="29746" xr:uid="{29F37EC0-C1DB-4211-90B7-460711ABDC05}"/>
    <cellStyle name="Comma 41 3 3 2 2 2 3 2 2" xfId="29747" xr:uid="{09175901-7B7D-45EB-8091-FED11F5525FC}"/>
    <cellStyle name="Comma 41 3 3 2 2 2 3 3" xfId="29748" xr:uid="{F08DF4EE-0962-46C5-9A95-5AB2AB5DB909}"/>
    <cellStyle name="Comma 41 3 3 2 2 2 4" xfId="23360" xr:uid="{B0EBACD0-0678-487E-8436-8041E2B86E31}"/>
    <cellStyle name="Comma 41 3 3 2 2 2 4 2" xfId="8395" xr:uid="{AED274C1-0906-47F5-AF89-16DD11887265}"/>
    <cellStyle name="Comma 41 3 3 2 2 2 5" xfId="16038" xr:uid="{21F5BE25-D796-4F4F-8629-05F8C7CF5A89}"/>
    <cellStyle name="Comma 41 3 3 2 2 3" xfId="6896" xr:uid="{B60A1361-9C0D-427D-9C33-838E7FD18B87}"/>
    <cellStyle name="Comma 41 3 3 2 2 3 2" xfId="29749" xr:uid="{55D7A0EE-749D-4FBF-B4B1-05051438DBCB}"/>
    <cellStyle name="Comma 41 3 3 2 2 3 2 2" xfId="29750" xr:uid="{3A3A1CFC-DB4E-46E9-9C24-2D0F22469C89}"/>
    <cellStyle name="Comma 41 3 3 2 2 3 2 2 2" xfId="29751" xr:uid="{CB5E16BE-C459-479E-AE8B-4551FC1590A4}"/>
    <cellStyle name="Comma 41 3 3 2 2 3 2 3" xfId="29752" xr:uid="{AA55F81C-DB75-4121-87E4-C325B0DAE224}"/>
    <cellStyle name="Comma 41 3 3 2 2 3 3" xfId="29753" xr:uid="{B92507AD-C7D7-4FB7-B264-E2743389810B}"/>
    <cellStyle name="Comma 41 3 3 2 2 3 3 2" xfId="29754" xr:uid="{8CF1CB56-C778-4351-B11D-80E711589A96}"/>
    <cellStyle name="Comma 41 3 3 2 2 3 4" xfId="23364" xr:uid="{C9E2C14E-E472-4747-A677-2FEC0E3FF66C}"/>
    <cellStyle name="Comma 41 3 3 2 2 4" xfId="29755" xr:uid="{A8A5F9D8-CB90-41F2-B0B4-C8A510E372CB}"/>
    <cellStyle name="Comma 41 3 3 2 2 4 2" xfId="293" xr:uid="{F27ADD53-45A9-46F8-B572-C40A6B23D748}"/>
    <cellStyle name="Comma 41 3 3 2 2 4 2 2" xfId="128" xr:uid="{6E0099DA-1693-49E4-88BD-2DE0738A3829}"/>
    <cellStyle name="Comma 41 3 3 2 2 4 3" xfId="573" xr:uid="{F7FA9357-3231-4C63-B432-0AD04AD95B6F}"/>
    <cellStyle name="Comma 41 3 3 2 2 5" xfId="29756" xr:uid="{40DCD0B2-FA32-4AEC-8AF0-B4407AB2454E}"/>
    <cellStyle name="Comma 41 3 3 2 2 5 2" xfId="3482" xr:uid="{6BE91F85-1C8D-44FB-941C-DAA43F35AE32}"/>
    <cellStyle name="Comma 41 3 3 2 2 6" xfId="29757" xr:uid="{552D4B19-885F-4C46-8A1B-934D3215197F}"/>
    <cellStyle name="Comma 41 3 3 2 2 7" xfId="16393" xr:uid="{147FADB7-52C5-4FE2-80F0-E83C23137A6A}"/>
    <cellStyle name="Comma 41 3 3 2 3" xfId="21873" xr:uid="{EB573390-1636-4849-95C1-B6F45AA4F587}"/>
    <cellStyle name="Comma 41 3 3 2 3 2" xfId="29758" xr:uid="{D53FA413-B851-482F-85B7-82B49624E95C}"/>
    <cellStyle name="Comma 41 3 3 2 3 2 2" xfId="29759" xr:uid="{2AE523F4-4EFD-4AF5-8753-8C76B59B82AA}"/>
    <cellStyle name="Comma 41 3 3 2 3 2 2 2" xfId="13070" xr:uid="{9983B55B-6ED1-4A3E-A910-8B6325258470}"/>
    <cellStyle name="Comma 41 3 3 2 3 2 2 2 2" xfId="13072" xr:uid="{10249407-A79C-49D5-AF09-89218A5E1AE2}"/>
    <cellStyle name="Comma 41 3 3 2 3 2 2 3" xfId="13076" xr:uid="{6FE5B096-7323-4F52-95A4-2505B4A8516B}"/>
    <cellStyle name="Comma 41 3 3 2 3 2 3" xfId="23974" xr:uid="{39D3202B-650A-4BC7-AE78-7E84C826AE7C}"/>
    <cellStyle name="Comma 41 3 3 2 3 2 3 2" xfId="13090" xr:uid="{480DC32F-4E83-44B1-860E-EBDB52913BE9}"/>
    <cellStyle name="Comma 41 3 3 2 3 2 4" xfId="23374" xr:uid="{23B6C62A-0510-43CB-82A0-BB1CC62D658E}"/>
    <cellStyle name="Comma 41 3 3 2 3 3" xfId="29760" xr:uid="{6F336D41-3EE2-4F9E-BA0B-C7E24A0A71AE}"/>
    <cellStyle name="Comma 41 3 3 2 3 3 2" xfId="29761" xr:uid="{80DCAAE8-7B58-4D59-BAA3-AA3E3541B5B4}"/>
    <cellStyle name="Comma 41 3 3 2 3 3 2 2" xfId="13150" xr:uid="{904AEE03-6876-44ED-BB23-3D357C8082E5}"/>
    <cellStyle name="Comma 41 3 3 2 3 3 3" xfId="29762" xr:uid="{4F6ED930-6F67-477F-A3C5-18C69F828FC8}"/>
    <cellStyle name="Comma 41 3 3 2 3 4" xfId="29763" xr:uid="{28168980-2D9E-442B-98B6-4D0B46844FC6}"/>
    <cellStyle name="Comma 41 3 3 2 3 4 2" xfId="451" xr:uid="{379FF2F3-8085-4C1E-A687-314997B992A4}"/>
    <cellStyle name="Comma 41 3 3 2 3 5" xfId="29764" xr:uid="{1D247AC7-6067-49D3-90B4-585CB2F4F3F9}"/>
    <cellStyle name="Comma 41 3 3 2 4" xfId="29765" xr:uid="{D4A4BF0A-623F-446A-AFAB-9BAD0305E128}"/>
    <cellStyle name="Comma 41 3 3 2 4 2" xfId="22145" xr:uid="{A9C0062F-E2F4-435F-84A7-3249C3559ECA}"/>
    <cellStyle name="Comma 41 3 3 2 4 2 2" xfId="22147" xr:uid="{7D9DB3D5-64E3-42E5-A7C7-6676A69819D7}"/>
    <cellStyle name="Comma 41 3 3 2 4 2 2 2" xfId="13285" xr:uid="{B1B4CC6E-C2C2-4A25-8AD0-0F44107FE81A}"/>
    <cellStyle name="Comma 41 3 3 2 4 2 3" xfId="4639" xr:uid="{50C6C55D-B8EB-4AFE-A664-B85A15C94A3D}"/>
    <cellStyle name="Comma 41 3 3 2 4 3" xfId="22154" xr:uid="{73A4B769-86F4-450F-9E45-1E5FCD6724F2}"/>
    <cellStyle name="Comma 41 3 3 2 4 3 2" xfId="22157" xr:uid="{04D44E92-565D-4D25-A784-BC9957812465}"/>
    <cellStyle name="Comma 41 3 3 2 4 4" xfId="22164" xr:uid="{FDE66222-B749-47B2-8F2E-E8B9D248677A}"/>
    <cellStyle name="Comma 41 3 3 2 5" xfId="29766" xr:uid="{9B8DCF9F-7849-4540-BE66-669F26659BA0}"/>
    <cellStyle name="Comma 41 3 3 2 5 2" xfId="22185" xr:uid="{F6A8BCCC-F44E-440B-A365-54142A0B4A90}"/>
    <cellStyle name="Comma 41 3 3 2 5 2 2" xfId="22187" xr:uid="{8D5ADF75-BEC7-4822-81B5-6E5E44E1DD11}"/>
    <cellStyle name="Comma 41 3 3 2 5 3" xfId="22192" xr:uid="{64E92E6B-F601-4B88-A27D-F205F890747E}"/>
    <cellStyle name="Comma 41 3 3 2 6" xfId="29767" xr:uid="{D8EF8BCE-C134-447F-867B-DC6DA0F8CAD1}"/>
    <cellStyle name="Comma 41 3 3 2 6 2" xfId="22216" xr:uid="{97E7F6E0-CADA-4719-851A-3AAC58E771BA}"/>
    <cellStyle name="Comma 41 3 3 2 7" xfId="29768" xr:uid="{B4151296-AE5B-4744-8A3D-480E369DA514}"/>
    <cellStyle name="Comma 41 3 3 2 8" xfId="29769" xr:uid="{CB9DBCDF-8849-4951-8446-F7790C096B3D}"/>
    <cellStyle name="Comma 41 3 3 3" xfId="6900" xr:uid="{9B45318E-DBD7-423E-8380-91CB1358F84F}"/>
    <cellStyle name="Comma 41 3 3 3 2" xfId="21885" xr:uid="{0A3BF75C-E935-46DA-8AD4-01819789699C}"/>
    <cellStyle name="Comma 41 3 3 3 2 2" xfId="29770" xr:uid="{33FBAC0C-A484-4420-BCA2-F2DAB1752322}"/>
    <cellStyle name="Comma 41 3 3 3 2 2 2" xfId="29772" xr:uid="{927E2B8A-4D28-4561-8E58-B5689D6EAA59}"/>
    <cellStyle name="Comma 41 3 3 3 2 2 2 2" xfId="29774" xr:uid="{872AFBE9-BE6B-4F17-A4F1-8BDCD20A7345}"/>
    <cellStyle name="Comma 41 3 3 3 2 2 2 2 2" xfId="29775" xr:uid="{02C0AD3A-D3DB-457C-AEAA-32AEE1B5AC41}"/>
    <cellStyle name="Comma 41 3 3 3 2 2 2 3" xfId="29776" xr:uid="{5204BB52-7E24-4B13-8522-768A69FB7B54}"/>
    <cellStyle name="Comma 41 3 3 3 2 2 3" xfId="29778" xr:uid="{5C961FA6-56A2-4AC7-9705-1DD06EFB16F9}"/>
    <cellStyle name="Comma 41 3 3 3 2 2 3 2" xfId="29779" xr:uid="{86AB4804-99D9-476F-93D2-934312C172F4}"/>
    <cellStyle name="Comma 41 3 3 3 2 2 4" xfId="18322" xr:uid="{8DD8C172-30F8-4AAF-B72A-535BB7708241}"/>
    <cellStyle name="Comma 41 3 3 3 2 3" xfId="29780" xr:uid="{6F226D34-3D64-4CE5-92E7-EE8A7DF2816C}"/>
    <cellStyle name="Comma 41 3 3 3 2 3 2" xfId="29782" xr:uid="{EB33D3E7-AEE1-4D72-8843-334303B1BF9B}"/>
    <cellStyle name="Comma 41 3 3 3 2 3 2 2" xfId="29783" xr:uid="{661244CC-6372-445E-AB5D-49CB5F6DACBA}"/>
    <cellStyle name="Comma 41 3 3 3 2 3 3" xfId="2582" xr:uid="{859193FA-E076-402F-B8FD-58BB2E7614C5}"/>
    <cellStyle name="Comma 41 3 3 3 2 4" xfId="23907" xr:uid="{FB8C0E6C-F081-4CA6-837C-64C63C6AE6FB}"/>
    <cellStyle name="Comma 41 3 3 3 2 4 2" xfId="3546" xr:uid="{4C4D49A6-379B-4E09-9E73-95D48C752177}"/>
    <cellStyle name="Comma 41 3 3 3 2 5" xfId="23909" xr:uid="{D83263FD-BA76-4E02-B8BA-50FD3A5C2EBE}"/>
    <cellStyle name="Comma 41 3 3 3 3" xfId="29784" xr:uid="{40214175-5933-4E0F-AE7C-85028C569C4C}"/>
    <cellStyle name="Comma 41 3 3 3 3 2" xfId="29785" xr:uid="{3270DF14-150C-414C-A2DE-BEAE328270A8}"/>
    <cellStyle name="Comma 41 3 3 3 3 2 2" xfId="29787" xr:uid="{E99FC844-13D9-4305-9394-E3B048601C27}"/>
    <cellStyle name="Comma 41 3 3 3 3 2 2 2" xfId="13599" xr:uid="{2DE12850-A5A8-47F2-B536-F2B23977DC88}"/>
    <cellStyle name="Comma 41 3 3 3 3 2 3" xfId="29788" xr:uid="{8DA9AB5F-0269-46C7-856E-DF789300BE2F}"/>
    <cellStyle name="Comma 41 3 3 3 3 3" xfId="29789" xr:uid="{6E671108-2371-4722-8340-8F694306C3D6}"/>
    <cellStyle name="Comma 41 3 3 3 3 3 2" xfId="29790" xr:uid="{651A9DCF-05C5-4C09-A46F-E1330A985FAB}"/>
    <cellStyle name="Comma 41 3 3 3 3 4" xfId="23912" xr:uid="{84A2BAF4-9C51-4F67-9F24-BD82BB05DBA6}"/>
    <cellStyle name="Comma 41 3 3 3 4" xfId="29791" xr:uid="{3696464C-BE35-4BF1-8DFA-61671FA1594C}"/>
    <cellStyle name="Comma 41 3 3 3 4 2" xfId="22257" xr:uid="{679F90F6-F2B9-4391-B711-D14B8ECF58BF}"/>
    <cellStyle name="Comma 41 3 3 3 4 2 2" xfId="10169" xr:uid="{01E81028-B907-4410-9C19-37D066D46AC2}"/>
    <cellStyle name="Comma 41 3 3 3 4 3" xfId="9937" xr:uid="{CD0B0A18-9444-4C55-8B7E-E72558C34FC3}"/>
    <cellStyle name="Comma 41 3 3 3 5" xfId="29792" xr:uid="{7A2345A7-B313-46D7-88A1-295E30EB0B4E}"/>
    <cellStyle name="Comma 41 3 3 3 5 2" xfId="22270" xr:uid="{A11D05DC-4626-40A4-8CAD-774933956265}"/>
    <cellStyle name="Comma 41 3 3 3 6" xfId="29793" xr:uid="{EFD01907-4FC3-426A-BCAA-0ECDF40CA599}"/>
    <cellStyle name="Comma 41 3 3 3 7" xfId="29794" xr:uid="{71E4528C-E9DC-48F8-85A2-8B7B0A97E03B}"/>
    <cellStyle name="Comma 41 3 3 4" xfId="29795" xr:uid="{725E1CDA-D7EF-48A2-9761-FE226E48C63A}"/>
    <cellStyle name="Comma 41 3 3 4 2" xfId="29796" xr:uid="{563BD3E2-ADAD-497B-833A-5C2455F2B3AE}"/>
    <cellStyle name="Comma 41 3 3 4 2 2" xfId="29797" xr:uid="{CF0C89E1-8E77-4BB1-B67B-8FFC3F34AC7F}"/>
    <cellStyle name="Comma 41 3 3 4 2 2 2" xfId="22483" xr:uid="{63A039DE-D7C9-4EB9-902A-C082051C58C2}"/>
    <cellStyle name="Comma 41 3 3 4 2 2 2 2" xfId="22485" xr:uid="{35BFCA27-BB3B-4426-8EC5-AAF69C49C3A3}"/>
    <cellStyle name="Comma 41 3 3 4 2 2 3" xfId="22487" xr:uid="{98117F36-0316-4EAF-9E61-43544D2C7100}"/>
    <cellStyle name="Comma 41 3 3 4 2 3" xfId="29798" xr:uid="{665091FE-27FD-41F9-A392-48FF22B533FC}"/>
    <cellStyle name="Comma 41 3 3 4 2 3 2" xfId="22497" xr:uid="{89A21E23-5449-434E-93DE-B87D400D84B1}"/>
    <cellStyle name="Comma 41 3 3 4 2 4" xfId="306" xr:uid="{36AA9378-0C0A-4033-86D1-A230F1A3211E}"/>
    <cellStyle name="Comma 41 3 3 4 3" xfId="10053" xr:uid="{D03730A4-0289-45FF-8D94-E2C19D176BF5}"/>
    <cellStyle name="Comma 41 3 3 4 3 2" xfId="10055" xr:uid="{D49EE18B-C94B-4BE4-A945-689408F891F2}"/>
    <cellStyle name="Comma 41 3 3 4 3 2 2" xfId="10057" xr:uid="{70C05F20-0516-4309-9A3D-B75D04FD4073}"/>
    <cellStyle name="Comma 41 3 3 4 3 3" xfId="10062" xr:uid="{2C8E8598-14C3-4FA2-B2A0-D40B75A094A8}"/>
    <cellStyle name="Comma 41 3 3 4 4" xfId="10065" xr:uid="{2C8FB4CB-1DCF-43AD-B378-392DE527CCE3}"/>
    <cellStyle name="Comma 41 3 3 4 4 2" xfId="10067" xr:uid="{3D6ECA52-383E-45D2-8B4F-B05274DA98FB}"/>
    <cellStyle name="Comma 41 3 3 4 5" xfId="10072" xr:uid="{1F01B249-EB07-4145-9A32-61964998F1F8}"/>
    <cellStyle name="Comma 41 3 3 5" xfId="29799" xr:uid="{E729D48A-A925-49F8-A38C-AC28953E6516}"/>
    <cellStyle name="Comma 41 3 3 5 2" xfId="29800" xr:uid="{9D3969ED-553D-4419-8D7D-BC3835EB6B26}"/>
    <cellStyle name="Comma 41 3 3 5 2 2" xfId="29801" xr:uid="{0CDCD8CB-3669-4F3D-9836-8CF2797DE249}"/>
    <cellStyle name="Comma 41 3 3 5 2 2 2" xfId="22580" xr:uid="{451049CF-13DD-4EB6-87CA-C57D4482F99C}"/>
    <cellStyle name="Comma 41 3 3 5 2 3" xfId="29802" xr:uid="{1F38CCD5-7FBE-4EDF-994C-0C804739AACE}"/>
    <cellStyle name="Comma 41 3 3 5 3" xfId="10079" xr:uid="{7C901AD2-05E2-432D-BBC6-88B0F66A6A47}"/>
    <cellStyle name="Comma 41 3 3 5 3 2" xfId="10081" xr:uid="{7AB299BC-E4CA-4709-A8EA-212CA1E94422}"/>
    <cellStyle name="Comma 41 3 3 5 4" xfId="10087" xr:uid="{9DD573E0-29D3-4DFF-8A1B-299699D16D21}"/>
    <cellStyle name="Comma 41 3 3 6" xfId="29803" xr:uid="{99A4F335-C0B0-45F8-8456-DE4B7D46AABC}"/>
    <cellStyle name="Comma 41 3 3 6 2" xfId="29804" xr:uid="{57FC8569-C7C3-43F8-A89B-6404EA939B81}"/>
    <cellStyle name="Comma 41 3 3 6 2 2" xfId="29805" xr:uid="{BBBF8867-A567-453E-B5AB-4CF709110F47}"/>
    <cellStyle name="Comma 41 3 3 6 3" xfId="10093" xr:uid="{B2190EAA-C4CD-4936-9D7D-5D0673AEAD80}"/>
    <cellStyle name="Comma 41 3 3 7" xfId="29806" xr:uid="{A6E5E533-C28B-4AD3-B89B-E2B92C798234}"/>
    <cellStyle name="Comma 41 3 3 7 2" xfId="29807" xr:uid="{31177AA8-F327-45C0-9C4C-9C437994590C}"/>
    <cellStyle name="Comma 41 3 3 8" xfId="21765" xr:uid="{2923FFC0-3917-4F3B-8D9E-DEDB032E1D90}"/>
    <cellStyle name="Comma 41 3 3 9" xfId="29808" xr:uid="{F0B74984-5CC0-4881-86EB-863C050B22F9}"/>
    <cellStyle name="Comma 41 3 4" xfId="29809" xr:uid="{04286D38-3842-4781-A149-35861613815D}"/>
    <cellStyle name="Comma 41 3 4 2" xfId="7059" xr:uid="{A5B4D377-9F85-4E2D-8927-6593E14C175C}"/>
    <cellStyle name="Comma 41 3 4 2 2" xfId="16885" xr:uid="{F815F6D9-1255-4A05-A24A-74CA8881C94A}"/>
    <cellStyle name="Comma 41 3 4 2 2 2" xfId="29810" xr:uid="{FDE6C634-8AAF-45BB-98E4-E2202E52F4DF}"/>
    <cellStyle name="Comma 41 3 4 2 2 2 2" xfId="29811" xr:uid="{6343B7A4-657A-49AE-A1DE-0145784FB342}"/>
    <cellStyle name="Comma 41 3 4 2 2 2 2 2" xfId="29812" xr:uid="{1374FE94-49F0-43A5-8D5E-99CE49EB0115}"/>
    <cellStyle name="Comma 41 3 4 2 2 2 2 2 2" xfId="29813" xr:uid="{2B07B2AA-7849-4281-A7A5-22E40E33AB28}"/>
    <cellStyle name="Comma 41 3 4 2 2 2 2 3" xfId="29814" xr:uid="{39920994-65D0-4161-9C51-CA599CB42ACF}"/>
    <cellStyle name="Comma 41 3 4 2 2 2 3" xfId="29815" xr:uid="{21804C31-5C78-460F-9FCF-183B3FCD37B7}"/>
    <cellStyle name="Comma 41 3 4 2 2 2 3 2" xfId="24922" xr:uid="{14B6DF16-7CB5-47AA-B1C9-C3AC05582E2B}"/>
    <cellStyle name="Comma 41 3 4 2 2 2 4" xfId="23391" xr:uid="{671A947A-7D31-43F1-A954-9BBB78A91C93}"/>
    <cellStyle name="Comma 41 3 4 2 2 3" xfId="29816" xr:uid="{EF856DAF-8066-4C44-BEA9-2ED6AC3834C4}"/>
    <cellStyle name="Comma 41 3 4 2 2 3 2" xfId="29817" xr:uid="{3E8038D5-BFEB-4AB6-83FD-5776A481F32F}"/>
    <cellStyle name="Comma 41 3 4 2 2 3 2 2" xfId="29819" xr:uid="{D351D0E2-A98E-447B-BA9C-83FFD603FF97}"/>
    <cellStyle name="Comma 41 3 4 2 2 3 3" xfId="29820" xr:uid="{A5415C9A-AA18-4232-9E0F-136A1F5FF41F}"/>
    <cellStyle name="Comma 41 3 4 2 2 4" xfId="29821" xr:uid="{35F8B5A4-DA24-4607-BE3A-2A953C087AB7}"/>
    <cellStyle name="Comma 41 3 4 2 2 4 2" xfId="3957" xr:uid="{890B05CE-D892-47A7-9A77-5248F0BED2FF}"/>
    <cellStyle name="Comma 41 3 4 2 2 5" xfId="19818" xr:uid="{8310BB5B-8352-4838-80DD-D878D313D442}"/>
    <cellStyle name="Comma 41 3 4 2 3" xfId="29822" xr:uid="{943B0A5C-08FA-450B-8720-D1EA06498EF0}"/>
    <cellStyle name="Comma 41 3 4 2 3 2" xfId="29823" xr:uid="{815F0F80-4764-47E6-BD9A-B2344016A740}"/>
    <cellStyle name="Comma 41 3 4 2 3 2 2" xfId="29824" xr:uid="{0647DDCC-79ED-4D1C-8720-73558FFED53E}"/>
    <cellStyle name="Comma 41 3 4 2 3 2 2 2" xfId="15332" xr:uid="{277EA70D-0358-4B12-8E58-1D68A61B738D}"/>
    <cellStyle name="Comma 41 3 4 2 3 2 3" xfId="22447" xr:uid="{2E505DB0-645D-4D3B-81D9-9BCA9793D386}"/>
    <cellStyle name="Comma 41 3 4 2 3 3" xfId="29825" xr:uid="{B093F6BB-270B-4F1E-ABF8-5FA69C08471C}"/>
    <cellStyle name="Comma 41 3 4 2 3 3 2" xfId="29826" xr:uid="{2BA6E37B-F4DA-41EE-884A-9AE199E9F207}"/>
    <cellStyle name="Comma 41 3 4 2 3 4" xfId="29828" xr:uid="{0DDA09EA-EA9A-4918-B435-0E078697D1DF}"/>
    <cellStyle name="Comma 41 3 4 2 4" xfId="29829" xr:uid="{3FB882DE-F929-4BD9-8BC5-545802CB5C9D}"/>
    <cellStyle name="Comma 41 3 4 2 4 2" xfId="22346" xr:uid="{F01ABABA-F76C-41DA-B242-4C8E875AD7EB}"/>
    <cellStyle name="Comma 41 3 4 2 4 2 2" xfId="8820" xr:uid="{9470E9B4-A0B5-4A98-B00A-20DFB677589A}"/>
    <cellStyle name="Comma 41 3 4 2 4 3" xfId="22348" xr:uid="{DF98F701-9376-49ED-B70D-1BA93A1BF68A}"/>
    <cellStyle name="Comma 41 3 4 2 5" xfId="29830" xr:uid="{CDE6AD60-B5B1-45CA-BEC3-CD1BD7478498}"/>
    <cellStyle name="Comma 41 3 4 2 5 2" xfId="22359" xr:uid="{1B920A80-DBBC-4246-A863-531F44BEB5BD}"/>
    <cellStyle name="Comma 41 3 4 2 6" xfId="29831" xr:uid="{7961D2D7-8787-4F71-A156-377B25C18594}"/>
    <cellStyle name="Comma 41 3 4 2 7" xfId="29832" xr:uid="{FEABC303-C4F3-4847-BA5D-6E73AB64E077}"/>
    <cellStyle name="Comma 41 3 4 3" xfId="16888" xr:uid="{30BA7091-0213-4893-8C00-C26D72C7DBF6}"/>
    <cellStyle name="Comma 41 3 4 3 2" xfId="25355" xr:uid="{F6F48616-3141-4E9E-BF7F-DC385F6965FA}"/>
    <cellStyle name="Comma 41 3 4 3 2 2" xfId="29833" xr:uid="{373347E7-D42C-4232-B9CD-057146E68C70}"/>
    <cellStyle name="Comma 41 3 4 3 2 2 2" xfId="29835" xr:uid="{612C7572-C342-4841-86F8-ADC4FFF3B121}"/>
    <cellStyle name="Comma 41 3 4 3 2 2 2 2" xfId="29836" xr:uid="{7EBDF96D-FFDF-48E3-92A9-9784FBB41F4C}"/>
    <cellStyle name="Comma 41 3 4 3 2 2 3" xfId="29837" xr:uid="{0AFD5490-CDAE-4EED-8C6A-FEFCF45A0894}"/>
    <cellStyle name="Comma 41 3 4 3 2 3" xfId="29838" xr:uid="{42B8C5AC-BF93-4CF2-B932-34BD71A48B2D}"/>
    <cellStyle name="Comma 41 3 4 3 2 3 2" xfId="29839" xr:uid="{45675B17-F858-4D6F-B5A0-A8126AA07ACC}"/>
    <cellStyle name="Comma 41 3 4 3 2 4" xfId="23920" xr:uid="{78BC136D-2D7C-47BA-9BCB-F86FCAD7E17C}"/>
    <cellStyle name="Comma 41 3 4 3 3" xfId="25357" xr:uid="{AE75AA95-4A26-4762-B2EA-8404C448748F}"/>
    <cellStyle name="Comma 41 3 4 3 3 2" xfId="29840" xr:uid="{ACEAC965-DE4D-4273-9989-7DEDA42A6E11}"/>
    <cellStyle name="Comma 41 3 4 3 3 2 2" xfId="29841" xr:uid="{59FA6CE0-0736-45CF-9EA2-A536DB07FF99}"/>
    <cellStyle name="Comma 41 3 4 3 3 3" xfId="29842" xr:uid="{F3C09B38-1BD6-4349-A611-111CD1AFC96C}"/>
    <cellStyle name="Comma 41 3 4 3 4" xfId="25359" xr:uid="{6B644DFD-81A0-44A4-A46D-8D25DE2F6B2F}"/>
    <cellStyle name="Comma 41 3 4 3 4 2" xfId="22384" xr:uid="{1FC91EAF-D481-41DB-B1DB-0FA1B50571DC}"/>
    <cellStyle name="Comma 41 3 4 3 5" xfId="25361" xr:uid="{CDC48248-91BB-4AE9-B8BC-A96A93635839}"/>
    <cellStyle name="Comma 41 3 4 4" xfId="4617" xr:uid="{3261C6B8-D829-4B5A-9BA7-B0670AC8AE1F}"/>
    <cellStyle name="Comma 41 3 4 4 2" xfId="29843" xr:uid="{7E53BAA3-F3B0-4DEE-ADCC-4D00F7A5383B}"/>
    <cellStyle name="Comma 41 3 4 4 2 2" xfId="29844" xr:uid="{011A2C7C-22A5-4DFB-93DF-EDF0CB9608C4}"/>
    <cellStyle name="Comma 41 3 4 4 2 2 2" xfId="22663" xr:uid="{0C9F73AC-202D-43FE-AC5E-A08C42DA0179}"/>
    <cellStyle name="Comma 41 3 4 4 2 3" xfId="29845" xr:uid="{7AF2723A-2E65-497F-B283-9880E941AEFB}"/>
    <cellStyle name="Comma 41 3 4 4 3" xfId="10108" xr:uid="{E4953962-FE26-42F1-921B-1D05F493220D}"/>
    <cellStyle name="Comma 41 3 4 4 3 2" xfId="10110" xr:uid="{9FB61C7A-B1BC-46E7-B47E-802FB4F02D6F}"/>
    <cellStyle name="Comma 41 3 4 4 4" xfId="10114" xr:uid="{BAC4FFE7-DCD9-465F-BD5F-86F95482D27F}"/>
    <cellStyle name="Comma 41 3 4 5" xfId="29847" xr:uid="{B6EF7426-7AFB-4625-B4CB-D0014DDDEF35}"/>
    <cellStyle name="Comma 41 3 4 5 2" xfId="29849" xr:uid="{CB6D2DFE-7678-4B90-9681-6DF2E5014D1B}"/>
    <cellStyle name="Comma 41 3 4 5 2 2" xfId="29850" xr:uid="{8BDF2320-2BFE-477E-8917-CF39201A8F49}"/>
    <cellStyle name="Comma 41 3 4 5 3" xfId="10120" xr:uid="{AA3093C6-4E36-47A6-B327-75A6666949D9}"/>
    <cellStyle name="Comma 41 3 4 6" xfId="29851" xr:uid="{DB9022A0-6870-493F-8C8B-5203A5DE9420}"/>
    <cellStyle name="Comma 41 3 4 6 2" xfId="29852" xr:uid="{BE2B3090-5EEA-47DF-B734-227D534A883A}"/>
    <cellStyle name="Comma 41 3 4 7" xfId="29853" xr:uid="{B206737E-6913-40D0-B149-A0C0D6E3C5CF}"/>
    <cellStyle name="Comma 41 3 4 8" xfId="29854" xr:uid="{CCBE6441-98F4-4CE1-8DD1-C5FEFE828843}"/>
    <cellStyle name="Comma 41 3 5" xfId="29855" xr:uid="{ACEE279C-461F-4689-AF0C-1111B48BC0BF}"/>
    <cellStyle name="Comma 41 3 5 2" xfId="16899" xr:uid="{19E2D476-F84C-4F2C-A535-32832ABC82A7}"/>
    <cellStyle name="Comma 41 3 5 2 2" xfId="23519" xr:uid="{F1E128BF-0620-49A8-B6A5-74442FCC1111}"/>
    <cellStyle name="Comma 41 3 5 2 2 2" xfId="23521" xr:uid="{4BF2951E-35F5-4864-BFD9-6269D153EC12}"/>
    <cellStyle name="Comma 41 3 5 2 2 2 2" xfId="17780" xr:uid="{E17BC1EC-B481-4030-9EDC-088E1DDB2776}"/>
    <cellStyle name="Comma 41 3 5 2 2 2 2 2" xfId="17786" xr:uid="{6CF319C1-4706-40F6-8895-79181764789F}"/>
    <cellStyle name="Comma 41 3 5 2 2 2 3" xfId="19495" xr:uid="{0D774F2F-4149-46FC-B662-60371AE48F7B}"/>
    <cellStyle name="Comma 41 3 5 2 2 3" xfId="29856" xr:uid="{D940ADA3-BBF8-4BED-9E65-5CBDB91490F5}"/>
    <cellStyle name="Comma 41 3 5 2 2 3 2" xfId="25281" xr:uid="{6DCD7660-A00A-4D2A-9AB1-88522E468B5B}"/>
    <cellStyle name="Comma 41 3 5 2 2 4" xfId="29857" xr:uid="{6CFE2287-B518-4402-974C-A36BD788924C}"/>
    <cellStyle name="Comma 41 3 5 2 3" xfId="23523" xr:uid="{9CA3DC73-4CAB-4962-B7FE-3DF4E87B1275}"/>
    <cellStyle name="Comma 41 3 5 2 3 2" xfId="29858" xr:uid="{1B3DE554-C444-4CF0-9DD4-28373F5A02CD}"/>
    <cellStyle name="Comma 41 3 5 2 3 2 2" xfId="25724" xr:uid="{738DE7FB-9696-4152-8997-6E4D58000D06}"/>
    <cellStyle name="Comma 41 3 5 2 3 3" xfId="29859" xr:uid="{81929983-C690-45CF-976F-615BA479D182}"/>
    <cellStyle name="Comma 41 3 5 2 4" xfId="23525" xr:uid="{3B6672C2-4B10-4658-9830-1B2A197079E3}"/>
    <cellStyle name="Comma 41 3 5 2 4 2" xfId="22407" xr:uid="{5C1512E4-5D3B-4D5F-9B4E-10557CB3CC43}"/>
    <cellStyle name="Comma 41 3 5 2 5" xfId="29860" xr:uid="{DC7C37FD-435F-4097-BE3C-9CAA4C0F70A0}"/>
    <cellStyle name="Comma 41 3 5 3" xfId="29861" xr:uid="{DDFA2004-6828-4ACF-ADF4-213FBDF07E4E}"/>
    <cellStyle name="Comma 41 3 5 3 2" xfId="23541" xr:uid="{996C3F03-200B-4A5A-A89E-8A6A295D486F}"/>
    <cellStyle name="Comma 41 3 5 3 2 2" xfId="29862" xr:uid="{28C0AAE5-62CE-4F36-A149-8C3F63AE0598}"/>
    <cellStyle name="Comma 41 3 5 3 2 2 2" xfId="29863" xr:uid="{6FB54693-011E-4089-9664-F39DE29BB174}"/>
    <cellStyle name="Comma 41 3 5 3 2 3" xfId="21022" xr:uid="{216CEF78-83F2-4966-9DFB-777B45C7915F}"/>
    <cellStyle name="Comma 41 3 5 3 3" xfId="29864" xr:uid="{162D1BFF-66F5-42E3-8324-798646839720}"/>
    <cellStyle name="Comma 41 3 5 3 3 2" xfId="29865" xr:uid="{C4D6F0BA-3A3E-4AC2-AD9B-CB737530CA9F}"/>
    <cellStyle name="Comma 41 3 5 3 4" xfId="29866" xr:uid="{2331C6B8-79F9-4484-8FB6-A8834CDFAF70}"/>
    <cellStyle name="Comma 41 3 5 4" xfId="29867" xr:uid="{55A327EF-5026-42D0-9D8B-787A106F8836}"/>
    <cellStyle name="Comma 41 3 5 4 2" xfId="29868" xr:uid="{A92491E6-E6DD-4245-95D5-337A2619C22D}"/>
    <cellStyle name="Comma 41 3 5 4 2 2" xfId="29869" xr:uid="{7DBF81FB-2CB2-4E95-9EA0-91C8DE94F5C0}"/>
    <cellStyle name="Comma 41 3 5 4 3" xfId="10129" xr:uid="{4C33415A-5A26-4448-AEC6-9A4CF5D9ADF7}"/>
    <cellStyle name="Comma 41 3 5 5" xfId="29870" xr:uid="{FEC5FF1F-2D49-4959-B18F-373C1490205D}"/>
    <cellStyle name="Comma 41 3 5 5 2" xfId="29871" xr:uid="{7701D6BB-FEF3-4B6D-AB8F-30C338F23468}"/>
    <cellStyle name="Comma 41 3 5 6" xfId="29872" xr:uid="{4B848D06-D3B0-4FF6-B77B-94B80EEDB2B7}"/>
    <cellStyle name="Comma 41 3 5 7" xfId="29873" xr:uid="{B6FA416A-4EB5-403D-9D04-5A798E3A97BE}"/>
    <cellStyle name="Comma 41 3 6" xfId="29874" xr:uid="{302ABC25-546F-4FC8-8357-EDC4873B993E}"/>
    <cellStyle name="Comma 41 3 6 2" xfId="51" xr:uid="{BE0DAC75-1A32-4B7E-A678-06E108A711EB}"/>
    <cellStyle name="Comma 41 3 6 2 2" xfId="24056" xr:uid="{CA5C0C63-C985-4060-A64D-D2B1CB83DEBB}"/>
    <cellStyle name="Comma 41 3 6 2 2 2" xfId="29876" xr:uid="{28BC6CD5-D95F-4B7E-BAE9-64B16D3423D0}"/>
    <cellStyle name="Comma 41 3 6 2 2 2 2" xfId="29878" xr:uid="{19EBE3E1-CB17-4C23-84EA-3227DC81B417}"/>
    <cellStyle name="Comma 41 3 6 2 2 3" xfId="29880" xr:uid="{97B225AF-E2E6-497D-A68D-FBB36584574D}"/>
    <cellStyle name="Comma 41 3 6 2 3" xfId="29882" xr:uid="{D0A933D8-B6BF-4906-B68B-B856CF0311B4}"/>
    <cellStyle name="Comma 41 3 6 2 3 2" xfId="29884" xr:uid="{634AE37E-9DA0-42EA-9FA2-DA72E011F409}"/>
    <cellStyle name="Comma 41 3 6 2 4" xfId="29886" xr:uid="{9D10A721-B17D-4E61-B63E-C39BB6DA74E2}"/>
    <cellStyle name="Comma 41 3 6 3" xfId="29887" xr:uid="{E87BD045-9916-4718-B6BC-6552AE047B5D}"/>
    <cellStyle name="Comma 41 3 6 3 2" xfId="28990" xr:uid="{2E0251B0-063B-4754-885A-E501EF0DC217}"/>
    <cellStyle name="Comma 41 3 6 3 2 2" xfId="28992" xr:uid="{F8B0A044-7003-4987-AE70-2427B6573B1B}"/>
    <cellStyle name="Comma 41 3 6 3 3" xfId="28994" xr:uid="{69554984-646C-43C8-95F9-51923F44AD85}"/>
    <cellStyle name="Comma 41 3 6 4" xfId="29888" xr:uid="{72A250F7-86A7-42D8-AE3C-FEBE965F9F2A}"/>
    <cellStyle name="Comma 41 3 6 4 2" xfId="29889" xr:uid="{AD2415C2-BE3A-420C-AB3B-B5C821EF0612}"/>
    <cellStyle name="Comma 41 3 6 5" xfId="29890" xr:uid="{D94808D5-2910-418A-9B93-8EF3CAB44C10}"/>
    <cellStyle name="Comma 41 3 7" xfId="29891" xr:uid="{70F29B8B-272E-4B4F-BEEF-DEEB1866D743}"/>
    <cellStyle name="Comma 41 3 7 2" xfId="29892" xr:uid="{C31B6C70-AAB6-4CC9-B632-67B52882E8DD}"/>
    <cellStyle name="Comma 41 3 7 2 2" xfId="25559" xr:uid="{72AA4BC2-72E3-4E8D-AD33-6784F92C6CFC}"/>
    <cellStyle name="Comma 41 3 7 2 2 2" xfId="24017" xr:uid="{4E62D6DF-3D93-42F4-932F-567459F4D104}"/>
    <cellStyle name="Comma 41 3 7 2 3" xfId="25564" xr:uid="{99DE66EC-D154-4041-9F72-AA32521303B9}"/>
    <cellStyle name="Comma 41 3 7 3" xfId="29893" xr:uid="{CD3F94A5-F706-4696-BFE8-D11570F0F27E}"/>
    <cellStyle name="Comma 41 3 7 3 2" xfId="28891" xr:uid="{5F3A636D-3127-4560-8820-FCB10AB961D8}"/>
    <cellStyle name="Comma 41 3 7 4" xfId="29894" xr:uid="{344B5C8E-AD5D-4A15-8F41-692DEEE2078E}"/>
    <cellStyle name="Comma 41 3 8" xfId="29895" xr:uid="{F1864D72-FF3E-4950-A1F6-2B7CA6F2DE7F}"/>
    <cellStyle name="Comma 41 3 8 2" xfId="29896" xr:uid="{C7B567E4-5947-4831-B59B-A90E5FAC5EDD}"/>
    <cellStyle name="Comma 41 3 8 2 2" xfId="29897" xr:uid="{55567855-3DF3-4F82-85B7-9D88E3571FEA}"/>
    <cellStyle name="Comma 41 3 8 3" xfId="29898" xr:uid="{DE11D824-F68A-48CC-868D-22E49F51ECDC}"/>
    <cellStyle name="Comma 41 3 9" xfId="29899" xr:uid="{400B9AF7-3029-4679-B350-56B81DC31952}"/>
    <cellStyle name="Comma 41 3 9 2" xfId="29900" xr:uid="{FCC5DA7C-8419-46F1-8E4A-9E9469F52DB3}"/>
    <cellStyle name="Comma 41 4" xfId="26076" xr:uid="{9210803C-E27A-4168-AFB3-4C5915772B17}"/>
    <cellStyle name="Comma 41 4 10" xfId="5941" xr:uid="{D569A77C-E4E6-4DDA-B980-32633C0D47F0}"/>
    <cellStyle name="Comma 41 4 2" xfId="29901" xr:uid="{79096E1E-FC11-4005-AF47-1034BCB0F355}"/>
    <cellStyle name="Comma 41 4 2 2" xfId="303" xr:uid="{F9187CC2-D2B3-472A-9B70-CF9AC39A64FB}"/>
    <cellStyle name="Comma 41 4 2 2 2" xfId="29902" xr:uid="{747F200F-3176-4928-9178-AEBF5C3C7A65}"/>
    <cellStyle name="Comma 41 4 2 2 2 2" xfId="29903" xr:uid="{7B3A0380-BBB7-456F-8E9C-30582D6BB371}"/>
    <cellStyle name="Comma 41 4 2 2 2 2 2" xfId="29906" xr:uid="{7733EFA1-65A6-444D-A9F6-751DC5ED5ECD}"/>
    <cellStyle name="Comma 41 4 2 2 2 2 2 2" xfId="29907" xr:uid="{C376932A-CB93-4B4A-A224-8A632B1E50E2}"/>
    <cellStyle name="Comma 41 4 2 2 2 2 2 2 2" xfId="29911" xr:uid="{825C13F2-D55E-4F73-8D93-5C23E1761FDB}"/>
    <cellStyle name="Comma 41 4 2 2 2 2 2 2 2 2" xfId="29914" xr:uid="{FDA4B071-B1DF-4F6A-B41C-C6F72C64B892}"/>
    <cellStyle name="Comma 41 4 2 2 2 2 2 2 3" xfId="6579" xr:uid="{AC7F888B-DCF9-41E1-9952-CB2FD64C47C9}"/>
    <cellStyle name="Comma 41 4 2 2 2 2 2 3" xfId="2698" xr:uid="{E0E20E89-6D1A-4CDB-A459-54AF7748FA6A}"/>
    <cellStyle name="Comma 41 4 2 2 2 2 2 3 2" xfId="8290" xr:uid="{9202C6AB-B754-446E-AA5D-99BEC8A1376F}"/>
    <cellStyle name="Comma 41 4 2 2 2 2 2 4" xfId="8293" xr:uid="{821FDB05-33DC-4007-AA51-3E72C0D39D68}"/>
    <cellStyle name="Comma 41 4 2 2 2 2 3" xfId="29915" xr:uid="{AF3C1A41-BAC0-4721-BDED-B20729EA7EEF}"/>
    <cellStyle name="Comma 41 4 2 2 2 2 3 2" xfId="29916" xr:uid="{CF704D04-52EA-4D6A-B4BE-B77C57472298}"/>
    <cellStyle name="Comma 41 4 2 2 2 2 3 2 2" xfId="29917" xr:uid="{834D1999-D1C5-4556-8981-7C2AF60B2F4F}"/>
    <cellStyle name="Comma 41 4 2 2 2 2 3 3" xfId="2723" xr:uid="{8BBC6B0A-F712-4333-9DCB-857DD0574F00}"/>
    <cellStyle name="Comma 41 4 2 2 2 2 4" xfId="23425" xr:uid="{8DED90A5-5F82-4953-AC61-FDD4801CA857}"/>
    <cellStyle name="Comma 41 4 2 2 2 2 4 2" xfId="23427" xr:uid="{420A2C9D-7190-4628-BA0B-4051FF30161A}"/>
    <cellStyle name="Comma 41 4 2 2 2 2 5" xfId="23429" xr:uid="{5A3128BB-8888-4B86-982D-06BA4CD2605D}"/>
    <cellStyle name="Comma 41 4 2 2 2 3" xfId="29918" xr:uid="{6888D06B-AE9B-4094-B9A0-DCB8AE3F84C2}"/>
    <cellStyle name="Comma 41 4 2 2 2 3 2" xfId="29919" xr:uid="{E446466E-036B-458B-987C-CA97F1AB4AB2}"/>
    <cellStyle name="Comma 41 4 2 2 2 3 2 2" xfId="29920" xr:uid="{04F1D509-839D-44AB-B71F-628428CA88FA}"/>
    <cellStyle name="Comma 41 4 2 2 2 3 2 2 2" xfId="29921" xr:uid="{52A8BBB9-042D-4112-9209-3E92E4A1B151}"/>
    <cellStyle name="Comma 41 4 2 2 2 3 2 3" xfId="7755" xr:uid="{02E11826-0327-4D15-B51D-27FF3F6B1AD7}"/>
    <cellStyle name="Comma 41 4 2 2 2 3 3" xfId="29922" xr:uid="{CE3F2461-4831-49AB-8EF2-D24B308DF99F}"/>
    <cellStyle name="Comma 41 4 2 2 2 3 3 2" xfId="29923" xr:uid="{1A17CD99-C72F-40C8-A1FA-88C60A11E1DF}"/>
    <cellStyle name="Comma 41 4 2 2 2 3 4" xfId="23432" xr:uid="{88AD4EA7-90B6-4D34-AD44-E6E9CD5C7E1E}"/>
    <cellStyle name="Comma 41 4 2 2 2 4" xfId="29924" xr:uid="{830E9CC6-BD1B-479E-9854-2D6030921208}"/>
    <cellStyle name="Comma 41 4 2 2 2 4 2" xfId="29925" xr:uid="{4010E00D-1935-4B7E-9B64-47DBD53825A3}"/>
    <cellStyle name="Comma 41 4 2 2 2 4 2 2" xfId="29926" xr:uid="{6544D618-386A-4D38-A3ED-0033D0F93EDD}"/>
    <cellStyle name="Comma 41 4 2 2 2 4 3" xfId="29928" xr:uid="{1AB30118-B87A-47E8-AC1B-5A4F1E1E651D}"/>
    <cellStyle name="Comma 41 4 2 2 2 5" xfId="29929" xr:uid="{C736C506-A1B1-4381-912A-7E6D49002005}"/>
    <cellStyle name="Comma 41 4 2 2 2 5 2" xfId="29930" xr:uid="{7127B8B1-8555-4B60-83A8-9D071A396167}"/>
    <cellStyle name="Comma 41 4 2 2 2 6" xfId="16501" xr:uid="{857D2EA8-6C9B-4A68-B57F-A533A9079734}"/>
    <cellStyle name="Comma 41 4 2 2 2 7" xfId="16504" xr:uid="{4169BD56-69D0-43E4-B088-5C1176C68B5B}"/>
    <cellStyle name="Comma 41 4 2 2 3" xfId="29931" xr:uid="{04DA0A84-55A3-4B0A-B937-C7E15996E2B4}"/>
    <cellStyle name="Comma 41 4 2 2 3 2" xfId="29932" xr:uid="{C2912164-195D-4891-A64A-36905F7A1FD5}"/>
    <cellStyle name="Comma 41 4 2 2 3 2 2" xfId="29936" xr:uid="{F559582B-C667-4316-88F5-2AE0BBA45263}"/>
    <cellStyle name="Comma 41 4 2 2 3 2 2 2" xfId="1162" xr:uid="{A84BA19D-2909-4FF3-BA9A-B3AD06E5EA2B}"/>
    <cellStyle name="Comma 41 4 2 2 3 2 2 2 2" xfId="2176" xr:uid="{3C88155C-F18F-421D-8DFC-568BAD9E3069}"/>
    <cellStyle name="Comma 41 4 2 2 3 2 2 3" xfId="1165" xr:uid="{FC120A4C-388F-40A6-9FAD-1B07A6D9DB0B}"/>
    <cellStyle name="Comma 41 4 2 2 3 2 3" xfId="24256" xr:uid="{98342F03-DBA2-4232-8F88-96AAF99146E8}"/>
    <cellStyle name="Comma 41 4 2 2 3 2 3 2" xfId="2202" xr:uid="{6C688276-912F-4103-98F4-49EB3F3380B3}"/>
    <cellStyle name="Comma 41 4 2 2 3 2 4" xfId="23439" xr:uid="{28C2145A-CECF-4B31-8501-C625699964EC}"/>
    <cellStyle name="Comma 41 4 2 2 3 3" xfId="29937" xr:uid="{5EDF0D69-B6D7-4150-ABD8-6C2DA6C6D8B7}"/>
    <cellStyle name="Comma 41 4 2 2 3 3 2" xfId="29938" xr:uid="{94DC2D5F-A7F3-4D48-AD5C-837CA398940A}"/>
    <cellStyle name="Comma 41 4 2 2 3 3 2 2" xfId="1290" xr:uid="{469900B2-6C83-41E9-94F9-A59D7A60B060}"/>
    <cellStyle name="Comma 41 4 2 2 3 3 3" xfId="29939" xr:uid="{788C427B-111A-4949-AB48-8613831A381A}"/>
    <cellStyle name="Comma 41 4 2 2 3 4" xfId="29940" xr:uid="{8A8E911F-038D-4CB5-AFBD-8842B24823F2}"/>
    <cellStyle name="Comma 41 4 2 2 3 4 2" xfId="29941" xr:uid="{EBAC09AC-C877-4D1C-A741-78A0C23103AC}"/>
    <cellStyle name="Comma 41 4 2 2 3 5" xfId="29942" xr:uid="{2D4E7BD3-35F1-4542-9CB7-D10E700D459E}"/>
    <cellStyle name="Comma 41 4 2 2 4" xfId="29943" xr:uid="{EBC48286-B066-4338-8D91-89864BDCBF52}"/>
    <cellStyle name="Comma 41 4 2 2 4 2" xfId="29944" xr:uid="{304FFCC4-4553-4506-A9A0-6D43A03F056F}"/>
    <cellStyle name="Comma 41 4 2 2 4 2 2" xfId="29948" xr:uid="{9B115ACC-4038-437E-B84A-9215DDC45BF9}"/>
    <cellStyle name="Comma 41 4 2 2 4 2 2 2" xfId="29949" xr:uid="{FEEFF6A6-0A23-48F7-B9D7-BA322B9A4B1E}"/>
    <cellStyle name="Comma 41 4 2 2 4 2 3" xfId="29950" xr:uid="{396340ED-291A-4B3B-BE35-5B1C2895DE00}"/>
    <cellStyle name="Comma 41 4 2 2 4 3" xfId="29771" xr:uid="{E0B09F6F-7DD2-427C-B836-3BE3509E7FD2}"/>
    <cellStyle name="Comma 41 4 2 2 4 3 2" xfId="29773" xr:uid="{12C143D8-9317-48C5-82B7-D81E6D7A8F3A}"/>
    <cellStyle name="Comma 41 4 2 2 4 4" xfId="29777" xr:uid="{E7FA1DE2-D90B-48E4-ABFE-256D33D6852B}"/>
    <cellStyle name="Comma 41 4 2 2 5" xfId="29951" xr:uid="{79202F9F-96B6-48F0-8337-18F37875B37C}"/>
    <cellStyle name="Comma 41 4 2 2 5 2" xfId="29952" xr:uid="{55BFDA72-147D-4D59-9BBB-CEADE899ED81}"/>
    <cellStyle name="Comma 41 4 2 2 5 2 2" xfId="29955" xr:uid="{03BC58C3-513D-4225-A075-28139C6DD781}"/>
    <cellStyle name="Comma 41 4 2 2 5 3" xfId="29781" xr:uid="{726EB116-5A66-433B-873C-1795AF7F0368}"/>
    <cellStyle name="Comma 41 4 2 2 6" xfId="3527" xr:uid="{61CA5CC2-B69A-4D6C-8CD3-595E8D413256}"/>
    <cellStyle name="Comma 41 4 2 2 6 2" xfId="3532" xr:uid="{CB5CFEB4-D710-40DE-BDF9-18C70B6DBE72}"/>
    <cellStyle name="Comma 41 4 2 2 7" xfId="3548" xr:uid="{3FC82B01-EF0A-4454-AFE8-1877D6712D5A}"/>
    <cellStyle name="Comma 41 4 2 2 8" xfId="3553" xr:uid="{98EED0E6-6E62-428E-9AC5-7F98983136BC}"/>
    <cellStyle name="Comma 41 4 2 3" xfId="315" xr:uid="{4B06A4A9-CAA8-4C5D-98B1-65C0D6F76C80}"/>
    <cellStyle name="Comma 41 4 2 3 2" xfId="29956" xr:uid="{BB9A1115-7C53-4541-9F9A-D27B5655ACC2}"/>
    <cellStyle name="Comma 41 4 2 3 2 2" xfId="29957" xr:uid="{D714518D-E435-43C6-998C-91DE1851E646}"/>
    <cellStyle name="Comma 41 4 2 3 2 2 2" xfId="27537" xr:uid="{CA69CF64-3630-4B9A-AB83-6AC360B75061}"/>
    <cellStyle name="Comma 41 4 2 3 2 2 2 2" xfId="27540" xr:uid="{33FE0FF2-E23D-4030-B8B2-257785557E6F}"/>
    <cellStyle name="Comma 41 4 2 3 2 2 2 2 2" xfId="27541" xr:uid="{68E794B5-A8CD-4959-9953-97199DAB936F}"/>
    <cellStyle name="Comma 41 4 2 3 2 2 2 3" xfId="8408" xr:uid="{2FF8A929-071C-45A5-83F7-CFEE635D8084}"/>
    <cellStyle name="Comma 41 4 2 3 2 2 3" xfId="27545" xr:uid="{9F47DDD7-5FFC-4902-B273-51D4220C9AFB}"/>
    <cellStyle name="Comma 41 4 2 3 2 2 3 2" xfId="27546" xr:uid="{F6D76A69-1230-4B76-8E24-64AAD0BE3E2A}"/>
    <cellStyle name="Comma 41 4 2 3 2 2 4" xfId="23449" xr:uid="{700F6F17-FF6E-4735-BD4B-D79BAA7883C1}"/>
    <cellStyle name="Comma 41 4 2 3 2 3" xfId="29958" xr:uid="{ACAAE831-8F22-404E-A2F7-262CFFC319E0}"/>
    <cellStyle name="Comma 41 4 2 3 2 3 2" xfId="27557" xr:uid="{6813FA6E-6941-4BC4-9E4B-EB1FBCB051DF}"/>
    <cellStyle name="Comma 41 4 2 3 2 3 2 2" xfId="27558" xr:uid="{DB5BE990-C09C-44C7-A029-8B299DA40CE6}"/>
    <cellStyle name="Comma 41 4 2 3 2 3 3" xfId="27560" xr:uid="{E4029527-05DA-4F01-B285-A484F73DF219}"/>
    <cellStyle name="Comma 41 4 2 3 2 4" xfId="23981" xr:uid="{5E49C66C-CD25-4520-A607-D6E842465CD3}"/>
    <cellStyle name="Comma 41 4 2 3 2 4 2" xfId="23986" xr:uid="{2F8509D3-3C6D-4F4A-B71E-B8BAB04B0769}"/>
    <cellStyle name="Comma 41 4 2 3 2 5" xfId="23988" xr:uid="{BBB4964B-EA76-444C-8CB7-92E77C1D791D}"/>
    <cellStyle name="Comma 41 4 2 3 3" xfId="29959" xr:uid="{DD37B68F-3DB3-4E50-92D3-027A55789F81}"/>
    <cellStyle name="Comma 41 4 2 3 3 2" xfId="29960" xr:uid="{F1A22E1C-4BD2-4ADC-A15A-CDD2B3554993}"/>
    <cellStyle name="Comma 41 4 2 3 3 2 2" xfId="27642" xr:uid="{9B39B989-E502-49A6-B9C0-D4C3FD67F3BC}"/>
    <cellStyle name="Comma 41 4 2 3 3 2 2 2" xfId="27643" xr:uid="{6F324BC1-7C84-41F8-90A6-2ACDF3C6DC45}"/>
    <cellStyle name="Comma 41 4 2 3 3 2 3" xfId="27645" xr:uid="{C8F314BA-B142-4DA3-8C9F-1BE94285C07C}"/>
    <cellStyle name="Comma 41 4 2 3 3 3" xfId="29961" xr:uid="{922FA153-8412-4956-92A5-D677B31FEC53}"/>
    <cellStyle name="Comma 41 4 2 3 3 3 2" xfId="27652" xr:uid="{EE623404-A32A-4B45-87CC-333A13B85BC6}"/>
    <cellStyle name="Comma 41 4 2 3 3 4" xfId="23993" xr:uid="{6752F37A-4A28-48F2-BFAD-B49693A54247}"/>
    <cellStyle name="Comma 41 4 2 3 4" xfId="29962" xr:uid="{B6514E15-EE5E-4346-961B-2A38E116630E}"/>
    <cellStyle name="Comma 41 4 2 3 4 2" xfId="29963" xr:uid="{6D4BCA5A-D5C9-429F-BC9D-6C3942BD3DA5}"/>
    <cellStyle name="Comma 41 4 2 3 4 2 2" xfId="13580" xr:uid="{37D6C653-C867-465A-9A9E-799FAA9092EC}"/>
    <cellStyle name="Comma 41 4 2 3 4 3" xfId="29786" xr:uid="{5252835A-7407-4611-AF27-031510CE6E64}"/>
    <cellStyle name="Comma 41 4 2 3 5" xfId="29964" xr:uid="{004F0F3E-38D1-42E5-A2BB-E6C1FF6880EA}"/>
    <cellStyle name="Comma 41 4 2 3 5 2" xfId="29965" xr:uid="{39E8AE73-B72C-4C30-965B-E20DB1D4ED84}"/>
    <cellStyle name="Comma 41 4 2 3 6" xfId="3558" xr:uid="{4C894901-5AC5-4F0D-85A6-BBE7E5D74362}"/>
    <cellStyle name="Comma 41 4 2 3 7" xfId="3563" xr:uid="{6C82BC8D-722D-4613-A2D4-2D644AD4EAE3}"/>
    <cellStyle name="Comma 41 4 2 4" xfId="324" xr:uid="{82F11642-A622-4506-BA64-78AA7FE38F92}"/>
    <cellStyle name="Comma 41 4 2 4 2" xfId="29966" xr:uid="{45B631D0-872A-4410-9667-F291AEC24954}"/>
    <cellStyle name="Comma 41 4 2 4 2 2" xfId="29967" xr:uid="{FA1E79EE-7FF3-4A3B-91B9-125BAD5262EA}"/>
    <cellStyle name="Comma 41 4 2 4 2 2 2" xfId="22841" xr:uid="{6B93C974-3137-485B-AD89-0137E0F8B25C}"/>
    <cellStyle name="Comma 41 4 2 4 2 2 2 2" xfId="22844" xr:uid="{2D469D66-21C7-47F0-B3E5-4FD03EF3E818}"/>
    <cellStyle name="Comma 41 4 2 4 2 2 3" xfId="22848" xr:uid="{2F4F0FFF-8361-426E-9888-F3E5D045EA4C}"/>
    <cellStyle name="Comma 41 4 2 4 2 3" xfId="29968" xr:uid="{C53C672C-D2AF-484B-B81F-C2692D86D14B}"/>
    <cellStyle name="Comma 41 4 2 4 2 3 2" xfId="22867" xr:uid="{9915FEFF-139E-4265-8E81-D6C2A7094355}"/>
    <cellStyle name="Comma 41 4 2 4 2 4" xfId="6206" xr:uid="{A42E3A45-B59A-420D-AB00-893C143BD7E8}"/>
    <cellStyle name="Comma 41 4 2 4 3" xfId="10145" xr:uid="{8857E43E-B068-4CBC-B099-5E80B178795C}"/>
    <cellStyle name="Comma 41 4 2 4 3 2" xfId="10147" xr:uid="{D9DA7A42-8EDF-4B96-8352-F4DE55D26A18}"/>
    <cellStyle name="Comma 41 4 2 4 3 2 2" xfId="10149" xr:uid="{39E898F3-715B-4F85-BE1F-8FE77E89C52B}"/>
    <cellStyle name="Comma 41 4 2 4 3 3" xfId="10157" xr:uid="{A4BB463C-B4E5-4629-851A-BA1107E80F79}"/>
    <cellStyle name="Comma 41 4 2 4 4" xfId="10162" xr:uid="{27E0BCBF-6525-4581-9E22-5B275B14F718}"/>
    <cellStyle name="Comma 41 4 2 4 4 2" xfId="10164" xr:uid="{FCD6E6AD-68F8-44CA-958C-DABE0213FF2F}"/>
    <cellStyle name="Comma 41 4 2 4 5" xfId="10173" xr:uid="{33CDACAB-0E4C-46F4-A7C4-86D606FA5664}"/>
    <cellStyle name="Comma 41 4 2 5" xfId="29969" xr:uid="{A222624D-09AB-4331-960A-87BC7D76FB36}"/>
    <cellStyle name="Comma 41 4 2 5 2" xfId="29970" xr:uid="{F068F562-3F02-4291-9BEE-FB863F869FE5}"/>
    <cellStyle name="Comma 41 4 2 5 2 2" xfId="29971" xr:uid="{3113659D-1844-4B6A-8DC4-827C1FCF5FAD}"/>
    <cellStyle name="Comma 41 4 2 5 2 2 2" xfId="559" xr:uid="{B16EE4A4-3CF9-42BA-A43C-FD22247BD202}"/>
    <cellStyle name="Comma 41 4 2 5 2 3" xfId="29972" xr:uid="{CCD6B74D-18D6-4E0C-9D72-18E2F5499BED}"/>
    <cellStyle name="Comma 41 4 2 5 3" xfId="10178" xr:uid="{44E056BA-04BF-4CF9-8A73-DB033246462B}"/>
    <cellStyle name="Comma 41 4 2 5 3 2" xfId="10180" xr:uid="{B8327346-FF71-4C41-99AB-3544DE206F32}"/>
    <cellStyle name="Comma 41 4 2 5 4" xfId="10187" xr:uid="{637513BA-95E1-4065-B711-1E893A99943D}"/>
    <cellStyle name="Comma 41 4 2 6" xfId="29975" xr:uid="{C61872BC-C6C6-46FA-9F48-BEFD75FD20F5}"/>
    <cellStyle name="Comma 41 4 2 6 2" xfId="20398" xr:uid="{40AFE456-8CE3-48BE-A914-DFB7E0363CB4}"/>
    <cellStyle name="Comma 41 4 2 6 2 2" xfId="29976" xr:uid="{8ED5CBB1-ADEF-4824-BCD6-C8AF975C0BD0}"/>
    <cellStyle name="Comma 41 4 2 6 3" xfId="10192" xr:uid="{9F30CB9D-924A-4989-A11E-1C3B05B16A52}"/>
    <cellStyle name="Comma 41 4 2 7" xfId="10436" xr:uid="{8870B0D4-7024-448F-A312-C9A576CD4B26}"/>
    <cellStyle name="Comma 41 4 2 7 2" xfId="29977" xr:uid="{97FA31BE-AADA-42E4-970C-3BF99718B0F5}"/>
    <cellStyle name="Comma 41 4 2 8" xfId="21775" xr:uid="{94618274-DF9B-428E-92A1-52325DCA0A38}"/>
    <cellStyle name="Comma 41 4 2 9" xfId="29978" xr:uid="{3D7BFDB1-DA22-4FB3-BD0A-36D6EACC098A}"/>
    <cellStyle name="Comma 41 4 3" xfId="29979" xr:uid="{7DEB3779-A4CB-4796-940D-0E4F996E5E9B}"/>
    <cellStyle name="Comma 41 4 3 2" xfId="5922" xr:uid="{C33FFC7B-E8C9-42AF-A26B-B45AB955E667}"/>
    <cellStyle name="Comma 41 4 3 2 2" xfId="29980" xr:uid="{5731A389-90A8-4B08-8933-9EB7ED0DF973}"/>
    <cellStyle name="Comma 41 4 3 2 2 2" xfId="29985" xr:uid="{DDD227E9-B2F2-4672-824A-D071887D9F8C}"/>
    <cellStyle name="Comma 41 4 3 2 2 2 2" xfId="29986" xr:uid="{68CF6200-D9E7-4F1A-8255-AB5B39FECDFF}"/>
    <cellStyle name="Comma 41 4 3 2 2 2 2 2" xfId="29987" xr:uid="{CC17FA98-A0DA-4F8D-8BC5-98E05FA8E71A}"/>
    <cellStyle name="Comma 41 4 3 2 2 2 2 2 2" xfId="16229" xr:uid="{B65B9ABA-F3BB-452C-96A8-4CDB78092AAD}"/>
    <cellStyle name="Comma 41 4 3 2 2 2 2 3" xfId="9258" xr:uid="{8EF1F193-CB85-4FFF-B833-8C41806D61B5}"/>
    <cellStyle name="Comma 41 4 3 2 2 2 3" xfId="29988" xr:uid="{E1FBD831-0546-42DD-8A4D-F151B6CDADBA}"/>
    <cellStyle name="Comma 41 4 3 2 2 2 3 2" xfId="29989" xr:uid="{F555DE65-A90B-4818-BDB0-580D4E43221D}"/>
    <cellStyle name="Comma 41 4 3 2 2 2 4" xfId="23464" xr:uid="{1CA1C362-A982-4D9B-86CB-AA6C9EE3D227}"/>
    <cellStyle name="Comma 41 4 3 2 2 3" xfId="29994" xr:uid="{48B41959-B94C-43C9-95D8-F57028A010EB}"/>
    <cellStyle name="Comma 41 4 3 2 2 3 2" xfId="29995" xr:uid="{E3FFA381-8ABE-494C-BE12-67F0AFC745CD}"/>
    <cellStyle name="Comma 41 4 3 2 2 3 2 2" xfId="29996" xr:uid="{5318F7EC-A7A8-4823-8F4E-24BEA4B46057}"/>
    <cellStyle name="Comma 41 4 3 2 2 3 3" xfId="29997" xr:uid="{1B8E85B7-36A0-499F-B31C-F3563257FB71}"/>
    <cellStyle name="Comma 41 4 3 2 2 4" xfId="30002" xr:uid="{5AC51ACE-DBC1-46CB-9EFB-D0E7B5435EFE}"/>
    <cellStyle name="Comma 41 4 3 2 2 4 2" xfId="3322" xr:uid="{71585B6B-1BDB-46C1-A333-05FF2ACDA752}"/>
    <cellStyle name="Comma 41 4 3 2 2 5" xfId="30007" xr:uid="{B3A57028-3DA0-4CC8-B1FC-58EED26836F8}"/>
    <cellStyle name="Comma 41 4 3 2 3" xfId="30008" xr:uid="{8ED25B88-5644-438E-8A1B-186A52CE0583}"/>
    <cellStyle name="Comma 41 4 3 2 3 2" xfId="30009" xr:uid="{E6C81780-3768-46CC-AB3D-5E931F5EEB6D}"/>
    <cellStyle name="Comma 41 4 3 2 3 2 2" xfId="30010" xr:uid="{CF62FC5E-1329-4C72-BEB1-7CF2E82E3E28}"/>
    <cellStyle name="Comma 41 4 3 2 3 2 2 2" xfId="30011" xr:uid="{116FB067-B3BB-412E-A72A-F402DC56A2AF}"/>
    <cellStyle name="Comma 41 4 3 2 3 2 3" xfId="30013" xr:uid="{BDD7AE0F-4A66-4775-A32F-7232F4A3A40A}"/>
    <cellStyle name="Comma 41 4 3 2 3 3" xfId="30014" xr:uid="{6CBD25A1-1C4E-4EB4-96C7-627E3D1DC171}"/>
    <cellStyle name="Comma 41 4 3 2 3 3 2" xfId="30015" xr:uid="{CDB47E80-8E24-4026-8BEF-467448AE9483}"/>
    <cellStyle name="Comma 41 4 3 2 3 4" xfId="30016" xr:uid="{A84880F7-A7A0-4CD5-A081-258D4FEF8E70}"/>
    <cellStyle name="Comma 41 4 3 2 4" xfId="16318" xr:uid="{926FDB9B-E100-4555-AA89-01D72316935A}"/>
    <cellStyle name="Comma 41 4 3 2 4 2" xfId="22474" xr:uid="{83FB65C3-18D7-422E-8E25-EC51267FB932}"/>
    <cellStyle name="Comma 41 4 3 2 4 2 2" xfId="22476" xr:uid="{73B17C68-24D5-478F-BDF0-9F224EBD64DA}"/>
    <cellStyle name="Comma 41 4 3 2 4 3" xfId="22482" xr:uid="{9476E99F-56D6-4BA3-A394-B873E5C73713}"/>
    <cellStyle name="Comma 41 4 3 2 5" xfId="30017" xr:uid="{3C63C8C8-7F75-4A55-A009-B17DFA4C8F70}"/>
    <cellStyle name="Comma 41 4 3 2 5 2" xfId="22494" xr:uid="{CE885166-8447-4146-98FC-DE14A00B6D77}"/>
    <cellStyle name="Comma 41 4 3 2 6" xfId="3572" xr:uid="{853A221A-0BB7-4564-B3E1-D89D1D75DD81}"/>
    <cellStyle name="Comma 41 4 3 2 7" xfId="3578" xr:uid="{E6A70D4D-5304-44E5-B2AB-42BEB006E256}"/>
    <cellStyle name="Comma 41 4 3 3" xfId="30018" xr:uid="{22CB3F75-77DE-452C-8C01-88633FBDC0D1}"/>
    <cellStyle name="Comma 41 4 3 3 2" xfId="30019" xr:uid="{985940A4-D0A8-4102-99B5-214E97EE1040}"/>
    <cellStyle name="Comma 41 4 3 3 2 2" xfId="18856" xr:uid="{3EBB891A-9FAF-4A6C-8FE0-DB07D56FAB3D}"/>
    <cellStyle name="Comma 41 4 3 3 2 2 2" xfId="28052" xr:uid="{D2CEBA61-C40B-4A4A-B010-1BF836BABC87}"/>
    <cellStyle name="Comma 41 4 3 3 2 2 2 2" xfId="28053" xr:uid="{F3C6DD12-2ADA-40EE-8D24-612D879DED7E}"/>
    <cellStyle name="Comma 41 4 3 3 2 2 3" xfId="28055" xr:uid="{850151DC-2381-4C9D-848F-4B2FB5D6DE10}"/>
    <cellStyle name="Comma 41 4 3 3 2 3" xfId="18859" xr:uid="{E10F45E0-989B-4DBB-A056-834C71BE4363}"/>
    <cellStyle name="Comma 41 4 3 3 2 3 2" xfId="28061" xr:uid="{D1710F5D-BFA6-4699-9073-C3E66FB6E35E}"/>
    <cellStyle name="Comma 41 4 3 3 2 4" xfId="18862" xr:uid="{E5EBDF84-85D4-40BC-9B0D-E1FE312E5851}"/>
    <cellStyle name="Comma 41 4 3 3 3" xfId="30020" xr:uid="{42789764-8529-47E2-8716-3E02529E65F7}"/>
    <cellStyle name="Comma 41 4 3 3 3 2" xfId="30021" xr:uid="{A116C0D5-688D-4899-9088-C0468A9067DB}"/>
    <cellStyle name="Comma 41 4 3 3 3 2 2" xfId="28103" xr:uid="{95897594-75E8-4D79-B246-31E0EC7B12F6}"/>
    <cellStyle name="Comma 41 4 3 3 3 3" xfId="30022" xr:uid="{72FF2D83-6968-4ECC-9EF4-2200CF0E73BF}"/>
    <cellStyle name="Comma 41 4 3 3 4" xfId="30023" xr:uid="{9E2AEC10-692F-4EE3-A7F5-BCC47C780B48}"/>
    <cellStyle name="Comma 41 4 3 3 4 2" xfId="22531" xr:uid="{84A210B6-8942-4858-B267-0B1B4D808E68}"/>
    <cellStyle name="Comma 41 4 3 3 5" xfId="30024" xr:uid="{22553F5A-CBF1-4769-8006-98CCF7545FF8}"/>
    <cellStyle name="Comma 41 4 3 4" xfId="30025" xr:uid="{C120E315-E671-47F3-99B6-342A4CC8CF4B}"/>
    <cellStyle name="Comma 41 4 3 4 2" xfId="30026" xr:uid="{4E06B6C2-C566-44AC-AD75-E7DBE6ED384E}"/>
    <cellStyle name="Comma 41 4 3 4 2 2" xfId="30027" xr:uid="{D4882C4D-5492-442A-9213-D999A0D8F744}"/>
    <cellStyle name="Comma 41 4 3 4 2 2 2" xfId="23083" xr:uid="{72221543-A6E3-4833-AD94-9775897CBC4C}"/>
    <cellStyle name="Comma 41 4 3 4 2 3" xfId="30028" xr:uid="{A2A623C9-6FB7-4C19-8BF0-0F27045CEC13}"/>
    <cellStyle name="Comma 41 4 3 4 3" xfId="10205" xr:uid="{6984B544-0FA6-4DC7-A88E-829CF3F466F5}"/>
    <cellStyle name="Comma 41 4 3 4 3 2" xfId="10207" xr:uid="{01EC401E-33F9-4A0F-A799-67D79D6D3F4D}"/>
    <cellStyle name="Comma 41 4 3 4 4" xfId="10212" xr:uid="{5DE2988D-C23C-4B1A-BE8E-029C6B45753B}"/>
    <cellStyle name="Comma 41 4 3 5" xfId="30029" xr:uid="{3E3C508C-FFAE-4E98-9CDA-24FB53380EF5}"/>
    <cellStyle name="Comma 41 4 3 5 2" xfId="30030" xr:uid="{86F04A78-7A44-40D1-8D25-BD8CED13CC19}"/>
    <cellStyle name="Comma 41 4 3 5 2 2" xfId="30031" xr:uid="{EA4E5477-244F-4393-8E28-2C74175F7FAA}"/>
    <cellStyle name="Comma 41 4 3 5 3" xfId="10218" xr:uid="{F78D8A5D-83F6-4CF9-A49E-B3E46EE753A4}"/>
    <cellStyle name="Comma 41 4 3 6" xfId="30032" xr:uid="{5CF6B53B-6210-4B2B-AE14-C1A74FBA7DF0}"/>
    <cellStyle name="Comma 41 4 3 6 2" xfId="30033" xr:uid="{3C44860B-A7BF-4B44-BEB9-D68529C63013}"/>
    <cellStyle name="Comma 41 4 3 7" xfId="30034" xr:uid="{1D29EA5E-05FF-43CE-BB7D-950AE67A218B}"/>
    <cellStyle name="Comma 41 4 3 8" xfId="30035" xr:uid="{82F9FF11-3ECD-4EF3-9800-14FDC25ED7E0}"/>
    <cellStyle name="Comma 41 4 4" xfId="30036" xr:uid="{880E4E3D-5CDC-4161-923E-E029B3327535}"/>
    <cellStyle name="Comma 41 4 4 2" xfId="16915" xr:uid="{879A925E-2947-4BD7-9D31-5F56A440B9A8}"/>
    <cellStyle name="Comma 41 4 4 2 2" xfId="30037" xr:uid="{C28970A7-33E6-49A1-88DA-9C604FF7F448}"/>
    <cellStyle name="Comma 41 4 4 2 2 2" xfId="30038" xr:uid="{92CB111F-388C-42DF-8C75-C047551F97D1}"/>
    <cellStyle name="Comma 41 4 4 2 2 2 2" xfId="30039" xr:uid="{CB166A51-96F1-445E-B66D-F4328F3B0798}"/>
    <cellStyle name="Comma 41 4 4 2 2 2 2 2" xfId="4460" xr:uid="{CC875F0F-61AF-45C4-B020-CA907D0749C6}"/>
    <cellStyle name="Comma 41 4 4 2 2 2 3" xfId="30040" xr:uid="{FD5FC1AE-495E-433F-8E83-AF944D0971B7}"/>
    <cellStyle name="Comma 41 4 4 2 2 3" xfId="7955" xr:uid="{276B1D70-8999-4DA0-8E9E-33F8FD54ED28}"/>
    <cellStyle name="Comma 41 4 4 2 2 3 2" xfId="4581" xr:uid="{1406A206-7BCB-47FD-A008-9807DEAF84C6}"/>
    <cellStyle name="Comma 41 4 4 2 2 4" xfId="7959" xr:uid="{FD2041D2-87D6-43B3-91E7-FD7C671351DF}"/>
    <cellStyle name="Comma 41 4 4 2 3" xfId="30041" xr:uid="{AB21EA4C-127E-4CD8-9743-B4B76165F696}"/>
    <cellStyle name="Comma 41 4 4 2 3 2" xfId="30042" xr:uid="{80BB21F9-18C4-4AC0-AD45-3FF6C9238463}"/>
    <cellStyle name="Comma 41 4 4 2 3 2 2" xfId="18368" xr:uid="{CB36B6D4-3BE9-480D-9482-D4922B9F8D25}"/>
    <cellStyle name="Comma 41 4 4 2 3 3" xfId="7962" xr:uid="{ABE2E7CE-964C-4951-BF25-C606FE56A574}"/>
    <cellStyle name="Comma 41 4 4 2 4" xfId="30044" xr:uid="{387493CD-B1BA-4464-AC3E-3CC4478CDA68}"/>
    <cellStyle name="Comma 41 4 4 2 4 2" xfId="22577" xr:uid="{DE3153D3-006C-454D-BF9F-B1600C7C3BCE}"/>
    <cellStyle name="Comma 41 4 4 2 5" xfId="30046" xr:uid="{A309575C-322D-4DE0-A4A1-C586FFF48944}"/>
    <cellStyle name="Comma 41 4 4 3" xfId="30047" xr:uid="{5898FD3A-7C76-4906-AC34-00CB9B753C1A}"/>
    <cellStyle name="Comma 41 4 4 3 2" xfId="30048" xr:uid="{77FAC322-172B-4542-BA15-FA1FFF9A68B5}"/>
    <cellStyle name="Comma 41 4 4 3 2 2" xfId="30049" xr:uid="{95F9DCCF-4A9B-4AB8-8BF3-F5ACA9D5B729}"/>
    <cellStyle name="Comma 41 4 4 3 2 2 2" xfId="28401" xr:uid="{53936068-8D05-45B5-BF70-4CD6D9F9F938}"/>
    <cellStyle name="Comma 41 4 4 3 2 3" xfId="3448" xr:uid="{97850049-FB7A-4DED-A55A-54B2FB19F0F3}"/>
    <cellStyle name="Comma 41 4 4 3 3" xfId="30050" xr:uid="{E079ED6F-D47A-487F-A334-06EADC945E60}"/>
    <cellStyle name="Comma 41 4 4 3 3 2" xfId="30051" xr:uid="{AEFABDB7-F28C-44C4-875C-835EBBB25823}"/>
    <cellStyle name="Comma 41 4 4 3 4" xfId="30053" xr:uid="{DF973147-C873-4F1E-A011-85C5757E1673}"/>
    <cellStyle name="Comma 41 4 4 4" xfId="30054" xr:uid="{19C8462C-1004-4F18-81FF-FB6E2A884F87}"/>
    <cellStyle name="Comma 41 4 4 4 2" xfId="30055" xr:uid="{A3B23E31-0A19-4E64-945E-0F152BF70E0B}"/>
    <cellStyle name="Comma 41 4 4 4 2 2" xfId="30056" xr:uid="{A7521A6D-7F92-4D06-8F48-0FC6A5828201}"/>
    <cellStyle name="Comma 41 4 4 4 3" xfId="10228" xr:uid="{41F78570-FE1A-46A9-83EB-633AFD0D0FCC}"/>
    <cellStyle name="Comma 41 4 4 5" xfId="30057" xr:uid="{9DD94FEF-9009-4D69-AA79-CD08C0F0B4B9}"/>
    <cellStyle name="Comma 41 4 4 5 2" xfId="30060" xr:uid="{39204D0B-9BBC-4C35-96A0-F4300566D071}"/>
    <cellStyle name="Comma 41 4 4 6" xfId="30061" xr:uid="{AE9E3AF4-5033-4483-B22B-D00D6EB883E3}"/>
    <cellStyle name="Comma 41 4 4 7" xfId="30062" xr:uid="{FFA8A6C3-3584-4965-B65F-3BF529FAEE80}"/>
    <cellStyle name="Comma 41 4 5" xfId="30063" xr:uid="{FDEBA5C0-CDE2-4831-9639-E1E585467069}"/>
    <cellStyle name="Comma 41 4 5 2" xfId="16829" xr:uid="{D74B6126-04AF-403E-8258-17E0E6336005}"/>
    <cellStyle name="Comma 41 4 5 2 2" xfId="254" xr:uid="{0FDCCE38-0729-42EB-BCFB-C19938B87DE3}"/>
    <cellStyle name="Comma 41 4 5 2 2 2" xfId="30065" xr:uid="{F17C9952-9B88-4457-A074-29319B446A4A}"/>
    <cellStyle name="Comma 41 4 5 2 2 2 2" xfId="30066" xr:uid="{59AF1D29-A1AF-4BF1-B3B8-64F94F56B809}"/>
    <cellStyle name="Comma 41 4 5 2 2 3" xfId="8933" xr:uid="{2EEBE358-212A-4FA3-B653-3D157722B2E3}"/>
    <cellStyle name="Comma 41 4 5 2 3" xfId="134" xr:uid="{278A93E2-8D89-4DC4-A8D3-FF3C71B3AD00}"/>
    <cellStyle name="Comma 41 4 5 2 3 2" xfId="18915" xr:uid="{015F94AE-9244-4FCA-B8C5-9E32AE2306C9}"/>
    <cellStyle name="Comma 41 4 5 2 4" xfId="259" xr:uid="{EB77D180-6F19-4F05-9ECE-DFEB30FC8420}"/>
    <cellStyle name="Comma 41 4 5 3" xfId="30067" xr:uid="{04DD65B6-19FE-4CD2-BBA0-AFDCC2D0B03D}"/>
    <cellStyle name="Comma 41 4 5 3 2" xfId="30070" xr:uid="{04FE3EAE-5AA3-49D4-9690-6973BAB46518}"/>
    <cellStyle name="Comma 41 4 5 3 2 2" xfId="1778" xr:uid="{0A1BE5BD-0E99-4728-A771-E66D7ED2DF72}"/>
    <cellStyle name="Comma 41 4 5 3 3" xfId="30071" xr:uid="{C340FCC3-35B6-479A-8D8D-288A860B2295}"/>
    <cellStyle name="Comma 41 4 5 4" xfId="30072" xr:uid="{283EC660-4015-4A28-8A19-40CE125F2E1B}"/>
    <cellStyle name="Comma 41 4 5 4 2" xfId="30075" xr:uid="{495D2F44-1719-47B1-B6AC-9F73D41036EA}"/>
    <cellStyle name="Comma 41 4 5 5" xfId="30076" xr:uid="{87A103DA-1A13-4C9D-9354-491D873C56ED}"/>
    <cellStyle name="Comma 41 4 6" xfId="9343" xr:uid="{40FCE8BD-EE4F-4699-9BC5-16FBC3C088C2}"/>
    <cellStyle name="Comma 41 4 6 2" xfId="29273" xr:uid="{2491D5FA-EF8E-462B-A6BA-53B26714ECAC}"/>
    <cellStyle name="Comma 41 4 6 2 2" xfId="30082" xr:uid="{92871700-837C-4723-9252-F49E32A392FC}"/>
    <cellStyle name="Comma 41 4 6 2 2 2" xfId="30083" xr:uid="{C2B4B99E-3F8E-4A77-8B64-262BD979247C}"/>
    <cellStyle name="Comma 41 4 6 2 3" xfId="30084" xr:uid="{F5BF05AB-0440-4AB7-A82E-32A1A270173E}"/>
    <cellStyle name="Comma 41 4 6 3" xfId="30085" xr:uid="{73B72FE0-7961-43DC-B9C4-5F824ADC3661}"/>
    <cellStyle name="Comma 41 4 6 3 2" xfId="30091" xr:uid="{D5914426-26A3-4808-B322-9F00C25F952F}"/>
    <cellStyle name="Comma 41 4 6 4" xfId="30092" xr:uid="{9FC8D3F4-C917-4A1A-A798-C58FF03D3FA7}"/>
    <cellStyle name="Comma 41 4 7" xfId="29275" xr:uid="{52D560DD-4F37-4ABB-820C-78457C35B59B}"/>
    <cellStyle name="Comma 41 4 7 2" xfId="30093" xr:uid="{ACA21E44-F8A0-45E3-AB30-0F24C238A787}"/>
    <cellStyle name="Comma 41 4 7 2 2" xfId="30094" xr:uid="{5E4AA963-D61A-4716-8127-5D80EC9579A0}"/>
    <cellStyle name="Comma 41 4 7 3" xfId="30095" xr:uid="{3DA80605-EC1F-4A25-A077-2754D1BF95F5}"/>
    <cellStyle name="Comma 41 4 8" xfId="27070" xr:uid="{98C8AA32-79E4-41C1-8866-DFF92BEA604E}"/>
    <cellStyle name="Comma 41 4 8 2" xfId="30096" xr:uid="{DCC0AA91-3366-4CA6-9AE9-F884A2B1BC64}"/>
    <cellStyle name="Comma 41 4 9" xfId="30097" xr:uid="{2FF94725-03AF-4554-9797-02ED4E7A10D4}"/>
    <cellStyle name="Comma 41 5" xfId="30098" xr:uid="{636CCEEB-68E4-44ED-951C-5A67C030DB12}"/>
    <cellStyle name="Comma 41 5 2" xfId="30099" xr:uid="{7E38EA48-1F0E-447B-82A3-E211513204D3}"/>
    <cellStyle name="Comma 41 5 2 2" xfId="1030" xr:uid="{6FC82841-498B-4FFD-BE82-E91F4F6A7CDF}"/>
    <cellStyle name="Comma 41 5 2 2 2" xfId="30100" xr:uid="{3A6C1AF3-CA6F-4EAA-9971-D1E877075479}"/>
    <cellStyle name="Comma 41 5 2 2 2 2" xfId="30101" xr:uid="{F61BD572-720A-477D-AFFF-7A8F1ADFB203}"/>
    <cellStyle name="Comma 41 5 2 2 2 2 2" xfId="30102" xr:uid="{AFC1BCB6-D503-4382-8CDE-446513AF73DB}"/>
    <cellStyle name="Comma 41 5 2 2 2 2 2 2" xfId="30103" xr:uid="{CEE1A356-EF87-4B93-9694-CDDD3C306D19}"/>
    <cellStyle name="Comma 41 5 2 2 2 2 2 2 2" xfId="30104" xr:uid="{F5904E87-A751-495F-A206-BB4B178662A3}"/>
    <cellStyle name="Comma 41 5 2 2 2 2 2 3" xfId="11796" xr:uid="{1E43E020-0503-4A9B-8191-2AD9BBA92F3C}"/>
    <cellStyle name="Comma 41 5 2 2 2 2 3" xfId="19628" xr:uid="{5BB442DB-9107-42BC-87A8-684718D13B34}"/>
    <cellStyle name="Comma 41 5 2 2 2 2 3 2" xfId="30105" xr:uid="{35703C54-2EBD-4BD4-9551-FDA4A305CC53}"/>
    <cellStyle name="Comma 41 5 2 2 2 2 4" xfId="23498" xr:uid="{FF1564DA-1CCA-4871-ABB6-1D3A576323F5}"/>
    <cellStyle name="Comma 41 5 2 2 2 3" xfId="30106" xr:uid="{5032980D-0EB1-44BA-8F18-7371EA212AD4}"/>
    <cellStyle name="Comma 41 5 2 2 2 3 2" xfId="30107" xr:uid="{06ACEEAC-B20B-4DF9-966D-31B511567550}"/>
    <cellStyle name="Comma 41 5 2 2 2 3 2 2" xfId="29163" xr:uid="{40729B52-E0F2-41EE-8503-095EA875D413}"/>
    <cellStyle name="Comma 41 5 2 2 2 3 3" xfId="9410" xr:uid="{9714FD58-FD12-4099-A09A-A4B5CE99B571}"/>
    <cellStyle name="Comma 41 5 2 2 2 4" xfId="30108" xr:uid="{068D9741-38DA-4CD1-9011-72ED0CEF9FC8}"/>
    <cellStyle name="Comma 41 5 2 2 2 4 2" xfId="30109" xr:uid="{60F9C40E-C161-4CBC-A2FC-4A6551D84FA8}"/>
    <cellStyle name="Comma 41 5 2 2 2 5" xfId="30110" xr:uid="{D0B1873B-2804-4299-9F40-629FE25486C3}"/>
    <cellStyle name="Comma 41 5 2 2 3" xfId="30111" xr:uid="{D8558B11-838D-4561-B109-2F5EF40824D0}"/>
    <cellStyle name="Comma 41 5 2 2 3 2" xfId="30116" xr:uid="{7637CCA6-3AAF-47EE-94CA-2784FDA772B1}"/>
    <cellStyle name="Comma 41 5 2 2 3 2 2" xfId="30117" xr:uid="{935A9786-D135-421D-8338-D029D6AF0074}"/>
    <cellStyle name="Comma 41 5 2 2 3 2 2 2" xfId="21418" xr:uid="{8F7DA1A6-0EEA-4E9A-9D4F-F5CD3B63A9DB}"/>
    <cellStyle name="Comma 41 5 2 2 3 2 3" xfId="30118" xr:uid="{C3E4B6EA-0EBA-4F50-B7C1-1CC9FA6C9FCC}"/>
    <cellStyle name="Comma 41 5 2 2 3 3" xfId="30122" xr:uid="{87A0EC88-9AEB-4797-AFEA-FD5A0B0B47E7}"/>
    <cellStyle name="Comma 41 5 2 2 3 3 2" xfId="30123" xr:uid="{7F8B429B-5110-4EF3-808B-A3C84F2F16B0}"/>
    <cellStyle name="Comma 41 5 2 2 3 4" xfId="30126" xr:uid="{B3DB9355-7179-48AF-BC3C-5CC0BAE822C6}"/>
    <cellStyle name="Comma 41 5 2 2 4" xfId="30127" xr:uid="{7C01BDD7-F4BC-4F88-B8C5-290A7A77D06C}"/>
    <cellStyle name="Comma 41 5 2 2 4 2" xfId="30128" xr:uid="{D0A9A804-83C0-4630-B2BB-658841F44297}"/>
    <cellStyle name="Comma 41 5 2 2 4 2 2" xfId="30129" xr:uid="{DD6B015D-F03F-4F61-8059-F2B966CEFA0A}"/>
    <cellStyle name="Comma 41 5 2 2 4 3" xfId="29834" xr:uid="{079EC8DF-9F72-433A-9779-2330E530ECEB}"/>
    <cellStyle name="Comma 41 5 2 2 5" xfId="14079" xr:uid="{329463D9-C9BE-4B09-8165-8CDA45BA7B1B}"/>
    <cellStyle name="Comma 41 5 2 2 5 2" xfId="30131" xr:uid="{6DF2FA8C-7FA4-4224-92EB-649DCA29E065}"/>
    <cellStyle name="Comma 41 5 2 2 6" xfId="4012" xr:uid="{8BFC1F70-3895-4BD5-8F0C-D2B2AA8ABEED}"/>
    <cellStyle name="Comma 41 5 2 2 7" xfId="4023" xr:uid="{50EE3141-F3BC-4E20-AF71-050BDB7B5A1E}"/>
    <cellStyle name="Comma 41 5 2 3" xfId="1038" xr:uid="{1168FE40-CF9E-4961-8586-D7736CCD5BB4}"/>
    <cellStyle name="Comma 41 5 2 3 2" xfId="30132" xr:uid="{50674F3D-11A5-4948-B404-D1743C692768}"/>
    <cellStyle name="Comma 41 5 2 3 2 2" xfId="30133" xr:uid="{E73D9C39-1F93-4F2E-A817-50DA84C97F1E}"/>
    <cellStyle name="Comma 41 5 2 3 2 2 2" xfId="30134" xr:uid="{09574D23-2A17-4C5B-843A-BFCA58586FA7}"/>
    <cellStyle name="Comma 41 5 2 3 2 2 2 2" xfId="30136" xr:uid="{27343545-13E7-4245-A385-FD336E2DD51C}"/>
    <cellStyle name="Comma 41 5 2 3 2 2 3" xfId="30137" xr:uid="{3173A9D4-21AD-4545-BB1B-639A83CEC5E7}"/>
    <cellStyle name="Comma 41 5 2 3 2 3" xfId="30138" xr:uid="{E10188FD-7917-4F29-8B8E-DCD01BACF8D5}"/>
    <cellStyle name="Comma 41 5 2 3 2 3 2" xfId="30139" xr:uid="{B1D3C4D8-C782-4F90-86A5-2C9523F67565}"/>
    <cellStyle name="Comma 41 5 2 3 2 4" xfId="24028" xr:uid="{17CC1D3E-7C8E-44BF-AD86-B8361E1A796C}"/>
    <cellStyle name="Comma 41 5 2 3 3" xfId="30140" xr:uid="{A43B5417-21FE-49A0-A0C2-BB363DDC326D}"/>
    <cellStyle name="Comma 41 5 2 3 3 2" xfId="30142" xr:uid="{C598C861-CA83-4AA7-949A-38D2E32D6F53}"/>
    <cellStyle name="Comma 41 5 2 3 3 2 2" xfId="30144" xr:uid="{A711628F-B51E-458F-A695-3A721ACDACC0}"/>
    <cellStyle name="Comma 41 5 2 3 3 3" xfId="30146" xr:uid="{EF094C64-9B56-427F-B6A9-8F7A731DAF29}"/>
    <cellStyle name="Comma 41 5 2 3 4" xfId="30147" xr:uid="{8FC11EE6-EF15-472B-AA34-B0295F223EC0}"/>
    <cellStyle name="Comma 41 5 2 3 4 2" xfId="30149" xr:uid="{E896A7BD-1A09-4742-8B0F-F21D042F6655}"/>
    <cellStyle name="Comma 41 5 2 3 5" xfId="30150" xr:uid="{25D10F27-4C6A-47DA-B60B-0EE619CEDA46}"/>
    <cellStyle name="Comma 41 5 2 4" xfId="1042" xr:uid="{D546C87A-3F6F-460F-8042-5E3CAFBFE2C5}"/>
    <cellStyle name="Comma 41 5 2 4 2" xfId="30151" xr:uid="{4AD9FAD3-9941-49AA-B348-4518317B4405}"/>
    <cellStyle name="Comma 41 5 2 4 2 2" xfId="30152" xr:uid="{3A2901EA-D858-4DAC-96B5-F8E75C9A6F57}"/>
    <cellStyle name="Comma 41 5 2 4 2 2 2" xfId="23275" xr:uid="{D2A66860-FEF2-4E2D-8547-BDF6DFBD0ECB}"/>
    <cellStyle name="Comma 41 5 2 4 2 3" xfId="30153" xr:uid="{8D981924-1C35-43D3-B3A5-C0E84C35446B}"/>
    <cellStyle name="Comma 41 5 2 4 3" xfId="10255" xr:uid="{1186B6B8-0C83-49DA-A53B-77DCC9D904CF}"/>
    <cellStyle name="Comma 41 5 2 4 3 2" xfId="10258" xr:uid="{295EBD1E-0AA6-4B6E-897A-0CD3F7290E6F}"/>
    <cellStyle name="Comma 41 5 2 4 4" xfId="8872" xr:uid="{E93CC9E4-3C72-4072-A1C6-E990C7DA9D2D}"/>
    <cellStyle name="Comma 41 5 2 5" xfId="30157" xr:uid="{D32F4167-CF71-4C94-A834-4FE8F92359F9}"/>
    <cellStyle name="Comma 41 5 2 5 2" xfId="30160" xr:uid="{4161C495-4EFD-41C2-A0DA-6A83105B4953}"/>
    <cellStyle name="Comma 41 5 2 5 2 2" xfId="30163" xr:uid="{86412A53-B8F4-40D0-AA9C-34181B055076}"/>
    <cellStyle name="Comma 41 5 2 5 3" xfId="10268" xr:uid="{1F56075C-3706-4202-B826-0FEE9B08AB0B}"/>
    <cellStyle name="Comma 41 5 2 6" xfId="30168" xr:uid="{3F4B9CBA-FD42-4C86-A5B5-8A3E76E54F55}"/>
    <cellStyle name="Comma 41 5 2 6 2" xfId="30171" xr:uid="{C0AE0135-0EB5-4F99-8BB4-6AC0846916FB}"/>
    <cellStyle name="Comma 41 5 2 7" xfId="30174" xr:uid="{8BD7ACA5-711B-4211-894E-053EA5C79A23}"/>
    <cellStyle name="Comma 41 5 2 8" xfId="30177" xr:uid="{21963EC1-C820-4832-AC66-44ABD6FBD6FA}"/>
    <cellStyle name="Comma 41 5 3" xfId="30178" xr:uid="{8BFB00B7-C798-4AC4-BDF8-6822A0BEE586}"/>
    <cellStyle name="Comma 41 5 3 2" xfId="30179" xr:uid="{8677CEE9-1F07-4EFB-B89C-AA4B82141272}"/>
    <cellStyle name="Comma 41 5 3 2 2" xfId="30181" xr:uid="{6D29B9C6-AA77-4912-8E62-BCBFA8DCFD70}"/>
    <cellStyle name="Comma 41 5 3 2 2 2" xfId="30182" xr:uid="{ACB2E54A-4485-401B-A428-785C06B2255C}"/>
    <cellStyle name="Comma 41 5 3 2 2 2 2" xfId="14872" xr:uid="{25897C93-E1A0-417E-851D-DD1D1D6807CA}"/>
    <cellStyle name="Comma 41 5 3 2 2 2 2 2" xfId="8092" xr:uid="{3CF06A19-851B-4B4B-8C5D-B1497C5F7BA9}"/>
    <cellStyle name="Comma 41 5 3 2 2 2 3" xfId="30183" xr:uid="{9CAB0E74-2247-4E24-9ECB-CC4F51A54C12}"/>
    <cellStyle name="Comma 41 5 3 2 2 3" xfId="30184" xr:uid="{749A1E7C-AD61-4FC6-9D9D-9D4A74E49B5E}"/>
    <cellStyle name="Comma 41 5 3 2 2 3 2" xfId="30185" xr:uid="{3967DDFD-88FA-4D8E-A542-889C3A0CA74E}"/>
    <cellStyle name="Comma 41 5 3 2 2 4" xfId="30186" xr:uid="{730D448C-AD8D-421E-91C6-BCA06E5C6DD9}"/>
    <cellStyle name="Comma 41 5 3 2 3" xfId="30187" xr:uid="{73008A5A-EBCA-4116-9C3C-9AFF3D575346}"/>
    <cellStyle name="Comma 41 5 3 2 3 2" xfId="30188" xr:uid="{67F2A891-23C9-4362-8FEA-8EB8995D1951}"/>
    <cellStyle name="Comma 41 5 3 2 3 2 2" xfId="30189" xr:uid="{C388F2B2-567A-411F-AEBC-A8D39AD5E821}"/>
    <cellStyle name="Comma 41 5 3 2 3 3" xfId="30190" xr:uid="{251A2289-C742-4387-A0C9-4EC8342BF7AC}"/>
    <cellStyle name="Comma 41 5 3 2 4" xfId="30191" xr:uid="{D1C54778-2CFF-4C68-89F0-8C27C40FBC23}"/>
    <cellStyle name="Comma 41 5 3 2 4 2" xfId="22660" xr:uid="{212454D0-04B5-4412-97B5-C5581A2E3BA8}"/>
    <cellStyle name="Comma 41 5 3 2 5" xfId="30192" xr:uid="{306D9418-F01D-40B8-8B55-DCCE09CA0260}"/>
    <cellStyle name="Comma 41 5 3 3" xfId="30193" xr:uid="{CA91BC9E-0B8E-4FDD-BC9B-3F3B0A3C5C78}"/>
    <cellStyle name="Comma 41 5 3 3 2" xfId="30194" xr:uid="{F1E30883-D10E-409E-91B1-1CF62B52F58E}"/>
    <cellStyle name="Comma 41 5 3 3 2 2" xfId="30195" xr:uid="{0B69D9EB-1AFB-4345-A491-4AFBF4EA1291}"/>
    <cellStyle name="Comma 41 5 3 3 2 2 2" xfId="30196" xr:uid="{817DC062-B830-4419-8C04-72D5C9C9E154}"/>
    <cellStyle name="Comma 41 5 3 3 2 3" xfId="30197" xr:uid="{10EBCBA8-00B7-4B3E-A3CF-E34101A8313B}"/>
    <cellStyle name="Comma 41 5 3 3 3" xfId="30199" xr:uid="{05FD68F7-1312-4794-917D-A8CC6F1D3839}"/>
    <cellStyle name="Comma 41 5 3 3 3 2" xfId="25381" xr:uid="{462B6EEE-62B7-4B4C-B7DB-3AB66C259EA8}"/>
    <cellStyle name="Comma 41 5 3 3 4" xfId="30201" xr:uid="{AEC6A1A7-243D-496B-8A71-95B475EAC8B0}"/>
    <cellStyle name="Comma 41 5 3 4" xfId="30202" xr:uid="{66F7C9D1-9228-497D-9711-853AB8D7C97C}"/>
    <cellStyle name="Comma 41 5 3 4 2" xfId="30203" xr:uid="{B8161D78-75BE-4FE6-BCC3-3CE6D756FEE0}"/>
    <cellStyle name="Comma 41 5 3 4 2 2" xfId="30204" xr:uid="{D157B4B9-B067-4CA9-9A71-A980407F39ED}"/>
    <cellStyle name="Comma 41 5 3 4 3" xfId="10284" xr:uid="{580502BC-4AB7-46A5-82C3-85A4B0473F90}"/>
    <cellStyle name="Comma 41 5 3 5" xfId="30207" xr:uid="{79896036-48E0-4DC6-93EB-823C660EAC6E}"/>
    <cellStyle name="Comma 41 5 3 5 2" xfId="30210" xr:uid="{5F9B617A-CEE1-44D8-912B-0691862A4D64}"/>
    <cellStyle name="Comma 41 5 3 6" xfId="30213" xr:uid="{F2FBBC4F-13E2-417B-893E-38C2E23A81D1}"/>
    <cellStyle name="Comma 41 5 3 7" xfId="30216" xr:uid="{919C359C-1B56-4D92-8C4E-918674DA5F87}"/>
    <cellStyle name="Comma 41 5 4" xfId="3627" xr:uid="{E152868B-7883-46FB-ACA9-44DA40517FBA}"/>
    <cellStyle name="Comma 41 5 4 2" xfId="30217" xr:uid="{C04F31E6-C310-49C4-8D53-3BBB0E6D8AF3}"/>
    <cellStyle name="Comma 41 5 4 2 2" xfId="30218" xr:uid="{21757FB5-2F60-4765-A9AE-58DEF7B83B88}"/>
    <cellStyle name="Comma 41 5 4 2 2 2" xfId="30219" xr:uid="{F8DEA725-C3AC-46BC-B07E-9E4CB6A42B58}"/>
    <cellStyle name="Comma 41 5 4 2 2 2 2" xfId="18642" xr:uid="{448FD74F-B5B2-414D-AB23-DA6F385F6983}"/>
    <cellStyle name="Comma 41 5 4 2 2 3" xfId="11191" xr:uid="{36007D5A-E09E-45FA-B53B-6B0D142B3E35}"/>
    <cellStyle name="Comma 41 5 4 2 3" xfId="30220" xr:uid="{83C6D3A6-5F9D-4412-BF67-DA5B4A03C1D4}"/>
    <cellStyle name="Comma 41 5 4 2 3 2" xfId="30221" xr:uid="{DE80F539-5A9E-4106-9689-80AC350E3D9D}"/>
    <cellStyle name="Comma 41 5 4 2 4" xfId="30223" xr:uid="{2E7A36DC-16AE-4290-87A6-A82A69BAAF40}"/>
    <cellStyle name="Comma 41 5 4 3" xfId="30224" xr:uid="{ECA81087-FBA6-4798-AE27-1F4308686830}"/>
    <cellStyle name="Comma 41 5 4 3 2" xfId="30225" xr:uid="{C1D9CE27-BD20-445C-9140-04245916A1A3}"/>
    <cellStyle name="Comma 41 5 4 3 2 2" xfId="30226" xr:uid="{6160BDF3-9656-4162-AC15-4F5D40B938E9}"/>
    <cellStyle name="Comma 41 5 4 3 3" xfId="30227" xr:uid="{68DCFAD3-8AFE-4410-BF52-405EB12C07E3}"/>
    <cellStyle name="Comma 41 5 4 4" xfId="30228" xr:uid="{A96E55BD-5A32-4430-8872-1375699A5874}"/>
    <cellStyle name="Comma 41 5 4 4 2" xfId="30229" xr:uid="{A2339E2D-D5AC-457A-B885-A7EE297D14F2}"/>
    <cellStyle name="Comma 41 5 4 5" xfId="30232" xr:uid="{8C56355A-1EFD-411A-82E1-7C0299C421E0}"/>
    <cellStyle name="Comma 41 5 5" xfId="30233" xr:uid="{27BBB96D-C0A2-498E-9576-82DAEBBF2881}"/>
    <cellStyle name="Comma 41 5 5 2" xfId="16674" xr:uid="{42A91F4C-D589-46F7-AB89-ACADE6E6A6C9}"/>
    <cellStyle name="Comma 41 5 5 2 2" xfId="410" xr:uid="{30DD2D4A-BEB6-4D35-B45D-EE726C4F6CDD}"/>
    <cellStyle name="Comma 41 5 5 2 2 2" xfId="30234" xr:uid="{7F78D4CB-4639-4CAA-922F-1A391C80BF13}"/>
    <cellStyle name="Comma 41 5 5 2 3" xfId="429" xr:uid="{D829B298-0239-4977-BFA5-4F7DE5C0CA5F}"/>
    <cellStyle name="Comma 41 5 5 3" xfId="30235" xr:uid="{6205AB19-5684-4DF3-838C-F6DD606F6962}"/>
    <cellStyle name="Comma 41 5 5 3 2" xfId="30236" xr:uid="{25BA2761-0FDA-4480-93DC-072F93657365}"/>
    <cellStyle name="Comma 41 5 5 4" xfId="30237" xr:uid="{777968BB-D12B-4C96-9A56-1A8E35662412}"/>
    <cellStyle name="Comma 41 5 6" xfId="15543" xr:uid="{8A8B4FD9-555C-4894-AAEE-10C96DD0806A}"/>
    <cellStyle name="Comma 41 5 6 2" xfId="30238" xr:uid="{F4B446A1-2682-4272-90C5-956AC7C1D67A}"/>
    <cellStyle name="Comma 41 5 6 2 2" xfId="30239" xr:uid="{26B6B673-E480-4FE4-BE8E-5F642DAB1E8A}"/>
    <cellStyle name="Comma 41 5 6 3" xfId="30240" xr:uid="{9C9446F8-E16C-4FED-A5A3-66107A80D174}"/>
    <cellStyle name="Comma 41 5 7" xfId="30241" xr:uid="{012D4B56-7003-4DAD-BB58-4BDD6CAD3CA3}"/>
    <cellStyle name="Comma 41 5 7 2" xfId="30242" xr:uid="{CD57ECA6-0231-4599-8D91-F379F3E8158B}"/>
    <cellStyle name="Comma 41 5 8" xfId="30243" xr:uid="{9CB1FAEE-BDF8-4E4D-8A2D-F6A6F823E2CD}"/>
    <cellStyle name="Comma 41 5 9" xfId="5073" xr:uid="{6513B027-D1FB-474D-A97D-020DDBE70151}"/>
    <cellStyle name="Comma 41 6" xfId="30244" xr:uid="{C24B3093-D862-48AD-9895-2ABB017CFE9D}"/>
    <cellStyle name="Comma 41 6 2" xfId="30245" xr:uid="{7611AD51-CEF4-4139-9795-E2E9AF7A67E3}"/>
    <cellStyle name="Comma 41 6 2 2" xfId="1252" xr:uid="{D1EB3F02-BE8E-40D2-BBA6-E1DBCC7D327F}"/>
    <cellStyle name="Comma 41 6 2 2 2" xfId="30246" xr:uid="{2F8343E1-5143-4E4D-A63D-A4B0DF12C69B}"/>
    <cellStyle name="Comma 41 6 2 2 2 2" xfId="30247" xr:uid="{4C2B3B4A-CEC2-41BA-94DC-4F60C3E9254D}"/>
    <cellStyle name="Comma 41 6 2 2 2 2 2" xfId="20348" xr:uid="{2B7C0D21-0BCC-488B-A8B0-5ED1B18F79E7}"/>
    <cellStyle name="Comma 41 6 2 2 2 2 2 2" xfId="30248" xr:uid="{BF3AACCE-9ADB-44B2-A48A-3413B54CD52D}"/>
    <cellStyle name="Comma 41 6 2 2 2 2 3" xfId="30249" xr:uid="{885745CA-6D8D-4F35-B353-C46F9E0BE378}"/>
    <cellStyle name="Comma 41 6 2 2 2 3" xfId="30250" xr:uid="{8BD62FEC-2223-4991-A8E1-221C02FE22AB}"/>
    <cellStyle name="Comma 41 6 2 2 2 3 2" xfId="30251" xr:uid="{B45080E1-7674-450B-A8EB-3F2BCC03F038}"/>
    <cellStyle name="Comma 41 6 2 2 2 4" xfId="30252" xr:uid="{460D1A8A-DE47-433A-AF91-EC74F6C80D67}"/>
    <cellStyle name="Comma 41 6 2 2 3" xfId="30253" xr:uid="{5F830FA7-3730-42E6-8464-F31C8B29F53D}"/>
    <cellStyle name="Comma 41 6 2 2 3 2" xfId="30254" xr:uid="{DF720370-97D7-4912-99E2-86CCBFD5981D}"/>
    <cellStyle name="Comma 41 6 2 2 3 2 2" xfId="30255" xr:uid="{7CC6E09D-86A0-4A9A-B86C-84D03AC598F3}"/>
    <cellStyle name="Comma 41 6 2 2 3 3" xfId="30256" xr:uid="{648ECEF3-1069-4D78-9BE3-3967D2F038AA}"/>
    <cellStyle name="Comma 41 6 2 2 4" xfId="30257" xr:uid="{CF2C4614-0E92-4BB6-9309-2329D512FA35}"/>
    <cellStyle name="Comma 41 6 2 2 4 2" xfId="30258" xr:uid="{C199A508-640A-456F-B6DA-10BDD8E5C83F}"/>
    <cellStyle name="Comma 41 6 2 2 5" xfId="30259" xr:uid="{46657DB0-287C-4CDF-9542-D9B08A18A1EF}"/>
    <cellStyle name="Comma 41 6 2 3" xfId="1676" xr:uid="{5499CA2D-5068-4463-8BB5-E242AF990D2C}"/>
    <cellStyle name="Comma 41 6 2 3 2" xfId="30260" xr:uid="{2C162E6B-CA54-4506-BE25-A98665684A91}"/>
    <cellStyle name="Comma 41 6 2 3 2 2" xfId="30262" xr:uid="{3058787B-73F0-43B6-9848-0A762A3E4F0D}"/>
    <cellStyle name="Comma 41 6 2 3 2 2 2" xfId="30264" xr:uid="{8F2FF1C9-BFDB-4325-B3B5-CBFF190F43AF}"/>
    <cellStyle name="Comma 41 6 2 3 2 3" xfId="30266" xr:uid="{FD6ABAD7-22EE-446F-B95B-C6A232E432DD}"/>
    <cellStyle name="Comma 41 6 2 3 3" xfId="30268" xr:uid="{D641D31E-3BD6-4C41-8BEF-B31CA499A813}"/>
    <cellStyle name="Comma 41 6 2 3 3 2" xfId="30271" xr:uid="{BF09E6E9-0D70-43D5-A36C-0436D47F28DD}"/>
    <cellStyle name="Comma 41 6 2 3 4" xfId="30273" xr:uid="{4706355D-9CCB-4049-B96C-F7313334CAD8}"/>
    <cellStyle name="Comma 41 6 2 4" xfId="990" xr:uid="{D78B4061-B998-441B-A740-DDB62AD92433}"/>
    <cellStyle name="Comma 41 6 2 4 2" xfId="14509" xr:uid="{5CFD6660-E0FA-4122-8EA4-834EB11E85B7}"/>
    <cellStyle name="Comma 41 6 2 4 2 2" xfId="14512" xr:uid="{8476D150-F21B-40FB-9D06-783F70CF809C}"/>
    <cellStyle name="Comma 41 6 2 4 3" xfId="10311" xr:uid="{9D0CAF70-46F9-463B-97D3-B08C827C1CB8}"/>
    <cellStyle name="Comma 41 6 2 5" xfId="342" xr:uid="{65D44F18-44E2-49D1-974E-AC5A4BF13E91}"/>
    <cellStyle name="Comma 41 6 2 5 2" xfId="14574" xr:uid="{136EA3B9-F444-49F7-92AB-6C65EEEABF6D}"/>
    <cellStyle name="Comma 41 6 2 6" xfId="349" xr:uid="{047837FC-3BBA-44DF-8D79-24FE0198F790}"/>
    <cellStyle name="Comma 41 6 2 7" xfId="360" xr:uid="{02F69462-DB28-4BE7-B7DB-2A260EA18971}"/>
    <cellStyle name="Comma 41 6 3" xfId="30275" xr:uid="{62236037-712E-40B7-B323-612A8284F44F}"/>
    <cellStyle name="Comma 41 6 3 2" xfId="30276" xr:uid="{BCA6B063-53B7-4F8D-BC71-78B0F5AC425F}"/>
    <cellStyle name="Comma 41 6 3 2 2" xfId="30277" xr:uid="{270C2225-DB3E-48E4-933A-D732E11263EE}"/>
    <cellStyle name="Comma 41 6 3 2 2 2" xfId="30278" xr:uid="{156D77CE-33DF-48AB-81F3-AB2260608C89}"/>
    <cellStyle name="Comma 41 6 3 2 2 2 2" xfId="30279" xr:uid="{0DA0186E-CC69-4B46-93BC-54120CFD223B}"/>
    <cellStyle name="Comma 41 6 3 2 2 3" xfId="30280" xr:uid="{71D017DF-322E-4D95-8A46-FA1BE87B7BD1}"/>
    <cellStyle name="Comma 41 6 3 2 3" xfId="30281" xr:uid="{46B5CB8B-EC40-4FC6-8C53-08B8D712BDAB}"/>
    <cellStyle name="Comma 41 6 3 2 3 2" xfId="30282" xr:uid="{7D3806B6-B603-4655-80CB-9BDFCE2A85C9}"/>
    <cellStyle name="Comma 41 6 3 2 4" xfId="30283" xr:uid="{5EEEA95F-09CC-4E3F-BAC5-362BC4A0EA39}"/>
    <cellStyle name="Comma 41 6 3 3" xfId="30284" xr:uid="{7291498B-A0CC-4F6D-B548-A048EA2546F1}"/>
    <cellStyle name="Comma 41 6 3 3 2" xfId="30285" xr:uid="{9FE5FC2E-2B17-4003-A0F3-056DEE846E4C}"/>
    <cellStyle name="Comma 41 6 3 3 2 2" xfId="30287" xr:uid="{85710239-B60D-4FB1-AAB7-7270975E0778}"/>
    <cellStyle name="Comma 41 6 3 3 3" xfId="30289" xr:uid="{917F5B37-9C98-4617-B525-B9CDBAD044EB}"/>
    <cellStyle name="Comma 41 6 3 4" xfId="30291" xr:uid="{AD530A36-030E-48F7-83F5-973EA04B6F2A}"/>
    <cellStyle name="Comma 41 6 3 4 2" xfId="14681" xr:uid="{01C595DB-7FBA-4C1E-BAF7-CC09205BEE14}"/>
    <cellStyle name="Comma 41 6 3 5" xfId="30294" xr:uid="{A9467694-69D2-45F5-9991-837A6BB9233B}"/>
    <cellStyle name="Comma 41 6 4" xfId="30295" xr:uid="{DC991FE0-1449-423E-A9ED-359D7AC51532}"/>
    <cellStyle name="Comma 41 6 4 2" xfId="30296" xr:uid="{524E5404-77C0-4F27-B97F-586F0264DEFA}"/>
    <cellStyle name="Comma 41 6 4 2 2" xfId="30297" xr:uid="{EE5F2258-D55F-4879-8A7B-AAA9E4B39225}"/>
    <cellStyle name="Comma 41 6 4 2 2 2" xfId="30298" xr:uid="{5CA76AE4-68FF-4031-89A5-032CDABDAB5B}"/>
    <cellStyle name="Comma 41 6 4 2 3" xfId="30299" xr:uid="{46146860-B932-454E-9759-ACC5F1EA0B8B}"/>
    <cellStyle name="Comma 41 6 4 3" xfId="30300" xr:uid="{484406B9-A62D-4D55-BD64-DEEDE4F5D832}"/>
    <cellStyle name="Comma 41 6 4 3 2" xfId="30301" xr:uid="{7E799DED-2AC8-4976-8CD0-261A82BF6572}"/>
    <cellStyle name="Comma 41 6 4 4" xfId="30303" xr:uid="{81FB030A-AFFB-4845-985C-0007C31A101E}"/>
    <cellStyle name="Comma 41 6 5" xfId="30304" xr:uid="{EAD2B8F7-16C1-4D82-98D5-EF34C09D5AE4}"/>
    <cellStyle name="Comma 41 6 5 2" xfId="30305" xr:uid="{8713C415-20B0-4C54-8B5A-07200B3F2DC0}"/>
    <cellStyle name="Comma 41 6 5 2 2" xfId="25767" xr:uid="{F11590EB-A72C-4FF8-A891-52DB2C7EEEC4}"/>
    <cellStyle name="Comma 41 6 5 3" xfId="30306" xr:uid="{29A3A6FE-294C-4421-895E-0885CB6792FF}"/>
    <cellStyle name="Comma 41 6 6" xfId="30307" xr:uid="{541C35CC-6452-4D7A-8741-62767A339C55}"/>
    <cellStyle name="Comma 41 6 6 2" xfId="30308" xr:uid="{4580AB19-60CB-4DCC-B763-8703CC686494}"/>
    <cellStyle name="Comma 41 6 7" xfId="29222" xr:uid="{551F84E2-9EF8-426A-B64B-43374E863645}"/>
    <cellStyle name="Comma 41 6 8" xfId="29227" xr:uid="{75ABC435-7D14-4031-88DC-F10D7F041E02}"/>
    <cellStyle name="Comma 41 7" xfId="30309" xr:uid="{9AAED3F0-D6AE-4480-8095-10C5544C15C2}"/>
    <cellStyle name="Comma 41 7 2" xfId="30310" xr:uid="{032BA410-3726-4E9E-9A81-3288EBE27E9E}"/>
    <cellStyle name="Comma 41 7 2 2" xfId="596" xr:uid="{31B3AD1B-79D2-43C9-B08E-E31342A84FB8}"/>
    <cellStyle name="Comma 41 7 2 2 2" xfId="17494" xr:uid="{E855B5B9-8A42-4594-A460-4AB642E9FAB7}"/>
    <cellStyle name="Comma 41 7 2 2 2 2" xfId="17497" xr:uid="{1CC3C1A9-E2FE-43C0-B3B6-4A1EABA909F5}"/>
    <cellStyle name="Comma 41 7 2 2 2 2 2" xfId="30312" xr:uid="{6C581A74-2D2F-4D18-A0EB-226500C00E6C}"/>
    <cellStyle name="Comma 41 7 2 2 2 3" xfId="17502" xr:uid="{D394D1D0-3ABC-4B76-A7E4-E00C69A04873}"/>
    <cellStyle name="Comma 41 7 2 2 3" xfId="17546" xr:uid="{B603F7F7-000D-47C4-9F62-193C62EF27A4}"/>
    <cellStyle name="Comma 41 7 2 2 3 2" xfId="17549" xr:uid="{0473528C-B704-4E65-A760-CDD73D2E2E86}"/>
    <cellStyle name="Comma 41 7 2 2 4" xfId="17605" xr:uid="{C8D747DE-BE1D-4295-97A0-21846E219D9F}"/>
    <cellStyle name="Comma 41 7 2 3" xfId="609" xr:uid="{1790C980-8BE4-4611-8690-FADD983541AB}"/>
    <cellStyle name="Comma 41 7 2 3 2" xfId="25070" xr:uid="{90AF43D9-2811-45E1-9440-056886D7C870}"/>
    <cellStyle name="Comma 41 7 2 3 2 2" xfId="25074" xr:uid="{D0F01DD8-F9AA-4CCB-A7DB-C371ACD83AB5}"/>
    <cellStyle name="Comma 41 7 2 3 3" xfId="25081" xr:uid="{EDAA5B2B-1612-4B1E-B819-2D71D460D8EE}"/>
    <cellStyle name="Comma 41 7 2 4" xfId="617" xr:uid="{B3368E64-F58F-452E-83BD-5ADB09EE417F}"/>
    <cellStyle name="Comma 41 7 2 4 2" xfId="15098" xr:uid="{79D4D16E-BD2F-433A-87E4-18750E84A970}"/>
    <cellStyle name="Comma 41 7 2 5" xfId="30315" xr:uid="{C0E330DD-A24A-4392-9964-3510FD802027}"/>
    <cellStyle name="Comma 41 7 3" xfId="30316" xr:uid="{C529D742-2D41-4805-97F4-2AD40B5934ED}"/>
    <cellStyle name="Comma 41 7 3 2" xfId="30317" xr:uid="{7249FDD1-DD69-4B2B-A23C-D02A3C323CAF}"/>
    <cellStyle name="Comma 41 7 3 2 2" xfId="30319" xr:uid="{A8D9DC6E-5C03-4977-A5FC-BC5F79E38C12}"/>
    <cellStyle name="Comma 41 7 3 2 2 2" xfId="30321" xr:uid="{65963859-F8E6-454B-8DF4-F9BAAE01A412}"/>
    <cellStyle name="Comma 41 7 3 2 3" xfId="30323" xr:uid="{D214046B-E3E5-439A-81BC-FFAED59225E7}"/>
    <cellStyle name="Comma 41 7 3 3" xfId="30324" xr:uid="{4DFF1183-C42F-4AF5-BD97-729EE6DD57F0}"/>
    <cellStyle name="Comma 41 7 3 3 2" xfId="30325" xr:uid="{D3EFDFE6-5D46-4E35-A74A-F5D321FA08B7}"/>
    <cellStyle name="Comma 41 7 3 4" xfId="30327" xr:uid="{F7DAF1B9-4EF4-4078-B284-F73504F2C3E0}"/>
    <cellStyle name="Comma 41 7 4" xfId="30328" xr:uid="{87679440-0C0A-4A8D-91F4-7C55725A7D4A}"/>
    <cellStyle name="Comma 41 7 4 2" xfId="30329" xr:uid="{3F63E6EB-C01C-4108-A736-AEAF83057100}"/>
    <cellStyle name="Comma 41 7 4 2 2" xfId="30331" xr:uid="{15CACE50-292D-4E73-BE9D-EFA94B8BF713}"/>
    <cellStyle name="Comma 41 7 4 3" xfId="30332" xr:uid="{5185397F-071E-4AB7-A6E6-72B2F8087A3C}"/>
    <cellStyle name="Comma 41 7 5" xfId="30333" xr:uid="{3585C9E1-9D2E-419A-B2E4-5352C0B6C567}"/>
    <cellStyle name="Comma 41 7 5 2" xfId="30334" xr:uid="{711E1CA1-67CB-47DE-AB2B-FAB4538C8767}"/>
    <cellStyle name="Comma 41 7 6" xfId="30335" xr:uid="{0570187F-6FC0-4325-A93D-372F4BB8B989}"/>
    <cellStyle name="Comma 41 7 7" xfId="9540" xr:uid="{21797117-B069-47E2-ADE6-488715074490}"/>
    <cellStyle name="Comma 41 8" xfId="27708" xr:uid="{93991E80-876E-48E1-93F5-62F7108BBAF2}"/>
    <cellStyle name="Comma 41 8 2" xfId="30336" xr:uid="{B63DD793-C6BF-4CE2-B9FD-3D5A662DCD5D}"/>
    <cellStyle name="Comma 41 8 2 2" xfId="1704" xr:uid="{B89F8E51-421D-461B-8E1F-61FA290D4CED}"/>
    <cellStyle name="Comma 41 8 2 2 2" xfId="24729" xr:uid="{7B6D949D-6B47-4FFA-9102-D2871EF1803D}"/>
    <cellStyle name="Comma 41 8 2 2 2 2" xfId="4185" xr:uid="{5C4C7449-4860-4FFC-B4EB-32BF737B2DE7}"/>
    <cellStyle name="Comma 41 8 2 2 3" xfId="724" xr:uid="{37F83E42-AC69-42B9-B5B4-CC1A76EACACA}"/>
    <cellStyle name="Comma 41 8 2 3" xfId="103" xr:uid="{D95055DC-EF47-4DCD-8807-1D7169518242}"/>
    <cellStyle name="Comma 41 8 2 3 2" xfId="24844" xr:uid="{A0C7B4CE-428E-4A9A-A285-A191A6CF9705}"/>
    <cellStyle name="Comma 41 8 2 4" xfId="1182" xr:uid="{890EB0DB-0997-48C9-B9C3-6ED7B970F67B}"/>
    <cellStyle name="Comma 41 8 3" xfId="30337" xr:uid="{78B51814-D8D0-4612-A46E-EC46EF6CD1F7}"/>
    <cellStyle name="Comma 41 8 3 2" xfId="30338" xr:uid="{9F6FD0B9-2DF6-4506-9313-375B0EA060C8}"/>
    <cellStyle name="Comma 41 8 3 2 2" xfId="30339" xr:uid="{34287D6C-05BC-41C2-A5B6-E07113F8561D}"/>
    <cellStyle name="Comma 41 8 3 3" xfId="30340" xr:uid="{73D2A470-EA65-4DAA-B953-0090C31DA6B4}"/>
    <cellStyle name="Comma 41 8 4" xfId="30341" xr:uid="{CF173436-9DA6-4696-B142-E80D251CD85D}"/>
    <cellStyle name="Comma 41 8 4 2" xfId="30342" xr:uid="{D396AED8-32CF-4B1C-95A7-AB3158B01FD8}"/>
    <cellStyle name="Comma 41 8 5" xfId="30343" xr:uid="{C6B66337-3524-4D9F-9F08-7CD0E92C6EE0}"/>
    <cellStyle name="Comma 41 9" xfId="13689" xr:uid="{32005678-AC3C-4A2A-A704-A595669DBD4B}"/>
    <cellStyle name="Comma 41 9 2" xfId="30344" xr:uid="{08BBA769-9C65-4CB8-AEDE-4D1A9A8E18C2}"/>
    <cellStyle name="Comma 41 9 2 2" xfId="547" xr:uid="{0CCA1EF5-15D2-476D-95A1-06CA7DC70C29}"/>
    <cellStyle name="Comma 41 9 2 2 2" xfId="30345" xr:uid="{D31D9FC9-C320-4605-95B9-A2142B516D03}"/>
    <cellStyle name="Comma 41 9 2 3" xfId="1370" xr:uid="{950D2019-531B-4569-9681-9C52FEB8655D}"/>
    <cellStyle name="Comma 41 9 3" xfId="30346" xr:uid="{0A197A3E-0C3A-4426-88A0-634FB3024839}"/>
    <cellStyle name="Comma 41 9 3 2" xfId="30347" xr:uid="{4FDE69FF-CDC5-40E2-ABF3-33D6ED09029A}"/>
    <cellStyle name="Comma 41 9 4" xfId="20752" xr:uid="{A1707781-A2EC-4CA2-9026-A91573DB1073}"/>
    <cellStyle name="Comma 410" xfId="23406" xr:uid="{7B34218B-8892-4C08-A8AF-4CAA4D8E2D92}"/>
    <cellStyle name="Comma 410 2" xfId="26041" xr:uid="{C2B8EEE8-33A3-4306-BFF1-4BE4103D9003}"/>
    <cellStyle name="Comma 411" xfId="26045" xr:uid="{0B07B735-D973-4F7A-971B-AC8FD8E7AA46}"/>
    <cellStyle name="Comma 411 2" xfId="26049" xr:uid="{5365302A-9DBD-4EA7-A921-4C88C0F8461C}"/>
    <cellStyle name="Comma 412" xfId="26053" xr:uid="{6287D62E-19CE-4B53-8714-75846A8FD371}"/>
    <cellStyle name="Comma 412 2" xfId="26057" xr:uid="{67BB5E1D-64EE-4510-8BE9-0A243D872C02}"/>
    <cellStyle name="Comma 413" xfId="16352" xr:uid="{D2BA4D6E-6778-46B1-BD17-03B37D4E304E}"/>
    <cellStyle name="Comma 413 2" xfId="10873" xr:uid="{354A432A-FD72-4C09-BB45-D625D8E2E029}"/>
    <cellStyle name="Comma 414" xfId="26061" xr:uid="{0E59A186-EDDB-4D98-8373-1F21DB3307C9}"/>
    <cellStyle name="Comma 414 2" xfId="26065" xr:uid="{E291FAA2-5C50-4423-AA41-C2A89B4F23BE}"/>
    <cellStyle name="Comma 415" xfId="12993" xr:uid="{979DD9E3-1EAC-4CCC-9EF1-D823D6941165}"/>
    <cellStyle name="Comma 415 2" xfId="26079" xr:uid="{DA61790F-DA58-45E5-9838-EC714D8A3A9A}"/>
    <cellStyle name="Comma 416" xfId="26083" xr:uid="{4FB7D8E1-4C04-45CC-98F7-857914412540}"/>
    <cellStyle name="Comma 416 2" xfId="19326" xr:uid="{2E9B64FF-1C2F-4112-838D-EF5190953316}"/>
    <cellStyle name="Comma 417" xfId="26087" xr:uid="{12F416DF-AEFF-4C39-AAAA-CF3496B9F4D4}"/>
    <cellStyle name="Comma 417 2" xfId="9008" xr:uid="{4BD6E5A8-ABB2-4432-944E-D9C3900325A0}"/>
    <cellStyle name="Comma 418" xfId="26091" xr:uid="{6CA8F187-6B40-4DCD-9C61-848A12AFDBC7}"/>
    <cellStyle name="Comma 418 2" xfId="9021" xr:uid="{4BE18B21-3914-46A5-A6C4-9C50735EB31F}"/>
    <cellStyle name="Comma 419" xfId="11178" xr:uid="{36777CC4-64B2-4BE1-8F95-103363AD2A74}"/>
    <cellStyle name="Comma 419 2" xfId="2402" xr:uid="{5EE7949B-C8EF-43A4-81E1-5789AB7CA023}"/>
    <cellStyle name="Comma 42" xfId="20580" xr:uid="{AB83542A-D01D-4807-BC80-818CAD514121}"/>
    <cellStyle name="Comma 42 10" xfId="14385" xr:uid="{9F2F5A2E-082D-4BBF-92EE-12CA08BD472F}"/>
    <cellStyle name="Comma 42 10 2" xfId="26095" xr:uid="{637CBE4C-B6BA-405C-ABB1-1C06D82ED284}"/>
    <cellStyle name="Comma 42 11" xfId="26099" xr:uid="{99CDF3C4-4595-4B32-875E-9A4C5997AB25}"/>
    <cellStyle name="Comma 42 12" xfId="26102" xr:uid="{2F7F5724-A9BB-4EE4-A352-78A2A8671041}"/>
    <cellStyle name="Comma 42 13" xfId="26104" xr:uid="{E2FC76C1-50B7-4BDC-B44C-42F4C1FBE73B}"/>
    <cellStyle name="Comma 42 14" xfId="26106" xr:uid="{B2A7D892-74FA-4EB8-925A-EA62C2B1FDE2}"/>
    <cellStyle name="Comma 42 2" xfId="20583" xr:uid="{668487F8-1E43-44BD-AD1A-5417614DED3D}"/>
    <cellStyle name="Comma 42 2 10" xfId="26109" xr:uid="{F456FB8A-D759-44C3-B067-3C5E3D96D788}"/>
    <cellStyle name="Comma 42 2 11" xfId="26112" xr:uid="{42B557BB-7C3C-4D87-BCA5-D8BA400BF4BB}"/>
    <cellStyle name="Comma 42 2 12" xfId="12111" xr:uid="{8608D6BF-4E33-4424-A1D9-FEF5CC338C6E}"/>
    <cellStyle name="Comma 42 2 2" xfId="20587" xr:uid="{20F7A35D-A142-4CAF-B1AB-A3AC90B4DF97}"/>
    <cellStyle name="Comma 42 2 2 10" xfId="26114" xr:uid="{AF17F601-A464-4DE4-9514-C4B47550901C}"/>
    <cellStyle name="Comma 42 2 2 11" xfId="26116" xr:uid="{ECFCCC5E-E18C-47A2-B56F-AA8CDE50DBAB}"/>
    <cellStyle name="Comma 42 2 2 2" xfId="20591" xr:uid="{31486754-CB15-4094-A9BF-9EFD5193B561}"/>
    <cellStyle name="Comma 42 2 2 2 2" xfId="26121" xr:uid="{EA1C1BAF-224F-4AFB-9EA8-4DEBEE8DD8B3}"/>
    <cellStyle name="Comma 42 2 2 2 2 2" xfId="26123" xr:uid="{F5CD326D-0892-41A2-BEF6-DCC2EA34207B}"/>
    <cellStyle name="Comma 42 2 2 2 2 2 2" xfId="26125" xr:uid="{E5329323-F34C-4D5E-90CA-5D53445AB4D3}"/>
    <cellStyle name="Comma 42 2 2 2 2 2 2 2" xfId="26127" xr:uid="{AC15D478-C043-4D63-8255-48B0073B60D5}"/>
    <cellStyle name="Comma 42 2 2 2 2 2 2 2 2" xfId="26129" xr:uid="{EE2B3F53-74A5-43AF-A35F-DC72758C39A8}"/>
    <cellStyle name="Comma 42 2 2 2 2 2 2 2 2 2" xfId="26131" xr:uid="{41EEAC29-7F9D-457B-B9E5-ABA392E068BB}"/>
    <cellStyle name="Comma 42 2 2 2 2 2 2 2 2 2 2" xfId="10264" xr:uid="{92072D4C-26C0-4EB7-A748-E068DB37E74B}"/>
    <cellStyle name="Comma 42 2 2 2 2 2 2 2 2 3" xfId="26133" xr:uid="{21424F7D-DD4E-4475-A416-972855B1037B}"/>
    <cellStyle name="Comma 42 2 2 2 2 2 2 2 3" xfId="26135" xr:uid="{A9DDFA1A-A867-4278-A749-F9104AFCBD28}"/>
    <cellStyle name="Comma 42 2 2 2 2 2 2 2 3 2" xfId="26138" xr:uid="{70EBBBA9-45CF-4865-B8FF-3C49552B8388}"/>
    <cellStyle name="Comma 42 2 2 2 2 2 2 2 4" xfId="23590" xr:uid="{1231E352-5645-479F-B786-85F80DC49E8F}"/>
    <cellStyle name="Comma 42 2 2 2 2 2 2 3" xfId="23048" xr:uid="{4B063238-4C23-40D0-9923-B9E4D7C49347}"/>
    <cellStyle name="Comma 42 2 2 2 2 2 2 3 2" xfId="9556" xr:uid="{0E443451-F37F-49AD-9840-CAE651034CCB}"/>
    <cellStyle name="Comma 42 2 2 2 2 2 2 3 2 2" xfId="26142" xr:uid="{AD1DD1D2-AEDB-425C-A4ED-70EA5100B204}"/>
    <cellStyle name="Comma 42 2 2 2 2 2 2 3 3" xfId="26145" xr:uid="{1ED2AB3C-4617-415D-8180-AAA3F07A2D30}"/>
    <cellStyle name="Comma 42 2 2 2 2 2 2 4" xfId="26150" xr:uid="{6D83022E-E6B0-4EA5-BF04-2A754EBD2CF5}"/>
    <cellStyle name="Comma 42 2 2 2 2 2 2 4 2" xfId="26153" xr:uid="{D05F40CD-B4E5-4891-A38F-4F2DE922742B}"/>
    <cellStyle name="Comma 42 2 2 2 2 2 2 5" xfId="13755" xr:uid="{4A02DB48-C945-4B0F-B308-FB1B7B76FC3A}"/>
    <cellStyle name="Comma 42 2 2 2 2 2 3" xfId="26159" xr:uid="{534BB3EC-323D-4414-B5E4-ED5B4DA4ED3E}"/>
    <cellStyle name="Comma 42 2 2 2 2 2 3 2" xfId="26162" xr:uid="{4AF0EC10-7860-4D87-ACD6-D02C86302F7A}"/>
    <cellStyle name="Comma 42 2 2 2 2 2 3 2 2" xfId="26165" xr:uid="{ACEAC83E-4B61-4A27-9112-BFFC0E96CD6B}"/>
    <cellStyle name="Comma 42 2 2 2 2 2 3 2 2 2" xfId="14103" xr:uid="{D235C67A-65A7-4854-BF35-2FF1E2FC04BE}"/>
    <cellStyle name="Comma 42 2 2 2 2 2 3 2 3" xfId="26167" xr:uid="{40FBD75A-7251-48A5-B08F-A67E980C76E0}"/>
    <cellStyle name="Comma 42 2 2 2 2 2 3 3" xfId="26171" xr:uid="{4ADC8906-F89B-4A48-9FA4-B372DA3E3297}"/>
    <cellStyle name="Comma 42 2 2 2 2 2 3 3 2" xfId="26173" xr:uid="{BF28EE40-39C8-48B3-87CF-491F6A9152B2}"/>
    <cellStyle name="Comma 42 2 2 2 2 2 3 4" xfId="26177" xr:uid="{42595E5A-8A04-42D7-835D-DA864745BB96}"/>
    <cellStyle name="Comma 42 2 2 2 2 2 4" xfId="23779" xr:uid="{B6E22328-CF7C-47BB-9048-588E81B87DCD}"/>
    <cellStyle name="Comma 42 2 2 2 2 2 4 2" xfId="23783" xr:uid="{BD9A2D23-2A3D-464B-97FE-5BB30F9BDC04}"/>
    <cellStyle name="Comma 42 2 2 2 2 2 4 2 2" xfId="23786" xr:uid="{14E4317F-2922-4A41-A495-CF8748D7E949}"/>
    <cellStyle name="Comma 42 2 2 2 2 2 4 3" xfId="23789" xr:uid="{5523A232-D7E1-47AC-A65D-0EF6B3B961A6}"/>
    <cellStyle name="Comma 42 2 2 2 2 2 5" xfId="23793" xr:uid="{F823BCC8-F07E-4D57-BFB4-E63E9D6F31FF}"/>
    <cellStyle name="Comma 42 2 2 2 2 2 5 2" xfId="23796" xr:uid="{911D55C4-A82C-4998-94F6-907F1327D76B}"/>
    <cellStyle name="Comma 42 2 2 2 2 2 6" xfId="23802" xr:uid="{E72DA5A2-3E24-4934-A485-2E45FE875F7D}"/>
    <cellStyle name="Comma 42 2 2 2 2 2 7" xfId="26189" xr:uid="{B79338B2-F544-488C-9107-4C09962E29FD}"/>
    <cellStyle name="Comma 42 2 2 2 2 3" xfId="26193" xr:uid="{160B50ED-742D-4ACF-A0D1-90C99226BE55}"/>
    <cellStyle name="Comma 42 2 2 2 2 3 2" xfId="26195" xr:uid="{D7C71AAB-EEAE-44EA-A425-3209A357F1F0}"/>
    <cellStyle name="Comma 42 2 2 2 2 3 2 2" xfId="26197" xr:uid="{978A4A40-9ADE-4D14-8803-2F0F409D8924}"/>
    <cellStyle name="Comma 42 2 2 2 2 3 2 2 2" xfId="1521" xr:uid="{1257D2DA-1F5A-4A07-9B8B-A5D1932AC2E0}"/>
    <cellStyle name="Comma 42 2 2 2 2 3 2 2 2 2" xfId="26200" xr:uid="{5046DD44-2F84-40FF-8476-529E9E0885F0}"/>
    <cellStyle name="Comma 42 2 2 2 2 3 2 2 3" xfId="1528" xr:uid="{7BDDC15F-CFA7-4994-B8B5-6E8C07B768AC}"/>
    <cellStyle name="Comma 42 2 2 2 2 3 2 3" xfId="26204" xr:uid="{A40F58E9-FA90-4455-ABF4-ACAFAC054769}"/>
    <cellStyle name="Comma 42 2 2 2 2 3 2 3 2" xfId="4779" xr:uid="{6B40D81B-813C-4CFF-B89B-F5BFA881284C}"/>
    <cellStyle name="Comma 42 2 2 2 2 3 2 4" xfId="26209" xr:uid="{CF9257DE-7441-4637-B2CD-1F00B2402B8B}"/>
    <cellStyle name="Comma 42 2 2 2 2 3 3" xfId="26214" xr:uid="{FC37FCAE-67AB-45F7-A99B-8FE609EA4D50}"/>
    <cellStyle name="Comma 42 2 2 2 2 3 3 2" xfId="26217" xr:uid="{95FDC49C-42FC-4F95-B41F-3C3E74B9956A}"/>
    <cellStyle name="Comma 42 2 2 2 2 3 3 2 2" xfId="1537" xr:uid="{3F2ED59C-E42A-4584-BD81-967ADBC3CAE1}"/>
    <cellStyle name="Comma 42 2 2 2 2 3 3 3" xfId="26219" xr:uid="{1892DC03-CFA1-4F05-91E2-47BB37A28062}"/>
    <cellStyle name="Comma 42 2 2 2 2 3 4" xfId="23807" xr:uid="{E27C777E-19E8-4A8B-ABCF-DC953A696467}"/>
    <cellStyle name="Comma 42 2 2 2 2 3 4 2" xfId="23810" xr:uid="{CC99E88A-7931-4C59-B165-F454EFF13F60}"/>
    <cellStyle name="Comma 42 2 2 2 2 3 5" xfId="20866" xr:uid="{A280CDEA-04FA-4608-BF90-EF1AEA8695ED}"/>
    <cellStyle name="Comma 42 2 2 2 2 4" xfId="26226" xr:uid="{14B10EB2-BD88-423E-85AD-BAA3DBC675F9}"/>
    <cellStyle name="Comma 42 2 2 2 2 4 2" xfId="26229" xr:uid="{A7318A60-4572-4B22-9417-48B37391DBF7}"/>
    <cellStyle name="Comma 42 2 2 2 2 4 2 2" xfId="26231" xr:uid="{C54D5247-2362-48FD-8C4B-C8DB36C49472}"/>
    <cellStyle name="Comma 42 2 2 2 2 4 2 2 2" xfId="26233" xr:uid="{C99B8A20-12B7-4DCF-B067-14E91ECD13AB}"/>
    <cellStyle name="Comma 42 2 2 2 2 4 2 3" xfId="26240" xr:uid="{5EE04418-B497-4149-B3D1-BEACDA6793B6}"/>
    <cellStyle name="Comma 42 2 2 2 2 4 3" xfId="26248" xr:uid="{CF493D74-B4BC-4FF4-A9C1-6920B4250638}"/>
    <cellStyle name="Comma 42 2 2 2 2 4 3 2" xfId="26252" xr:uid="{E2378AD9-1D20-46A9-9A3F-1D2DBB5D01BD}"/>
    <cellStyle name="Comma 42 2 2 2 2 4 4" xfId="23816" xr:uid="{B9042789-068D-4E16-8FF5-FCADD1DB7355}"/>
    <cellStyle name="Comma 42 2 2 2 2 5" xfId="26258" xr:uid="{4C8D1684-525F-42E6-95BC-641B32268540}"/>
    <cellStyle name="Comma 42 2 2 2 2 5 2" xfId="26260" xr:uid="{7055A9E9-47B4-465B-8B68-7F566664E6CE}"/>
    <cellStyle name="Comma 42 2 2 2 2 5 2 2" xfId="26262" xr:uid="{FC6066EC-D0E2-423A-8B81-0D3D2ED2AE39}"/>
    <cellStyle name="Comma 42 2 2 2 2 5 3" xfId="26268" xr:uid="{972EAA21-72D5-44ED-9C39-8C0339ED7A45}"/>
    <cellStyle name="Comma 42 2 2 2 2 6" xfId="26272" xr:uid="{5A815A2B-161C-4256-944B-D29B8A233B58}"/>
    <cellStyle name="Comma 42 2 2 2 2 6 2" xfId="26274" xr:uid="{B20D555E-004E-436E-9D95-EDC3E5D387C0}"/>
    <cellStyle name="Comma 42 2 2 2 2 7" xfId="26278" xr:uid="{E6BA3B47-B5A4-4E60-9CDE-62A471691338}"/>
    <cellStyle name="Comma 42 2 2 2 2 8" xfId="26281" xr:uid="{12750D26-ED67-41F9-9715-8215E0427BEC}"/>
    <cellStyle name="Comma 42 2 2 2 3" xfId="26284" xr:uid="{DA3F6805-387F-4AB9-BFAA-0142B4463631}"/>
    <cellStyle name="Comma 42 2 2 2 3 2" xfId="26286" xr:uid="{0F87C9FC-B795-4616-A5B6-849643D73726}"/>
    <cellStyle name="Comma 42 2 2 2 3 2 2" xfId="26288" xr:uid="{362E7FE3-A995-4D81-B677-839E4562C469}"/>
    <cellStyle name="Comma 42 2 2 2 3 2 2 2" xfId="26290" xr:uid="{110A6DEF-F750-4A6D-B753-ADB04C4E63E9}"/>
    <cellStyle name="Comma 42 2 2 2 3 2 2 2 2" xfId="26292" xr:uid="{6E3F19FD-037B-453B-BEDA-2EE53608FBA6}"/>
    <cellStyle name="Comma 42 2 2 2 3 2 2 2 2 2" xfId="26294" xr:uid="{65DD1338-36BA-41A4-B8A7-4FD70BA16EA0}"/>
    <cellStyle name="Comma 42 2 2 2 3 2 2 2 3" xfId="26299" xr:uid="{29C3AD34-ED77-409F-ABA5-ADC6DF8C4EAA}"/>
    <cellStyle name="Comma 42 2 2 2 3 2 2 3" xfId="26304" xr:uid="{4852C475-C6F8-4BC8-A61A-8E91BAE9864C}"/>
    <cellStyle name="Comma 42 2 2 2 3 2 2 3 2" xfId="26306" xr:uid="{308CFC4A-5841-4C91-A255-3938A573BC12}"/>
    <cellStyle name="Comma 42 2 2 2 3 2 2 4" xfId="26311" xr:uid="{54853E4A-00E0-442E-9367-04A6A44A9253}"/>
    <cellStyle name="Comma 42 2 2 2 3 2 3" xfId="26316" xr:uid="{DC5D8DA2-F385-487E-9B62-1354730821EC}"/>
    <cellStyle name="Comma 42 2 2 2 3 2 3 2" xfId="26319" xr:uid="{ED8F5EA3-59B4-4B17-BF90-421832CED4DE}"/>
    <cellStyle name="Comma 42 2 2 2 3 2 3 2 2" xfId="26321" xr:uid="{EB1704E3-E18D-4D92-8677-8E1192813B45}"/>
    <cellStyle name="Comma 42 2 2 2 3 2 3 3" xfId="26324" xr:uid="{DE45751F-FF64-4BA0-8F21-FF3F29B35382}"/>
    <cellStyle name="Comma 42 2 2 2 3 2 4" xfId="23823" xr:uid="{9D5E219E-A7EC-450B-86B8-048090CEA4AF}"/>
    <cellStyle name="Comma 42 2 2 2 3 2 4 2" xfId="23826" xr:uid="{48E6ECC0-2DAB-42B8-A649-E678E49A1031}"/>
    <cellStyle name="Comma 42 2 2 2 3 2 5" xfId="23829" xr:uid="{C383BC62-636F-4418-9E88-3CE9CC24C786}"/>
    <cellStyle name="Comma 42 2 2 2 3 3" xfId="26331" xr:uid="{8AF3BD46-7FBD-4C09-9BD8-43D7E101D239}"/>
    <cellStyle name="Comma 42 2 2 2 3 3 2" xfId="26333" xr:uid="{1DC4CB6D-2F36-4B26-A5FA-54F47A49893D}"/>
    <cellStyle name="Comma 42 2 2 2 3 3 2 2" xfId="26335" xr:uid="{615E32D1-CC69-4B27-9992-2ED212F5FEAD}"/>
    <cellStyle name="Comma 42 2 2 2 3 3 2 2 2" xfId="26337" xr:uid="{423B35BE-2D8E-4EBC-84BC-FF1362A64A51}"/>
    <cellStyle name="Comma 42 2 2 2 3 3 2 3" xfId="26343" xr:uid="{C592DEB0-9EB3-45A9-A7D0-FCA99D73F917}"/>
    <cellStyle name="Comma 42 2 2 2 3 3 3" xfId="26348" xr:uid="{DEBF211B-2F66-4C19-8DCF-79BB8308A2E9}"/>
    <cellStyle name="Comma 42 2 2 2 3 3 3 2" xfId="26351" xr:uid="{C3927111-B79C-4D15-8DC8-B8A3BB863248}"/>
    <cellStyle name="Comma 42 2 2 2 3 3 4" xfId="23833" xr:uid="{CFC50CFC-88E1-4027-A442-339E91CB2F10}"/>
    <cellStyle name="Comma 42 2 2 2 3 4" xfId="26357" xr:uid="{705134DB-DD54-42AE-8197-A241D74502FE}"/>
    <cellStyle name="Comma 42 2 2 2 3 4 2" xfId="1708" xr:uid="{D51A08E7-4AB2-400E-AC6D-294A2988A20B}"/>
    <cellStyle name="Comma 42 2 2 2 3 4 2 2" xfId="4191" xr:uid="{E3574032-06C6-4F25-827F-3298FC784481}"/>
    <cellStyle name="Comma 42 2 2 2 3 4 3" xfId="1715" xr:uid="{7161F78E-FC04-4F86-A608-EE5EE79693E8}"/>
    <cellStyle name="Comma 42 2 2 2 3 5" xfId="26360" xr:uid="{4209C76E-470A-40F8-A494-CC3948EECC43}"/>
    <cellStyle name="Comma 42 2 2 2 3 5 2" xfId="556" xr:uid="{B762B0E5-2E65-4AEC-8B3E-251A22DFA069}"/>
    <cellStyle name="Comma 42 2 2 2 3 6" xfId="26362" xr:uid="{A9D59520-CBEC-4A69-9001-6E1062A0EAFD}"/>
    <cellStyle name="Comma 42 2 2 2 3 7" xfId="26364" xr:uid="{874B8218-2A0C-4C19-8109-8B47070E371A}"/>
    <cellStyle name="Comma 42 2 2 2 4" xfId="26367" xr:uid="{5AC70DC2-2F40-4BD7-B312-D8960A24C5AC}"/>
    <cellStyle name="Comma 42 2 2 2 4 2" xfId="26369" xr:uid="{4532B5AC-E03E-4836-AD6E-CD3B6016F765}"/>
    <cellStyle name="Comma 42 2 2 2 4 2 2" xfId="26371" xr:uid="{736FE54F-C018-4DA4-B844-4681EAE138FA}"/>
    <cellStyle name="Comma 42 2 2 2 4 2 2 2" xfId="26375" xr:uid="{17BBD518-4B59-4699-A28C-456F15CB9E0A}"/>
    <cellStyle name="Comma 42 2 2 2 4 2 2 2 2" xfId="26377" xr:uid="{786603C3-D17C-4022-8C00-EE2F221916C6}"/>
    <cellStyle name="Comma 42 2 2 2 4 2 2 3" xfId="26381" xr:uid="{315C8CD4-AB77-47FC-90C3-BAEF858E655D}"/>
    <cellStyle name="Comma 42 2 2 2 4 2 3" xfId="9506" xr:uid="{A668CC05-85F5-47CA-B0A1-3E513931CBD9}"/>
    <cellStyle name="Comma 42 2 2 2 4 2 3 2" xfId="9509" xr:uid="{49FC35A3-FF83-4FDD-9563-829B87590525}"/>
    <cellStyle name="Comma 42 2 2 2 4 2 4" xfId="9513" xr:uid="{EE104DF8-AA9D-4394-BA18-C4202FD420A5}"/>
    <cellStyle name="Comma 42 2 2 2 4 3" xfId="26391" xr:uid="{0CD8B8D9-4E06-4506-A85D-4AB002678461}"/>
    <cellStyle name="Comma 42 2 2 2 4 3 2" xfId="26393" xr:uid="{56B1CA0F-1AB6-43D2-8CEF-B5AB9AAD4CB3}"/>
    <cellStyle name="Comma 42 2 2 2 4 3 2 2" xfId="26395" xr:uid="{8ACCD1CB-1902-424A-AC52-76967CE660F3}"/>
    <cellStyle name="Comma 42 2 2 2 4 3 3" xfId="9522" xr:uid="{32A5F6F8-D885-4298-A696-2CFB28DB5D70}"/>
    <cellStyle name="Comma 42 2 2 2 4 4" xfId="26401" xr:uid="{A32070EC-87CF-4BFE-8331-569F80C32342}"/>
    <cellStyle name="Comma 42 2 2 2 4 4 2" xfId="6904" xr:uid="{39B85376-B61C-4C74-9DC1-703433A666BA}"/>
    <cellStyle name="Comma 42 2 2 2 4 5" xfId="26404" xr:uid="{B54F49FE-EAAC-4C6D-BD00-7F9FDE84ACCE}"/>
    <cellStyle name="Comma 42 2 2 2 5" xfId="26407" xr:uid="{906B75F9-B001-4464-AB2F-5D874F79FF4F}"/>
    <cellStyle name="Comma 42 2 2 2 5 2" xfId="26409" xr:uid="{13909D7B-375F-4E52-89B6-14CE7CAB38AF}"/>
    <cellStyle name="Comma 42 2 2 2 5 2 2" xfId="20116" xr:uid="{571A37B0-5682-4E46-B712-CDC3E23D4D95}"/>
    <cellStyle name="Comma 42 2 2 2 5 2 2 2" xfId="20089" xr:uid="{C3D350A0-83F3-4415-A757-A32DA584BF2E}"/>
    <cellStyle name="Comma 42 2 2 2 5 2 3" xfId="9589" xr:uid="{25761499-52E9-4AD8-BDC5-A4724F562A2A}"/>
    <cellStyle name="Comma 42 2 2 2 5 3" xfId="26414" xr:uid="{FC98F531-AF33-4F2C-AA0C-5B5CCC04569D}"/>
    <cellStyle name="Comma 42 2 2 2 5 3 2" xfId="26416" xr:uid="{B5047A06-2A2E-46AE-8D1B-16B1E56CB01D}"/>
    <cellStyle name="Comma 42 2 2 2 5 4" xfId="26423" xr:uid="{054F436A-550D-419A-8B3C-63B4AB00EF71}"/>
    <cellStyle name="Comma 42 2 2 2 6" xfId="26431" xr:uid="{72ACDC35-DFD2-4341-8DE4-FE84E9DE34E0}"/>
    <cellStyle name="Comma 42 2 2 2 6 2" xfId="26434" xr:uid="{A9D5B699-10DD-43E3-9AF8-C7218CB3F557}"/>
    <cellStyle name="Comma 42 2 2 2 6 2 2" xfId="26439" xr:uid="{0682875D-1FE8-4536-9678-33DE473F67DD}"/>
    <cellStyle name="Comma 42 2 2 2 6 3" xfId="23944" xr:uid="{CF522562-76EF-4249-8FB5-28345657ED14}"/>
    <cellStyle name="Comma 42 2 2 2 7" xfId="26446" xr:uid="{006EA365-1F06-49AC-B9DD-35C59DE63C3B}"/>
    <cellStyle name="Comma 42 2 2 2 7 2" xfId="13990" xr:uid="{B424A5FD-6219-4D82-9A45-1E6F41DC86F5}"/>
    <cellStyle name="Comma 42 2 2 2 8" xfId="26451" xr:uid="{EAB52962-EBE7-4C72-9289-A1C7219DEF98}"/>
    <cellStyle name="Comma 42 2 2 2 9" xfId="26458" xr:uid="{4328F7CA-0F24-4B8E-9FDB-CEC385790076}"/>
    <cellStyle name="Comma 42 2 2 3" xfId="26463" xr:uid="{D78687F0-1902-4ACF-B641-834DE3D37468}"/>
    <cellStyle name="Comma 42 2 2 3 2" xfId="26466" xr:uid="{7413616B-8B6F-4B6D-BF44-8CA48CD0DC47}"/>
    <cellStyle name="Comma 42 2 2 3 2 2" xfId="26468" xr:uid="{25AA74B6-7301-4B83-8B38-97096BFB4AF5}"/>
    <cellStyle name="Comma 42 2 2 3 2 2 2" xfId="26470" xr:uid="{5ABC949B-2C10-47F6-A1C3-1645F371F76A}"/>
    <cellStyle name="Comma 42 2 2 3 2 2 2 2" xfId="26472" xr:uid="{EF629F56-EDD6-49D9-8599-4360FC540BFE}"/>
    <cellStyle name="Comma 42 2 2 3 2 2 2 2 2" xfId="26474" xr:uid="{450DA1E7-6778-4723-86B2-AABF0854EDBF}"/>
    <cellStyle name="Comma 42 2 2 3 2 2 2 2 2 2" xfId="26476" xr:uid="{9F67643B-EC7C-4E95-85E1-0EF293241C7B}"/>
    <cellStyle name="Comma 42 2 2 3 2 2 2 2 3" xfId="26481" xr:uid="{611C814C-7304-43D7-86AB-5B7FFC9CC7BA}"/>
    <cellStyle name="Comma 42 2 2 3 2 2 2 3" xfId="26484" xr:uid="{8C1ED4AF-906A-47DC-A73E-E6CFB1080B51}"/>
    <cellStyle name="Comma 42 2 2 3 2 2 2 3 2" xfId="26486" xr:uid="{D42FC907-1C46-41C5-AD9D-F1B44907D721}"/>
    <cellStyle name="Comma 42 2 2 3 2 2 2 4" xfId="23689" xr:uid="{1378992D-87D1-4CB8-B58D-EA752B582FA8}"/>
    <cellStyle name="Comma 42 2 2 3 2 2 3" xfId="26495" xr:uid="{760D28DD-57D8-45D9-9660-3B832328EA2C}"/>
    <cellStyle name="Comma 42 2 2 3 2 2 3 2" xfId="26498" xr:uid="{20BE3DF2-EDE7-417B-89C8-1E04ED14EB60}"/>
    <cellStyle name="Comma 42 2 2 3 2 2 3 2 2" xfId="26500" xr:uid="{81F24506-0B72-43E6-8FD5-9BC636C2DEFF}"/>
    <cellStyle name="Comma 42 2 2 3 2 2 3 3" xfId="26503" xr:uid="{D7D3C5C9-348F-4005-8B8B-315F5760DD06}"/>
    <cellStyle name="Comma 42 2 2 3 2 2 4" xfId="5563" xr:uid="{5D9F4E73-329E-4122-A912-DBA876BC448D}"/>
    <cellStyle name="Comma 42 2 2 3 2 2 4 2" xfId="5567" xr:uid="{4527ECCE-9EC5-4A7A-9E4D-B71477BD97D3}"/>
    <cellStyle name="Comma 42 2 2 3 2 2 5" xfId="5575" xr:uid="{0C368A66-D266-405C-94D2-C3AA3C7957EF}"/>
    <cellStyle name="Comma 42 2 2 3 2 3" xfId="26508" xr:uid="{45657B8C-4C01-4F26-A349-6BB0AC1BCAAE}"/>
    <cellStyle name="Comma 42 2 2 3 2 3 2" xfId="26510" xr:uid="{6A45D782-D192-4855-8A3B-2287A3FE32C4}"/>
    <cellStyle name="Comma 42 2 2 3 2 3 2 2" xfId="26512" xr:uid="{81C86015-21BA-4C79-9A38-5A2CF3B9FA1F}"/>
    <cellStyle name="Comma 42 2 2 3 2 3 2 2 2" xfId="26514" xr:uid="{9B77D914-6452-429B-B32B-6FB22CE452A2}"/>
    <cellStyle name="Comma 42 2 2 3 2 3 2 3" xfId="26518" xr:uid="{471536EF-0C5B-43E8-851F-FAFB806515AF}"/>
    <cellStyle name="Comma 42 2 2 3 2 3 3" xfId="26523" xr:uid="{ADE4EF58-F4B8-46A0-91A8-42F585D9F44A}"/>
    <cellStyle name="Comma 42 2 2 3 2 3 3 2" xfId="26525" xr:uid="{F9543D5B-9EF3-4C50-9D9E-EF41853DCC01}"/>
    <cellStyle name="Comma 42 2 2 3 2 3 4" xfId="826" xr:uid="{0E2F48C7-815F-4FE4-80B7-E40011D8CEF0}"/>
    <cellStyle name="Comma 42 2 2 3 2 4" xfId="24151" xr:uid="{04052473-E52A-49B1-BB18-BB4E1AE95F2B}"/>
    <cellStyle name="Comma 42 2 2 3 2 4 2" xfId="8320" xr:uid="{C552FF65-6B9B-4FD8-9F69-821B8544B98A}"/>
    <cellStyle name="Comma 42 2 2 3 2 4 2 2" xfId="8328" xr:uid="{D0C21F78-05D8-418A-A7B5-3F3E602A0EA0}"/>
    <cellStyle name="Comma 42 2 2 3 2 4 3" xfId="885" xr:uid="{896B1C28-9EE4-4F27-8CDE-628CCBCAE72D}"/>
    <cellStyle name="Comma 42 2 2 3 2 5" xfId="24158" xr:uid="{840D7E2B-3509-4743-A37A-C3E5BC9593F8}"/>
    <cellStyle name="Comma 42 2 2 3 2 5 2" xfId="9286" xr:uid="{4DA1A549-2271-4C0B-B716-84776461F5F8}"/>
    <cellStyle name="Comma 42 2 2 3 2 6" xfId="24161" xr:uid="{2AF69B98-EF69-4F10-9686-97C2D80F689E}"/>
    <cellStyle name="Comma 42 2 2 3 2 7" xfId="26530" xr:uid="{C7411BA4-2C25-4207-A993-1BB952A47B39}"/>
    <cellStyle name="Comma 42 2 2 3 3" xfId="26532" xr:uid="{3A4DC3F8-3346-499C-B6E3-8415FB6E1EFA}"/>
    <cellStyle name="Comma 42 2 2 3 3 2" xfId="26536" xr:uid="{0E40D2BC-80CE-4058-B2BD-8423507A1AD5}"/>
    <cellStyle name="Comma 42 2 2 3 3 2 2" xfId="26538" xr:uid="{2595A403-77D7-4246-ABB2-7C04D4C0EFAB}"/>
    <cellStyle name="Comma 42 2 2 3 3 2 2 2" xfId="26540" xr:uid="{C833D076-39EB-4AF2-B9CE-D939B40ABE44}"/>
    <cellStyle name="Comma 42 2 2 3 3 2 2 2 2" xfId="26542" xr:uid="{AD035A50-A33E-4956-99BB-5E52E8284EA5}"/>
    <cellStyle name="Comma 42 2 2 3 3 2 2 3" xfId="26546" xr:uid="{4EC22771-3056-4224-BA95-A3DB5D731880}"/>
    <cellStyle name="Comma 42 2 2 3 3 2 3" xfId="26551" xr:uid="{8FFA6B51-9123-4573-A054-45ADEC2784DD}"/>
    <cellStyle name="Comma 42 2 2 3 3 2 3 2" xfId="26553" xr:uid="{7B09151A-1B3E-4065-8453-F279053A3596}"/>
    <cellStyle name="Comma 42 2 2 3 3 2 4" xfId="5601" xr:uid="{115A4ADC-2427-4F23-A2F4-F11588F9CD2C}"/>
    <cellStyle name="Comma 42 2 2 3 3 3" xfId="26560" xr:uid="{D2638588-3D1A-4F94-8985-267C005C0E47}"/>
    <cellStyle name="Comma 42 2 2 3 3 3 2" xfId="26562" xr:uid="{8A28DDBC-C6A1-4CAD-8FD2-A40BE26F23B0}"/>
    <cellStyle name="Comma 42 2 2 3 3 3 2 2" xfId="26564" xr:uid="{B2243624-956C-4C9E-B496-8DEE73806361}"/>
    <cellStyle name="Comma 42 2 2 3 3 3 3" xfId="26567" xr:uid="{586DFAE7-04B2-4193-91F9-2330D675E443}"/>
    <cellStyle name="Comma 42 2 2 3 3 4" xfId="24176" xr:uid="{F15B76AF-BD88-47C3-88DD-CB0EDBB02E27}"/>
    <cellStyle name="Comma 42 2 2 3 3 4 2" xfId="11855" xr:uid="{A46F8A3C-4F81-44AE-8457-46FA9DCDF96C}"/>
    <cellStyle name="Comma 42 2 2 3 3 5" xfId="24185" xr:uid="{898FD8A1-A608-4D44-9C1C-AB40BE3AC6AE}"/>
    <cellStyle name="Comma 42 2 2 3 4" xfId="26579" xr:uid="{FB511B57-5548-4941-9CC4-84A5F7D34180}"/>
    <cellStyle name="Comma 42 2 2 3 4 2" xfId="26581" xr:uid="{D8910E9D-09A7-46FC-8F4D-0D499DFEF437}"/>
    <cellStyle name="Comma 42 2 2 3 4 2 2" xfId="26583" xr:uid="{6F748BEF-49A7-40AC-8027-BC6799650272}"/>
    <cellStyle name="Comma 42 2 2 3 4 2 2 2" xfId="26585" xr:uid="{8A05ED65-930E-401D-9AA8-2BD460F490AC}"/>
    <cellStyle name="Comma 42 2 2 3 4 2 3" xfId="9746" xr:uid="{7B8F329C-7B31-45DA-A87A-5EAEAC1EFA8A}"/>
    <cellStyle name="Comma 42 2 2 3 4 3" xfId="26590" xr:uid="{F87E289F-47F7-492C-9616-2C1B57451188}"/>
    <cellStyle name="Comma 42 2 2 3 4 3 2" xfId="26592" xr:uid="{BDCA9EB9-97F2-4721-847B-21139030540C}"/>
    <cellStyle name="Comma 42 2 2 3 4 4" xfId="24197" xr:uid="{A68E1184-5E18-4718-A992-90804A3E04EE}"/>
    <cellStyle name="Comma 42 2 2 3 5" xfId="26599" xr:uid="{18A4B860-6586-417F-91BD-60A88B9D660B}"/>
    <cellStyle name="Comma 42 2 2 3 5 2" xfId="26601" xr:uid="{7D43E890-77B9-4B87-9804-F91F7B7287AA}"/>
    <cellStyle name="Comma 42 2 2 3 5 2 2" xfId="26603" xr:uid="{43ED4C4E-0290-42FC-AC6E-D0461705A542}"/>
    <cellStyle name="Comma 42 2 2 3 5 3" xfId="26607" xr:uid="{D3B2D3D1-EE70-4046-9B83-D0F3521C1E2E}"/>
    <cellStyle name="Comma 42 2 2 3 6" xfId="26615" xr:uid="{EB5DF9DE-2352-4F57-A90B-CDA864F3393A}"/>
    <cellStyle name="Comma 42 2 2 3 6 2" xfId="26618" xr:uid="{460B63B8-DA6C-45C2-B059-A4B86BB42402}"/>
    <cellStyle name="Comma 42 2 2 3 7" xfId="26625" xr:uid="{242768EA-32DC-4981-9578-E6A708C6B097}"/>
    <cellStyle name="Comma 42 2 2 3 8" xfId="26630" xr:uid="{8D057D7C-72D8-4B0D-A449-CC2A89EB45FC}"/>
    <cellStyle name="Comma 42 2 2 4" xfId="26634" xr:uid="{1DA89276-518E-4D28-8F80-962B271F28C6}"/>
    <cellStyle name="Comma 42 2 2 4 2" xfId="26636" xr:uid="{1CA22630-DB6D-4107-ADCE-5AAE00938A18}"/>
    <cellStyle name="Comma 42 2 2 4 2 2" xfId="26638" xr:uid="{2D69D8EF-9AC5-44C9-9159-00F6232EF4AF}"/>
    <cellStyle name="Comma 42 2 2 4 2 2 2" xfId="26640" xr:uid="{635F8F5F-1EBB-4B84-A815-DCB1B986B644}"/>
    <cellStyle name="Comma 42 2 2 4 2 2 2 2" xfId="26643" xr:uid="{05EF4599-1018-41E6-BDB6-7761C3E44250}"/>
    <cellStyle name="Comma 42 2 2 4 2 2 2 2 2" xfId="26645" xr:uid="{7BE264AC-C66D-448B-B1BB-6214800099C8}"/>
    <cellStyle name="Comma 42 2 2 4 2 2 2 3" xfId="26649" xr:uid="{058508DB-62CE-439E-A4D4-9A8519505AE0}"/>
    <cellStyle name="Comma 42 2 2 4 2 2 3" xfId="26653" xr:uid="{425EFF52-FE03-4E11-A244-672A56625C93}"/>
    <cellStyle name="Comma 42 2 2 4 2 2 3 2" xfId="4501" xr:uid="{C1F738DC-3403-43C5-AA85-BE3388A231A6}"/>
    <cellStyle name="Comma 42 2 2 4 2 2 4" xfId="4508" xr:uid="{8179D510-44C8-45FC-AB02-E34A92EEED43}"/>
    <cellStyle name="Comma 42 2 2 4 2 3" xfId="26656" xr:uid="{ED26C316-E103-4112-9541-1FE3B0D2D6F1}"/>
    <cellStyle name="Comma 42 2 2 4 2 3 2" xfId="26658" xr:uid="{B7FFC09B-5D3C-41CE-AA35-DD9A0B9CE5A1}"/>
    <cellStyle name="Comma 42 2 2 4 2 3 2 2" xfId="21801" xr:uid="{82E06B76-6D7F-425E-8F83-897E1E540D7D}"/>
    <cellStyle name="Comma 42 2 2 4 2 3 3" xfId="26660" xr:uid="{0911E6E9-C0FE-4D7A-B90C-BD52DF4D9AB6}"/>
    <cellStyle name="Comma 42 2 2 4 2 4" xfId="4549" xr:uid="{F0D51943-991E-45AB-A60F-AC1683F7F6BD}"/>
    <cellStyle name="Comma 42 2 2 4 2 4 2" xfId="4558" xr:uid="{026DC76A-6227-46F6-8094-49129420E221}"/>
    <cellStyle name="Comma 42 2 2 4 2 5" xfId="4571" xr:uid="{7A7B4F13-971E-4BB9-9694-805EFD37B8A7}"/>
    <cellStyle name="Comma 42 2 2 4 3" xfId="12965" xr:uid="{D89B52DC-6717-4F87-A42A-0C1FE99C572E}"/>
    <cellStyle name="Comma 42 2 2 4 3 2" xfId="12968" xr:uid="{62945D0B-651C-4454-8268-27BB5229B5DB}"/>
    <cellStyle name="Comma 42 2 2 4 3 2 2" xfId="1852" xr:uid="{49BFE9B0-2018-4DF1-BF12-F0C2D29A344C}"/>
    <cellStyle name="Comma 42 2 2 4 3 2 2 2" xfId="1867" xr:uid="{5966694A-8D70-40B1-A14C-0A4E5C74CB4D}"/>
    <cellStyle name="Comma 42 2 2 4 3 2 3" xfId="1873" xr:uid="{758D4D2A-7A7B-4F92-B12C-9389B7A6B028}"/>
    <cellStyle name="Comma 42 2 2 4 3 3" xfId="12983" xr:uid="{2EBD0AA3-9E7F-4A19-81C8-7292C04784FC}"/>
    <cellStyle name="Comma 42 2 2 4 3 3 2" xfId="12986" xr:uid="{803F175F-8E95-433A-A42D-FB344670426B}"/>
    <cellStyle name="Comma 42 2 2 4 3 4" xfId="3820" xr:uid="{C1311F30-A2F4-4B1B-9AC6-ABB0D4BB6D60}"/>
    <cellStyle name="Comma 42 2 2 4 4" xfId="13020" xr:uid="{78BDA420-D888-4B49-A2D2-F58A55228FDC}"/>
    <cellStyle name="Comma 42 2 2 4 4 2" xfId="13023" xr:uid="{091C6A31-39C2-48C7-8528-16AF42CDC8F8}"/>
    <cellStyle name="Comma 42 2 2 4 4 2 2" xfId="13026" xr:uid="{D5F4A80F-C8A0-48D5-84E0-1336ADC8F5F6}"/>
    <cellStyle name="Comma 42 2 2 4 4 3" xfId="13043" xr:uid="{F0AEAF48-AC49-43CB-9242-A455500B4C09}"/>
    <cellStyle name="Comma 42 2 2 4 5" xfId="13057" xr:uid="{0DE55296-30A6-4A11-9A87-F0A679862C30}"/>
    <cellStyle name="Comma 42 2 2 4 5 2" xfId="13060" xr:uid="{7D7CD7C1-92A6-499E-A919-A8F15C8BBF8A}"/>
    <cellStyle name="Comma 42 2 2 4 6" xfId="13079" xr:uid="{EE606E40-41C3-45C2-B665-4B1E7DF4AD70}"/>
    <cellStyle name="Comma 42 2 2 4 7" xfId="4627" xr:uid="{A06662A1-506C-4CF9-AA00-F03CB62511C3}"/>
    <cellStyle name="Comma 42 2 2 5" xfId="26668" xr:uid="{61C1A7CD-9578-4233-B7EA-722FD43E4278}"/>
    <cellStyle name="Comma 42 2 2 5 2" xfId="14210" xr:uid="{44675EC6-94C5-43EE-963B-9F273CE5ADD2}"/>
    <cellStyle name="Comma 42 2 2 5 2 2" xfId="26670" xr:uid="{16E3F193-5020-4BF9-879E-38A9137B5686}"/>
    <cellStyle name="Comma 42 2 2 5 2 2 2" xfId="61" xr:uid="{C57E8D28-FE0B-469F-B777-0D28B948A7B5}"/>
    <cellStyle name="Comma 42 2 2 5 2 2 2 2" xfId="3137" xr:uid="{556E118B-D9B1-4F99-B2A4-6184B71EDD62}"/>
    <cellStyle name="Comma 42 2 2 5 2 2 3" xfId="3144" xr:uid="{3B9AB228-712A-420F-827C-B7D359DAA33B}"/>
    <cellStyle name="Comma 42 2 2 5 2 3" xfId="26676" xr:uid="{643597A5-0982-4888-A32B-6FEA42D68925}"/>
    <cellStyle name="Comma 42 2 2 5 2 3 2" xfId="89" xr:uid="{D2C2E052-EB0C-4E97-9903-E731EE1008CA}"/>
    <cellStyle name="Comma 42 2 2 5 2 4" xfId="876" xr:uid="{3AC0770A-E54B-4103-B557-74CDAD3BBCC5}"/>
    <cellStyle name="Comma 42 2 2 5 3" xfId="13099" xr:uid="{8BB16D81-E052-45CD-BE8E-D7515D63E56E}"/>
    <cellStyle name="Comma 42 2 2 5 3 2" xfId="1918" xr:uid="{14068203-5235-40CD-B97E-776E5B9814C5}"/>
    <cellStyle name="Comma 42 2 2 5 3 2 2" xfId="3230" xr:uid="{346DAA01-102D-4229-A00D-1613F9AFA4A9}"/>
    <cellStyle name="Comma 42 2 2 5 3 3" xfId="1932" xr:uid="{8DCEF7F5-F6F2-45B0-B348-388711F368FE}"/>
    <cellStyle name="Comma 42 2 2 5 4" xfId="13125" xr:uid="{28B4736E-0E40-427B-BF18-582235DA12AF}"/>
    <cellStyle name="Comma 42 2 2 5 4 2" xfId="13128" xr:uid="{3D670073-1C00-4821-90E9-D8352E65383D}"/>
    <cellStyle name="Comma 42 2 2 5 5" xfId="13145" xr:uid="{8E9AEFA3-8CBF-4769-A7C4-EB51B7F85D3B}"/>
    <cellStyle name="Comma 42 2 2 6" xfId="16077" xr:uid="{DB8EAA48-6C2F-4A5C-92A0-CE6368AC277C}"/>
    <cellStyle name="Comma 42 2 2 6 2" xfId="26681" xr:uid="{01814A57-A77C-4C8C-8184-91883DC52DED}"/>
    <cellStyle name="Comma 42 2 2 6 2 2" xfId="26683" xr:uid="{FEA76072-8624-41E6-8667-135A704FE6A5}"/>
    <cellStyle name="Comma 42 2 2 6 2 2 2" xfId="3394" xr:uid="{B084F520-E79F-4B86-8655-DE7099E741F2}"/>
    <cellStyle name="Comma 42 2 2 6 2 3" xfId="26689" xr:uid="{D7E22CAC-102A-4FE7-8D2F-F537489C1AC0}"/>
    <cellStyle name="Comma 42 2 2 6 3" xfId="13166" xr:uid="{5D08A1F2-E6D2-456F-8377-22660464AC13}"/>
    <cellStyle name="Comma 42 2 2 6 3 2" xfId="13171" xr:uid="{8409E7F1-5246-4A87-8671-B8895ED78D7A}"/>
    <cellStyle name="Comma 42 2 2 6 4" xfId="13182" xr:uid="{D9F8F6E4-4590-40C2-903F-DA01B8B8381F}"/>
    <cellStyle name="Comma 42 2 2 7" xfId="26693" xr:uid="{6879CD7C-52F9-4FE2-9DF7-6C6EC7B0C8CB}"/>
    <cellStyle name="Comma 42 2 2 7 2" xfId="26695" xr:uid="{2933ADD8-BA69-48AC-9997-AB39A67B9DBD}"/>
    <cellStyle name="Comma 42 2 2 7 2 2" xfId="26697" xr:uid="{0E8E91A4-F25A-4C3D-87A0-827F551BC05A}"/>
    <cellStyle name="Comma 42 2 2 7 3" xfId="13200" xr:uid="{D818A089-FA34-4F25-8FD0-C3906031AFB8}"/>
    <cellStyle name="Comma 42 2 2 8" xfId="26701" xr:uid="{8016DC82-01DF-4598-8BB6-8F119DD45F54}"/>
    <cellStyle name="Comma 42 2 2 8 2" xfId="26703" xr:uid="{68D18E7F-D002-46CF-83C7-056E07160C8F}"/>
    <cellStyle name="Comma 42 2 2 9" xfId="26706" xr:uid="{79DAAFBE-3F6A-49AF-9700-9DEE9686A8FE}"/>
    <cellStyle name="Comma 42 2 3" xfId="20595" xr:uid="{35D7CB63-6CDA-4245-8235-A9CF07F82206}"/>
    <cellStyle name="Comma 42 2 3 2" xfId="26712" xr:uid="{D79C3014-4E99-4521-82C3-9EFD868E40DC}"/>
    <cellStyle name="Comma 42 2 3 2 2" xfId="26715" xr:uid="{1B6BFF01-C0AC-45CC-AF87-22369F27FFFF}"/>
    <cellStyle name="Comma 42 2 3 2 2 2" xfId="26717" xr:uid="{50BC8F9E-8388-4DCE-AE14-D41261E99FCC}"/>
    <cellStyle name="Comma 42 2 3 2 2 2 2" xfId="26719" xr:uid="{AA84A816-97C4-4DEE-9937-396655D23605}"/>
    <cellStyle name="Comma 42 2 3 2 2 2 2 2" xfId="15507" xr:uid="{DF4E8061-FAB9-4EBD-B168-0CB996F3FD6B}"/>
    <cellStyle name="Comma 42 2 3 2 2 2 2 2 2" xfId="26721" xr:uid="{3F79237D-48EF-41BF-85C6-8C502B9CAEA3}"/>
    <cellStyle name="Comma 42 2 3 2 2 2 2 2 2 2" xfId="26723" xr:uid="{EEDCA811-BFF0-436E-9063-3DCEAB1099CB}"/>
    <cellStyle name="Comma 42 2 3 2 2 2 2 2 3" xfId="26727" xr:uid="{0008B346-FB45-408F-B153-5D0E0ED52C43}"/>
    <cellStyle name="Comma 42 2 3 2 2 2 2 3" xfId="5689" xr:uid="{8ACB85E0-DD6D-4C3A-AB5B-5306F79C7121}"/>
    <cellStyle name="Comma 42 2 3 2 2 2 2 3 2" xfId="13110" xr:uid="{09241A41-D1D9-4FCF-A22C-4D311082DB46}"/>
    <cellStyle name="Comma 42 2 3 2 2 2 2 4" xfId="26733" xr:uid="{CF0C6F6C-09F6-4593-9C85-6267BEAB3367}"/>
    <cellStyle name="Comma 42 2 3 2 2 2 3" xfId="26738" xr:uid="{65F21D2D-B783-4946-86E1-D59F22CD3E84}"/>
    <cellStyle name="Comma 42 2 3 2 2 2 3 2" xfId="26741" xr:uid="{34715DFF-02C9-40AC-AE23-E07CD1F04D52}"/>
    <cellStyle name="Comma 42 2 3 2 2 2 3 2 2" xfId="26743" xr:uid="{EAFBAEE8-B65F-4F45-8E9A-A329D74C6CDF}"/>
    <cellStyle name="Comma 42 2 3 2 2 2 3 3" xfId="26746" xr:uid="{D2C3F0C3-394F-4979-95BA-9B853FC94B24}"/>
    <cellStyle name="Comma 42 2 3 2 2 2 4" xfId="23863" xr:uid="{BD063CBA-9B3B-48B9-AF6E-01C1F05DCC73}"/>
    <cellStyle name="Comma 42 2 3 2 2 2 4 2" xfId="23867" xr:uid="{03D157C2-F9F9-4140-9B25-6F761F04B2CA}"/>
    <cellStyle name="Comma 42 2 3 2 2 2 5" xfId="23871" xr:uid="{C482F202-2C19-4B9B-A303-A8480C7713DF}"/>
    <cellStyle name="Comma 42 2 3 2 2 3" xfId="26756" xr:uid="{5C739BC3-8FFE-4ECB-8110-05A1D1A37984}"/>
    <cellStyle name="Comma 42 2 3 2 2 3 2" xfId="26758" xr:uid="{3768FF30-72C9-421A-8B69-9E86A39EC1BE}"/>
    <cellStyle name="Comma 42 2 3 2 2 3 2 2" xfId="15634" xr:uid="{3C1E7841-2C03-480B-AF66-AD19570A7DCA}"/>
    <cellStyle name="Comma 42 2 3 2 2 3 2 2 2" xfId="26760" xr:uid="{F9C418CD-EF06-49E7-BD63-AAF5F7FFDDB6}"/>
    <cellStyle name="Comma 42 2 3 2 2 3 2 3" xfId="26765" xr:uid="{19EAB743-0142-4634-A9C0-EDA10346B1FF}"/>
    <cellStyle name="Comma 42 2 3 2 2 3 3" xfId="26769" xr:uid="{F677955B-791E-4576-BA6B-17DCF63E8875}"/>
    <cellStyle name="Comma 42 2 3 2 2 3 3 2" xfId="26771" xr:uid="{F6A750F4-3F77-4486-B5E7-D66454035A54}"/>
    <cellStyle name="Comma 42 2 3 2 2 3 4" xfId="23877" xr:uid="{9BC1B0C6-33A4-4774-A31B-4F5ED4D8653F}"/>
    <cellStyle name="Comma 42 2 3 2 2 4" xfId="26777" xr:uid="{EF6AEF51-0094-48E8-BB86-6E36071D83A5}"/>
    <cellStyle name="Comma 42 2 3 2 2 4 2" xfId="26779" xr:uid="{B61F863B-97F8-4F79-B960-280DE0106C0A}"/>
    <cellStyle name="Comma 42 2 3 2 2 4 2 2" xfId="26781" xr:uid="{0106C4AB-EF77-4872-AE91-7ACF2DADCD0B}"/>
    <cellStyle name="Comma 42 2 3 2 2 4 3" xfId="26785" xr:uid="{CBB42EB6-2428-4473-82DB-CE844C3BF3E1}"/>
    <cellStyle name="Comma 42 2 3 2 2 5" xfId="26791" xr:uid="{468C3B34-4293-4DC5-AB5D-4DEE6BF0BD5B}"/>
    <cellStyle name="Comma 42 2 3 2 2 5 2" xfId="26793" xr:uid="{7BA8B525-0BE0-48C3-BAB5-95408F922F26}"/>
    <cellStyle name="Comma 42 2 3 2 2 6" xfId="26797" xr:uid="{B4CEBF3E-04AB-4688-A6C8-DFAF48A3D4D4}"/>
    <cellStyle name="Comma 42 2 3 2 2 7" xfId="26800" xr:uid="{83D13C16-E612-46BC-B15A-08EF2653880C}"/>
    <cellStyle name="Comma 42 2 3 2 3" xfId="26803" xr:uid="{5FACC4F8-9A78-48E0-8A4E-919E57667E7F}"/>
    <cellStyle name="Comma 42 2 3 2 3 2" xfId="26805" xr:uid="{4A62B8AA-75B6-4BCD-A836-6FE1B48674AD}"/>
    <cellStyle name="Comma 42 2 3 2 3 2 2" xfId="26807" xr:uid="{1B33A6F7-1E34-4A8B-AABE-7356C919B346}"/>
    <cellStyle name="Comma 42 2 3 2 3 2 2 2" xfId="10027" xr:uid="{4A990139-F800-4015-AB41-D551CAC01234}"/>
    <cellStyle name="Comma 42 2 3 2 3 2 2 2 2" xfId="26809" xr:uid="{EE5B14C1-83E7-467B-BFB6-91288654BBE4}"/>
    <cellStyle name="Comma 42 2 3 2 3 2 2 3" xfId="26816" xr:uid="{9DD91558-99DF-4A2C-A0D2-1D05D3AD8277}"/>
    <cellStyle name="Comma 42 2 3 2 3 2 3" xfId="26821" xr:uid="{14632104-67CA-4A67-97B1-AA5D96966BB9}"/>
    <cellStyle name="Comma 42 2 3 2 3 2 3 2" xfId="26823" xr:uid="{B3566548-8BF5-46FC-A810-9BCE4C0F38F5}"/>
    <cellStyle name="Comma 42 2 3 2 3 2 4" xfId="23888" xr:uid="{2B902012-40AA-4613-8601-5EA9706CD587}"/>
    <cellStyle name="Comma 42 2 3 2 3 3" xfId="26830" xr:uid="{DAC49125-E233-4E54-B181-25C6C110829E}"/>
    <cellStyle name="Comma 42 2 3 2 3 3 2" xfId="26832" xr:uid="{03DBD25B-797F-4AC1-AA2C-9A35B73E6F19}"/>
    <cellStyle name="Comma 42 2 3 2 3 3 2 2" xfId="26834" xr:uid="{AEE48349-5985-4B5C-86AB-9A4DF6C4C801}"/>
    <cellStyle name="Comma 42 2 3 2 3 3 3" xfId="26838" xr:uid="{81B39B5D-E649-4701-B19D-79F0DCCFFCBC}"/>
    <cellStyle name="Comma 42 2 3 2 3 4" xfId="26842" xr:uid="{B0BED881-9B24-4187-B67A-CFC2A7098EEB}"/>
    <cellStyle name="Comma 42 2 3 2 3 4 2" xfId="22811" xr:uid="{199CEDFA-DF9E-46A7-9FA4-F7BFD29AE19C}"/>
    <cellStyle name="Comma 42 2 3 2 3 5" xfId="26845" xr:uid="{969E8744-CBBD-440B-84C1-4CA2B037EED6}"/>
    <cellStyle name="Comma 42 2 3 2 4" xfId="26851" xr:uid="{F16D3207-9956-44A1-812C-55850BDABA65}"/>
    <cellStyle name="Comma 42 2 3 2 4 2" xfId="26853" xr:uid="{FB72B4C1-92E1-48C8-BC4C-764319C921F7}"/>
    <cellStyle name="Comma 42 2 3 2 4 2 2" xfId="26855" xr:uid="{4323C6C8-FDF1-4CFB-90DF-1096BC21C23C}"/>
    <cellStyle name="Comma 42 2 3 2 4 2 2 2" xfId="15796" xr:uid="{B2CFCB1A-B8E2-40E8-AB53-5C2B0C87A915}"/>
    <cellStyle name="Comma 42 2 3 2 4 2 3" xfId="9985" xr:uid="{1E2BA3A9-A422-487F-A1DE-30037380806B}"/>
    <cellStyle name="Comma 42 2 3 2 4 3" xfId="26860" xr:uid="{CE7BBD70-1739-44E1-97F9-3C74FB8D1E2B}"/>
    <cellStyle name="Comma 42 2 3 2 4 3 2" xfId="26862" xr:uid="{29566B43-017C-4CF0-82D2-C19E35264076}"/>
    <cellStyle name="Comma 42 2 3 2 4 4" xfId="26865" xr:uid="{F0459D95-DEBA-459F-BF89-39E533D2F26C}"/>
    <cellStyle name="Comma 42 2 3 2 5" xfId="26869" xr:uid="{980669C4-9FB4-4864-A22A-1CB24A6E6388}"/>
    <cellStyle name="Comma 42 2 3 2 5 2" xfId="26871" xr:uid="{0B8BBD55-42C6-453B-8ECA-92C05F722D4B}"/>
    <cellStyle name="Comma 42 2 3 2 5 2 2" xfId="26873" xr:uid="{DF19ECD6-5CF3-41F5-A3D9-97F8379FB717}"/>
    <cellStyle name="Comma 42 2 3 2 5 3" xfId="26877" xr:uid="{9BB88475-549A-4FC2-8A21-7F25B0DE7F26}"/>
    <cellStyle name="Comma 42 2 3 2 6" xfId="26881" xr:uid="{3437431C-ECAC-4FA4-830F-F72DDB0D92FC}"/>
    <cellStyle name="Comma 42 2 3 2 6 2" xfId="26885" xr:uid="{D9E1DFBB-CD41-4605-A232-7BF553E21FF9}"/>
    <cellStyle name="Comma 42 2 3 2 7" xfId="26893" xr:uid="{3908CEA3-0F25-4653-BD91-5C0103EAA55E}"/>
    <cellStyle name="Comma 42 2 3 2 8" xfId="26901" xr:uid="{B4F06A27-0DE9-49F2-B0AA-2599C54EC217}"/>
    <cellStyle name="Comma 42 2 3 3" xfId="26905" xr:uid="{84B8A108-05AE-4416-8852-B9A2D1AB8E9B}"/>
    <cellStyle name="Comma 42 2 3 3 2" xfId="26907" xr:uid="{A7640243-6B09-4727-8400-4A1738BF9CED}"/>
    <cellStyle name="Comma 42 2 3 3 2 2" xfId="22200" xr:uid="{8E9ED63B-30E6-4A0D-9680-1DEF7130FAC9}"/>
    <cellStyle name="Comma 42 2 3 3 2 2 2" xfId="22203" xr:uid="{11137781-88F2-4A2A-916A-C4F7B64C500B}"/>
    <cellStyle name="Comma 42 2 3 3 2 2 2 2" xfId="22206" xr:uid="{28ECF0FB-E94E-49B8-A9E2-78BF42B272A9}"/>
    <cellStyle name="Comma 42 2 3 3 2 2 2 2 2" xfId="22209" xr:uid="{0465B811-6F56-49CC-B40A-5806FA638D4E}"/>
    <cellStyle name="Comma 42 2 3 3 2 2 2 3" xfId="22213" xr:uid="{DD96992E-096E-4447-A75E-0BC3988AFAFF}"/>
    <cellStyle name="Comma 42 2 3 3 2 2 3" xfId="22217" xr:uid="{F7B160D7-ED95-4DB1-BEE1-9B68B66FB1DC}"/>
    <cellStyle name="Comma 42 2 3 3 2 2 3 2" xfId="22220" xr:uid="{77BCC6B1-F4CC-49C0-81D9-75FE99A7FC33}"/>
    <cellStyle name="Comma 42 2 3 3 2 2 4" xfId="5798" xr:uid="{E2C6CAAB-734E-492D-AE8A-73D94F17297E}"/>
    <cellStyle name="Comma 42 2 3 3 2 3" xfId="22223" xr:uid="{C4726233-B0E0-4CA9-99E3-2D8A2E52D1A3}"/>
    <cellStyle name="Comma 42 2 3 3 2 3 2" xfId="22226" xr:uid="{61D62BEB-4628-4A34-8ABC-0B28FA9F7ED3}"/>
    <cellStyle name="Comma 42 2 3 3 2 3 2 2" xfId="22229" xr:uid="{591BC28E-3995-4553-9584-6A73437B4894}"/>
    <cellStyle name="Comma 42 2 3 3 2 3 3" xfId="22232" xr:uid="{BE244F80-1291-4D9C-89BC-3D708E4AE50E}"/>
    <cellStyle name="Comma 42 2 3 3 2 4" xfId="22235" xr:uid="{9539BFCD-E316-40EA-B62E-F0A1F798222E}"/>
    <cellStyle name="Comma 42 2 3 3 2 4 2" xfId="22239" xr:uid="{5A94B190-744D-4BB2-A63A-F747CF87DCEB}"/>
    <cellStyle name="Comma 42 2 3 3 2 5" xfId="22244" xr:uid="{93DFEEE8-26B6-4CE4-BB56-5A93D7443B4F}"/>
    <cellStyle name="Comma 42 2 3 3 3" xfId="26924" xr:uid="{D4315958-DF9A-4868-8117-C5307CE0D4A6}"/>
    <cellStyle name="Comma 42 2 3 3 3 2" xfId="22274" xr:uid="{CFA4F8AB-2C00-45A7-A58A-F63723FAC69F}"/>
    <cellStyle name="Comma 42 2 3 3 3 2 2" xfId="22277" xr:uid="{DAB6EEC8-65B0-4EC7-92D8-60876908EB49}"/>
    <cellStyle name="Comma 42 2 3 3 3 2 2 2" xfId="22280" xr:uid="{72A4E66C-89AB-4298-B8DC-9F57276247F4}"/>
    <cellStyle name="Comma 42 2 3 3 3 2 3" xfId="22284" xr:uid="{AE950815-A504-4059-A8DF-696D8499CEF2}"/>
    <cellStyle name="Comma 42 2 3 3 3 3" xfId="22287" xr:uid="{F64C90CC-C9E1-4591-B16C-17D9A8ACEC6A}"/>
    <cellStyle name="Comma 42 2 3 3 3 3 2" xfId="22290" xr:uid="{1C059ACF-F880-4734-9C2A-7AFA8DA5CDAA}"/>
    <cellStyle name="Comma 42 2 3 3 3 4" xfId="22294" xr:uid="{8CFFB217-7D73-4E19-8B0D-BFBAACD3437B}"/>
    <cellStyle name="Comma 42 2 3 3 4" xfId="26932" xr:uid="{A810149D-4CDB-4107-8EBB-DCE6085339CA}"/>
    <cellStyle name="Comma 42 2 3 3 4 2" xfId="22312" xr:uid="{E39E2E39-1BF1-4D4D-A0B6-EF2B8E5764FE}"/>
    <cellStyle name="Comma 42 2 3 3 4 2 2" xfId="22315" xr:uid="{FF11E710-D838-4ACD-B177-2B8F1F03FD5F}"/>
    <cellStyle name="Comma 42 2 3 3 4 3" xfId="22318" xr:uid="{EA5E370A-8616-4138-B989-499B1C6E168C}"/>
    <cellStyle name="Comma 42 2 3 3 5" xfId="26937" xr:uid="{C8E55B92-9C62-447E-AB74-B28F92EAA751}"/>
    <cellStyle name="Comma 42 2 3 3 5 2" xfId="22326" xr:uid="{B480B918-90F6-4F5F-A5DC-EB95CC79FE50}"/>
    <cellStyle name="Comma 42 2 3 3 6" xfId="26941" xr:uid="{255D7B22-4869-4167-B57C-C3A4163FA61E}"/>
    <cellStyle name="Comma 42 2 3 3 7" xfId="26948" xr:uid="{57887A6B-96EE-4C07-B08C-F6B28864E4B1}"/>
    <cellStyle name="Comma 42 2 3 4" xfId="26951" xr:uid="{B3E6FBA4-0096-44F2-BF7C-3B12BACC6A65}"/>
    <cellStyle name="Comma 42 2 3 4 2" xfId="26953" xr:uid="{CA4511BA-15BD-4B9F-98C4-933628667EED}"/>
    <cellStyle name="Comma 42 2 3 4 2 2" xfId="22364" xr:uid="{5C2457B3-3DF2-4350-9BD9-F351EA71E2E3}"/>
    <cellStyle name="Comma 42 2 3 4 2 2 2" xfId="22367" xr:uid="{CB465481-29B1-4B03-93E4-4A92F6D878D5}"/>
    <cellStyle name="Comma 42 2 3 4 2 2 2 2" xfId="4338" xr:uid="{C9E998B5-04E0-4A4C-AE15-5DA4B62A1D2B}"/>
    <cellStyle name="Comma 42 2 3 4 2 2 3" xfId="22370" xr:uid="{564636AA-4BDD-4CED-B569-ACAB554A2869}"/>
    <cellStyle name="Comma 42 2 3 4 2 3" xfId="22373" xr:uid="{8448350A-FD0E-4011-8B20-D8718DADF2A5}"/>
    <cellStyle name="Comma 42 2 3 4 2 3 2" xfId="22376" xr:uid="{CEE127A8-ABCE-446F-AEFC-FB019B9B5D56}"/>
    <cellStyle name="Comma 42 2 3 4 2 4" xfId="5015" xr:uid="{AE3FABA5-30F3-48E9-A07F-33E499A62A73}"/>
    <cellStyle name="Comma 42 2 3 4 3" xfId="13229" xr:uid="{C45030A4-E57D-4B39-8BE7-5580A857C7DE}"/>
    <cellStyle name="Comma 42 2 3 4 3 2" xfId="13232" xr:uid="{B5E4258A-222E-4184-B916-A750046D04B1}"/>
    <cellStyle name="Comma 42 2 3 4 3 2 2" xfId="13236" xr:uid="{278719DA-A479-4345-BD38-9C4DFDB99DD8}"/>
    <cellStyle name="Comma 42 2 3 4 3 3" xfId="13249" xr:uid="{537048F1-B88C-4775-A588-B530624BC52F}"/>
    <cellStyle name="Comma 42 2 3 4 4" xfId="13260" xr:uid="{72DC4A20-2A52-4349-BA27-869A68ADD020}"/>
    <cellStyle name="Comma 42 2 3 4 4 2" xfId="13263" xr:uid="{9C9E70ED-E5E5-4A73-89DA-4A9CB4F232B3}"/>
    <cellStyle name="Comma 42 2 3 4 5" xfId="13280" xr:uid="{72E23455-6B4B-464F-9D71-12EFC277798F}"/>
    <cellStyle name="Comma 42 2 3 5" xfId="26957" xr:uid="{416A1A2D-0643-4CBA-8711-56D8AB0B843C}"/>
    <cellStyle name="Comma 42 2 3 5 2" xfId="26959" xr:uid="{7D1999B4-A020-44B9-ADC6-4335B06C5A25}"/>
    <cellStyle name="Comma 42 2 3 5 2 2" xfId="22415" xr:uid="{3EC1967B-BE66-4380-B5EE-087B64A8844A}"/>
    <cellStyle name="Comma 42 2 3 5 2 2 2" xfId="3725" xr:uid="{E8215BD1-9A67-4AF8-A12A-A79A78D9608B}"/>
    <cellStyle name="Comma 42 2 3 5 2 3" xfId="22418" xr:uid="{B6D48E25-788A-4423-A4E2-0E1A650C8B81}"/>
    <cellStyle name="Comma 42 2 3 5 3" xfId="13299" xr:uid="{F3125C71-157E-47EA-9355-66118058817E}"/>
    <cellStyle name="Comma 42 2 3 5 3 2" xfId="13302" xr:uid="{550B4754-3D82-413C-A9BC-7FE65B5C23BC}"/>
    <cellStyle name="Comma 42 2 3 5 4" xfId="13314" xr:uid="{8F35CD0E-BFD7-4BAF-A56D-184B8854A444}"/>
    <cellStyle name="Comma 42 2 3 6" xfId="26964" xr:uid="{8F685CB6-87BE-479F-A8EF-BBDA5E3E28B7}"/>
    <cellStyle name="Comma 42 2 3 6 2" xfId="26966" xr:uid="{5B6B65CE-9049-424F-AE67-F255748A289E}"/>
    <cellStyle name="Comma 42 2 3 6 2 2" xfId="22435" xr:uid="{8CA77251-CE1B-4C66-B57D-DEE42F351869}"/>
    <cellStyle name="Comma 42 2 3 6 3" xfId="13333" xr:uid="{F0C95227-D96D-478A-8B08-0C2BE051DEDA}"/>
    <cellStyle name="Comma 42 2 3 7" xfId="26969" xr:uid="{7BFC55E2-68A7-42E3-BFEE-2DA9F360CFC6}"/>
    <cellStyle name="Comma 42 2 3 7 2" xfId="26971" xr:uid="{D63E5E6D-EC93-4710-9195-E8E63995727C}"/>
    <cellStyle name="Comma 42 2 3 8" xfId="26974" xr:uid="{F672E47C-8FCF-4C15-B994-8873D6F382C5}"/>
    <cellStyle name="Comma 42 2 3 9" xfId="26978" xr:uid="{8558B17A-E26D-41F1-B735-90ECE807493E}"/>
    <cellStyle name="Comma 42 2 4" xfId="26981" xr:uid="{BA5712F2-8AFD-451F-A0EF-11B3A61F0E1F}"/>
    <cellStyle name="Comma 42 2 4 2" xfId="26984" xr:uid="{7C2980E6-6448-49F5-AB44-8A617EC56A7A}"/>
    <cellStyle name="Comma 42 2 4 2 2" xfId="26986" xr:uid="{B82A8031-4D4D-4A7D-9AB3-BE041761769C}"/>
    <cellStyle name="Comma 42 2 4 2 2 2" xfId="26988" xr:uid="{27EC87FE-F4E8-48C5-A0FA-78CBA0C6CECD}"/>
    <cellStyle name="Comma 42 2 4 2 2 2 2" xfId="26990" xr:uid="{B0EED9D2-7994-4A49-8D9C-91E2390054B2}"/>
    <cellStyle name="Comma 42 2 4 2 2 2 2 2" xfId="26992" xr:uid="{38093862-616D-4C13-8A56-D982025830C3}"/>
    <cellStyle name="Comma 42 2 4 2 2 2 2 2 2" xfId="26995" xr:uid="{E9330809-EAD8-4419-9D34-F455AB67A516}"/>
    <cellStyle name="Comma 42 2 4 2 2 2 2 3" xfId="26999" xr:uid="{973BC5B7-A562-4334-91A4-BAF363F50DE5}"/>
    <cellStyle name="Comma 42 2 4 2 2 2 3" xfId="3533" xr:uid="{368543B1-B176-4E13-9C19-498FEB3DCACA}"/>
    <cellStyle name="Comma 42 2 4 2 2 2 3 2" xfId="3538" xr:uid="{FA166CDA-B21E-49BD-8BEF-22B74C1C48F1}"/>
    <cellStyle name="Comma 42 2 4 2 2 2 4" xfId="3544" xr:uid="{3FCCB3D0-99E7-42CD-A7C4-0F5ACF09C1FE}"/>
    <cellStyle name="Comma 42 2 4 2 2 3" xfId="27009" xr:uid="{FB6C1048-3B11-4565-8D5C-4D0190BDF40B}"/>
    <cellStyle name="Comma 42 2 4 2 2 3 2" xfId="27011" xr:uid="{13A4D986-2876-4157-A837-A16669453DAC}"/>
    <cellStyle name="Comma 42 2 4 2 2 3 2 2" xfId="27013" xr:uid="{5B2179DD-F347-48CC-A985-D0A8C007E013}"/>
    <cellStyle name="Comma 42 2 4 2 2 3 3" xfId="3551" xr:uid="{050FB385-812F-4080-9B74-955966117340}"/>
    <cellStyle name="Comma 42 2 4 2 2 4" xfId="27021" xr:uid="{21270880-A8BC-44AD-85B7-B31F41F8D870}"/>
    <cellStyle name="Comma 42 2 4 2 2 4 2" xfId="27023" xr:uid="{A88E8062-39FD-441F-A538-4CD88D71E65B}"/>
    <cellStyle name="Comma 42 2 4 2 2 5" xfId="20016" xr:uid="{BEAE3876-D68D-4C9C-B0F5-49DA3CAFB3C9}"/>
    <cellStyle name="Comma 42 2 4 2 3" xfId="27030" xr:uid="{11B5E99A-722D-41B6-A4CE-A867B30A231B}"/>
    <cellStyle name="Comma 42 2 4 2 3 2" xfId="27032" xr:uid="{1BAB03F2-0C97-4DB2-BDD2-4900063B3502}"/>
    <cellStyle name="Comma 42 2 4 2 3 2 2" xfId="27034" xr:uid="{F4654478-E160-41FC-A5C3-D5A8599421CB}"/>
    <cellStyle name="Comma 42 2 4 2 3 2 2 2" xfId="13668" xr:uid="{141FBF56-75D1-4666-AD89-E72052401644}"/>
    <cellStyle name="Comma 42 2 4 2 3 2 3" xfId="3561" xr:uid="{6B31DEE5-3F3D-41C8-9EFE-28C7CC502584}"/>
    <cellStyle name="Comma 42 2 4 2 3 3" xfId="27043" xr:uid="{A8E289BA-BAC6-46DF-AFC0-435B944EE55D}"/>
    <cellStyle name="Comma 42 2 4 2 3 3 2" xfId="27045" xr:uid="{86479E22-1EA6-437D-B130-8D1A45A741A3}"/>
    <cellStyle name="Comma 42 2 4 2 3 4" xfId="27050" xr:uid="{8E403422-8849-4A14-8CA2-A2D296250317}"/>
    <cellStyle name="Comma 42 2 4 2 4" xfId="27054" xr:uid="{DE82F635-F195-4B1F-A360-54D16C64C3E9}"/>
    <cellStyle name="Comma 42 2 4 2 4 2" xfId="27056" xr:uid="{DFAC0022-8A69-48F9-8642-AF208ACDAB7E}"/>
    <cellStyle name="Comma 42 2 4 2 4 2 2" xfId="11054" xr:uid="{C1FA29C6-23B7-40D6-9773-037122BFDB88}"/>
    <cellStyle name="Comma 42 2 4 2 4 3" xfId="27058" xr:uid="{3D16375C-51B0-412E-863C-DBFA97D1484B}"/>
    <cellStyle name="Comma 42 2 4 2 5" xfId="27061" xr:uid="{4C14829F-4004-4A3B-A245-759862274FC0}"/>
    <cellStyle name="Comma 42 2 4 2 5 2" xfId="27063" xr:uid="{D5389C6D-6E65-461B-8C5F-C134E51B0BBA}"/>
    <cellStyle name="Comma 42 2 4 2 6" xfId="25670" xr:uid="{1AFC9CCA-AC04-451B-A879-5EBE42537B7F}"/>
    <cellStyle name="Comma 42 2 4 2 7" xfId="25675" xr:uid="{C073D595-71DC-40E6-8BC2-B666C9220E13}"/>
    <cellStyle name="Comma 42 2 4 3" xfId="27067" xr:uid="{B0DA4DA1-D803-4BD8-923A-05D9B95BC15D}"/>
    <cellStyle name="Comma 42 2 4 3 2" xfId="27069" xr:uid="{A186B468-302D-4AAB-BBF7-C05E481C32F8}"/>
    <cellStyle name="Comma 42 2 4 3 2 2" xfId="22500" xr:uid="{372E6C94-713A-442D-B338-CEA35B324285}"/>
    <cellStyle name="Comma 42 2 4 3 2 2 2" xfId="22503" xr:uid="{6366C7A3-864B-416A-9BDE-1442BE7136F9}"/>
    <cellStyle name="Comma 42 2 4 3 2 2 2 2" xfId="22506" xr:uid="{4BD9E49E-1DFA-420C-AA11-6553C3EB80F7}"/>
    <cellStyle name="Comma 42 2 4 3 2 2 3" xfId="3575" xr:uid="{57714630-5896-4851-8AAB-1CD13E2DB22E}"/>
    <cellStyle name="Comma 42 2 4 3 2 3" xfId="22509" xr:uid="{D3E334AE-C78D-466A-99B9-5548E9B6FDED}"/>
    <cellStyle name="Comma 42 2 4 3 2 3 2" xfId="22512" xr:uid="{E0A3451D-F5A7-4E06-86EC-82121FD7B9B8}"/>
    <cellStyle name="Comma 42 2 4 3 2 4" xfId="22515" xr:uid="{FF21FB9D-55DF-42DA-A9E5-7059168075A7}"/>
    <cellStyle name="Comma 42 2 4 3 3" xfId="27078" xr:uid="{625D4721-2E7C-4FDD-BB61-8928CB3E00A5}"/>
    <cellStyle name="Comma 42 2 4 3 3 2" xfId="22536" xr:uid="{5379381D-0E17-4463-A798-AD8722452344}"/>
    <cellStyle name="Comma 42 2 4 3 3 2 2" xfId="19074" xr:uid="{96A3D727-5F2D-4EE9-AE98-59EECADCA77D}"/>
    <cellStyle name="Comma 42 2 4 3 3 3" xfId="22539" xr:uid="{C8AC2009-B072-4A91-B3B3-C2FCF6C719FB}"/>
    <cellStyle name="Comma 42 2 4 3 4" xfId="27082" xr:uid="{52885049-E28B-4EE7-BCF0-C3F4B94DC4CC}"/>
    <cellStyle name="Comma 42 2 4 3 4 2" xfId="22549" xr:uid="{4461651C-53EC-4D2A-8B95-2E8BD2056E04}"/>
    <cellStyle name="Comma 42 2 4 3 5" xfId="27085" xr:uid="{DB2F83CB-A449-4F1F-B8BF-2FDE2244B3A4}"/>
    <cellStyle name="Comma 42 2 4 4" xfId="27091" xr:uid="{CDCA92EB-118F-416A-ADF9-8A903FBCDAB3}"/>
    <cellStyle name="Comma 42 2 4 4 2" xfId="27094" xr:uid="{860B945D-CC93-40CA-9294-BEF860C42E23}"/>
    <cellStyle name="Comma 42 2 4 4 2 2" xfId="22587" xr:uid="{D85A5865-8E67-408A-87F8-B76A7865D5B1}"/>
    <cellStyle name="Comma 42 2 4 4 2 2 2" xfId="22590" xr:uid="{75BE207B-FE8B-471F-B600-5545FF7C35EC}"/>
    <cellStyle name="Comma 42 2 4 4 2 3" xfId="22593" xr:uid="{19DA01D2-0ABF-464F-B9F6-679C66A96870}"/>
    <cellStyle name="Comma 42 2 4 4 3" xfId="13364" xr:uid="{F67C32C0-CBEE-4D33-9852-07ABD759BBFE}"/>
    <cellStyle name="Comma 42 2 4 4 3 2" xfId="13367" xr:uid="{AAFEE251-FEE7-4BC9-9798-491579F647E7}"/>
    <cellStyle name="Comma 42 2 4 4 4" xfId="13382" xr:uid="{8051AF6E-FCFB-41FD-BEB3-458DD1817AB8}"/>
    <cellStyle name="Comma 42 2 4 5" xfId="27101" xr:uid="{67419724-4732-42C1-96A5-0CB541E85402}"/>
    <cellStyle name="Comma 42 2 4 5 2" xfId="27104" xr:uid="{E0D8FA9D-9C9A-4EAE-B7C3-EE7C9496AE28}"/>
    <cellStyle name="Comma 42 2 4 5 2 2" xfId="22625" xr:uid="{073641AF-F6F5-4B15-B060-F25E52A9F7E8}"/>
    <cellStyle name="Comma 42 2 4 5 3" xfId="13400" xr:uid="{9373D534-F73A-4FF5-9A49-889E48110CDF}"/>
    <cellStyle name="Comma 42 2 4 6" xfId="27109" xr:uid="{AEAAB276-7853-4403-8987-1E5FDFA060FF}"/>
    <cellStyle name="Comma 42 2 4 6 2" xfId="27111" xr:uid="{C8BB6324-9A5F-44C8-BA1B-38542CDE545A}"/>
    <cellStyle name="Comma 42 2 4 7" xfId="27114" xr:uid="{17A3402C-DF90-4FDF-BEAD-B1397ECA1964}"/>
    <cellStyle name="Comma 42 2 4 8" xfId="33" xr:uid="{FEC57B21-AEE7-464F-B6E5-1A42167B84C4}"/>
    <cellStyle name="Comma 42 2 5" xfId="9212" xr:uid="{BD0607CC-F30D-4BA6-82B8-DCC91B4A9119}"/>
    <cellStyle name="Comma 42 2 5 2" xfId="9215" xr:uid="{8AE90F3C-B452-42AA-BC72-9F1DF21514AF}"/>
    <cellStyle name="Comma 42 2 5 2 2" xfId="27122" xr:uid="{77F5FFC1-043D-4E78-AE77-195F0EA07F0D}"/>
    <cellStyle name="Comma 42 2 5 2 2 2" xfId="27129" xr:uid="{60A5933B-4EBA-4356-B787-D67DFFCA9A43}"/>
    <cellStyle name="Comma 42 2 5 2 2 2 2" xfId="27135" xr:uid="{BE1EFB15-0CD5-4CB8-862A-BAD67E7ECA8D}"/>
    <cellStyle name="Comma 42 2 5 2 2 2 2 2" xfId="27141" xr:uid="{2219E41E-B3B3-4D2E-85CA-8F5384661A9E}"/>
    <cellStyle name="Comma 42 2 5 2 2 2 3" xfId="4021" xr:uid="{4B9625DE-8E5D-4F36-A6AC-131CA4324BD0}"/>
    <cellStyle name="Comma 42 2 5 2 2 3" xfId="27151" xr:uid="{60577AB1-D41B-44E8-A911-BBD683C4EBEF}"/>
    <cellStyle name="Comma 42 2 5 2 2 3 2" xfId="19529" xr:uid="{1FA03F62-4C7D-4E34-A081-ED8C58948A7E}"/>
    <cellStyle name="Comma 42 2 5 2 2 4" xfId="27160" xr:uid="{BEF6C863-7EA9-4634-97FE-511A75214418}"/>
    <cellStyle name="Comma 42 2 5 2 3" xfId="27167" xr:uid="{B01248D1-357F-4BE5-8AA8-D0F50C27F412}"/>
    <cellStyle name="Comma 42 2 5 2 3 2" xfId="27173" xr:uid="{7613DAE9-DC96-4C02-B526-435F887FED0C}"/>
    <cellStyle name="Comma 42 2 5 2 3 2 2" xfId="27177" xr:uid="{97A72861-772F-4B3B-9382-E4B01F850A67}"/>
    <cellStyle name="Comma 42 2 5 2 3 3" xfId="27183" xr:uid="{047A80E9-7FA1-4D97-AA20-CAC2330DD8E9}"/>
    <cellStyle name="Comma 42 2 5 2 4" xfId="27189" xr:uid="{733471BA-5C15-48C6-988A-7BC3BE911D6C}"/>
    <cellStyle name="Comma 42 2 5 2 4 2" xfId="27195" xr:uid="{7FCA02EB-D402-4543-B0F2-BA76ABE47823}"/>
    <cellStyle name="Comma 42 2 5 2 5" xfId="27200" xr:uid="{4B13FD2F-0106-4871-A45A-43C722033435}"/>
    <cellStyle name="Comma 42 2 5 3" xfId="27203" xr:uid="{1F46F732-01DC-4480-BFF9-3BF09CBB2DF9}"/>
    <cellStyle name="Comma 42 2 5 3 2" xfId="27207" xr:uid="{C6F9B6C4-5C81-4EA4-8551-49C763073870}"/>
    <cellStyle name="Comma 42 2 5 3 2 2" xfId="22674" xr:uid="{2AB022E6-C3CD-4834-82C6-4A9BE83BF8B5}"/>
    <cellStyle name="Comma 42 2 5 3 2 2 2" xfId="22679" xr:uid="{9B6E9754-DC97-4ECA-B48D-78C2156306B8}"/>
    <cellStyle name="Comma 42 2 5 3 2 3" xfId="21103" xr:uid="{8F0320A7-E853-4BE2-A2E8-C7AF0B95A8FA}"/>
    <cellStyle name="Comma 42 2 5 3 3" xfId="27215" xr:uid="{CACA8435-493B-4635-9109-98A43FADFC3F}"/>
    <cellStyle name="Comma 42 2 5 3 3 2" xfId="22694" xr:uid="{45CE4E24-ECB4-46E1-8E67-BF2F7F8D8D12}"/>
    <cellStyle name="Comma 42 2 5 3 4" xfId="27221" xr:uid="{2A455FC4-9A28-435B-8DE4-E7824C2D5EB6}"/>
    <cellStyle name="Comma 42 2 5 4" xfId="27228" xr:uid="{8D72F58F-8B8A-42F3-BE8D-2CF383B356A6}"/>
    <cellStyle name="Comma 42 2 5 4 2" xfId="27233" xr:uid="{71EEE664-3E9A-4016-B458-B3FFC355780E}"/>
    <cellStyle name="Comma 42 2 5 4 2 2" xfId="22716" xr:uid="{419F76A3-662B-47FD-A180-418CB3DA1F4E}"/>
    <cellStyle name="Comma 42 2 5 4 3" xfId="13440" xr:uid="{6A9AF4B5-5162-47FC-B6EF-377B70DAC857}"/>
    <cellStyle name="Comma 42 2 5 5" xfId="27237" xr:uid="{5ABD72AD-7001-4FFD-97A9-4F6EF7007469}"/>
    <cellStyle name="Comma 42 2 5 5 2" xfId="27241" xr:uid="{C8CDD90D-4339-469D-8C57-DA5571CC29BE}"/>
    <cellStyle name="Comma 42 2 5 6" xfId="27244" xr:uid="{0C263168-7296-4009-9A36-D20CCEA8D972}"/>
    <cellStyle name="Comma 42 2 5 7" xfId="27247" xr:uid="{0FCF873B-E417-4AD4-8ED0-A05EFBF9AED0}"/>
    <cellStyle name="Comma 42 2 6" xfId="9219" xr:uid="{BCDFE0D2-B82B-4739-935B-167988BE517A}"/>
    <cellStyle name="Comma 42 2 6 2" xfId="27251" xr:uid="{254AB450-4222-4903-A88B-81CF50E3F147}"/>
    <cellStyle name="Comma 42 2 6 2 2" xfId="27255" xr:uid="{18696949-AED4-4082-B364-B97B3EB21425}"/>
    <cellStyle name="Comma 42 2 6 2 2 2" xfId="27259" xr:uid="{5C99496F-4B4F-4F32-B55B-851DB2759CE9}"/>
    <cellStyle name="Comma 42 2 6 2 2 2 2" xfId="27263" xr:uid="{2DE85C0F-8882-4CBA-9C49-06AE0D7CC318}"/>
    <cellStyle name="Comma 42 2 6 2 2 3" xfId="27271" xr:uid="{3F5A717F-BF48-40D8-A9EC-D348CCD92ABB}"/>
    <cellStyle name="Comma 42 2 6 2 3" xfId="27277" xr:uid="{362EDE75-5818-42D6-8A65-C5E0FBE865E8}"/>
    <cellStyle name="Comma 42 2 6 2 3 2" xfId="27281" xr:uid="{DCC44235-D1BA-4E04-B93F-F368E6406391}"/>
    <cellStyle name="Comma 42 2 6 2 4" xfId="27289" xr:uid="{6F5B1767-3A0E-41ED-9F8F-2AE4E166BFB1}"/>
    <cellStyle name="Comma 42 2 6 3" xfId="27294" xr:uid="{18E4970B-8731-4F5D-A79E-750B186E3B6C}"/>
    <cellStyle name="Comma 42 2 6 3 2" xfId="27298" xr:uid="{EC135379-5AF8-4747-B0FA-6E9DC018F286}"/>
    <cellStyle name="Comma 42 2 6 3 2 2" xfId="22766" xr:uid="{4A852514-77E0-4CCD-8C3E-4D1CE7EE985D}"/>
    <cellStyle name="Comma 42 2 6 3 3" xfId="27310" xr:uid="{892B2242-C134-4D71-97EE-21D57ECBE0E2}"/>
    <cellStyle name="Comma 42 2 6 4" xfId="27320" xr:uid="{E1BD503C-718F-4347-B8CD-BB7B2A8856F0}"/>
    <cellStyle name="Comma 42 2 6 4 2" xfId="27325" xr:uid="{7BCD41DC-C11A-4757-BF40-F3692DFE73C4}"/>
    <cellStyle name="Comma 42 2 6 5" xfId="27330" xr:uid="{E6BA9D38-5AEE-47B2-951F-DEAB1419482B}"/>
    <cellStyle name="Comma 42 2 7" xfId="27337" xr:uid="{C597689A-6B95-4941-9670-8F63DA626AAB}"/>
    <cellStyle name="Comma 42 2 7 2" xfId="27339" xr:uid="{F2C00D1A-E661-460C-874B-6F55E44FC165}"/>
    <cellStyle name="Comma 42 2 7 2 2" xfId="27343" xr:uid="{99FB27D1-4AE8-4850-A8C0-85DAAD1ABCEB}"/>
    <cellStyle name="Comma 42 2 7 2 2 2" xfId="24308" xr:uid="{C8F3B77F-E873-4640-8707-3B455C4338CB}"/>
    <cellStyle name="Comma 42 2 7 2 3" xfId="27351" xr:uid="{E4463E8D-A541-4E12-9E80-AF215DC73629}"/>
    <cellStyle name="Comma 42 2 7 3" xfId="27356" xr:uid="{AB1F709B-5B2E-4D04-8523-5A62FF8A2EA6}"/>
    <cellStyle name="Comma 42 2 7 3 2" xfId="27360" xr:uid="{61BD79EF-05C9-4C7C-A7E3-A71D8B05D371}"/>
    <cellStyle name="Comma 42 2 7 4" xfId="27367" xr:uid="{FEAE3C05-F2D3-4F82-9717-66ECA0DC3B4B}"/>
    <cellStyle name="Comma 42 2 8" xfId="27373" xr:uid="{9EC73996-D653-421F-A43A-633EE629D7A9}"/>
    <cellStyle name="Comma 42 2 8 2" xfId="18723" xr:uid="{866254C6-AF91-4524-BA4E-47FBE66BD477}"/>
    <cellStyle name="Comma 42 2 8 2 2" xfId="27377" xr:uid="{3DD8AF8E-7E61-433D-835C-059AC53325EB}"/>
    <cellStyle name="Comma 42 2 8 3" xfId="7357" xr:uid="{DFA5E20A-800D-44A4-9DF9-0B53FC5D4C46}"/>
    <cellStyle name="Comma 42 2 9" xfId="27384" xr:uid="{22982EFA-981D-4BF1-8EF1-C55F32B2D48C}"/>
    <cellStyle name="Comma 42 2 9 2" xfId="18777" xr:uid="{B609A53E-8C72-46C9-A48E-A6BE1E70AA35}"/>
    <cellStyle name="Comma 42 3" xfId="20600" xr:uid="{38B5F2C6-404F-47EF-8959-A3CD568AD32E}"/>
    <cellStyle name="Comma 42 3 10" xfId="4450" xr:uid="{F14BBF80-33FF-43FD-8F38-958733C99314}"/>
    <cellStyle name="Comma 42 3 11" xfId="27390" xr:uid="{A85C1BCC-6C07-4EA3-966D-C70A9C707537}"/>
    <cellStyle name="Comma 42 3 2" xfId="20603" xr:uid="{9A02E60E-1DEA-47A6-8180-F7AD3BBE1301}"/>
    <cellStyle name="Comma 42 3 2 2" xfId="8803" xr:uid="{81C4B8EA-3969-45E9-85E5-4D0CFD842210}"/>
    <cellStyle name="Comma 42 3 2 2 2" xfId="25452" xr:uid="{D58C241B-D3FD-48A3-87E4-5EB469F473DC}"/>
    <cellStyle name="Comma 42 3 2 2 2 2" xfId="27395" xr:uid="{BEB6D42B-2AC7-4E66-8341-3B4D8754BFBC}"/>
    <cellStyle name="Comma 42 3 2 2 2 2 2" xfId="27398" xr:uid="{35562AFE-8915-4226-AA5E-C63511D225EC}"/>
    <cellStyle name="Comma 42 3 2 2 2 2 2 2" xfId="27400" xr:uid="{82136018-4F00-4696-8796-D799EEF39BED}"/>
    <cellStyle name="Comma 42 3 2 2 2 2 2 2 2" xfId="1587" xr:uid="{93FBA995-4D1B-4F15-B3A7-6EC25EC00181}"/>
    <cellStyle name="Comma 42 3 2 2 2 2 2 2 2 2" xfId="532" xr:uid="{03FBE5CC-1F9A-4F89-A541-F21B08DD8767}"/>
    <cellStyle name="Comma 42 3 2 2 2 2 2 2 3" xfId="1474" xr:uid="{245B779F-398C-4B84-8242-B04E5036F3B1}"/>
    <cellStyle name="Comma 42 3 2 2 2 2 2 3" xfId="9614" xr:uid="{A49D5371-67A3-4F2D-B889-1E902DC2A8F4}"/>
    <cellStyle name="Comma 42 3 2 2 2 2 2 3 2" xfId="4960" xr:uid="{BB7DC0E3-13B5-46AF-BD35-D3BD2F668FB4}"/>
    <cellStyle name="Comma 42 3 2 2 2 2 2 4" xfId="27416" xr:uid="{F345A735-E8ED-4A7F-B158-4D98E8800B25}"/>
    <cellStyle name="Comma 42 3 2 2 2 2 3" xfId="26435" xr:uid="{8CA61946-ACB6-42DD-AC37-E3A7036F51A0}"/>
    <cellStyle name="Comma 42 3 2 2 2 2 3 2" xfId="26440" xr:uid="{D58026E4-CA06-438B-BCD9-ED16C4287289}"/>
    <cellStyle name="Comma 42 3 2 2 2 2 3 2 2" xfId="1614" xr:uid="{DE1EB784-DE48-4D2E-B586-FFD8AFBCAA5F}"/>
    <cellStyle name="Comma 42 3 2 2 2 2 3 3" xfId="26443" xr:uid="{A1FA3C99-0780-47E9-88C9-3494814576AB}"/>
    <cellStyle name="Comma 42 3 2 2 2 2 4" xfId="23945" xr:uid="{99E33230-4838-45C1-9915-727ABC3A999E}"/>
    <cellStyle name="Comma 42 3 2 2 2 2 4 2" xfId="23949" xr:uid="{4054E416-77C3-4AEB-8C97-223DEB277265}"/>
    <cellStyle name="Comma 42 3 2 2 2 2 5" xfId="23955" xr:uid="{0AD84D94-D7DF-4509-8124-97FFC2D754A2}"/>
    <cellStyle name="Comma 42 3 2 2 2 3" xfId="27435" xr:uid="{8DD3F8BE-D3E1-4AC2-AEEF-19A3FE101734}"/>
    <cellStyle name="Comma 42 3 2 2 2 3 2" xfId="13980" xr:uid="{60DB7FC9-9851-4116-B6E6-A4BDC3B300B1}"/>
    <cellStyle name="Comma 42 3 2 2 2 3 2 2" xfId="13986" xr:uid="{ABE4BA88-3941-4E89-BA52-16F5DA234853}"/>
    <cellStyle name="Comma 42 3 2 2 2 3 2 2 2" xfId="4345" xr:uid="{31625BB4-C3D7-4E46-A7A4-A492C6E6A768}"/>
    <cellStyle name="Comma 42 3 2 2 2 3 2 3" xfId="27438" xr:uid="{8E3D4B67-32CD-4010-9069-EC4B0B3B33BE}"/>
    <cellStyle name="Comma 42 3 2 2 2 3 3" xfId="13991" xr:uid="{DFE67B9F-8A76-4023-8812-DABBF350A3B9}"/>
    <cellStyle name="Comma 42 3 2 2 2 3 3 2" xfId="26449" xr:uid="{5B2A78AE-897C-40FC-AB70-EB96F4EC0232}"/>
    <cellStyle name="Comma 42 3 2 2 2 3 4" xfId="23962" xr:uid="{80592A6F-78F8-40B0-B980-B3069F27FF2D}"/>
    <cellStyle name="Comma 42 3 2 2 2 4" xfId="27448" xr:uid="{F7311BF9-094C-47D8-A951-DCFED2CB1D51}"/>
    <cellStyle name="Comma 42 3 2 2 2 4 2" xfId="14012" xr:uid="{64729677-96B3-464C-8631-9C9E9B15CA23}"/>
    <cellStyle name="Comma 42 3 2 2 2 4 2 2" xfId="27450" xr:uid="{0B8CFF15-CBB1-46AB-8BA2-12D6964AEA3A}"/>
    <cellStyle name="Comma 42 3 2 2 2 4 3" xfId="26454" xr:uid="{584AF7B0-4E31-4069-8274-390750234FB1}"/>
    <cellStyle name="Comma 42 3 2 2 2 5" xfId="27456" xr:uid="{ED7310A4-958E-4080-9CAD-EA3116AD7B26}"/>
    <cellStyle name="Comma 42 3 2 2 2 5 2" xfId="27458" xr:uid="{5E743586-0098-4793-AACC-B7A5605ADCF2}"/>
    <cellStyle name="Comma 42 3 2 2 2 6" xfId="27470" xr:uid="{D330B574-DBC6-45C5-AB75-29B0A8ED118A}"/>
    <cellStyle name="Comma 42 3 2 2 2 7" xfId="27475" xr:uid="{FDAE69A5-83B7-40D7-B542-0FDB47DCEF81}"/>
    <cellStyle name="Comma 42 3 2 2 3" xfId="25456" xr:uid="{A31DDB95-41B5-4C67-BFE6-141712F3BB0A}"/>
    <cellStyle name="Comma 42 3 2 2 3 2" xfId="27478" xr:uid="{86AE7405-5CC1-499E-8B6C-2B4401B1F9C9}"/>
    <cellStyle name="Comma 42 3 2 2 3 2 2" xfId="27480" xr:uid="{CC0F65B4-DDB3-440D-B032-D8221AD40A1D}"/>
    <cellStyle name="Comma 42 3 2 2 3 2 2 2" xfId="27482" xr:uid="{603E0FBE-8B3B-41B3-96F1-D5B87AFC3D45}"/>
    <cellStyle name="Comma 42 3 2 2 3 2 2 2 2" xfId="860" xr:uid="{F48C2A6E-8CDD-426B-91F7-B24CCA89D428}"/>
    <cellStyle name="Comma 42 3 2 2 3 2 2 3" xfId="27487" xr:uid="{35AFBED0-1531-4245-B6F9-BDEECCE2AF52}"/>
    <cellStyle name="Comma 42 3 2 2 3 2 3" xfId="26619" xr:uid="{072ABE7D-39E0-4E1C-82EC-CE776A5FB4ED}"/>
    <cellStyle name="Comma 42 3 2 2 3 2 3 2" xfId="26623" xr:uid="{F895F90B-F352-48C3-9DB9-0E794012AFE6}"/>
    <cellStyle name="Comma 42 3 2 2 3 2 4" xfId="23969" xr:uid="{BBE13E78-A869-4C1D-8FCA-2227900A8CA2}"/>
    <cellStyle name="Comma 42 3 2 2 3 3" xfId="27501" xr:uid="{C117422B-1A8E-4A14-BA30-AA40192388CE}"/>
    <cellStyle name="Comma 42 3 2 2 3 3 2" xfId="14050" xr:uid="{693FFDE6-A85B-4609-B831-12060394B784}"/>
    <cellStyle name="Comma 42 3 2 2 3 3 2 2" xfId="27503" xr:uid="{0F952DCC-72A5-49C0-B388-142639306977}"/>
    <cellStyle name="Comma 42 3 2 2 3 3 3" xfId="26628" xr:uid="{7577FE8E-E646-40BC-BCA7-624F5F2A00CB}"/>
    <cellStyle name="Comma 42 3 2 2 3 4" xfId="27509" xr:uid="{16945C37-732E-4775-969A-56622BB662A9}"/>
    <cellStyle name="Comma 42 3 2 2 3 4 2" xfId="27513" xr:uid="{E75995A9-8A90-4377-A728-D58641E99155}"/>
    <cellStyle name="Comma 42 3 2 2 3 5" xfId="27519" xr:uid="{A0E8BBD7-9410-4F6A-9F03-D431FEE72D60}"/>
    <cellStyle name="Comma 42 3 2 2 4" xfId="27526" xr:uid="{4BB587BD-440E-44A4-9B97-F877A014C0F6}"/>
    <cellStyle name="Comma 42 3 2 2 4 2" xfId="27528" xr:uid="{DFF7D11D-9ABE-4A5E-BB67-9DF4872A3D6C}"/>
    <cellStyle name="Comma 42 3 2 2 4 2 2" xfId="27531" xr:uid="{4B34F2A6-F4BF-4423-8A53-480E2F31B1AB}"/>
    <cellStyle name="Comma 42 3 2 2 4 2 2 2" xfId="27533" xr:uid="{4A78E0BD-F01E-4FA2-B5DA-CC658F877BD7}"/>
    <cellStyle name="Comma 42 3 2 2 4 2 3" xfId="13084" xr:uid="{77707FE3-455F-44B1-A9BF-7D0707538566}"/>
    <cellStyle name="Comma 42 3 2 2 4 3" xfId="27536" xr:uid="{4FEA8328-183D-4F64-9601-9E71DCD60396}"/>
    <cellStyle name="Comma 42 3 2 2 4 3 2" xfId="27539" xr:uid="{E4EF781E-98D5-4D78-941C-D81809734622}"/>
    <cellStyle name="Comma 42 3 2 2 4 4" xfId="27544" xr:uid="{E940353A-C4DC-43A5-9359-7D5330685B6E}"/>
    <cellStyle name="Comma 42 3 2 2 5" xfId="27549" xr:uid="{2100ADF7-4EB5-48C4-98B4-9B9D693D1D2F}"/>
    <cellStyle name="Comma 42 3 2 2 5 2" xfId="27551" xr:uid="{135814FC-E0C1-4870-8A57-C281BC10C4C7}"/>
    <cellStyle name="Comma 42 3 2 2 5 2 2" xfId="27553" xr:uid="{C549554A-DF49-4827-9DB1-0387B01AA1B2}"/>
    <cellStyle name="Comma 42 3 2 2 5 3" xfId="27556" xr:uid="{09008127-AFBB-433C-8A5D-7F0800A84126}"/>
    <cellStyle name="Comma 42 3 2 2 6" xfId="27563" xr:uid="{AFA98C0F-324E-47EA-8F7B-20C34454B366}"/>
    <cellStyle name="Comma 42 3 2 2 6 2" xfId="27566" xr:uid="{DFDEFBB9-04AA-4211-B729-A72C78012D06}"/>
    <cellStyle name="Comma 42 3 2 2 7" xfId="27572" xr:uid="{C6D385D5-473F-459E-95D3-554C21E06114}"/>
    <cellStyle name="Comma 42 3 2 2 8" xfId="24405" xr:uid="{5EA08C12-B6C6-4154-BD5D-ECA4321EA297}"/>
    <cellStyle name="Comma 42 3 2 3" xfId="8808" xr:uid="{33AFA854-D6D4-44B8-B04D-245DBBBDCA9D}"/>
    <cellStyle name="Comma 42 3 2 3 2" xfId="27578" xr:uid="{9FC14170-04F6-4FCA-AA7F-C0CD34178977}"/>
    <cellStyle name="Comma 42 3 2 3 2 2" xfId="27581" xr:uid="{BD615663-9E83-4E33-9E11-74963A076C6A}"/>
    <cellStyle name="Comma 42 3 2 3 2 2 2" xfId="27583" xr:uid="{45E4424F-33BA-4A2C-AE6D-243D4A3D775D}"/>
    <cellStyle name="Comma 42 3 2 3 2 2 2 2" xfId="27585" xr:uid="{18FEA345-D6DA-4D57-BA3C-A8F50C22DBDA}"/>
    <cellStyle name="Comma 42 3 2 3 2 2 2 2 2" xfId="5254" xr:uid="{08C32781-6D01-4F9E-8511-653F473D001E}"/>
    <cellStyle name="Comma 42 3 2 3 2 2 2 3" xfId="27588" xr:uid="{CBAC89A0-48F5-49C1-847F-9641E85A34D6}"/>
    <cellStyle name="Comma 42 3 2 3 2 2 3" xfId="26886" xr:uid="{336DF363-BE4C-4379-A860-283FBDE10E49}"/>
    <cellStyle name="Comma 42 3 2 3 2 2 3 2" xfId="26890" xr:uid="{9F78FBE8-8C99-4533-8450-F3C4208FED94}"/>
    <cellStyle name="Comma 42 3 2 3 2 2 4" xfId="6047" xr:uid="{F4A2C754-65B5-466B-823D-D862D2753702}"/>
    <cellStyle name="Comma 42 3 2 3 2 3" xfId="27597" xr:uid="{DDC09E1E-7B0B-4D92-AFDC-CB2BDBC08F7C}"/>
    <cellStyle name="Comma 42 3 2 3 2 3 2" xfId="15680" xr:uid="{F54D653A-528C-4788-9C02-D8F727EF2B65}"/>
    <cellStyle name="Comma 42 3 2 3 2 3 2 2" xfId="27599" xr:uid="{7AA220E1-62A9-41FA-91E8-8E8011FDEB1C}"/>
    <cellStyle name="Comma 42 3 2 3 2 3 3" xfId="26897" xr:uid="{EDB23F1D-3DDD-46CA-91EF-EDD8609DAA89}"/>
    <cellStyle name="Comma 42 3 2 3 2 4" xfId="24267" xr:uid="{F8BF54B1-6A7B-45E3-86C6-E4D5E65958A9}"/>
    <cellStyle name="Comma 42 3 2 3 2 4 2" xfId="24273" xr:uid="{6D862E8F-5648-4943-9463-6029CD027815}"/>
    <cellStyle name="Comma 42 3 2 3 2 5" xfId="24276" xr:uid="{17CA5E06-982B-48D6-8AE3-348334D1C000}"/>
    <cellStyle name="Comma 42 3 2 3 3" xfId="27616" xr:uid="{AE2A341C-D568-4E1A-B555-4C7429BF3B09}"/>
    <cellStyle name="Comma 42 3 2 3 3 2" xfId="27618" xr:uid="{D82CEC0C-7AC3-4193-A1CC-68B60D406941}"/>
    <cellStyle name="Comma 42 3 2 3 3 2 2" xfId="22330" xr:uid="{74ECBFA5-C766-402D-90E4-3530DCCA4BFD}"/>
    <cellStyle name="Comma 42 3 2 3 3 2 2 2" xfId="15866" xr:uid="{91912FE3-5608-4AE2-A501-294FA62D6766}"/>
    <cellStyle name="Comma 42 3 2 3 3 2 3" xfId="26945" xr:uid="{9FFA3F0A-1112-4CE8-847D-1E1C378163C2}"/>
    <cellStyle name="Comma 42 3 2 3 3 3" xfId="27622" xr:uid="{5064A445-BDB1-414D-9ABB-54F77B1119F6}"/>
    <cellStyle name="Comma 42 3 2 3 3 3 2" xfId="27624" xr:uid="{53A633BD-458D-40E8-B6AD-44A524EB82FF}"/>
    <cellStyle name="Comma 42 3 2 3 3 4" xfId="24280" xr:uid="{D91722B7-8E10-4243-8DBC-12A538476FAC}"/>
    <cellStyle name="Comma 42 3 2 3 4" xfId="27634" xr:uid="{10E5FD76-B4C6-4579-8F73-4565F00DFA0E}"/>
    <cellStyle name="Comma 42 3 2 3 4 2" xfId="27636" xr:uid="{E7617F5D-01EF-4400-8754-06E6D93935D2}"/>
    <cellStyle name="Comma 42 3 2 3 4 2 2" xfId="27638" xr:uid="{74D63263-0970-4244-82B0-140F5C8232C1}"/>
    <cellStyle name="Comma 42 3 2 3 4 3" xfId="27641" xr:uid="{B51292F2-A534-4B47-8F44-0F33BEDC7ADD}"/>
    <cellStyle name="Comma 42 3 2 3 5" xfId="27648" xr:uid="{4626DBE7-B4F6-47F1-9D38-A5E6AFEC3258}"/>
    <cellStyle name="Comma 42 3 2 3 5 2" xfId="27650" xr:uid="{68EACAA3-2964-46C3-8A75-100F5680DEB0}"/>
    <cellStyle name="Comma 42 3 2 3 6" xfId="27655" xr:uid="{75E6CE47-23DF-4AB3-A881-0DBA16C1B193}"/>
    <cellStyle name="Comma 42 3 2 3 7" xfId="27660" xr:uid="{E93755E5-DD66-421F-870C-17F980583639}"/>
    <cellStyle name="Comma 42 3 2 4" xfId="27663" xr:uid="{8CFB5EFB-3541-4D5D-A2C3-04A2BF2C753D}"/>
    <cellStyle name="Comma 42 3 2 4 2" xfId="27666" xr:uid="{9A16E9E4-486F-4D15-81F6-F589CB166D39}"/>
    <cellStyle name="Comma 42 3 2 4 2 2" xfId="27668" xr:uid="{8B1177BB-1876-4F01-A1F6-6779EE8B2AD2}"/>
    <cellStyle name="Comma 42 3 2 4 2 2 2" xfId="23575" xr:uid="{908EB5FD-7055-41EF-A434-194401931B0A}"/>
    <cellStyle name="Comma 42 3 2 4 2 2 2 2" xfId="23579" xr:uid="{8FA0068C-8666-4C9C-8BEF-DE32A30C93B2}"/>
    <cellStyle name="Comma 42 3 2 4 2 2 3" xfId="23584" xr:uid="{3824F672-7FD4-4ED5-B567-7D7048BFF2BC}"/>
    <cellStyle name="Comma 42 3 2 4 2 3" xfId="27672" xr:uid="{C8467FD1-B016-4C91-BD70-6972E45A0EE0}"/>
    <cellStyle name="Comma 42 3 2 4 2 3 2" xfId="23596" xr:uid="{70CA319F-A7A9-41CE-8574-A88544947695}"/>
    <cellStyle name="Comma 42 3 2 4 2 4" xfId="5589" xr:uid="{C618571F-98C7-4941-BA76-7E603A855FC3}"/>
    <cellStyle name="Comma 42 3 2 4 3" xfId="13511" xr:uid="{8A9877A5-50F4-4E58-9E80-70692F307BBC}"/>
    <cellStyle name="Comma 42 3 2 4 3 2" xfId="13515" xr:uid="{976396D9-4BBB-4884-8B3E-3588C7336F99}"/>
    <cellStyle name="Comma 42 3 2 4 3 2 2" xfId="13519" xr:uid="{7E08D821-86D3-46FE-B405-F16E1D3108BE}"/>
    <cellStyle name="Comma 42 3 2 4 3 3" xfId="13544" xr:uid="{2C2BC0E5-2606-41D5-9233-7DB59FE1B889}"/>
    <cellStyle name="Comma 42 3 2 4 4" xfId="13564" xr:uid="{7C257117-E546-4374-B816-25276B30201D}"/>
    <cellStyle name="Comma 42 3 2 4 4 2" xfId="13568" xr:uid="{94BA622D-0F0C-4D58-BAD6-86692052BA19}"/>
    <cellStyle name="Comma 42 3 2 4 5" xfId="13589" xr:uid="{F55339BF-E89D-447F-A0DA-AF8ECA6639E4}"/>
    <cellStyle name="Comma 42 3 2 5" xfId="27679" xr:uid="{4FDE56CA-6722-430E-8702-C12D4E92C157}"/>
    <cellStyle name="Comma 42 3 2 5 2" xfId="27681" xr:uid="{F23F0911-2E41-4578-8022-D5B7924676DE}"/>
    <cellStyle name="Comma 42 3 2 5 2 2" xfId="27684" xr:uid="{1634C488-BE01-4A81-BE01-0B5AEBB4E796}"/>
    <cellStyle name="Comma 42 3 2 5 2 2 2" xfId="4512" xr:uid="{6C091E32-E865-4F6D-8212-F60BA8F888C4}"/>
    <cellStyle name="Comma 42 3 2 5 2 3" xfId="27688" xr:uid="{412920EC-7179-4E28-9CFF-D2EE27E13958}"/>
    <cellStyle name="Comma 42 3 2 5 3" xfId="13615" xr:uid="{B9B5B559-9EC0-44D0-83DD-DA7FABE9DEDB}"/>
    <cellStyle name="Comma 42 3 2 5 3 2" xfId="13618" xr:uid="{32D918B7-4C3B-457A-B762-F7FAEC0686D0}"/>
    <cellStyle name="Comma 42 3 2 5 4" xfId="13643" xr:uid="{85D1B791-8B00-454F-AA95-CE7DCFA6ECC1}"/>
    <cellStyle name="Comma 42 3 2 6" xfId="27694" xr:uid="{8F70A23C-BC20-45F3-BDDA-677471C0B9B8}"/>
    <cellStyle name="Comma 42 3 2 6 2" xfId="27696" xr:uid="{E1D9D7B1-FCFC-45E2-83AD-8D11C737E60B}"/>
    <cellStyle name="Comma 42 3 2 6 2 2" xfId="27698" xr:uid="{2B8C5DE5-ABB4-4E43-AF41-3E0294F36142}"/>
    <cellStyle name="Comma 42 3 2 6 3" xfId="13662" xr:uid="{8EB51407-ACBC-48DD-AE62-091288BDEDCB}"/>
    <cellStyle name="Comma 42 3 2 7" xfId="27701" xr:uid="{B362423E-66D5-4CE1-97DE-90B66174375C}"/>
    <cellStyle name="Comma 42 3 2 7 2" xfId="27703" xr:uid="{8E4337A5-087A-4EBC-A51A-98B9D71E2C3F}"/>
    <cellStyle name="Comma 42 3 2 8" xfId="21797" xr:uid="{50F8B104-4DFE-4A2F-A751-7F7F56A555E9}"/>
    <cellStyle name="Comma 42 3 2 9" xfId="27712" xr:uid="{0EA685AD-3578-4AF7-B93E-A3AE1FAF0332}"/>
    <cellStyle name="Comma 42 3 3" xfId="27714" xr:uid="{BDAB9DEB-1FC6-4CB6-8919-FD8AA1FE4BEC}"/>
    <cellStyle name="Comma 42 3 3 2" xfId="8869" xr:uid="{33483700-FB4F-4277-BC40-6F2BB75ED785}"/>
    <cellStyle name="Comma 42 3 3 2 2" xfId="27717" xr:uid="{EF90F5AA-A329-4D6B-A74D-B024D377C8AE}"/>
    <cellStyle name="Comma 42 3 3 2 2 2" xfId="27720" xr:uid="{7652EE82-E059-4E53-8F1D-98D997A30A0B}"/>
    <cellStyle name="Comma 42 3 3 2 2 2 2" xfId="27722" xr:uid="{663C5937-3F42-45BE-9C84-67A5DA500BC0}"/>
    <cellStyle name="Comma 42 3 3 2 2 2 2 2" xfId="27724" xr:uid="{14EC0898-80CF-47A0-AA47-207DD68D006D}"/>
    <cellStyle name="Comma 42 3 3 2 2 2 2 2 2" xfId="5769" xr:uid="{FC0B97E0-B868-4124-942F-32F54F8E7424}"/>
    <cellStyle name="Comma 42 3 3 2 2 2 2 3" xfId="13194" xr:uid="{3A695096-5DC4-42B1-886A-0CE6863E1918}"/>
    <cellStyle name="Comma 42 3 3 2 2 2 3" xfId="27567" xr:uid="{0E875755-F80E-4CF8-B827-376CA4A6ABF1}"/>
    <cellStyle name="Comma 42 3 3 2 2 2 3 2" xfId="27570" xr:uid="{8469991C-4658-422B-80D3-0E2425897B3F}"/>
    <cellStyle name="Comma 42 3 3 2 2 2 4" xfId="23985" xr:uid="{D2E56D7E-F4FE-4B60-BEE1-72D6AB102BA5}"/>
    <cellStyle name="Comma 42 3 3 2 2 3" xfId="27736" xr:uid="{F3F2BD72-9F3D-45D4-806F-EEAB1B22E8AE}"/>
    <cellStyle name="Comma 42 3 3 2 2 3 2" xfId="27738" xr:uid="{A9FD89C5-9318-40A9-ADE8-E2C294D67C13}"/>
    <cellStyle name="Comma 42 3 3 2 2 3 2 2" xfId="27740" xr:uid="{389E2B9A-3E0E-4549-BCC1-8E78FD0CD6DA}"/>
    <cellStyle name="Comma 42 3 3 2 2 3 3" xfId="27575" xr:uid="{ECC55919-A9D9-4BB6-9597-6C15F2BE5A81}"/>
    <cellStyle name="Comma 42 3 3 2 2 4" xfId="27746" xr:uid="{CF9F6C10-B989-4FF5-B70E-DD887FD40F61}"/>
    <cellStyle name="Comma 42 3 3 2 2 4 2" xfId="6728" xr:uid="{EEA2F410-4F8B-44D7-B8A7-DEF815781B0B}"/>
    <cellStyle name="Comma 42 3 3 2 2 5" xfId="27748" xr:uid="{4990C40F-D099-4AF1-AD99-86959DF728D3}"/>
    <cellStyle name="Comma 42 3 3 2 3" xfId="27757" xr:uid="{60EFC038-B9BD-401C-8756-97C86938CBBF}"/>
    <cellStyle name="Comma 42 3 3 2 3 2" xfId="27759" xr:uid="{866F367A-8360-4F49-BFF6-42DFDAF4E8D1}"/>
    <cellStyle name="Comma 42 3 3 2 3 2 2" xfId="27761" xr:uid="{6AA22B09-AA23-4649-829E-5C4BF1C216CE}"/>
    <cellStyle name="Comma 42 3 3 2 3 2 2 2" xfId="27763" xr:uid="{3B56F45D-D5C8-4E10-BA2D-59E42C0AD188}"/>
    <cellStyle name="Comma 42 3 3 2 3 2 3" xfId="27658" xr:uid="{8E6A7E4D-F1CB-4650-BC62-214279002556}"/>
    <cellStyle name="Comma 42 3 3 2 3 3" xfId="27768" xr:uid="{38EF0432-732D-4D85-B551-19E4B60C71D8}"/>
    <cellStyle name="Comma 42 3 3 2 3 3 2" xfId="27770" xr:uid="{F1B0D17E-2E96-454B-8F18-30D773C3BB20}"/>
    <cellStyle name="Comma 42 3 3 2 3 4" xfId="27773" xr:uid="{846F57CB-E70C-498C-AC8D-16EA626EBCE3}"/>
    <cellStyle name="Comma 42 3 3 2 4" xfId="27777" xr:uid="{7E526953-B23D-491A-98BE-B4669041BC69}"/>
    <cellStyle name="Comma 42 3 3 2 4 2" xfId="22829" xr:uid="{A10020BE-C49B-4566-93D5-946E7B603C16}"/>
    <cellStyle name="Comma 42 3 3 2 4 2 2" xfId="22833" xr:uid="{11BD2812-A99E-4A5A-92F4-D14A58A24431}"/>
    <cellStyle name="Comma 42 3 3 2 4 3" xfId="22840" xr:uid="{1B1BF130-D501-427D-B60F-FAE02E7BC072}"/>
    <cellStyle name="Comma 42 3 3 2 5" xfId="27779" xr:uid="{2F278739-5B11-4D67-BE44-E4D7B37C5BA5}"/>
    <cellStyle name="Comma 42 3 3 2 5 2" xfId="22861" xr:uid="{AD4EC148-92AE-4B67-A13E-0C6488CB02BE}"/>
    <cellStyle name="Comma 42 3 3 2 6" xfId="27781" xr:uid="{BDAEB546-9383-4967-BB57-21FC768EE67F}"/>
    <cellStyle name="Comma 42 3 3 2 7" xfId="27783" xr:uid="{669E542E-9B16-48DC-B7A2-D4EECAE951C3}"/>
    <cellStyle name="Comma 42 3 3 3" xfId="27786" xr:uid="{7DEE6690-9303-4FD0-B13C-D3B219382F89}"/>
    <cellStyle name="Comma 42 3 3 3 2" xfId="27789" xr:uid="{851289D9-E533-4E49-A3E0-E0E713E648B2}"/>
    <cellStyle name="Comma 42 3 3 3 2 2" xfId="22872" xr:uid="{5DF30D88-648D-4431-AFC8-A4FA31E45FF2}"/>
    <cellStyle name="Comma 42 3 3 3 2 2 2" xfId="22875" xr:uid="{A7990271-1BB6-46B5-A54C-FF85B92B7DBE}"/>
    <cellStyle name="Comma 42 3 3 3 2 2 2 2" xfId="22879" xr:uid="{BA2ABCEE-EC02-41D3-86F6-65ADA1DADEF5}"/>
    <cellStyle name="Comma 42 3 3 3 2 2 3" xfId="22884" xr:uid="{382DB21C-A22A-4006-9E53-1F2F32471C28}"/>
    <cellStyle name="Comma 42 3 3 3 2 3" xfId="22888" xr:uid="{FB1737A9-DD3D-40C5-9C21-8EC801724278}"/>
    <cellStyle name="Comma 42 3 3 3 2 3 2" xfId="22891" xr:uid="{D52C2994-8332-4E35-A750-76ACC2509F87}"/>
    <cellStyle name="Comma 42 3 3 3 2 4" xfId="22895" xr:uid="{CCD30365-219E-480F-8641-0C5656685BE0}"/>
    <cellStyle name="Comma 42 3 3 3 3" xfId="27796" xr:uid="{F00CDA23-91D2-4123-8B2F-0CA3C3F3BC0A}"/>
    <cellStyle name="Comma 42 3 3 3 3 2" xfId="22931" xr:uid="{6A7BD261-3889-4784-B537-09DB5CE6DCD7}"/>
    <cellStyle name="Comma 42 3 3 3 3 2 2" xfId="22934" xr:uid="{EFEF2CB0-C3B2-494B-AEC1-DBC2E23FBDE0}"/>
    <cellStyle name="Comma 42 3 3 3 3 3" xfId="22939" xr:uid="{B73BA3CC-715F-4343-99B6-919FBA3E1603}"/>
    <cellStyle name="Comma 42 3 3 3 4" xfId="27801" xr:uid="{CB1A3081-3480-4D84-9B63-8EA9CC323315}"/>
    <cellStyle name="Comma 42 3 3 3 4 2" xfId="22912" xr:uid="{F8FB6416-4CE6-486C-AC57-BC29AAE610B9}"/>
    <cellStyle name="Comma 42 3 3 3 5" xfId="27803" xr:uid="{F68E6D5D-6458-480D-B838-842C84A60A62}"/>
    <cellStyle name="Comma 42 3 3 4" xfId="27808" xr:uid="{FD8E19A5-CBC5-49BA-BF99-2771447B05DB}"/>
    <cellStyle name="Comma 42 3 3 4 2" xfId="27810" xr:uid="{4B0282D0-CE76-4839-9D31-BB354BC8F83D}"/>
    <cellStyle name="Comma 42 3 3 4 2 2" xfId="22983" xr:uid="{9648BC41-4C80-4188-B589-95DE6FA62FB1}"/>
    <cellStyle name="Comma 42 3 3 4 2 2 2" xfId="22986" xr:uid="{964A3949-E8C9-41CC-B70B-652FC49C8EA5}"/>
    <cellStyle name="Comma 42 3 3 4 2 3" xfId="22991" xr:uid="{FE161736-1509-469D-8A71-4F8EBB28A39B}"/>
    <cellStyle name="Comma 42 3 3 4 3" xfId="13697" xr:uid="{929EAF87-6927-46DF-9531-C41BBBAB3864}"/>
    <cellStyle name="Comma 42 3 3 4 3 2" xfId="13700" xr:uid="{BF57F946-9D16-4103-9AB0-D8FDEA22E928}"/>
    <cellStyle name="Comma 42 3 3 4 4" xfId="13720" xr:uid="{B7460A2E-8B5B-47D8-8187-8FCBC75ABAC3}"/>
    <cellStyle name="Comma 42 3 3 5" xfId="27817" xr:uid="{A6CE234D-3ECA-41FF-9C44-66DC5FC28472}"/>
    <cellStyle name="Comma 42 3 3 5 2" xfId="27819" xr:uid="{133226DF-D17F-4F42-887F-12E97713BFAC}"/>
    <cellStyle name="Comma 42 3 3 5 2 2" xfId="23032" xr:uid="{3E593E95-F057-43F8-A64E-24873CEA557C}"/>
    <cellStyle name="Comma 42 3 3 5 3" xfId="13737" xr:uid="{880D850E-7C41-4362-B437-E1CF5195504A}"/>
    <cellStyle name="Comma 42 3 3 6" xfId="27822" xr:uid="{AF56697D-595E-480C-8A81-66B5B68C6D8E}"/>
    <cellStyle name="Comma 42 3 3 6 2" xfId="27824" xr:uid="{3CE538F5-7DCF-44B1-B515-0BEC0D4CA47F}"/>
    <cellStyle name="Comma 42 3 3 7" xfId="5695" xr:uid="{59A5CB48-75BE-498D-91DF-87965312E1E9}"/>
    <cellStyle name="Comma 42 3 3 8" xfId="5651" xr:uid="{8E8EFA98-D0C7-47BF-A8D9-99AE611A6C2B}"/>
    <cellStyle name="Comma 42 3 4" xfId="27827" xr:uid="{9A69939F-4148-46BE-A348-094E865E59B2}"/>
    <cellStyle name="Comma 42 3 4 2" xfId="16950" xr:uid="{BB0578E8-B1A8-4A4B-9186-B843608A2942}"/>
    <cellStyle name="Comma 42 3 4 2 2" xfId="204" xr:uid="{4BC18205-1844-4958-B392-F8CC83574698}"/>
    <cellStyle name="Comma 42 3 4 2 2 2" xfId="225" xr:uid="{30A7BCCA-3E99-4D01-AA55-B5E6D7C9F845}"/>
    <cellStyle name="Comma 42 3 4 2 2 2 2" xfId="283" xr:uid="{7A5C06EC-5FBF-4DD2-82DE-50744CB551BD}"/>
    <cellStyle name="Comma 42 3 4 2 2 2 2 2" xfId="27830" xr:uid="{5BA640C1-9727-432B-A91D-2E8773B0B9B0}"/>
    <cellStyle name="Comma 42 3 4 2 2 2 3" xfId="569" xr:uid="{144F1BA1-B49F-4F53-9F7E-2674DE1BC92E}"/>
    <cellStyle name="Comma 42 3 4 2 2 3" xfId="491" xr:uid="{7CE5A259-2D47-4835-930C-8399C27A9A86}"/>
    <cellStyle name="Comma 42 3 4 2 2 3 2" xfId="27837" xr:uid="{7DD82BFA-F0B6-43EC-8642-EF2E48457DAD}"/>
    <cellStyle name="Comma 42 3 4 2 2 4" xfId="499" xr:uid="{CB06F424-D62C-4FC6-A748-00C9FE84A295}"/>
    <cellStyle name="Comma 42 3 4 2 3" xfId="214" xr:uid="{FC9859F5-94A6-4B35-A082-D17C5BBA3556}"/>
    <cellStyle name="Comma 42 3 4 2 3 2" xfId="1690" xr:uid="{FB17897C-15E6-45FB-8797-EE57EADB2307}"/>
    <cellStyle name="Comma 42 3 4 2 3 2 2" xfId="454" xr:uid="{75EB16AF-A14B-4FE6-A25F-D903404162DF}"/>
    <cellStyle name="Comma 42 3 4 2 3 3" xfId="1711" xr:uid="{BF86D3E4-60F2-421E-928A-7EE15624BC7B}"/>
    <cellStyle name="Comma 42 3 4 2 4" xfId="231" xr:uid="{0E0222BC-2FD2-4AF8-98D7-3D9F381D1001}"/>
    <cellStyle name="Comma 42 3 4 2 4 2" xfId="276" xr:uid="{6AA81A10-4BF7-4B71-9A0A-C2BAEF9A1497}"/>
    <cellStyle name="Comma 42 3 4 2 5" xfId="27848" xr:uid="{1884EAF8-8CD3-4B2B-8B2C-74301C76B867}"/>
    <cellStyle name="Comma 42 3 4 3" xfId="17175" xr:uid="{00FC8A6B-44C1-4B10-9848-89AFF9E2DBA6}"/>
    <cellStyle name="Comma 42 3 4 3 2" xfId="27852" xr:uid="{FDD721BB-B2E7-4839-AB08-3E43568B0A12}"/>
    <cellStyle name="Comma 42 3 4 3 2 2" xfId="23095" xr:uid="{C28D5D39-A0BB-4B7C-BDF2-EFDD1745A8F3}"/>
    <cellStyle name="Comma 42 3 4 3 2 2 2" xfId="19227" xr:uid="{A38A990F-CBCF-452A-A6D4-0F356B6AD743}"/>
    <cellStyle name="Comma 42 3 4 3 2 3" xfId="23098" xr:uid="{26DE08D6-1693-47CA-B320-BC4874B076F5}"/>
    <cellStyle name="Comma 42 3 4 3 3" xfId="27856" xr:uid="{FA3B2F8F-932A-4F3E-BB4E-6716354BDE7B}"/>
    <cellStyle name="Comma 42 3 4 3 3 2" xfId="23112" xr:uid="{F0C668C5-1783-4B5C-886A-DC77E3E1C42D}"/>
    <cellStyle name="Comma 42 3 4 3 4" xfId="27860" xr:uid="{18BB0705-505F-48A7-A693-68FFD0371AEA}"/>
    <cellStyle name="Comma 42 3 4 4" xfId="17179" xr:uid="{FD4ADEE4-2954-4153-B56C-BD4FA1E0F300}"/>
    <cellStyle name="Comma 42 3 4 4 2" xfId="27863" xr:uid="{B23EF3B5-B443-462A-9F09-C3575C05E66C}"/>
    <cellStyle name="Comma 42 3 4 4 2 2" xfId="23146" xr:uid="{3F65F7D9-4A50-421B-97C5-E683CEFD047B}"/>
    <cellStyle name="Comma 42 3 4 4 3" xfId="13769" xr:uid="{DBA98F57-063B-4F10-B6A3-F90B31408563}"/>
    <cellStyle name="Comma 42 3 4 5" xfId="17184" xr:uid="{9C26CB76-7910-41EE-813E-3CB1EF7682B5}"/>
    <cellStyle name="Comma 42 3 4 5 2" xfId="27868" xr:uid="{A45F9AF5-1DB3-46FE-AA76-577C92DFBA03}"/>
    <cellStyle name="Comma 42 3 4 6" xfId="17188" xr:uid="{E02D0686-53CC-4C93-8182-98F4FB8AC80E}"/>
    <cellStyle name="Comma 42 3 4 7" xfId="5721" xr:uid="{DE58A204-9C58-4C0F-98C7-4973675938D1}"/>
    <cellStyle name="Comma 42 3 5" xfId="9223" xr:uid="{8D53F0FF-6043-4875-9862-7E542AF26204}"/>
    <cellStyle name="Comma 42 3 5 2" xfId="27873" xr:uid="{CD1F13FA-EBA6-4208-9FBF-DBD5C2CB9B55}"/>
    <cellStyle name="Comma 42 3 5 2 2" xfId="27877" xr:uid="{582B53C1-6C76-48B4-B231-37EA1B257A69}"/>
    <cellStyle name="Comma 42 3 5 2 2 2" xfId="27881" xr:uid="{14E853E3-7C21-469B-A95A-82ABFDF07ADE}"/>
    <cellStyle name="Comma 42 3 5 2 2 2 2" xfId="12048" xr:uid="{A2FE68AC-8115-4E26-92AF-44AC4355405B}"/>
    <cellStyle name="Comma 42 3 5 2 2 3" xfId="27887" xr:uid="{7EDA16F8-6AB7-47AE-989E-1CF4D3C7748B}"/>
    <cellStyle name="Comma 42 3 5 2 3" xfId="27894" xr:uid="{AE0385BB-1D64-4BC2-AB30-2556821DF230}"/>
    <cellStyle name="Comma 42 3 5 2 3 2" xfId="27899" xr:uid="{B9679B58-7368-495D-83AB-19B8E1D7786B}"/>
    <cellStyle name="Comma 42 3 5 2 4" xfId="27908" xr:uid="{8FC50BA7-41BE-4BD8-A36F-D618BECB3DC7}"/>
    <cellStyle name="Comma 42 3 5 3" xfId="27910" xr:uid="{A008713C-340A-4396-8462-5A4C64AAFC74}"/>
    <cellStyle name="Comma 42 3 5 3 2" xfId="27914" xr:uid="{01204C2A-3A3C-4CEA-A1AA-25406D5F685E}"/>
    <cellStyle name="Comma 42 3 5 3 2 2" xfId="23199" xr:uid="{13169F2E-481C-4144-A988-1094F8BEFEC6}"/>
    <cellStyle name="Comma 42 3 5 3 3" xfId="27922" xr:uid="{D0AECF80-21A5-4B9E-86DD-790D87710F78}"/>
    <cellStyle name="Comma 42 3 5 4" xfId="27930" xr:uid="{5B5F19B7-DE43-44C4-8A97-7FE692121FD8}"/>
    <cellStyle name="Comma 42 3 5 4 2" xfId="27934" xr:uid="{90AC44EB-AE18-4812-A265-9BCBD912115F}"/>
    <cellStyle name="Comma 42 3 5 5" xfId="27937" xr:uid="{8D13B10D-35FA-4990-BC37-68AC6D5204D3}"/>
    <cellStyle name="Comma 42 3 6" xfId="27941" xr:uid="{F2631E16-313C-4DF4-A0F3-0B1149BA821A}"/>
    <cellStyle name="Comma 42 3 6 2" xfId="27943" xr:uid="{16C49178-D03D-4FB7-9556-C1CEDA4C6586}"/>
    <cellStyle name="Comma 42 3 6 2 2" xfId="18157" xr:uid="{DA3E338B-AE36-45D3-9093-07EF692DDBA7}"/>
    <cellStyle name="Comma 42 3 6 2 2 2" xfId="27947" xr:uid="{D74E368A-BD88-4029-9F60-D7899536BC17}"/>
    <cellStyle name="Comma 42 3 6 2 3" xfId="18165" xr:uid="{B1889744-CAF4-4A3D-8B17-448B7C37659C}"/>
    <cellStyle name="Comma 42 3 6 3" xfId="27951" xr:uid="{DCDBACF2-B4C4-479A-A0BB-D6CC0E174A3E}"/>
    <cellStyle name="Comma 42 3 6 3 2" xfId="27955" xr:uid="{3EE12BA1-8BFF-4F93-A52D-A215FB9771DD}"/>
    <cellStyle name="Comma 42 3 6 4" xfId="27960" xr:uid="{F47A0D5A-84A4-469E-9F1A-3DF982A072D2}"/>
    <cellStyle name="Comma 42 3 7" xfId="27964" xr:uid="{AD4ED2A2-3CBD-4CC9-A350-CD4FBC174F75}"/>
    <cellStyle name="Comma 42 3 7 2" xfId="27966" xr:uid="{7451EEE3-048E-4A49-98FD-D1C1CD33B1D3}"/>
    <cellStyle name="Comma 42 3 7 2 2" xfId="18575" xr:uid="{E7EA83AD-0098-42B5-8E32-86347132FF0F}"/>
    <cellStyle name="Comma 42 3 7 3" xfId="27969" xr:uid="{D409A378-E9EE-49F9-A487-762E830F3DA3}"/>
    <cellStyle name="Comma 42 3 8" xfId="27973" xr:uid="{1064AB7B-F9D3-4D7E-82AE-2BF860B82326}"/>
    <cellStyle name="Comma 42 3 8 2" xfId="18930" xr:uid="{516BD0DC-7911-41F7-9A72-CE750ADE74C2}"/>
    <cellStyle name="Comma 42 3 9" xfId="27975" xr:uid="{EF4DB532-C04A-4B14-AA7E-FD12C138009B}"/>
    <cellStyle name="Comma 42 4" xfId="20606" xr:uid="{5D9D95EB-FB0D-4C81-819F-DC2CD3AE8347}"/>
    <cellStyle name="Comma 42 4 2" xfId="27978" xr:uid="{5D37BD39-B916-4643-9C6D-A8469B195C95}"/>
    <cellStyle name="Comma 42 4 2 2" xfId="9098" xr:uid="{3DA6BFBD-F6B4-4EEC-A3A5-E50DA85865CD}"/>
    <cellStyle name="Comma 42 4 2 2 2" xfId="27981" xr:uid="{F2A75534-F65A-44B0-B463-4AE4F1F55038}"/>
    <cellStyle name="Comma 42 4 2 2 2 2" xfId="27984" xr:uid="{E7381469-8ACB-42C9-8C66-C5CD14D1D3F9}"/>
    <cellStyle name="Comma 42 4 2 2 2 2 2" xfId="27986" xr:uid="{A0D2DC02-399B-464A-A84D-29D062DD2625}"/>
    <cellStyle name="Comma 42 4 2 2 2 2 2 2" xfId="1352" xr:uid="{261724E2-1E53-47EB-9E13-8C2E76B4E54C}"/>
    <cellStyle name="Comma 42 4 2 2 2 2 2 2 2" xfId="21629" xr:uid="{E3BF7C9F-0215-48C6-B09C-87CB384CAF79}"/>
    <cellStyle name="Comma 42 4 2 2 2 2 2 3" xfId="1355" xr:uid="{D36A2588-D233-4A58-BD69-DF16BCFEA36C}"/>
    <cellStyle name="Comma 42 4 2 2 2 2 3" xfId="27988" xr:uid="{3E1B51CF-D142-4FF9-B2C7-949A5F6E2E11}"/>
    <cellStyle name="Comma 42 4 2 2 2 2 3 2" xfId="27990" xr:uid="{A3E91700-454B-4A91-8720-5BEFC152F622}"/>
    <cellStyle name="Comma 42 4 2 2 2 2 4" xfId="24015" xr:uid="{51109355-2AD8-441B-8FB7-63A8008977A7}"/>
    <cellStyle name="Comma 42 4 2 2 2 3" xfId="27994" xr:uid="{D31B7DBF-BC46-44E2-B35C-3018E59C2F24}"/>
    <cellStyle name="Comma 42 4 2 2 2 3 2" xfId="27996" xr:uid="{4A756778-AC3B-47AD-BBA9-4119464C7CE6}"/>
    <cellStyle name="Comma 42 4 2 2 2 3 2 2" xfId="1413" xr:uid="{321E4F29-B848-4F7C-9F7D-F9BD9BCAE15A}"/>
    <cellStyle name="Comma 42 4 2 2 2 3 3" xfId="27998" xr:uid="{C18E3ADF-7113-48B1-B59A-791347C7A1B3}"/>
    <cellStyle name="Comma 42 4 2 2 2 4" xfId="28002" xr:uid="{7A783BC9-A658-45C1-BC38-06B3B9DC5F2D}"/>
    <cellStyle name="Comma 42 4 2 2 2 4 2" xfId="28004" xr:uid="{E25250BA-A12C-4EE2-AAAC-33AA857C1D63}"/>
    <cellStyle name="Comma 42 4 2 2 2 5" xfId="28009" xr:uid="{1C0DBC5E-FC08-4931-954F-35CCA0CC6814}"/>
    <cellStyle name="Comma 42 4 2 2 3" xfId="28016" xr:uid="{CC854900-00BE-414D-B952-2CB3915667F0}"/>
    <cellStyle name="Comma 42 4 2 2 3 2" xfId="28018" xr:uid="{FD0FF94D-E7FB-4E83-906E-02D7198C437B}"/>
    <cellStyle name="Comma 42 4 2 2 3 2 2" xfId="28020" xr:uid="{F01FBDFB-E9F0-458F-9117-C7C9B491F324}"/>
    <cellStyle name="Comma 42 4 2 2 3 2 2 2" xfId="28022" xr:uid="{5C276DF7-047B-4371-B9FB-B615584EFF11}"/>
    <cellStyle name="Comma 42 4 2 2 3 2 3" xfId="28030" xr:uid="{F5076F28-4521-47B2-B78A-2761B060D67C}"/>
    <cellStyle name="Comma 42 4 2 2 3 3" xfId="28034" xr:uid="{0541FD65-C8C6-422B-BB54-5B37FE27E7C3}"/>
    <cellStyle name="Comma 42 4 2 2 3 3 2" xfId="28036" xr:uid="{950221C7-2F40-412C-A4DA-D42797BAC4BC}"/>
    <cellStyle name="Comma 42 4 2 2 3 4" xfId="28039" xr:uid="{D5E1E799-F7CF-49E0-ACA7-802251CE9D6C}"/>
    <cellStyle name="Comma 42 4 2 2 4" xfId="28045" xr:uid="{E47E488F-7712-44A9-B11E-2E54EFC33685}"/>
    <cellStyle name="Comma 42 4 2 2 4 2" xfId="28047" xr:uid="{6F071BF1-399C-4029-A33F-03D3357141C4}"/>
    <cellStyle name="Comma 42 4 2 2 4 2 2" xfId="28049" xr:uid="{E96B52ED-C7D3-4075-9BFB-DFB667FEEAB3}"/>
    <cellStyle name="Comma 42 4 2 2 4 3" xfId="28051" xr:uid="{0D022F89-4710-48A7-BA91-08ADCE7F5CC8}"/>
    <cellStyle name="Comma 42 4 2 2 5" xfId="28058" xr:uid="{02BE0EA1-3D74-401F-9343-048B1484B7D7}"/>
    <cellStyle name="Comma 42 4 2 2 5 2" xfId="1821" xr:uid="{9805930A-CB02-4934-BA4C-E7F6FB7F0012}"/>
    <cellStyle name="Comma 42 4 2 2 6" xfId="4868" xr:uid="{3802E8C4-23B9-46B4-8F63-E4D1966C9893}"/>
    <cellStyle name="Comma 42 4 2 2 7" xfId="4879" xr:uid="{6F878C18-E151-4347-B6AB-0D2BFB17B7FB}"/>
    <cellStyle name="Comma 42 4 2 3" xfId="28066" xr:uid="{05E510D3-C0C0-45BD-9FCB-05722EF6047A}"/>
    <cellStyle name="Comma 42 4 2 3 2" xfId="28069" xr:uid="{AF1248FC-3CC7-4260-A5B3-131750955234}"/>
    <cellStyle name="Comma 42 4 2 3 2 2" xfId="28071" xr:uid="{81694237-94F2-4441-ADE1-E6302D4A5CAC}"/>
    <cellStyle name="Comma 42 4 2 3 2 2 2" xfId="28073" xr:uid="{3195A5A3-1D45-4927-A9AF-764CE59CC5FE}"/>
    <cellStyle name="Comma 42 4 2 3 2 2 2 2" xfId="1036" xr:uid="{744A865B-B575-43C0-ABBC-86C2F63BE2BE}"/>
    <cellStyle name="Comma 42 4 2 3 2 2 3" xfId="28076" xr:uid="{E8D05519-D6E4-4CE1-A26B-9BEBAA478C5E}"/>
    <cellStyle name="Comma 42 4 2 3 2 3" xfId="28079" xr:uid="{AF2EEB30-E45F-410D-8DE7-59711D474C1E}"/>
    <cellStyle name="Comma 42 4 2 3 2 3 2" xfId="28081" xr:uid="{E2C0C48B-C206-4321-BB40-113CA8800A2E}"/>
    <cellStyle name="Comma 42 4 2 3 2 4" xfId="24329" xr:uid="{1D4BE33D-E1AE-4B8E-926F-39A265BC8986}"/>
    <cellStyle name="Comma 42 4 2 3 3" xfId="28086" xr:uid="{1299C6C6-52B2-4EC6-9018-353FECDF5A42}"/>
    <cellStyle name="Comma 42 4 2 3 3 2" xfId="28088" xr:uid="{A89A3C2A-C3CD-4D1A-85DC-9ACE9E98A038}"/>
    <cellStyle name="Comma 42 4 2 3 3 2 2" xfId="28090" xr:uid="{C2580293-FB61-4CED-8526-4A5A4F24FFE3}"/>
    <cellStyle name="Comma 42 4 2 3 3 3" xfId="28094" xr:uid="{1717A8B4-4D39-4F6B-BC69-34F3F2E1BFE8}"/>
    <cellStyle name="Comma 42 4 2 3 4" xfId="28098" xr:uid="{FA48DE23-79C6-471C-A26C-1F6638B350F1}"/>
    <cellStyle name="Comma 42 4 2 3 4 2" xfId="28100" xr:uid="{78B84D1F-FD78-4AF3-B563-3F776554FCED}"/>
    <cellStyle name="Comma 42 4 2 3 5" xfId="28106" xr:uid="{97A920CF-13FB-40D3-9014-1A806F8FBC76}"/>
    <cellStyle name="Comma 42 4 2 4" xfId="28111" xr:uid="{1B7714DA-78DA-4E49-870F-53BF78348EFD}"/>
    <cellStyle name="Comma 42 4 2 4 2" xfId="28113" xr:uid="{F3F16CCF-43A4-45CA-90C5-48CB5512AEF6}"/>
    <cellStyle name="Comma 42 4 2 4 2 2" xfId="28115" xr:uid="{F6706A48-5E93-46F5-9374-D22730DFFAF9}"/>
    <cellStyle name="Comma 42 4 2 4 2 2 2" xfId="23800" xr:uid="{8AAB8B27-3A3F-486C-B88D-75DBA2C3EA50}"/>
    <cellStyle name="Comma 42 4 2 4 2 3" xfId="22802" xr:uid="{3886E73E-E45D-4913-9953-4DF7CDC4D801}"/>
    <cellStyle name="Comma 42 4 2 4 3" xfId="13813" xr:uid="{5B9A3C89-698F-47FE-80F6-5E9D00697155}"/>
    <cellStyle name="Comma 42 4 2 4 3 2" xfId="13816" xr:uid="{AB426BEC-24DF-4ACB-BB1B-20FAEC2BDCCA}"/>
    <cellStyle name="Comma 42 4 2 4 4" xfId="13841" xr:uid="{202344ED-4037-4CBA-89C6-35CD4B35C714}"/>
    <cellStyle name="Comma 42 4 2 5" xfId="28120" xr:uid="{550E8B47-A59A-453E-AB4A-A7B9DC732613}"/>
    <cellStyle name="Comma 42 4 2 5 2" xfId="28122" xr:uid="{B07B3CE5-ED61-4686-B112-BFE478C135E5}"/>
    <cellStyle name="Comma 42 4 2 5 2 2" xfId="28124" xr:uid="{4B93C49D-CA56-471A-9B90-8A422BFBE801}"/>
    <cellStyle name="Comma 42 4 2 5 3" xfId="13858" xr:uid="{E4510BD1-37F3-4938-AA87-C01CFFE00E55}"/>
    <cellStyle name="Comma 42 4 2 6" xfId="28128" xr:uid="{0ABC7CD1-C4A6-4F00-B3AF-4FED38EFF898}"/>
    <cellStyle name="Comma 42 4 2 6 2" xfId="28130" xr:uid="{2F7FDA2A-EBF3-4EC8-BF87-02A995EB8F81}"/>
    <cellStyle name="Comma 42 4 2 7" xfId="28133" xr:uid="{FE0C1B66-CC75-460E-B9AE-2DD4E2C78038}"/>
    <cellStyle name="Comma 42 4 2 8" xfId="28136" xr:uid="{4037AA02-F0A6-4424-8911-A271B991E164}"/>
    <cellStyle name="Comma 42 4 3" xfId="28140" xr:uid="{E9C1F23D-DD84-46AE-9734-9B67ECBC3312}"/>
    <cellStyle name="Comma 42 4 3 2" xfId="28143" xr:uid="{416F0C32-2B13-4B83-B8DA-B0ED4FA7B11F}"/>
    <cellStyle name="Comma 42 4 3 2 2" xfId="28146" xr:uid="{86487656-9827-4553-80A8-C73C3ACCDDA0}"/>
    <cellStyle name="Comma 42 4 3 2 2 2" xfId="19143" xr:uid="{B71321AC-2A5D-4422-BADE-1112E4F67F8B}"/>
    <cellStyle name="Comma 42 4 3 2 2 2 2" xfId="28148" xr:uid="{490AB36F-DCE5-4EA0-9E71-61A4E3969F1D}"/>
    <cellStyle name="Comma 42 4 3 2 2 2 2 2" xfId="28150" xr:uid="{B2684C39-2BC3-4A31-90D2-EF91CC98D135}"/>
    <cellStyle name="Comma 42 4 3 2 2 2 3" xfId="28154" xr:uid="{35B816C7-4654-4B7A-BC9D-0999056DD2CC}"/>
    <cellStyle name="Comma 42 4 3 2 2 3" xfId="28157" xr:uid="{3046D57A-E086-4137-B698-C7D87EFF6655}"/>
    <cellStyle name="Comma 42 4 3 2 2 3 2" xfId="28159" xr:uid="{06C0F666-C211-4B53-8CE6-A1E1D6B9BC11}"/>
    <cellStyle name="Comma 42 4 3 2 2 4" xfId="28163" xr:uid="{3086D1C0-3423-41FC-A6A5-7DF9F7B69072}"/>
    <cellStyle name="Comma 42 4 3 2 3" xfId="28170" xr:uid="{D05F48B6-FD8C-459F-86F9-9D9AE981725E}"/>
    <cellStyle name="Comma 42 4 3 2 3 2" xfId="28172" xr:uid="{89D10204-057A-4B49-B4CF-E52179CAECDC}"/>
    <cellStyle name="Comma 42 4 3 2 3 2 2" xfId="28174" xr:uid="{4FC4D51C-0ED8-4C02-8913-1FBF49A9CC93}"/>
    <cellStyle name="Comma 42 4 3 2 3 3" xfId="28179" xr:uid="{60EB9710-9DBD-4D4C-AF7B-611CE6A77B9F}"/>
    <cellStyle name="Comma 42 4 3 2 4" xfId="137" xr:uid="{00BC9D20-0F57-4D96-BB38-0DDA106D13A9}"/>
    <cellStyle name="Comma 42 4 3 2 4 2" xfId="23076" xr:uid="{BF20771B-956C-4EBD-88C6-7D188B8E33C9}"/>
    <cellStyle name="Comma 42 4 3 2 5" xfId="28183" xr:uid="{90531F0B-22ED-4A78-80CB-C95FD22264E3}"/>
    <cellStyle name="Comma 42 4 3 3" xfId="28186" xr:uid="{E21B83E4-E029-4DEF-A4E5-15633AA841B7}"/>
    <cellStyle name="Comma 42 4 3 3 2" xfId="28188" xr:uid="{0D9ED396-2AB7-485A-ABC7-6F216802EA12}"/>
    <cellStyle name="Comma 42 4 3 3 2 2" xfId="23286" xr:uid="{B02D66A9-91D1-46FF-BFB1-F8929BF0F166}"/>
    <cellStyle name="Comma 42 4 3 3 2 2 2" xfId="23289" xr:uid="{C66C890F-7977-437B-83EB-120DFE50ED9D}"/>
    <cellStyle name="Comma 42 4 3 3 2 3" xfId="23293" xr:uid="{B19A6B0B-F710-42D3-A0EC-DE5458FCE5B2}"/>
    <cellStyle name="Comma 42 4 3 3 3" xfId="28194" xr:uid="{2C1467D1-3A53-45EE-8AC3-A15796DF7112}"/>
    <cellStyle name="Comma 42 4 3 3 3 2" xfId="23310" xr:uid="{7BA9FA7E-D6D0-456D-862C-B61BBA17C83D}"/>
    <cellStyle name="Comma 42 4 3 3 4" xfId="28198" xr:uid="{7336523D-DED4-4838-9B10-3011233B5224}"/>
    <cellStyle name="Comma 42 4 3 4" xfId="28201" xr:uid="{FFE3D100-7A96-41E2-8070-BE7FCEE69EC5}"/>
    <cellStyle name="Comma 42 4 3 4 2" xfId="28203" xr:uid="{560F3F6D-7658-4A58-BB56-9E3E11AD281D}"/>
    <cellStyle name="Comma 42 4 3 4 2 2" xfId="23333" xr:uid="{0C727935-ED94-45B7-9A02-4C45440CE125}"/>
    <cellStyle name="Comma 42 4 3 4 3" xfId="13889" xr:uid="{FBFEA2AC-D82E-46C6-9DB3-0A38DA9559A9}"/>
    <cellStyle name="Comma 42 4 3 5" xfId="28206" xr:uid="{408404E6-A8B4-4603-9793-47B4706E8370}"/>
    <cellStyle name="Comma 42 4 3 5 2" xfId="28208" xr:uid="{2D7E81F6-4162-455D-B53A-82A44E61CB18}"/>
    <cellStyle name="Comma 42 4 3 6" xfId="28211" xr:uid="{958E545C-21D2-412A-90E4-489650FAE0B2}"/>
    <cellStyle name="Comma 42 4 3 7" xfId="5880" xr:uid="{316BDDFC-5BCF-4C20-87CE-54D7518315BE}"/>
    <cellStyle name="Comma 42 4 4" xfId="28213" xr:uid="{26B30AB2-88E4-496D-AFCA-0CDFB3748D4D}"/>
    <cellStyle name="Comma 42 4 4 2" xfId="28216" xr:uid="{41E2DF18-5AF5-4AF6-8F29-993F56A165DA}"/>
    <cellStyle name="Comma 42 4 4 2 2" xfId="28218" xr:uid="{CA671775-D5B8-42DE-9D80-186A3ABA9B5D}"/>
    <cellStyle name="Comma 42 4 4 2 2 2" xfId="28220" xr:uid="{30E52825-53FA-4ED5-94DB-4860D219A965}"/>
    <cellStyle name="Comma 42 4 4 2 2 2 2" xfId="3324" xr:uid="{DE05896A-C69B-4C73-99CB-11B729B4DF13}"/>
    <cellStyle name="Comma 42 4 4 2 2 3" xfId="28224" xr:uid="{A05FBD8F-78B1-438E-B092-D0795E839555}"/>
    <cellStyle name="Comma 42 4 4 2 3" xfId="28228" xr:uid="{2A52F597-6395-43E7-B11C-949D71EFF8AE}"/>
    <cellStyle name="Comma 42 4 4 2 3 2" xfId="28230" xr:uid="{6D7FF2CC-909C-4E77-B181-857CFAA7C763}"/>
    <cellStyle name="Comma 42 4 4 2 4" xfId="28233" xr:uid="{5B0BD3D5-1A1F-4BDE-A959-44A53CFE984C}"/>
    <cellStyle name="Comma 42 4 4 3" xfId="28236" xr:uid="{E4110264-82D3-46E6-8900-8AF216225198}"/>
    <cellStyle name="Comma 42 4 4 3 2" xfId="28238" xr:uid="{F4EBBBCD-1AE8-40F0-A14E-AA22BE5207BE}"/>
    <cellStyle name="Comma 42 4 4 3 2 2" xfId="23367" xr:uid="{2EBF7F51-E153-4953-8DF9-A942B9F5F5F6}"/>
    <cellStyle name="Comma 42 4 4 3 3" xfId="28242" xr:uid="{6A09CB9E-654F-44D0-8825-1224BCC5DD43}"/>
    <cellStyle name="Comma 42 4 4 4" xfId="28246" xr:uid="{03B67A7C-D1CB-48B6-8B64-513B8F904401}"/>
    <cellStyle name="Comma 42 4 4 4 2" xfId="28248" xr:uid="{91CE4DA1-1226-404C-A0E7-F1D2097F5974}"/>
    <cellStyle name="Comma 42 4 4 5" xfId="28251" xr:uid="{569B8A02-8F43-4F84-B184-A20351E4852C}"/>
    <cellStyle name="Comma 42 4 5" xfId="28255" xr:uid="{C22FC6C9-5681-4141-BD0C-B8660664D86D}"/>
    <cellStyle name="Comma 42 4 5 2" xfId="15759" xr:uid="{C8B79B72-7073-461D-BD67-300C98572656}"/>
    <cellStyle name="Comma 42 4 5 2 2" xfId="28257" xr:uid="{87212524-0FE4-4E61-8A5A-05E14136E07C}"/>
    <cellStyle name="Comma 42 4 5 2 2 2" xfId="28259" xr:uid="{C2EF665E-F3EE-4ED9-8D04-2820B29434BB}"/>
    <cellStyle name="Comma 42 4 5 2 3" xfId="28263" xr:uid="{EB6BFBC7-9437-464B-9733-813AA325C72C}"/>
    <cellStyle name="Comma 42 4 5 3" xfId="28267" xr:uid="{F65ED593-E041-408A-8FB1-154A2EBD7B4F}"/>
    <cellStyle name="Comma 42 4 5 3 2" xfId="28269" xr:uid="{999FC57D-6BCB-4221-9625-014121E7E578}"/>
    <cellStyle name="Comma 42 4 5 4" xfId="28272" xr:uid="{25B5A454-A0A2-4CDE-80B8-FE1949400984}"/>
    <cellStyle name="Comma 42 4 6" xfId="28276" xr:uid="{1C6F37DE-6A33-44F7-8CEA-6AA5A212939D}"/>
    <cellStyle name="Comma 42 4 6 2" xfId="28279" xr:uid="{0AE44A98-058D-4EBA-A8F4-E3DA3822DF4B}"/>
    <cellStyle name="Comma 42 4 6 2 2" xfId="28281" xr:uid="{3F65C79C-4A57-4110-87B5-DEBD0391FC80}"/>
    <cellStyle name="Comma 42 4 6 3" xfId="28285" xr:uid="{641354A5-169E-41A0-AE9F-65A57229D931}"/>
    <cellStyle name="Comma 42 4 7" xfId="28289" xr:uid="{CEA5DD12-F837-4F75-9618-444336236244}"/>
    <cellStyle name="Comma 42 4 7 2" xfId="28291" xr:uid="{0F9FDD4B-54FA-4A75-9D47-8163092800AB}"/>
    <cellStyle name="Comma 42 4 8" xfId="28295" xr:uid="{3FFFA7E9-D236-4F2C-9100-FCB059969B54}"/>
    <cellStyle name="Comma 42 4 9" xfId="28297" xr:uid="{8BC335F4-C78A-4ABC-A817-13D7E8A43891}"/>
    <cellStyle name="Comma 42 5" xfId="28299" xr:uid="{2D06D57D-0DFB-455C-BB10-0A58288345B9}"/>
    <cellStyle name="Comma 42 5 2" xfId="28301" xr:uid="{37F4BDC5-4075-4A05-8730-C6143E827A5F}"/>
    <cellStyle name="Comma 42 5 2 2" xfId="28304" xr:uid="{7ACB4615-0726-4EA4-A740-772F17F31DE1}"/>
    <cellStyle name="Comma 42 5 2 2 2" xfId="28310" xr:uid="{FE894222-BC55-4521-B65C-F42E4577FED3}"/>
    <cellStyle name="Comma 42 5 2 2 2 2" xfId="28318" xr:uid="{AD475098-FE6C-46BD-97B6-DA2122DE7F01}"/>
    <cellStyle name="Comma 42 5 2 2 2 2 2" xfId="28324" xr:uid="{0BBBD5AF-F39B-48FC-87A6-A43EC5A516AC}"/>
    <cellStyle name="Comma 42 5 2 2 2 2 2 2" xfId="21881" xr:uid="{D02B6BA5-3263-4A29-B9A1-9CDB1A5F3BFC}"/>
    <cellStyle name="Comma 42 5 2 2 2 2 3" xfId="28327" xr:uid="{1906D224-83A2-457C-A732-D1135283C275}"/>
    <cellStyle name="Comma 42 5 2 2 2 3" xfId="21915" xr:uid="{C18783CF-3C5C-4419-9573-4A509FE1D3B9}"/>
    <cellStyle name="Comma 42 5 2 2 2 3 2" xfId="28329" xr:uid="{3373FDF6-E8D8-49D4-BBB9-145FEC351418}"/>
    <cellStyle name="Comma 42 5 2 2 2 4" xfId="28332" xr:uid="{08B3ADD4-6F04-4CC6-A5A0-0E313F77DE94}"/>
    <cellStyle name="Comma 42 5 2 2 3" xfId="28340" xr:uid="{835122B0-8B50-4539-BCD3-49A96810935A}"/>
    <cellStyle name="Comma 42 5 2 2 3 2" xfId="28348" xr:uid="{F5CA05AD-8056-457C-9F27-0C70276849C8}"/>
    <cellStyle name="Comma 42 5 2 2 3 2 2" xfId="28356" xr:uid="{5FB92FE9-0F4E-4EB6-9C56-30D509AC749F}"/>
    <cellStyle name="Comma 42 5 2 2 3 3" xfId="28368" xr:uid="{B397D680-C3D0-4BDC-A1F9-D315D9EEE2D9}"/>
    <cellStyle name="Comma 42 5 2 2 4" xfId="28379" xr:uid="{3947CC4F-D019-4251-A77F-AEEFB5B2B03E}"/>
    <cellStyle name="Comma 42 5 2 2 4 2" xfId="28386" xr:uid="{5B584E41-23CB-438A-BCFB-2C5934B3C99C}"/>
    <cellStyle name="Comma 42 5 2 2 5" xfId="28407" xr:uid="{36726FEC-DDF1-4E45-B8F2-738AC1362762}"/>
    <cellStyle name="Comma 42 5 2 3" xfId="28410" xr:uid="{5E35A7F1-3967-440D-BC86-9685212B926A}"/>
    <cellStyle name="Comma 42 5 2 3 2" xfId="28417" xr:uid="{BA7E0241-E7B8-48BC-B8B3-578859845FDB}"/>
    <cellStyle name="Comma 42 5 2 3 2 2" xfId="28422" xr:uid="{0376C9DE-08C2-4289-9F1F-19C85A9A33BC}"/>
    <cellStyle name="Comma 42 5 2 3 2 2 2" xfId="28425" xr:uid="{BDFA6D70-BBF7-4744-9850-CA6CFC74F55E}"/>
    <cellStyle name="Comma 42 5 2 3 2 3" xfId="28430" xr:uid="{E03E85D0-A03D-4106-ACFA-C6F825A9B1FE}"/>
    <cellStyle name="Comma 42 5 2 3 3" xfId="28439" xr:uid="{BC494E78-418D-4C72-B7FA-F36ADE79C95B}"/>
    <cellStyle name="Comma 42 5 2 3 3 2" xfId="28445" xr:uid="{96A4FA30-A0AC-4A1F-A7F1-14B9DADEFDB5}"/>
    <cellStyle name="Comma 42 5 2 3 4" xfId="28458" xr:uid="{DAF5FA2B-111C-4737-929F-26CB4AB18EF0}"/>
    <cellStyle name="Comma 42 5 2 4" xfId="28472" xr:uid="{B3A453FF-90C5-4D40-91CC-7B9D3AC4F347}"/>
    <cellStyle name="Comma 42 5 2 4 2" xfId="28479" xr:uid="{DC398DBB-19D3-4C8A-BCC4-FF2200202264}"/>
    <cellStyle name="Comma 42 5 2 4 2 2" xfId="28486" xr:uid="{EE6B0F9D-04F7-455B-A762-BD33719ED76A}"/>
    <cellStyle name="Comma 42 5 2 4 3" xfId="13947" xr:uid="{2B44EE83-34BA-4AD9-9A71-931AE91ED651}"/>
    <cellStyle name="Comma 42 5 2 5" xfId="28492" xr:uid="{20607D94-8D49-432C-98E5-B83E92081BA1}"/>
    <cellStyle name="Comma 42 5 2 5 2" xfId="28501" xr:uid="{89B93661-D5C2-463C-B042-DC394ECCC265}"/>
    <cellStyle name="Comma 42 5 2 6" xfId="28512" xr:uid="{1AA487FF-BDC4-4CEA-8B5E-4B207EFDA8D5}"/>
    <cellStyle name="Comma 42 5 2 7" xfId="20128" xr:uid="{090A4583-EF5C-48B5-A55F-F1D7DB8E12AF}"/>
    <cellStyle name="Comma 42 5 3" xfId="28525" xr:uid="{9FD7DEB6-754D-4E9B-9D09-8F0DC961202C}"/>
    <cellStyle name="Comma 42 5 3 2" xfId="28528" xr:uid="{9014A2EE-74F1-46FD-BCDC-D8AA3BF6875F}"/>
    <cellStyle name="Comma 42 5 3 2 2" xfId="28530" xr:uid="{2DF8E7E2-74CF-4E1D-919D-DC694BE4E102}"/>
    <cellStyle name="Comma 42 5 3 2 2 2" xfId="1546" xr:uid="{F90263A3-1D60-4A55-91A9-432E78F2F763}"/>
    <cellStyle name="Comma 42 5 3 2 2 2 2" xfId="28532" xr:uid="{2FE06A6C-FD33-4D72-AFFD-9EE73D308014}"/>
    <cellStyle name="Comma 42 5 3 2 2 3" xfId="1556" xr:uid="{D69199F8-5D5A-4337-935F-1D2A9AD1AB30}"/>
    <cellStyle name="Comma 42 5 3 2 3" xfId="28538" xr:uid="{6FF28FD9-74E8-46AE-8F06-ACD7EE703ED0}"/>
    <cellStyle name="Comma 42 5 3 2 3 2" xfId="28543" xr:uid="{0D469DC9-623C-4C10-AEB8-36743DD9349B}"/>
    <cellStyle name="Comma 42 5 3 2 4" xfId="28550" xr:uid="{E4F1EE1C-BFCF-461B-9F75-12187D94915C}"/>
    <cellStyle name="Comma 42 5 3 3" xfId="28553" xr:uid="{71DF2085-5EE3-4356-BD3D-7673902AEA38}"/>
    <cellStyle name="Comma 42 5 3 3 2" xfId="28555" xr:uid="{C95D44FE-8984-4905-BF18-F9DDB78B45E8}"/>
    <cellStyle name="Comma 42 5 3 3 2 2" xfId="23435" xr:uid="{F507407B-9A04-434D-8055-1DEBE1329623}"/>
    <cellStyle name="Comma 42 5 3 3 3" xfId="28561" xr:uid="{A0A30736-F246-4922-8D79-C7A0A7C8F299}"/>
    <cellStyle name="Comma 42 5 3 4" xfId="28567" xr:uid="{DCD9659D-5B53-4967-95E2-29D50AC72702}"/>
    <cellStyle name="Comma 42 5 3 4 2" xfId="28569" xr:uid="{E7539A4B-9214-456B-AEA7-A3FF6BE3E573}"/>
    <cellStyle name="Comma 42 5 3 5" xfId="28574" xr:uid="{07A353B3-31DE-4BBA-B11E-07581551252A}"/>
    <cellStyle name="Comma 42 5 4" xfId="28585" xr:uid="{F04A2DA4-4455-42DA-BE46-59A6CC5586B5}"/>
    <cellStyle name="Comma 42 5 4 2" xfId="28587" xr:uid="{563BAA7A-3D24-429D-8433-6C50E812F709}"/>
    <cellStyle name="Comma 42 5 4 2 2" xfId="28590" xr:uid="{7AB5ECED-CF08-4C1D-8196-FD7DB95290F1}"/>
    <cellStyle name="Comma 42 5 4 2 2 2" xfId="28593" xr:uid="{B2B85958-1E65-493E-974C-1A1BE6A37D1C}"/>
    <cellStyle name="Comma 42 5 4 2 3" xfId="28601" xr:uid="{4B7CEF3D-4041-41C3-A9FB-5E0D45A26EDA}"/>
    <cellStyle name="Comma 42 5 4 3" xfId="28608" xr:uid="{83BCA32D-4002-41AD-9969-BB874D46BD05}"/>
    <cellStyle name="Comma 42 5 4 3 2" xfId="28611" xr:uid="{391CF478-2874-4441-B6E8-01346FD28745}"/>
    <cellStyle name="Comma 42 5 4 4" xfId="28618" xr:uid="{F9727D76-6469-4F33-A069-BE12A9A01873}"/>
    <cellStyle name="Comma 42 5 5" xfId="28624" xr:uid="{8A1C63D3-FA1B-4000-A371-A511E56150A7}"/>
    <cellStyle name="Comma 42 5 5 2" xfId="28626" xr:uid="{1C5C69BD-D87D-4708-A228-230B75E6E496}"/>
    <cellStyle name="Comma 42 5 5 2 2" xfId="28629" xr:uid="{7EEA4F79-522E-4446-B62D-0346E6BD9771}"/>
    <cellStyle name="Comma 42 5 5 3" xfId="28633" xr:uid="{DD062F40-4F43-4849-B7EB-0A35264A1257}"/>
    <cellStyle name="Comma 42 5 6" xfId="28637" xr:uid="{E3FDAC37-70B2-408E-BD45-43E22DEC818B}"/>
    <cellStyle name="Comma 42 5 6 2" xfId="28639" xr:uid="{03749CA7-DC64-4663-8E98-4CCCE525B05A}"/>
    <cellStyle name="Comma 42 5 7" xfId="28645" xr:uid="{4D23174C-3880-4A20-AE7D-0334D5EFDA3B}"/>
    <cellStyle name="Comma 42 5 8" xfId="28648" xr:uid="{8B7A0D48-7A9E-425D-AEA9-0D080DB1D001}"/>
    <cellStyle name="Comma 42 6" xfId="28650" xr:uid="{126EBD7D-73A3-4DFB-AF37-F73BF3C7E3ED}"/>
    <cellStyle name="Comma 42 6 2" xfId="28652" xr:uid="{D5ED133D-9FDD-4411-9656-BF2178A0E24B}"/>
    <cellStyle name="Comma 42 6 2 2" xfId="28655" xr:uid="{9273F226-F816-4BC0-A7D1-27C4854A0D9B}"/>
    <cellStyle name="Comma 42 6 2 2 2" xfId="28657" xr:uid="{862BC97E-886F-4FA4-A5F4-9EC7A563D1BA}"/>
    <cellStyle name="Comma 42 6 2 2 2 2" xfId="28659" xr:uid="{22EBCB78-B33B-43A8-9827-D2BD9B5FA507}"/>
    <cellStyle name="Comma 42 6 2 2 2 2 2" xfId="28661" xr:uid="{E1BAE426-986E-4293-8589-494E8E7DD7C0}"/>
    <cellStyle name="Comma 42 6 2 2 2 3" xfId="28666" xr:uid="{9CF716FA-D0C5-4801-A6E3-2C62717AB595}"/>
    <cellStyle name="Comma 42 6 2 2 3" xfId="28670" xr:uid="{33410A24-5174-40A6-AB10-34E9AE22C06A}"/>
    <cellStyle name="Comma 42 6 2 2 3 2" xfId="28674" xr:uid="{A5B8717B-A556-4531-A31E-AE1B795C0F16}"/>
    <cellStyle name="Comma 42 6 2 2 4" xfId="28679" xr:uid="{8D97BD4A-FB85-4343-A9D5-B53257B8B495}"/>
    <cellStyle name="Comma 42 6 2 3" xfId="28687" xr:uid="{2E91A927-B919-4AC5-B4F4-A1B14A5AA844}"/>
    <cellStyle name="Comma 42 6 2 3 2" xfId="28689" xr:uid="{AC97264D-8569-4502-9050-EEA2FDFC5A1F}"/>
    <cellStyle name="Comma 42 6 2 3 2 2" xfId="28692" xr:uid="{194D5B8A-AB68-4B32-9E05-B033488D9BF9}"/>
    <cellStyle name="Comma 42 6 2 3 3" xfId="28697" xr:uid="{96F81045-3476-4F81-ABBD-D407AF3F6C00}"/>
    <cellStyle name="Comma 42 6 2 4" xfId="20927" xr:uid="{B7F10323-A257-4753-975B-76F0F54279AD}"/>
    <cellStyle name="Comma 42 6 2 4 2" xfId="24574" xr:uid="{37BF793D-E753-4F01-85FA-91FC3406ACCE}"/>
    <cellStyle name="Comma 42 6 2 5" xfId="20932" xr:uid="{5E9364C5-B24A-48A0-9880-AE87C9169F20}"/>
    <cellStyle name="Comma 42 6 3" xfId="28714" xr:uid="{F9F56C35-5C06-4039-8612-BD0AF45B0A01}"/>
    <cellStyle name="Comma 42 6 3 2" xfId="28716" xr:uid="{BED420D1-6030-4F27-8DC8-07E354F29C0F}"/>
    <cellStyle name="Comma 42 6 3 2 2" xfId="28718" xr:uid="{68694912-CF5E-48AA-8465-8D3FF759ADDD}"/>
    <cellStyle name="Comma 42 6 3 2 2 2" xfId="28720" xr:uid="{5AC5FE02-7922-43E8-9B11-3D7F8D502A70}"/>
    <cellStyle name="Comma 42 6 3 2 3" xfId="28724" xr:uid="{1ECB4D99-BFD4-4ACD-B148-FE60918A04EE}"/>
    <cellStyle name="Comma 42 6 3 3" xfId="28729" xr:uid="{04BDAF7C-062E-40BA-9EFE-3A58812D6F01}"/>
    <cellStyle name="Comma 42 6 3 3 2" xfId="28731" xr:uid="{3E0A4197-39F6-4095-938C-D1DD46440D8B}"/>
    <cellStyle name="Comma 42 6 3 4" xfId="28738" xr:uid="{9B59B435-7086-44E8-B094-8275BF2EBF65}"/>
    <cellStyle name="Comma 42 6 4" xfId="28744" xr:uid="{CD23995E-9CBE-451A-B288-5D77DB1AD6C7}"/>
    <cellStyle name="Comma 42 6 4 2" xfId="28746" xr:uid="{F5C31DC0-94BF-4B85-B134-5BF833559939}"/>
    <cellStyle name="Comma 42 6 4 2 2" xfId="1319" xr:uid="{6750958D-5AAF-49C2-A830-22386B922E2E}"/>
    <cellStyle name="Comma 42 6 4 3" xfId="28748" xr:uid="{194FAFDD-2E05-4DDC-AFF4-F1957146033A}"/>
    <cellStyle name="Comma 42 6 5" xfId="28751" xr:uid="{D268FEF1-E567-43E0-B528-E4142ED8239E}"/>
    <cellStyle name="Comma 42 6 5 2" xfId="28753" xr:uid="{22E3C2F8-41B2-49A5-A2D4-9AC0DBB869B3}"/>
    <cellStyle name="Comma 42 6 6" xfId="28757" xr:uid="{D7D390C2-0E57-4814-9DDA-92C353815DBF}"/>
    <cellStyle name="Comma 42 6 7" xfId="12123" xr:uid="{316BFC2B-7927-4632-BCC3-6141E588542F}"/>
    <cellStyle name="Comma 42 7" xfId="28759" xr:uid="{9606BAFE-FAB2-4651-9DCE-7F3558AAD07C}"/>
    <cellStyle name="Comma 42 7 2" xfId="28761" xr:uid="{0132BBEA-E1D3-4889-A40A-AA3C206E918A}"/>
    <cellStyle name="Comma 42 7 2 2" xfId="19236" xr:uid="{00C40274-B4E6-4CAF-98EE-8AD18A24FE3F}"/>
    <cellStyle name="Comma 42 7 2 2 2" xfId="28763" xr:uid="{B855EFCB-2EA6-4162-ACF7-F04195406C0D}"/>
    <cellStyle name="Comma 42 7 2 2 2 2" xfId="28765" xr:uid="{6E8204C0-492A-4843-AB8F-1FE40F65EDA8}"/>
    <cellStyle name="Comma 42 7 2 2 3" xfId="28769" xr:uid="{CF38B99A-56EC-4B7C-9512-CDD74F5544AD}"/>
    <cellStyle name="Comma 42 7 2 3" xfId="19240" xr:uid="{1241F5F6-7804-419F-A39A-F17EE24531EF}"/>
    <cellStyle name="Comma 42 7 2 3 2" xfId="5741" xr:uid="{BD819F18-5976-4991-B9C9-E42933A97010}"/>
    <cellStyle name="Comma 42 7 2 4" xfId="19244" xr:uid="{7FED6778-69C8-4E15-B94E-AE1B44638AB9}"/>
    <cellStyle name="Comma 42 7 3" xfId="28775" xr:uid="{32CFD2AB-C8D2-49F8-8FB3-83B0BAB4F66E}"/>
    <cellStyle name="Comma 42 7 3 2" xfId="28777" xr:uid="{D192E7A4-55BA-4876-80BA-BA46AE3A60EF}"/>
    <cellStyle name="Comma 42 7 3 2 2" xfId="28779" xr:uid="{76597EAC-7F75-4F84-9262-CCCDAD6F3FE6}"/>
    <cellStyle name="Comma 42 7 3 3" xfId="28789" xr:uid="{2530A070-A0D3-4F4C-8777-5248BE27DDFB}"/>
    <cellStyle name="Comma 42 7 4" xfId="28792" xr:uid="{299DA1A8-6F07-4F68-892D-5D6391D31F06}"/>
    <cellStyle name="Comma 42 7 4 2" xfId="28794" xr:uid="{E4C37B3F-A30A-480F-A726-6A69AA0AE605}"/>
    <cellStyle name="Comma 42 7 5" xfId="28798" xr:uid="{A5889355-E241-4FF1-A8F7-8CF325FFB81A}"/>
    <cellStyle name="Comma 42 8" xfId="28802" xr:uid="{DFF667CC-509D-4E61-B390-684463437BE3}"/>
    <cellStyle name="Comma 42 8 2" xfId="28804" xr:uid="{BA6B3904-A4E9-4D1D-BA5C-0BE231992F2F}"/>
    <cellStyle name="Comma 42 8 2 2" xfId="28806" xr:uid="{1475F3E2-4617-4415-AE60-3927485038EA}"/>
    <cellStyle name="Comma 42 8 2 2 2" xfId="20331" xr:uid="{1077B455-1259-4D74-8E71-5EC44E4A5E0A}"/>
    <cellStyle name="Comma 42 8 2 3" xfId="28810" xr:uid="{0432A836-8D70-4DE5-BFE5-AC505C3A6E00}"/>
    <cellStyle name="Comma 42 8 3" xfId="28815" xr:uid="{9E695CE7-AAFC-4F93-AFA3-C33218737F6F}"/>
    <cellStyle name="Comma 42 8 3 2" xfId="28817" xr:uid="{24C40033-CC91-436A-8379-495BAA7750A7}"/>
    <cellStyle name="Comma 42 8 4" xfId="28821" xr:uid="{F36D7C65-9527-4A67-A0A3-A3F45D7E40EC}"/>
    <cellStyle name="Comma 42 9" xfId="28825" xr:uid="{7FB1B366-F72C-4DEF-90DF-7FC6C7091423}"/>
    <cellStyle name="Comma 42 9 2" xfId="28827" xr:uid="{FF9A8302-FFD0-4F06-B493-1F674135B3C9}"/>
    <cellStyle name="Comma 42 9 2 2" xfId="28829" xr:uid="{169DC035-6340-4F32-8ACC-DB4B17C95859}"/>
    <cellStyle name="Comma 42 9 3" xfId="28833" xr:uid="{83196EDE-2D55-4CCC-A24B-932F83E402EF}"/>
    <cellStyle name="Comma 420" xfId="12994" xr:uid="{F940E1B9-B6D4-4D8F-9140-A7A0225ED0BE}"/>
    <cellStyle name="Comma 420 2" xfId="26080" xr:uid="{FC387AB9-CE9D-41E3-9FC7-F413B1AD65C0}"/>
    <cellStyle name="Comma 421" xfId="26084" xr:uid="{79960499-549A-492C-A1A5-EBA35378289D}"/>
    <cellStyle name="Comma 421 2" xfId="19327" xr:uid="{DCC6939A-464C-4636-9164-00247F17A25E}"/>
    <cellStyle name="Comma 422" xfId="26088" xr:uid="{03079A5D-C39A-4D45-BA82-D3CCB86060AB}"/>
    <cellStyle name="Comma 422 2" xfId="9009" xr:uid="{E357685C-7331-4056-B054-30EBA8021AE1}"/>
    <cellStyle name="Comma 423" xfId="26092" xr:uid="{26496198-0D7E-4C8B-84D1-36AD15B08565}"/>
    <cellStyle name="Comma 423 2" xfId="9022" xr:uid="{C39C3707-3D39-4910-B483-C19671F68659}"/>
    <cellStyle name="Comma 424" xfId="11179" xr:uid="{B11268C8-1A6A-4CD3-983D-791D573AC768}"/>
    <cellStyle name="Comma 424 2" xfId="2403" xr:uid="{FD92AB8D-7E66-47D6-A3AB-C3C9B692493E}"/>
    <cellStyle name="Comma 425" xfId="11183" xr:uid="{BD750474-4AF0-4CAF-AB98-7D1479B9620D}"/>
    <cellStyle name="Comma 425 2" xfId="17094" xr:uid="{0427045E-8737-4C06-8477-E6BB815233E9}"/>
    <cellStyle name="Comma 426" xfId="28838" xr:uid="{4E3A3D89-8554-4E75-8A42-44869FB6B0DA}"/>
    <cellStyle name="Comma 426 2" xfId="25510" xr:uid="{F6B3FF95-4F54-4249-8E34-0DD46EC872A0}"/>
    <cellStyle name="Comma 427" xfId="28842" xr:uid="{D0E844BB-C9CB-4A0C-8B00-A235D417003B}"/>
    <cellStyle name="Comma 427 2" xfId="16719" xr:uid="{14D532EA-DE35-42D4-BAAD-EF0AFDD1EFF7}"/>
    <cellStyle name="Comma 428" xfId="16651" xr:uid="{E84D7F69-E5A2-4FC6-97D3-1E03C58F6C95}"/>
    <cellStyle name="Comma 428 2" xfId="16660" xr:uid="{A21639DD-D073-486D-A7D1-664579211E09}"/>
    <cellStyle name="Comma 429" xfId="16715" xr:uid="{71857883-9EA1-490C-AF1A-B43DB530CC6E}"/>
    <cellStyle name="Comma 429 2" xfId="16728" xr:uid="{A340AF2D-3F25-4558-877A-B2AFD0B81584}"/>
    <cellStyle name="Comma 43" xfId="20610" xr:uid="{A395E6D5-36F9-4D39-8543-305DF2DF3FEE}"/>
    <cellStyle name="Comma 43 2" xfId="20613" xr:uid="{0337E38A-E83E-4C07-9517-CD589A3AEB5C}"/>
    <cellStyle name="Comma 43 2 2" xfId="20617" xr:uid="{EC12DD0A-1294-4ACD-8AE7-3B09D55AD521}"/>
    <cellStyle name="Comma 43 3" xfId="20620" xr:uid="{AECCD1E1-491F-4D4C-B085-61796B4A427E}"/>
    <cellStyle name="Comma 43 4" xfId="28849" xr:uid="{F6406C25-D6C8-45B1-9F2B-E2DE38C45560}"/>
    <cellStyle name="Comma 430" xfId="11184" xr:uid="{39174982-DD3B-42CC-9964-DBF13279C20A}"/>
    <cellStyle name="Comma 430 2" xfId="17095" xr:uid="{92AA7098-B59A-43D6-848A-F285B998BC4B}"/>
    <cellStyle name="Comma 431" xfId="28839" xr:uid="{9A9A46F1-B220-47BC-A34B-D5F46633FB57}"/>
    <cellStyle name="Comma 431 2" xfId="25511" xr:uid="{5D410F63-DFFB-45D9-A63F-98E8443A2665}"/>
    <cellStyle name="Comma 432" xfId="28843" xr:uid="{7697D31C-516C-46E7-9C7B-5BABE9B23DE7}"/>
    <cellStyle name="Comma 432 2" xfId="16720" xr:uid="{1662E1A0-9FBB-4DC8-BD68-7B7A268EB1E2}"/>
    <cellStyle name="Comma 433" xfId="16652" xr:uid="{ED440781-277F-40C5-827F-8671510F5F60}"/>
    <cellStyle name="Comma 433 2" xfId="16661" xr:uid="{E9C5CB0C-BC56-40AC-A830-919147B792F5}"/>
    <cellStyle name="Comma 434" xfId="16716" xr:uid="{B8A61398-D2E0-492A-9B18-2857A5740C54}"/>
    <cellStyle name="Comma 434 2" xfId="16729" xr:uid="{897B0745-7BB0-4182-8D9B-EB1AE9ECE9A1}"/>
    <cellStyle name="Comma 435" xfId="16759" xr:uid="{3C762C89-D20E-4C67-84EF-E9A6A6E2FF38}"/>
    <cellStyle name="Comma 435 2" xfId="16771" xr:uid="{6EE65056-8C64-4CA1-9E11-789882074B50}"/>
    <cellStyle name="Comma 436" xfId="16785" xr:uid="{D72BFFC9-4A9C-4B99-B30E-417A114A4761}"/>
    <cellStyle name="Comma 436 2" xfId="16796" xr:uid="{66640C51-9D8E-454E-BF18-7539911E521A}"/>
    <cellStyle name="Comma 437" xfId="16801" xr:uid="{49DFDE71-2DF0-4E09-B809-6F3A6991F532}"/>
    <cellStyle name="Comma 437 2" xfId="28858" xr:uid="{02B6443C-EDA2-4AC5-8D30-DA67C4DD7220}"/>
    <cellStyle name="Comma 438" xfId="16809" xr:uid="{B970409B-F2BB-4D83-8CE6-248FFB09075D}"/>
    <cellStyle name="Comma 438 2" xfId="28863" xr:uid="{58EC7F8C-CBA3-4079-826F-F10C3470F651}"/>
    <cellStyle name="Comma 439" xfId="28868" xr:uid="{5F6B8A4B-0F7F-4800-B4DD-00154278815E}"/>
    <cellStyle name="Comma 439 2" xfId="28873" xr:uid="{EE3DD4E8-5541-4E0D-B19A-DC097001EE4B}"/>
    <cellStyle name="Comma 44" xfId="2175" xr:uid="{ADD75AB8-86E9-46B8-A5D6-F4C5E3F4B300}"/>
    <cellStyle name="Comma 44 2" xfId="2180" xr:uid="{78A30FB0-0A4A-4F85-AD87-8BFAFC36A49E}"/>
    <cellStyle name="Comma 44 2 2" xfId="15027" xr:uid="{93A1F73B-F11C-476F-BF43-FD82CBE4DF4C}"/>
    <cellStyle name="Comma 44 3" xfId="28876" xr:uid="{33DB8CA0-20D0-4B0D-9D1E-D7E7757B6601}"/>
    <cellStyle name="Comma 44 4" xfId="28878" xr:uid="{E3EE530A-B056-4AF9-B712-713007B20110}"/>
    <cellStyle name="Comma 440" xfId="16760" xr:uid="{CFF9B5A3-8570-4837-8275-18808912694E}"/>
    <cellStyle name="Comma 440 2" xfId="16772" xr:uid="{7355FF33-80F0-42E6-A7CA-A8AE4E28E4A6}"/>
    <cellStyle name="Comma 441" xfId="16786" xr:uid="{0891C3D0-053E-4BBD-9901-C4D89059CACA}"/>
    <cellStyle name="Comma 441 2" xfId="16797" xr:uid="{5FBEEB28-8508-4AAE-8772-9584078DC238}"/>
    <cellStyle name="Comma 442" xfId="16802" xr:uid="{4A978679-6964-4467-8E8D-33E9192B90D7}"/>
    <cellStyle name="Comma 442 2" xfId="28859" xr:uid="{754593D6-7295-495D-B43A-68A5CB9DA2EB}"/>
    <cellStyle name="Comma 443" xfId="16810" xr:uid="{EDF631FF-DFA4-404D-B2C8-003EA68537C7}"/>
    <cellStyle name="Comma 443 2" xfId="28864" xr:uid="{0D6EC569-21A0-4F03-BCF4-90763C260079}"/>
    <cellStyle name="Comma 444" xfId="28869" xr:uid="{649502EB-A01F-44A9-ACA6-46372658B9BC}"/>
    <cellStyle name="Comma 444 2" xfId="28874" xr:uid="{13B68E10-863D-41BF-B529-A836242CBDE5}"/>
    <cellStyle name="Comma 445" xfId="24379" xr:uid="{7EA9EFD4-745C-4072-A597-A0A3D6746E47}"/>
    <cellStyle name="Comma 445 2" xfId="24385" xr:uid="{1A967999-F53F-4937-8EF0-1D87B0FA00E7}"/>
    <cellStyle name="Comma 446" xfId="24389" xr:uid="{EC023F83-33A7-4C0D-9388-7E3946478590}"/>
    <cellStyle name="Comma 446 2" xfId="28880" xr:uid="{D22CE1CE-9C18-4048-BD96-2B5CDC59FE69}"/>
    <cellStyle name="Comma 447" xfId="28884" xr:uid="{1686FC6C-8717-4273-A11F-80013777E1E6}"/>
    <cellStyle name="Comma 447 2" xfId="1935" xr:uid="{C0837F31-6B6B-4BB6-9F67-161DF6391215}"/>
    <cellStyle name="Comma 448" xfId="28888" xr:uid="{E5F7CE0E-DEBB-4A80-B1DA-FC257D117C4D}"/>
    <cellStyle name="Comma 448 2" xfId="6346" xr:uid="{8AC0C38F-9A3B-47D4-9D53-6548046614EC}"/>
    <cellStyle name="Comma 449" xfId="9678" xr:uid="{DF5FABC9-48F2-4941-97D5-49BB40416FE4}"/>
    <cellStyle name="Comma 449 2" xfId="9684" xr:uid="{28D4A100-2EC7-46B0-9223-0A083B883DA2}"/>
    <cellStyle name="Comma 45" xfId="2183" xr:uid="{841B0CCA-8EAE-48EF-8623-1BAEAF9EDE34}"/>
    <cellStyle name="Comma 45 10" xfId="3846" xr:uid="{E57AC14C-0EB2-4204-B148-FA83FD30A98A}"/>
    <cellStyle name="Comma 45 11" xfId="5160" xr:uid="{75E5369E-D9CA-4CA6-B2CA-4EF65B94BF4A}"/>
    <cellStyle name="Comma 45 12" xfId="24230" xr:uid="{5EE24522-592F-4903-AA6D-4FC7165509CF}"/>
    <cellStyle name="Comma 45 2" xfId="30348" xr:uid="{3CCAB95D-4E44-4605-844D-1B0AE919A7E4}"/>
    <cellStyle name="Comma 45 2 10" xfId="21724" xr:uid="{59E0399A-6E5C-4A6A-8013-F5106A30DB6B}"/>
    <cellStyle name="Comma 45 2 11" xfId="29703" xr:uid="{C0375483-7458-4E4D-BDEE-7E4D7785AEF8}"/>
    <cellStyle name="Comma 45 2 2" xfId="15139" xr:uid="{79889EAB-4BD5-4DCF-871D-69D17708AEE8}"/>
    <cellStyle name="Comma 45 2 2 10" xfId="30350" xr:uid="{6713C2BA-F7A3-4EAC-8CE7-9DF39C0DE557}"/>
    <cellStyle name="Comma 45 2 2 2" xfId="15142" xr:uid="{3621DDB6-B066-4496-B90C-E19EEEF834F7}"/>
    <cellStyle name="Comma 45 2 2 2 2" xfId="30353" xr:uid="{1A577CF4-F10D-4FB6-AF5B-C4B610E00757}"/>
    <cellStyle name="Comma 45 2 2 2 2 2" xfId="30358" xr:uid="{B2A3C7B1-F6AE-431D-A267-623A873A4343}"/>
    <cellStyle name="Comma 45 2 2 2 2 2 2" xfId="9530" xr:uid="{245BE2ED-7A4A-4B7E-83E2-CD88FF5A477E}"/>
    <cellStyle name="Comma 45 2 2 2 2 2 2 2" xfId="6927" xr:uid="{97A30D55-2BA0-44EC-9FC4-0203C1C85C7D}"/>
    <cellStyle name="Comma 45 2 2 2 2 2 2 2 2" xfId="6930" xr:uid="{F7FD39E2-2C3D-4266-A481-455F8E895339}"/>
    <cellStyle name="Comma 45 2 2 2 2 2 2 2 2 2" xfId="1666" xr:uid="{3EEE7CC4-A27F-431A-8CED-FAB00229BF93}"/>
    <cellStyle name="Comma 45 2 2 2 2 2 2 2 3" xfId="6933" xr:uid="{4461424B-AAEA-4583-A382-D527569D9630}"/>
    <cellStyle name="Comma 45 2 2 2 2 2 2 3" xfId="4474" xr:uid="{D473DC54-57C2-45F5-8653-566871FFEB65}"/>
    <cellStyle name="Comma 45 2 2 2 2 2 2 3 2" xfId="1336" xr:uid="{49FA6D69-BDE4-457E-A7DE-D55F3FE586DB}"/>
    <cellStyle name="Comma 45 2 2 2 2 2 2 4" xfId="74" xr:uid="{620DB198-91CC-4811-A45E-4FE12C4AE6E6}"/>
    <cellStyle name="Comma 45 2 2 2 2 2 3" xfId="9535" xr:uid="{FA832CEA-D3ED-4687-B742-F77CF015C65D}"/>
    <cellStyle name="Comma 45 2 2 2 2 2 3 2" xfId="4615" xr:uid="{11B47106-9C1A-4E05-8EF8-89425F563FF4}"/>
    <cellStyle name="Comma 45 2 2 2 2 2 3 2 2" xfId="2336" xr:uid="{F76753CB-71AC-4D3D-A8D6-BC9AEE5F5E64}"/>
    <cellStyle name="Comma 45 2 2 2 2 2 3 3" xfId="4483" xr:uid="{C9D59922-F372-41F5-AA8B-C6066E43206F}"/>
    <cellStyle name="Comma 45 2 2 2 2 2 4" xfId="20938" xr:uid="{E0C55999-D4C6-4B01-8E70-AF845580F618}"/>
    <cellStyle name="Comma 45 2 2 2 2 2 4 2" xfId="7191" xr:uid="{2C96629A-8AAD-4818-A35D-06A2E9809A0F}"/>
    <cellStyle name="Comma 45 2 2 2 2 2 5" xfId="20950" xr:uid="{982F8BB5-C1D5-4ACF-86D2-F0D6E85B9922}"/>
    <cellStyle name="Comma 45 2 2 2 2 3" xfId="28846" xr:uid="{FB340CDA-08BD-4384-A94E-BA247F0CC831}"/>
    <cellStyle name="Comma 45 2 2 2 2 3 2" xfId="9596" xr:uid="{F27D85E7-ABD1-459F-B586-214D7363A994}"/>
    <cellStyle name="Comma 45 2 2 2 2 3 2 2" xfId="30360" xr:uid="{78E69DB1-6FC9-4E2A-A20D-3376C37B6C32}"/>
    <cellStyle name="Comma 45 2 2 2 2 3 2 2 2" xfId="30362" xr:uid="{BED0AC59-BEE3-4CBD-A915-5AA033CCF9A6}"/>
    <cellStyle name="Comma 45 2 2 2 2 3 2 3" xfId="30364" xr:uid="{54A60CCE-B5DC-482B-826C-3970AC0D4377}"/>
    <cellStyle name="Comma 45 2 2 2 2 3 3" xfId="1977" xr:uid="{5E101191-E2EB-464E-B779-0BF5DF3839FF}"/>
    <cellStyle name="Comma 45 2 2 2 2 3 3 2" xfId="30366" xr:uid="{791533F5-37B2-4746-9EFB-C017BDEA3C77}"/>
    <cellStyle name="Comma 45 2 2 2 2 3 4" xfId="20966" xr:uid="{A6F36B08-C867-4F76-8C5B-3291BEA6C5E0}"/>
    <cellStyle name="Comma 45 2 2 2 2 4" xfId="30369" xr:uid="{5C399623-87FB-4118-83B7-EA9A6633F979}"/>
    <cellStyle name="Comma 45 2 2 2 2 4 2" xfId="30373" xr:uid="{9C9203C5-21B2-4608-9781-45947741C4B9}"/>
    <cellStyle name="Comma 45 2 2 2 2 4 2 2" xfId="30377" xr:uid="{F237E5F7-06C3-4F60-A9DB-E73C27F175E1}"/>
    <cellStyle name="Comma 45 2 2 2 2 4 3" xfId="30381" xr:uid="{D083517C-1D2C-4B29-95CE-5061BF497AAA}"/>
    <cellStyle name="Comma 45 2 2 2 2 5" xfId="30384" xr:uid="{E25E0982-2D7F-4042-84DA-0173F957648C}"/>
    <cellStyle name="Comma 45 2 2 2 2 5 2" xfId="30388" xr:uid="{8548F1DD-0DAB-4C55-9BD9-9832A79C9CF3}"/>
    <cellStyle name="Comma 45 2 2 2 2 6" xfId="30392" xr:uid="{1F47C038-042D-4451-BD21-5C57FEB4B54D}"/>
    <cellStyle name="Comma 45 2 2 2 2 7" xfId="30396" xr:uid="{BEB00699-FFD0-49DE-9DA9-0221A79E482B}"/>
    <cellStyle name="Comma 45 2 2 2 3" xfId="30397" xr:uid="{BFF491A7-4B96-4FD7-95E0-FFFB85EB5987}"/>
    <cellStyle name="Comma 45 2 2 2 3 2" xfId="30404" xr:uid="{965CF238-6240-471C-9DA7-5B326F53B741}"/>
    <cellStyle name="Comma 45 2 2 2 3 2 2" xfId="9753" xr:uid="{84C5F0C1-F5A8-4998-9116-84ABCF6BA487}"/>
    <cellStyle name="Comma 45 2 2 2 3 2 2 2" xfId="14806" xr:uid="{93055C9D-05FE-4C5F-8809-35402DAC55C2}"/>
    <cellStyle name="Comma 45 2 2 2 3 2 2 2 2" xfId="14809" xr:uid="{827DB600-CF3A-4587-AC8C-24A8013A8C2F}"/>
    <cellStyle name="Comma 45 2 2 2 3 2 2 3" xfId="14852" xr:uid="{10D95F15-7566-466B-A9B9-1A48F15933F3}"/>
    <cellStyle name="Comma 45 2 2 2 3 2 3" xfId="30408" xr:uid="{B45E41A1-61AB-4110-BCAF-6C8C8FEC470B}"/>
    <cellStyle name="Comma 45 2 2 2 3 2 3 2" xfId="15262" xr:uid="{DD0ACAA5-552C-4A0E-B6DC-EB075395966F}"/>
    <cellStyle name="Comma 45 2 2 2 3 2 4" xfId="20998" xr:uid="{2FEE7CE1-7282-4878-8DB5-B52CDD7EE055}"/>
    <cellStyle name="Comma 45 2 2 2 3 3" xfId="28853" xr:uid="{0860A113-EE4B-4791-B187-253C8C3A148A}"/>
    <cellStyle name="Comma 45 2 2 2 3 3 2" xfId="30413" xr:uid="{81C87743-50EB-445B-91A3-2EA5D3975A79}"/>
    <cellStyle name="Comma 45 2 2 2 3 3 2 2" xfId="30418" xr:uid="{576FE526-F416-4BAD-8F0A-A134F2832A5D}"/>
    <cellStyle name="Comma 45 2 2 2 3 3 3" xfId="30423" xr:uid="{DD0C0B1B-4035-446C-9548-8E5EB1326895}"/>
    <cellStyle name="Comma 45 2 2 2 3 4" xfId="30428" xr:uid="{D0A5A88A-63C2-4CE6-8017-DE296E72D41C}"/>
    <cellStyle name="Comma 45 2 2 2 3 4 2" xfId="30434" xr:uid="{C93B9EC5-99C8-4427-8C83-FA9831C79096}"/>
    <cellStyle name="Comma 45 2 2 2 3 5" xfId="29724" xr:uid="{F40609AA-720A-4C6A-85D7-6748E77F5949}"/>
    <cellStyle name="Comma 45 2 2 2 4" xfId="20444" xr:uid="{68B3EE0B-10E5-46FE-8025-4E69C02B8037}"/>
    <cellStyle name="Comma 45 2 2 2 4 2" xfId="20454" xr:uid="{E587A44D-2731-4B24-88A3-5C43BEA4497D}"/>
    <cellStyle name="Comma 45 2 2 2 4 2 2" xfId="30440" xr:uid="{9606EE89-371B-4CBC-A453-E96416570EC5}"/>
    <cellStyle name="Comma 45 2 2 2 4 2 2 2" xfId="30446" xr:uid="{316F87AA-9D3E-4006-B221-FAE2E30CC558}"/>
    <cellStyle name="Comma 45 2 2 2 4 2 3" xfId="30452" xr:uid="{BBEEC476-6EB9-42A8-A6A3-711207661A63}"/>
    <cellStyle name="Comma 45 2 2 2 4 3" xfId="30459" xr:uid="{E4EE5C9F-FDD5-48BF-A762-B526E08870C1}"/>
    <cellStyle name="Comma 45 2 2 2 4 3 2" xfId="30466" xr:uid="{8948215F-376E-46A1-A409-2ADE956B2F17}"/>
    <cellStyle name="Comma 45 2 2 2 4 4" xfId="30472" xr:uid="{D55458A1-DD9E-42F8-9B7B-980558C1D7C7}"/>
    <cellStyle name="Comma 45 2 2 2 5" xfId="20455" xr:uid="{5A7D5591-ABF5-47E7-BD0B-F873EF17EC13}"/>
    <cellStyle name="Comma 45 2 2 2 5 2" xfId="30473" xr:uid="{69993616-8966-4996-9BB7-0D44CC6568AF}"/>
    <cellStyle name="Comma 45 2 2 2 5 2 2" xfId="30474" xr:uid="{E61823CD-2AAA-4BE7-8F67-345574C7F803}"/>
    <cellStyle name="Comma 45 2 2 2 5 3" xfId="30475" xr:uid="{A079EA26-2997-4A6F-B16F-AF69669BC8EA}"/>
    <cellStyle name="Comma 45 2 2 2 6" xfId="30476" xr:uid="{957F3107-DE75-43EE-970E-76854A4E078F}"/>
    <cellStyle name="Comma 45 2 2 2 6 2" xfId="28664" xr:uid="{80D646EE-BEC2-4CE9-AEA4-F7B6BC9770E6}"/>
    <cellStyle name="Comma 45 2 2 2 7" xfId="30477" xr:uid="{4E7FAE2C-0BEE-412B-AFDD-F026B80E571A}"/>
    <cellStyle name="Comma 45 2 2 2 8" xfId="30478" xr:uid="{9B95F8F0-2241-44DE-928C-739E7735FCD4}"/>
    <cellStyle name="Comma 45 2 2 3" xfId="8712" xr:uid="{92BC052B-A224-43CB-9320-AAC61BEF6D6A}"/>
    <cellStyle name="Comma 45 2 2 3 2" xfId="11243" xr:uid="{3B631A63-A76A-44F5-AF45-3B87B912FE8D}"/>
    <cellStyle name="Comma 45 2 2 3 2 2" xfId="15036" xr:uid="{7545A5E0-F9EF-4C27-BE06-E707CBE36094}"/>
    <cellStyle name="Comma 45 2 2 3 2 2 2" xfId="9989" xr:uid="{FFF2AAC5-FA01-45F8-B949-15DDE576EB5B}"/>
    <cellStyle name="Comma 45 2 2 3 2 2 2 2" xfId="15043" xr:uid="{1DD08A8F-DE6D-4E08-B88F-58F735B9D42E}"/>
    <cellStyle name="Comma 45 2 2 3 2 2 2 2 2" xfId="30479" xr:uid="{0B04DDEA-DFC3-480F-AE2F-DB2C214310AE}"/>
    <cellStyle name="Comma 45 2 2 3 2 2 2 3" xfId="30482" xr:uid="{BAA8F441-9AAB-4FCC-B97B-812617512944}"/>
    <cellStyle name="Comma 45 2 2 3 2 2 3" xfId="15045" xr:uid="{78CE617B-C30F-4D66-9E06-9EB66593FFA0}"/>
    <cellStyle name="Comma 45 2 2 3 2 2 3 2" xfId="30483" xr:uid="{8A38E3CC-913D-4D41-BBC3-2461034500BB}"/>
    <cellStyle name="Comma 45 2 2 3 2 2 4" xfId="21058" xr:uid="{78FF344E-E327-468A-BCED-32915164B61B}"/>
    <cellStyle name="Comma 45 2 2 3 2 3" xfId="15047" xr:uid="{8CEC0CF9-EAC1-477C-9C00-6F8BC228370E}"/>
    <cellStyle name="Comma 45 2 2 3 2 3 2" xfId="15053" xr:uid="{880535D8-8E13-4F0C-8C26-529E42507166}"/>
    <cellStyle name="Comma 45 2 2 3 2 3 2 2" xfId="30485" xr:uid="{B9490D76-3447-4A78-93C3-967EE9BBB7A7}"/>
    <cellStyle name="Comma 45 2 2 3 2 3 3" xfId="30487" xr:uid="{AF7EB41A-A05C-449C-8CCC-F795088D4282}"/>
    <cellStyle name="Comma 45 2 2 3 2 4" xfId="15055" xr:uid="{DBD08BA2-54B7-4ABA-8629-419CD68316B2}"/>
    <cellStyle name="Comma 45 2 2 3 2 4 2" xfId="30489" xr:uid="{7C97C435-F5F7-4F48-951A-3F36268CE726}"/>
    <cellStyle name="Comma 45 2 2 3 2 5" xfId="30490" xr:uid="{24CFC42F-F3FE-4D90-B8FE-7CF9E2E16CDE}"/>
    <cellStyle name="Comma 45 2 2 3 3" xfId="15059" xr:uid="{28488EE4-0C80-4959-8C46-73E50D9FFA89}"/>
    <cellStyle name="Comma 45 2 2 3 3 2" xfId="15062" xr:uid="{E9FBEEB3-8F9C-456A-95EB-5554FD02244F}"/>
    <cellStyle name="Comma 45 2 2 3 3 2 2" xfId="15064" xr:uid="{886DACA3-A724-47A9-B878-C381288BBB9B}"/>
    <cellStyle name="Comma 45 2 2 3 3 2 2 2" xfId="30493" xr:uid="{D7156A23-B197-4607-944B-59A0770F5632}"/>
    <cellStyle name="Comma 45 2 2 3 3 2 3" xfId="30494" xr:uid="{E735ABCF-0448-4FD3-A16D-36FDE6040E2B}"/>
    <cellStyle name="Comma 45 2 2 3 3 3" xfId="15066" xr:uid="{3A3155FD-0D02-4F3F-9934-6BFD7160E5CD}"/>
    <cellStyle name="Comma 45 2 2 3 3 3 2" xfId="30496" xr:uid="{0812B826-D3FC-406D-B0EF-A9856375BDA7}"/>
    <cellStyle name="Comma 45 2 2 3 3 4" xfId="30497" xr:uid="{11AC597C-04B9-42B6-A8E6-F8C53DDBBF89}"/>
    <cellStyle name="Comma 45 2 2 3 4" xfId="10450" xr:uid="{49B1232E-50BD-40CC-A09E-B97BA069029A}"/>
    <cellStyle name="Comma 45 2 2 3 4 2" xfId="15069" xr:uid="{95CB031A-2B8E-42B2-B580-CA79A34E7EB1}"/>
    <cellStyle name="Comma 45 2 2 3 4 2 2" xfId="30498" xr:uid="{378892F3-812F-4908-853E-671D5C85358D}"/>
    <cellStyle name="Comma 45 2 2 3 4 3" xfId="30499" xr:uid="{EBEE2E3E-9B81-4557-9E55-636EA8C00567}"/>
    <cellStyle name="Comma 45 2 2 3 5" xfId="15071" xr:uid="{B937AF78-E515-44C7-9D5A-26E0B0FDE440}"/>
    <cellStyle name="Comma 45 2 2 3 5 2" xfId="30502" xr:uid="{5C36F7D4-7746-433F-A046-1E281DA4D277}"/>
    <cellStyle name="Comma 45 2 2 3 6" xfId="15073" xr:uid="{91B87E43-FBE2-49AC-B8A0-38A9A8961686}"/>
    <cellStyle name="Comma 45 2 2 3 7" xfId="30503" xr:uid="{544BFDFC-99AD-44A8-89AA-A25E6BF5A7B0}"/>
    <cellStyle name="Comma 45 2 2 4" xfId="11248" xr:uid="{7CA1D228-700C-4BB6-900B-794CFCF90A42}"/>
    <cellStyle name="Comma 45 2 2 4 2" xfId="15149" xr:uid="{55D4EF91-1215-49E7-B0B1-79EB820140D4}"/>
    <cellStyle name="Comma 45 2 2 4 2 2" xfId="15156" xr:uid="{64D7A3FC-79F4-4DE8-902F-8B91971D6498}"/>
    <cellStyle name="Comma 45 2 2 4 2 2 2" xfId="15160" xr:uid="{CD71C044-DA84-4493-964E-80E318626A9E}"/>
    <cellStyle name="Comma 45 2 2 4 2 2 2 2" xfId="30505" xr:uid="{A790CD55-31F8-44BE-97C0-83F3B1C7744C}"/>
    <cellStyle name="Comma 45 2 2 4 2 2 3" xfId="11273" xr:uid="{EF83057E-3C0C-4EB9-BF0E-3E0DE5D592EB}"/>
    <cellStyle name="Comma 45 2 2 4 2 3" xfId="15165" xr:uid="{7BE90DBD-BF92-4FA2-B2D9-5834DAF94194}"/>
    <cellStyle name="Comma 45 2 2 4 2 3 2" xfId="25620" xr:uid="{A66AE8D6-6BE3-44FF-8C3F-320D659F6984}"/>
    <cellStyle name="Comma 45 2 2 4 2 4" xfId="25631" xr:uid="{7DB25108-24F4-4548-B1B6-4E339B70460E}"/>
    <cellStyle name="Comma 45 2 2 4 3" xfId="15169" xr:uid="{4BA431D8-0C94-4DB0-B2CA-B2977BF284DC}"/>
    <cellStyle name="Comma 45 2 2 4 3 2" xfId="15178" xr:uid="{A877698C-9AE3-4996-94D1-886FC0026BA0}"/>
    <cellStyle name="Comma 45 2 2 4 3 2 2" xfId="16179" xr:uid="{AE7CDFA7-F79E-4846-9169-58DC7FEE0580}"/>
    <cellStyle name="Comma 45 2 2 4 3 3" xfId="16185" xr:uid="{26868201-22A7-4438-BA3B-438B2D9D6119}"/>
    <cellStyle name="Comma 45 2 2 4 4" xfId="15182" xr:uid="{30B001D2-34A2-4D3E-9563-75AA032B9E71}"/>
    <cellStyle name="Comma 45 2 2 4 4 2" xfId="16199" xr:uid="{1619001A-891B-4D87-B583-B8BF9973A43B}"/>
    <cellStyle name="Comma 45 2 2 4 5" xfId="15185" xr:uid="{CBE3FDCC-FBE7-44CB-94FA-569A9837BB42}"/>
    <cellStyle name="Comma 45 2 2 5" xfId="30506" xr:uid="{8EE0239F-41E9-46AE-BCAA-E2B9881B8835}"/>
    <cellStyle name="Comma 45 2 2 5 2" xfId="15227" xr:uid="{81E7AC5E-59A3-4B9D-8F90-10FFDD1F1532}"/>
    <cellStyle name="Comma 45 2 2 5 2 2" xfId="15229" xr:uid="{35D34C82-4960-4D19-9D9E-C29A0AAAE76F}"/>
    <cellStyle name="Comma 45 2 2 5 2 2 2" xfId="30507" xr:uid="{7224D83A-B07B-46D5-BB74-5CA13AC1CAC9}"/>
    <cellStyle name="Comma 45 2 2 5 2 3" xfId="30510" xr:uid="{52AD4701-EE1F-4367-8055-158F5762A6E7}"/>
    <cellStyle name="Comma 45 2 2 5 3" xfId="15232" xr:uid="{7DBE41B3-0A64-4BAE-BDA5-14235C176F62}"/>
    <cellStyle name="Comma 45 2 2 5 3 2" xfId="5803" xr:uid="{DAED64F4-C76F-4C5B-9E97-7DF4A840EE5A}"/>
    <cellStyle name="Comma 45 2 2 5 4" xfId="8640" xr:uid="{2A14336F-D6AC-4BF7-8C14-7129ADE9D172}"/>
    <cellStyle name="Comma 45 2 2 6" xfId="30511" xr:uid="{CB88BAAA-337F-4EB0-B50C-BF9A32DBB401}"/>
    <cellStyle name="Comma 45 2 2 6 2" xfId="15260" xr:uid="{21638363-F39F-4471-AC8E-7571B0F19921}"/>
    <cellStyle name="Comma 45 2 2 6 2 2" xfId="30512" xr:uid="{0B7EE5F3-CEC1-4A62-A620-A7C37B3D990B}"/>
    <cellStyle name="Comma 45 2 2 6 3" xfId="16211" xr:uid="{18FF3F44-2465-47E1-B8EF-B19277AF78CD}"/>
    <cellStyle name="Comma 45 2 2 7" xfId="30513" xr:uid="{439C2CA2-59EA-4661-901F-96E9BABFB376}"/>
    <cellStyle name="Comma 45 2 2 7 2" xfId="30514" xr:uid="{5EA205BD-422B-4D6A-AEFD-5F0DA20A76C7}"/>
    <cellStyle name="Comma 45 2 2 8" xfId="30515" xr:uid="{A63DBE77-67BD-4A60-BCCF-B6C1E306DAF6}"/>
    <cellStyle name="Comma 45 2 2 9" xfId="30516" xr:uid="{C68102B3-582D-4565-9BA0-13C7F7B8CB20}"/>
    <cellStyle name="Comma 45 2 3" xfId="15146" xr:uid="{8C865737-E81E-4451-A814-F90C6E996E81}"/>
    <cellStyle name="Comma 45 2 3 2" xfId="30517" xr:uid="{7E442AD5-986F-4B21-80B2-22D0415F3084}"/>
    <cellStyle name="Comma 45 2 3 2 2" xfId="30518" xr:uid="{082BFF33-BA4F-4151-894E-4F8924AE74D1}"/>
    <cellStyle name="Comma 45 2 3 2 2 2" xfId="30519" xr:uid="{182273C5-B64E-42BC-B1FD-C58C5798AA3C}"/>
    <cellStyle name="Comma 45 2 3 2 2 2 2" xfId="4633" xr:uid="{982D5783-35B5-4EDE-BE3D-FCAB3AD9F400}"/>
    <cellStyle name="Comma 45 2 3 2 2 2 2 2" xfId="30521" xr:uid="{6C7DFCBE-13B7-4980-82A2-160D278931AB}"/>
    <cellStyle name="Comma 45 2 3 2 2 2 2 2 2" xfId="30523" xr:uid="{35B460CF-5894-44B6-9796-C1F3F639AAAC}"/>
    <cellStyle name="Comma 45 2 3 2 2 2 2 3" xfId="30525" xr:uid="{1A6036F0-F55D-44D1-84BD-F0246340D391}"/>
    <cellStyle name="Comma 45 2 3 2 2 2 3" xfId="13095" xr:uid="{576EEF86-63CE-4CF5-8CD2-E45FEA9F95F3}"/>
    <cellStyle name="Comma 45 2 3 2 2 2 3 2" xfId="25833" xr:uid="{70687538-C5F6-4D15-B7A7-33A068FC49D7}"/>
    <cellStyle name="Comma 45 2 3 2 2 2 4" xfId="21194" xr:uid="{E7DF4B2D-6518-4617-8F96-349D2EF2DEE1}"/>
    <cellStyle name="Comma 45 2 3 2 2 3" xfId="30526" xr:uid="{29829844-6B4F-4B52-A231-0684EC2FF88D}"/>
    <cellStyle name="Comma 45 2 3 2 2 3 2" xfId="13161" xr:uid="{0CE339F5-90B2-499D-BCD2-975ADFB3DAA0}"/>
    <cellStyle name="Comma 45 2 3 2 2 3 2 2" xfId="30529" xr:uid="{8D2EED1F-7285-45F2-AD8F-24F7C762AE60}"/>
    <cellStyle name="Comma 45 2 3 2 2 3 3" xfId="30532" xr:uid="{2AF13B5A-0DA4-447D-8AC7-B9046FD63D1B}"/>
    <cellStyle name="Comma 45 2 3 2 2 4" xfId="30533" xr:uid="{E358D616-0A98-439D-8F54-D14B55A9475C}"/>
    <cellStyle name="Comma 45 2 3 2 2 4 2" xfId="30536" xr:uid="{C264F492-FD80-4D6D-81EC-132A53B24ECE}"/>
    <cellStyle name="Comma 45 2 3 2 2 5" xfId="30537" xr:uid="{CFDC0C52-7990-4FB6-B46C-E8E674A6D8C8}"/>
    <cellStyle name="Comma 45 2 3 2 3" xfId="30538" xr:uid="{16580555-6FBE-4027-9B6A-51E5D7BC182F}"/>
    <cellStyle name="Comma 45 2 3 2 3 2" xfId="30539" xr:uid="{DFA13AF3-FE76-456D-BFF9-F3891B477603}"/>
    <cellStyle name="Comma 45 2 3 2 3 2 2" xfId="13294" xr:uid="{72814D3E-A063-4C75-9B69-044159C486FB}"/>
    <cellStyle name="Comma 45 2 3 2 3 2 2 2" xfId="30541" xr:uid="{C302F03F-085A-47E3-B4F1-F1EFF0395130}"/>
    <cellStyle name="Comma 45 2 3 2 3 2 3" xfId="30543" xr:uid="{97AEA0CC-B716-468A-A5DE-DFD3B5E03E86}"/>
    <cellStyle name="Comma 45 2 3 2 3 3" xfId="30544" xr:uid="{443F97BC-B1D5-4E4B-BC16-9C48C7B2C92E}"/>
    <cellStyle name="Comma 45 2 3 2 3 3 2" xfId="30547" xr:uid="{F234DAA4-AF2C-4ED9-BE4F-59B869F8456D}"/>
    <cellStyle name="Comma 45 2 3 2 3 4" xfId="30548" xr:uid="{194DC9A8-48AB-404A-A998-77E38971965F}"/>
    <cellStyle name="Comma 45 2 3 2 4" xfId="20458" xr:uid="{4DDF9ED9-4264-4C23-99C1-8AB798A5B717}"/>
    <cellStyle name="Comma 45 2 3 2 4 2" xfId="30549" xr:uid="{B4C756F3-8292-4E1B-9E1A-D52E986E0885}"/>
    <cellStyle name="Comma 45 2 3 2 4 2 2" xfId="30551" xr:uid="{5EB6EBEE-5838-4138-8D2B-9BCDED5205EE}"/>
    <cellStyle name="Comma 45 2 3 2 4 3" xfId="14935" xr:uid="{C412B352-4F35-4BD0-8DD2-8AFE1C10E8E5}"/>
    <cellStyle name="Comma 45 2 3 2 5" xfId="30552" xr:uid="{90437B6C-9095-4D50-8180-3B973709D4C4}"/>
    <cellStyle name="Comma 45 2 3 2 5 2" xfId="30553" xr:uid="{E2B0AB86-D093-4049-809C-87CC8B74B56B}"/>
    <cellStyle name="Comma 45 2 3 2 6" xfId="30554" xr:uid="{36ECC0FA-A946-44BB-B72B-89B4EF609AD8}"/>
    <cellStyle name="Comma 45 2 3 2 7" xfId="30555" xr:uid="{5BD77FF8-EE0B-428A-9C8F-CABD3D8D26AD}"/>
    <cellStyle name="Comma 45 2 3 3" xfId="11252" xr:uid="{4F312ED0-E4E7-499E-8488-093B6002F7D4}"/>
    <cellStyle name="Comma 45 2 3 3 2" xfId="15386" xr:uid="{D7C79861-FDD9-41DD-B410-36A11287B6B8}"/>
    <cellStyle name="Comma 45 2 3 3 2 2" xfId="15388" xr:uid="{51928A27-AF7F-437F-97FB-A99890513FE1}"/>
    <cellStyle name="Comma 45 2 3 3 2 2 2" xfId="13610" xr:uid="{B839C9F0-CEA0-47D8-984F-DF43038F3B5C}"/>
    <cellStyle name="Comma 45 2 3 3 2 2 2 2" xfId="30557" xr:uid="{025D3B3C-98FB-46BB-BAC1-8592F7CABAF8}"/>
    <cellStyle name="Comma 45 2 3 3 2 2 3" xfId="30559" xr:uid="{28BCDC34-F0FC-43EF-A16F-73D488F0418D}"/>
    <cellStyle name="Comma 45 2 3 3 2 3" xfId="15391" xr:uid="{CC6F35F1-96AA-42EA-B194-2F0FC7AFA200}"/>
    <cellStyle name="Comma 45 2 3 3 2 3 2" xfId="30562" xr:uid="{0C1891E6-95EC-4A18-8C68-E105B9A94F04}"/>
    <cellStyle name="Comma 45 2 3 3 2 4" xfId="30563" xr:uid="{2DF8F435-D95B-4CBC-8870-1C986F4397BD}"/>
    <cellStyle name="Comma 45 2 3 3 3" xfId="15394" xr:uid="{4651E507-837F-4DC9-B0EA-5A4812A60F71}"/>
    <cellStyle name="Comma 45 2 3 3 3 2" xfId="15397" xr:uid="{1D0890F0-FF6D-4B3D-AC6A-E3B688D32817}"/>
    <cellStyle name="Comma 45 2 3 3 3 2 2" xfId="30565" xr:uid="{16A59A7F-078C-41F8-88EF-C04DE4441FCE}"/>
    <cellStyle name="Comma 45 2 3 3 3 3" xfId="30566" xr:uid="{091F8599-2183-4E69-BF86-2D9A5106856E}"/>
    <cellStyle name="Comma 45 2 3 3 4" xfId="15400" xr:uid="{8ACF64FF-512F-4281-9A7C-2748BBCA7EC4}"/>
    <cellStyle name="Comma 45 2 3 3 4 2" xfId="30567" xr:uid="{B1CBC469-5545-4AD0-ACF7-2ADF44E5511A}"/>
    <cellStyle name="Comma 45 2 3 3 5" xfId="15402" xr:uid="{8BA84709-ECE0-4B02-8673-EB51FC637A58}"/>
    <cellStyle name="Comma 45 2 3 4" xfId="30568" xr:uid="{9B029A0C-34D4-4B6F-A6F8-CD0DCB179C61}"/>
    <cellStyle name="Comma 45 2 3 4 2" xfId="15439" xr:uid="{505CBE44-3B26-4EE5-8A6D-1D3AAA2FC9C1}"/>
    <cellStyle name="Comma 45 2 3 4 2 2" xfId="15441" xr:uid="{81FD7794-C3C0-465B-91AD-108768670273}"/>
    <cellStyle name="Comma 45 2 3 4 2 2 2" xfId="30570" xr:uid="{3F159480-79C8-431D-99F2-F9947E381FEE}"/>
    <cellStyle name="Comma 45 2 3 4 2 3" xfId="30571" xr:uid="{C0D19504-DEDA-4803-95C3-A43C83520CB9}"/>
    <cellStyle name="Comma 45 2 3 4 3" xfId="15445" xr:uid="{CD4CBAB9-3A91-418B-8BC2-71B3D8C9D28D}"/>
    <cellStyle name="Comma 45 2 3 4 3 2" xfId="16224" xr:uid="{3A8F76AA-0C17-48F2-9311-8EC2D1A7CAA2}"/>
    <cellStyle name="Comma 45 2 3 4 4" xfId="15448" xr:uid="{A1601F2D-C23D-4A48-A426-BB67C01A2F04}"/>
    <cellStyle name="Comma 45 2 3 5" xfId="30572" xr:uid="{0F661343-DB4C-41CC-B5B6-49F4D8DCA752}"/>
    <cellStyle name="Comma 45 2 3 5 2" xfId="15472" xr:uid="{D1308320-F44F-437B-AFF2-B50219BF4336}"/>
    <cellStyle name="Comma 45 2 3 5 2 2" xfId="30573" xr:uid="{68BEF699-CEC4-484B-879F-AD9D4D6D988F}"/>
    <cellStyle name="Comma 45 2 3 5 3" xfId="16238" xr:uid="{E72A2991-3B15-49CB-8A22-21FF78B75A1D}"/>
    <cellStyle name="Comma 45 2 3 6" xfId="30574" xr:uid="{CFC5ED1E-2CDC-434B-A3A6-77F4B01F5104}"/>
    <cellStyle name="Comma 45 2 3 6 2" xfId="30575" xr:uid="{EFB0E843-7118-479F-90E7-3F4D6D9C0AEB}"/>
    <cellStyle name="Comma 45 2 3 7" xfId="30576" xr:uid="{059159F4-DCD7-4962-B7E4-5AEC8ACFEF40}"/>
    <cellStyle name="Comma 45 2 3 8" xfId="29507" xr:uid="{C7DC6DCC-F889-48FD-A7B7-10B0D3288FF9}"/>
    <cellStyle name="Comma 45 2 4" xfId="30577" xr:uid="{AD0391DA-E12E-4F83-9044-5D27A069DD47}"/>
    <cellStyle name="Comma 45 2 4 2" xfId="30578" xr:uid="{0542398C-9DC5-44EF-A755-CA1A5CD835C3}"/>
    <cellStyle name="Comma 45 2 4 2 2" xfId="30579" xr:uid="{F4C19DB2-7893-4056-AE09-3ABD290577EA}"/>
    <cellStyle name="Comma 45 2 4 2 2 2" xfId="30580" xr:uid="{32715F95-A6FD-4E8F-9AC8-27B060934947}"/>
    <cellStyle name="Comma 45 2 4 2 2 2 2" xfId="15339" xr:uid="{ED8CC503-BEDD-4C61-A7A2-711C2E450ACA}"/>
    <cellStyle name="Comma 45 2 4 2 2 2 2 2" xfId="30581" xr:uid="{CD6B70AF-8B6B-4F9F-BBCA-139CDCB5F04E}"/>
    <cellStyle name="Comma 45 2 4 2 2 2 3" xfId="27152" xr:uid="{6EEEC73A-A170-4B9C-9058-03DFA44DFF67}"/>
    <cellStyle name="Comma 45 2 4 2 2 3" xfId="30582" xr:uid="{8C1DEE5E-B473-47F0-99E7-230C585AA0FE}"/>
    <cellStyle name="Comma 45 2 4 2 2 3 2" xfId="30583" xr:uid="{280C7ED8-1660-4870-B7D0-0600417A65A5}"/>
    <cellStyle name="Comma 45 2 4 2 2 4" xfId="30584" xr:uid="{92D1D170-8D80-4459-92FA-53940B2EEB6C}"/>
    <cellStyle name="Comma 45 2 4 2 3" xfId="30585" xr:uid="{92B5C870-A53C-4EBB-8FDA-2375971B0C33}"/>
    <cellStyle name="Comma 45 2 4 2 3 2" xfId="30586" xr:uid="{86965897-2F74-40C3-ACAC-044A9AD53881}"/>
    <cellStyle name="Comma 45 2 4 2 3 2 2" xfId="30587" xr:uid="{F12F2E8E-3275-4D80-9730-10F891A27997}"/>
    <cellStyle name="Comma 45 2 4 2 3 3" xfId="30588" xr:uid="{ED027239-1FA6-44CA-9E45-BF82D7EA3EFF}"/>
    <cellStyle name="Comma 45 2 4 2 4" xfId="30589" xr:uid="{1260CCBE-1C0E-4AB3-8BB2-4011645A4C27}"/>
    <cellStyle name="Comma 45 2 4 2 4 2" xfId="30590" xr:uid="{3831355E-9572-45B9-9BE8-929D1263A7D2}"/>
    <cellStyle name="Comma 45 2 4 2 5" xfId="30591" xr:uid="{6484EF46-713B-4C6A-BA90-BB9AD1F0D2D8}"/>
    <cellStyle name="Comma 45 2 4 3" xfId="30592" xr:uid="{DDEA418F-0719-46F3-A052-0B1A08CD09FB}"/>
    <cellStyle name="Comma 45 2 4 3 2" xfId="15557" xr:uid="{C1D52F00-FD6A-46B9-A476-F5C2BF70AD32}"/>
    <cellStyle name="Comma 45 2 4 3 2 2" xfId="15559" xr:uid="{7A0CC5DF-D24E-4D85-94CE-5E5A54028F6E}"/>
    <cellStyle name="Comma 45 2 4 3 2 2 2" xfId="30593" xr:uid="{62BFCEB0-94F0-4AF7-B6A2-D99876ECCB64}"/>
    <cellStyle name="Comma 45 2 4 3 2 3" xfId="30594" xr:uid="{CF32FB15-1283-48F7-A530-A9EC6354C391}"/>
    <cellStyle name="Comma 45 2 4 3 3" xfId="15562" xr:uid="{1490BAAD-0389-4549-8CFA-C69D2E700E47}"/>
    <cellStyle name="Comma 45 2 4 3 3 2" xfId="30595" xr:uid="{F011E9B8-29ED-40FD-A510-DA2F1EB81C98}"/>
    <cellStyle name="Comma 45 2 4 3 4" xfId="15564" xr:uid="{98C5A663-05D1-49A7-821B-CF1E0EC36FD4}"/>
    <cellStyle name="Comma 45 2 4 4" xfId="30597" xr:uid="{1666332A-59CD-4F2A-BAC1-19C2DF681EE1}"/>
    <cellStyle name="Comma 45 2 4 4 2" xfId="15590" xr:uid="{39FB47BD-3E74-4CD3-9CB3-51EDC18341C2}"/>
    <cellStyle name="Comma 45 2 4 4 2 2" xfId="8066" xr:uid="{0A78F323-BA78-44C9-BC51-79CC9353CEB2}"/>
    <cellStyle name="Comma 45 2 4 4 3" xfId="16248" xr:uid="{4C875524-F57B-4693-8E96-59D37013EDB4}"/>
    <cellStyle name="Comma 45 2 4 5" xfId="30599" xr:uid="{77BD4B3E-8D1F-4D3E-9C4C-84F042F0CDD6}"/>
    <cellStyle name="Comma 45 2 4 5 2" xfId="30600" xr:uid="{9A853E2D-56C7-4CEF-A496-DECD7F7553C5}"/>
    <cellStyle name="Comma 45 2 4 6" xfId="30601" xr:uid="{85AAF713-5D2A-4394-A443-4BDCB3C18B37}"/>
    <cellStyle name="Comma 45 2 4 7" xfId="30602" xr:uid="{1BC2F960-52B7-49E3-B611-66CF5DD5B118}"/>
    <cellStyle name="Comma 45 2 5" xfId="30603" xr:uid="{548494DD-13DE-4F16-BED6-63E9D993EFA6}"/>
    <cellStyle name="Comma 45 2 5 2" xfId="30604" xr:uid="{B128F130-E148-4BC7-BF7A-834900B55BFB}"/>
    <cellStyle name="Comma 45 2 5 2 2" xfId="30605" xr:uid="{0D518B55-07EB-42B1-8FB9-47E2B9175CA0}"/>
    <cellStyle name="Comma 45 2 5 2 2 2" xfId="30606" xr:uid="{CB3705A3-64CF-4B4E-9D3F-9EC7A4F0C9A9}"/>
    <cellStyle name="Comma 45 2 5 2 2 2 2" xfId="30608" xr:uid="{09548DCA-0A2E-4AF6-9F47-11D247228FE1}"/>
    <cellStyle name="Comma 45 2 5 2 2 3" xfId="30609" xr:uid="{28AA3EA3-221B-4A32-8795-0801745F1F23}"/>
    <cellStyle name="Comma 45 2 5 2 3" xfId="6013" xr:uid="{D9104CA2-710F-49C8-BF0F-BFD71C297F14}"/>
    <cellStyle name="Comma 45 2 5 2 3 2" xfId="6017" xr:uid="{70612CFA-31B9-4F82-8796-21BBB8E7F45F}"/>
    <cellStyle name="Comma 45 2 5 2 4" xfId="6019" xr:uid="{C8B21B1A-F2B8-42C1-B004-46ACF7F94818}"/>
    <cellStyle name="Comma 45 2 5 3" xfId="30610" xr:uid="{3637E8D4-5573-44A2-8623-786C2F80BB2B}"/>
    <cellStyle name="Comma 45 2 5 3 2" xfId="925" xr:uid="{793ADBFB-EB63-41F6-82F0-460C1C147640}"/>
    <cellStyle name="Comma 45 2 5 3 2 2" xfId="30611" xr:uid="{821238F8-F080-4E28-AD0F-41179C5603A9}"/>
    <cellStyle name="Comma 45 2 5 3 3" xfId="929" xr:uid="{A205B165-EB54-419D-819F-5728E902B303}"/>
    <cellStyle name="Comma 45 2 5 4" xfId="30613" xr:uid="{3B4A2A8A-E73C-42BD-B38C-3EC9203158EA}"/>
    <cellStyle name="Comma 45 2 5 4 2" xfId="30615" xr:uid="{C8F3D198-B4A0-455D-84E0-43AC16682E41}"/>
    <cellStyle name="Comma 45 2 5 5" xfId="30617" xr:uid="{EE275EEC-652A-41B6-929F-1BF42A8EE0E9}"/>
    <cellStyle name="Comma 45 2 6" xfId="30620" xr:uid="{0CD9FD7B-E607-48F0-9162-CE86F8A65C43}"/>
    <cellStyle name="Comma 45 2 6 2" xfId="26879" xr:uid="{64316063-3C7E-411B-BEC3-8B31E032D3D5}"/>
    <cellStyle name="Comma 45 2 6 2 2" xfId="26882" xr:uid="{5D716011-584B-4A2B-A857-B4609E264A9D}"/>
    <cellStyle name="Comma 45 2 6 2 2 2" xfId="26887" xr:uid="{18B4E499-3BF8-4057-B297-81FE32FCFA4B}"/>
    <cellStyle name="Comma 45 2 6 2 3" xfId="6044" xr:uid="{AA732D33-1AB8-49C2-B760-306812C08552}"/>
    <cellStyle name="Comma 45 2 6 3" xfId="26891" xr:uid="{B4C6927C-CEED-4238-A6DF-5F8AC23359AC}"/>
    <cellStyle name="Comma 45 2 6 3 2" xfId="26894" xr:uid="{BD08EE72-3713-4ABF-9751-5BC592FFE750}"/>
    <cellStyle name="Comma 45 2 6 4" xfId="26899" xr:uid="{0617B59E-57E0-4234-89E8-70EEBD393A20}"/>
    <cellStyle name="Comma 45 2 7" xfId="30621" xr:uid="{6EC44705-A38B-42AD-91E1-EF3206659A7A}"/>
    <cellStyle name="Comma 45 2 7 2" xfId="26939" xr:uid="{C17DB32C-50BF-4045-A3D9-8DF89A5B7CA2}"/>
    <cellStyle name="Comma 45 2 7 2 2" xfId="26942" xr:uid="{C086B8D7-B13E-44CF-B93A-1F0688D35703}"/>
    <cellStyle name="Comma 45 2 7 3" xfId="26946" xr:uid="{300476CA-8553-4C62-AC99-1CCF362EECC4}"/>
    <cellStyle name="Comma 45 2 8" xfId="30622" xr:uid="{C02C05E3-9C16-447B-B108-C19CDC0AE55A}"/>
    <cellStyle name="Comma 45 2 8 2" xfId="13289" xr:uid="{1E1F037A-E0C1-4D02-8E5F-2E5E85A2B9BD}"/>
    <cellStyle name="Comma 45 2 9" xfId="30625" xr:uid="{C4AB4A99-7D01-441B-8822-3F1D95FA17B1}"/>
    <cellStyle name="Comma 45 3" xfId="30626" xr:uid="{9BE6605C-828C-4673-B530-6EAADA39CFC7}"/>
    <cellStyle name="Comma 45 3 10" xfId="24043" xr:uid="{9119B2D4-7C63-466A-BC77-CD5FA272AC12}"/>
    <cellStyle name="Comma 45 3 2" xfId="15163" xr:uid="{3367A7E9-63E6-4C4D-A097-78BDCCFC1D98}"/>
    <cellStyle name="Comma 45 3 2 2" xfId="25619" xr:uid="{D334FDB3-7F2C-4988-93B8-0841806033F9}"/>
    <cellStyle name="Comma 45 3 2 2 2" xfId="30628" xr:uid="{5C48234C-350D-4153-AA29-BE7E89F0EF36}"/>
    <cellStyle name="Comma 45 3 2 2 2 2" xfId="19540" xr:uid="{F9762230-FD53-43DB-A572-533EE7EB30C1}"/>
    <cellStyle name="Comma 45 3 2 2 2 2 2" xfId="2219" xr:uid="{50FA0CFE-BCA9-469C-B356-669894400CBA}"/>
    <cellStyle name="Comma 45 3 2 2 2 2 2 2" xfId="2223" xr:uid="{24E3144B-A604-4885-9913-646B44BFE927}"/>
    <cellStyle name="Comma 45 3 2 2 2 2 2 2 2" xfId="30630" xr:uid="{739A3BF2-599C-4D1F-90C0-138A2CDAA4FC}"/>
    <cellStyle name="Comma 45 3 2 2 2 2 2 3" xfId="30631" xr:uid="{77BF6296-8F0B-47D9-B333-C36BF43C98CB}"/>
    <cellStyle name="Comma 45 3 2 2 2 2 3" xfId="2228" xr:uid="{8CA474AC-BDC8-4C2E-85EC-EC4821A45096}"/>
    <cellStyle name="Comma 45 3 2 2 2 2 3 2" xfId="30632" xr:uid="{D21A1600-333F-4B4D-AB1B-34E101E9D2BF}"/>
    <cellStyle name="Comma 45 3 2 2 2 2 4" xfId="21450" xr:uid="{9F96109A-EA6C-4C11-85DF-4CDA8633F619}"/>
    <cellStyle name="Comma 45 3 2 2 2 3" xfId="19543" xr:uid="{CA190B9E-3A6F-48D6-A9E1-111C9F51536B}"/>
    <cellStyle name="Comma 45 3 2 2 2 3 2" xfId="2251" xr:uid="{8DA48A99-D6A1-400A-B639-8569BE81F03C}"/>
    <cellStyle name="Comma 45 3 2 2 2 3 2 2" xfId="5558" xr:uid="{0BAF5F03-090E-49F4-A777-9A9FBC6940D9}"/>
    <cellStyle name="Comma 45 3 2 2 2 3 3" xfId="23848" xr:uid="{06F0C66E-7FAC-481C-BA61-2D6EBF9A2557}"/>
    <cellStyle name="Comma 45 3 2 2 2 4" xfId="30633" xr:uid="{7F65D263-99F6-462A-9B97-E7A2F6EFA827}"/>
    <cellStyle name="Comma 45 3 2 2 2 4 2" xfId="23898" xr:uid="{9FB97C45-67FF-491E-BBF6-8177EDF999A2}"/>
    <cellStyle name="Comma 45 3 2 2 2 5" xfId="13062" xr:uid="{E0030789-1250-429E-86A4-9CEDF4B6C1C7}"/>
    <cellStyle name="Comma 45 3 2 2 3" xfId="30634" xr:uid="{2BA031D1-F604-4E76-BF86-014C152BDE5F}"/>
    <cellStyle name="Comma 45 3 2 2 3 2" xfId="19554" xr:uid="{23705228-4509-4BA1-AC11-75D18AE9F04A}"/>
    <cellStyle name="Comma 45 3 2 2 3 2 2" xfId="30635" xr:uid="{6C6DD963-0C33-4988-893B-9460B8F4CE9D}"/>
    <cellStyle name="Comma 45 3 2 2 3 2 2 2" xfId="30637" xr:uid="{EA8B2CBD-27D1-4078-87AF-0E5FB6319165}"/>
    <cellStyle name="Comma 45 3 2 2 3 2 3" xfId="30638" xr:uid="{D9DAAF15-9543-40F7-BEA9-5E42F7C53958}"/>
    <cellStyle name="Comma 45 3 2 2 3 3" xfId="30639" xr:uid="{48CECE8E-7EFA-41B3-BA84-95C477CAC4F6}"/>
    <cellStyle name="Comma 45 3 2 2 3 3 2" xfId="23977" xr:uid="{80A3FD1E-414B-41BD-BB10-3952B74C3C4E}"/>
    <cellStyle name="Comma 45 3 2 2 3 4" xfId="30640" xr:uid="{BB4AEB3A-60BA-44B2-A72C-B855B8438792}"/>
    <cellStyle name="Comma 45 3 2 2 4" xfId="20483" xr:uid="{4B92F5DE-93A0-40C6-9A1C-BAFCE0AB6DA4}"/>
    <cellStyle name="Comma 45 3 2 2 4 2" xfId="30641" xr:uid="{96AC7B90-EEA3-4D42-BE92-DEA9E35E07C5}"/>
    <cellStyle name="Comma 45 3 2 2 4 2 2" xfId="30642" xr:uid="{DD0AD95C-58B6-485B-A5A5-41C5FEE3B44B}"/>
    <cellStyle name="Comma 45 3 2 2 4 3" xfId="30644" xr:uid="{E95D07A6-3B2F-4EDB-9C4C-E4C8C4819CBE}"/>
    <cellStyle name="Comma 45 3 2 2 5" xfId="30645" xr:uid="{AD29EE3D-50A4-4A32-9813-F2588B6AFE62}"/>
    <cellStyle name="Comma 45 3 2 2 5 2" xfId="30646" xr:uid="{44E17A70-ABAB-4BBB-B68B-B691DAFDCB87}"/>
    <cellStyle name="Comma 45 3 2 2 6" xfId="30647" xr:uid="{A6CA672F-1C47-420A-9D2F-8A2B1B43E155}"/>
    <cellStyle name="Comma 45 3 2 2 7" xfId="30648" xr:uid="{F368E07F-9089-4F3C-BED9-FF6CE478009E}"/>
    <cellStyle name="Comma 45 3 2 3" xfId="11278" xr:uid="{02AEC062-8617-4069-B5A3-50F6D3EF053E}"/>
    <cellStyle name="Comma 45 3 2 3 2" xfId="30649" xr:uid="{8657DAEC-A15A-4953-826C-BDE02D870DA6}"/>
    <cellStyle name="Comma 45 3 2 3 2 2" xfId="19572" xr:uid="{74238062-9341-4AF2-9F61-F139FD7531AB}"/>
    <cellStyle name="Comma 45 3 2 3 2 2 2" xfId="30651" xr:uid="{F2B7D390-E4E1-417B-B504-8C5C03274287}"/>
    <cellStyle name="Comma 45 3 2 3 2 2 2 2" xfId="30653" xr:uid="{1C7E60C8-FDE1-40B1-8409-860ACE41E939}"/>
    <cellStyle name="Comma 45 3 2 3 2 2 3" xfId="30655" xr:uid="{E9C4404C-D7A9-4A69-9D77-573252A29B4E}"/>
    <cellStyle name="Comma 45 3 2 3 2 3" xfId="30657" xr:uid="{44FDFF25-D46F-4004-9C82-FFAA7DFC8EF8}"/>
    <cellStyle name="Comma 45 3 2 3 2 3 2" xfId="24260" xr:uid="{B7A228E3-81DF-452A-88BF-D80001751A42}"/>
    <cellStyle name="Comma 45 3 2 3 2 4" xfId="30659" xr:uid="{ADBA1EBE-3610-4195-AA1B-557151578C8D}"/>
    <cellStyle name="Comma 45 3 2 3 3" xfId="30660" xr:uid="{0A49442A-7ADA-4C73-93B4-17BE11F235E6}"/>
    <cellStyle name="Comma 45 3 2 3 3 2" xfId="30662" xr:uid="{40029B64-7944-4F32-A271-B21835722E4A}"/>
    <cellStyle name="Comma 45 3 2 3 3 2 2" xfId="30665" xr:uid="{1C28C85F-DA37-4CB1-87EF-1968DA02484D}"/>
    <cellStyle name="Comma 45 3 2 3 3 3" xfId="30667" xr:uid="{5074E603-46B9-4BD1-A7C4-3F730749153A}"/>
    <cellStyle name="Comma 45 3 2 3 4" xfId="30670" xr:uid="{A33886C1-EA13-488A-9921-10D1B6F2AEB7}"/>
    <cellStyle name="Comma 45 3 2 3 4 2" xfId="30672" xr:uid="{D35A9E46-C9DF-40D1-BF8E-03A24289932D}"/>
    <cellStyle name="Comma 45 3 2 3 5" xfId="30673" xr:uid="{4693DB67-E6D6-4DF1-95E0-D6C76192F769}"/>
    <cellStyle name="Comma 45 3 2 4" xfId="21130" xr:uid="{39F2F60F-90B1-4B69-B31E-863A45F6C514}"/>
    <cellStyle name="Comma 45 3 2 4 2" xfId="21133" xr:uid="{F5FD9BC1-C55F-4844-9C1B-F203CA91C581}"/>
    <cellStyle name="Comma 45 3 2 4 2 2" xfId="30674" xr:uid="{C4FD6A86-F927-44A9-A47C-8067DD2137CB}"/>
    <cellStyle name="Comma 45 3 2 4 2 2 2" xfId="19583" xr:uid="{C67E72BC-4B33-4C39-9EEC-3EAA0EEA74A6}"/>
    <cellStyle name="Comma 45 3 2 4 2 3" xfId="30675" xr:uid="{1A48878C-9995-4E69-B1C8-8CA7B086D95C}"/>
    <cellStyle name="Comma 45 3 2 4 3" xfId="16261" xr:uid="{21BC3CF2-346E-434C-83DC-E15C089AF0AD}"/>
    <cellStyle name="Comma 45 3 2 4 3 2" xfId="16263" xr:uid="{64ADEDC6-BC80-4187-9D6B-45306BFEAAFB}"/>
    <cellStyle name="Comma 45 3 2 4 4" xfId="16273" xr:uid="{9C19F7C3-5B68-4B46-AA95-B9BE9B33DF7A}"/>
    <cellStyle name="Comma 45 3 2 5" xfId="21135" xr:uid="{4294936A-A28C-49E4-B5A1-C549514FFF0F}"/>
    <cellStyle name="Comma 45 3 2 5 2" xfId="30676" xr:uid="{75116B82-24C6-408C-BE65-C6EE42CA4419}"/>
    <cellStyle name="Comma 45 3 2 5 2 2" xfId="30677" xr:uid="{6BF8A409-777D-436A-8974-76C099643421}"/>
    <cellStyle name="Comma 45 3 2 5 3" xfId="16280" xr:uid="{BA47D445-DAAA-4EBE-9259-54ED5CCA770F}"/>
    <cellStyle name="Comma 45 3 2 6" xfId="30678" xr:uid="{956A6B3A-2681-47A6-9858-6B96AB936C0C}"/>
    <cellStyle name="Comma 45 3 2 6 2" xfId="30679" xr:uid="{69FDF41C-8196-434B-997F-38902AFCB65B}"/>
    <cellStyle name="Comma 45 3 2 7" xfId="11380" xr:uid="{E94CA3F0-4C5B-458D-B2BD-DF4FA550C118}"/>
    <cellStyle name="Comma 45 3 2 8" xfId="11386" xr:uid="{8E8CD5A2-ABE3-42A5-8CD4-647C64B8CE64}"/>
    <cellStyle name="Comma 45 3 2 9" xfId="11389" xr:uid="{A7E8AC86-A5B1-48C5-BB74-AEB21A9D3024}"/>
    <cellStyle name="Comma 45 3 3" xfId="25630" xr:uid="{6BE892B4-49F2-4EC3-99CF-A4D8AED4254B}"/>
    <cellStyle name="Comma 45 3 3 2" xfId="25633" xr:uid="{79C7262B-88B1-4340-B7B7-DFD20BC3E3AE}"/>
    <cellStyle name="Comma 45 3 3 2 2" xfId="30680" xr:uid="{7902FF5E-CEB9-42F2-AF0B-01A8DC1BDE75}"/>
    <cellStyle name="Comma 45 3 3 2 2 2" xfId="19619" xr:uid="{4536DD07-AA2C-485E-A617-B26822415B51}"/>
    <cellStyle name="Comma 45 3 3 2 2 2 2" xfId="11953" xr:uid="{A1116626-FE51-4236-AD02-E5A6815C75A3}"/>
    <cellStyle name="Comma 45 3 3 2 2 2 2 2" xfId="30682" xr:uid="{7484BCFB-C50A-48B5-B7A9-4B8B42A11D41}"/>
    <cellStyle name="Comma 45 3 3 2 2 2 3" xfId="30685" xr:uid="{74850ECE-442F-4C22-9CA6-78B7EF41233C}"/>
    <cellStyle name="Comma 45 3 3 2 2 3" xfId="3273" xr:uid="{D1AE798A-E4C7-4EBC-9EC1-05DA497EC972}"/>
    <cellStyle name="Comma 45 3 3 2 2 3 2" xfId="30687" xr:uid="{B0F16F8F-5C46-4CD0-955C-28DEF506656A}"/>
    <cellStyle name="Comma 45 3 3 2 2 4" xfId="30688" xr:uid="{0491AF9A-97B9-4792-9DAB-F88537ADD053}"/>
    <cellStyle name="Comma 45 3 3 2 3" xfId="30689" xr:uid="{5728A657-AA5C-4DD8-827B-D6FCCABC86A0}"/>
    <cellStyle name="Comma 45 3 3 2 3 2" xfId="30690" xr:uid="{2B64C1D4-931D-43F7-ABFF-1A845F294DAA}"/>
    <cellStyle name="Comma 45 3 3 2 3 2 2" xfId="30692" xr:uid="{10BBE750-25A3-488B-BE29-D95811830EC4}"/>
    <cellStyle name="Comma 45 3 3 2 3 3" xfId="30695" xr:uid="{B69E5022-484B-4D6F-99EE-87D2EEB4A987}"/>
    <cellStyle name="Comma 45 3 3 2 4" xfId="30696" xr:uid="{28345D68-9C06-4FE9-8BDC-80B43119CA5E}"/>
    <cellStyle name="Comma 45 3 3 2 4 2" xfId="30697" xr:uid="{5D2F0E9A-D8C2-45D9-81D0-39A8D911FECD}"/>
    <cellStyle name="Comma 45 3 3 2 5" xfId="30698" xr:uid="{B840DF7E-160B-4A48-88C9-A123668C456C}"/>
    <cellStyle name="Comma 45 3 3 3" xfId="25635" xr:uid="{B814C411-ECEC-4D38-A766-0360E5430A87}"/>
    <cellStyle name="Comma 45 3 3 3 2" xfId="30699" xr:uid="{CDAEB963-8D5A-40D0-A2AD-E9B36B51831E}"/>
    <cellStyle name="Comma 45 3 3 3 2 2" xfId="30701" xr:uid="{2EC1EBEE-43E6-4FC0-AF7A-40DD4CB7CA00}"/>
    <cellStyle name="Comma 45 3 3 3 2 2 2" xfId="30704" xr:uid="{59449C92-8D2C-49C2-A630-8C267BB93299}"/>
    <cellStyle name="Comma 45 3 3 3 2 3" xfId="30706" xr:uid="{A7692395-A285-4D67-B91A-E07B29DD04EA}"/>
    <cellStyle name="Comma 45 3 3 3 3" xfId="30708" xr:uid="{48F2B769-C420-4E11-8756-3F3E14949D1C}"/>
    <cellStyle name="Comma 45 3 3 3 3 2" xfId="30710" xr:uid="{01EC7AB7-9C9A-44B0-9380-2A9475BA7B83}"/>
    <cellStyle name="Comma 45 3 3 3 4" xfId="30711" xr:uid="{8F9E7676-8A70-4DE2-9493-B6E284692D2D}"/>
    <cellStyle name="Comma 45 3 3 4" xfId="21138" xr:uid="{25883EF2-7509-4EAC-8F12-30913189FFFB}"/>
    <cellStyle name="Comma 45 3 3 4 2" xfId="30712" xr:uid="{2438E4F1-E7FB-40C7-B666-064B70454B15}"/>
    <cellStyle name="Comma 45 3 3 4 2 2" xfId="30713" xr:uid="{B10DA4A3-E367-46EC-897B-A25A89AA54B4}"/>
    <cellStyle name="Comma 45 3 3 4 3" xfId="16290" xr:uid="{9B88A376-0E92-44F6-AEF9-8176ACB7AA17}"/>
    <cellStyle name="Comma 45 3 3 5" xfId="30714" xr:uid="{4C2AAF97-CFEC-4910-9DFC-881ABA84D182}"/>
    <cellStyle name="Comma 45 3 3 5 2" xfId="30715" xr:uid="{5A45840F-B6BC-4031-89A2-41F55649F889}"/>
    <cellStyle name="Comma 45 3 3 6" xfId="30716" xr:uid="{755797A4-6091-44B6-9736-5D27E5BB9A2E}"/>
    <cellStyle name="Comma 45 3 3 7" xfId="2464" xr:uid="{7D523264-CA39-46C9-9A00-9AD83EC0D254}"/>
    <cellStyle name="Comma 45 3 4" xfId="8392" xr:uid="{5A4276BE-54F9-4FAA-8510-BC93B0872F42}"/>
    <cellStyle name="Comma 45 3 4 2" xfId="25640" xr:uid="{D695D4E6-8DB9-425D-964B-F03E9100FBAE}"/>
    <cellStyle name="Comma 45 3 4 2 2" xfId="30717" xr:uid="{DB56C378-1A37-4B3D-A6BC-6B3DE1E7B6E3}"/>
    <cellStyle name="Comma 45 3 4 2 2 2" xfId="10762" xr:uid="{F3A6E634-33D5-41DE-81EF-6950DA214185}"/>
    <cellStyle name="Comma 45 3 4 2 2 2 2" xfId="10765" xr:uid="{445E1473-AFBB-4E73-A7C0-99B799C0C338}"/>
    <cellStyle name="Comma 45 3 4 2 2 3" xfId="10769" xr:uid="{5D1AE72C-AC78-42E6-A222-334A99C955DD}"/>
    <cellStyle name="Comma 45 3 4 2 3" xfId="30718" xr:uid="{D6D16ECB-A7B3-4D32-A49A-556B7F711866}"/>
    <cellStyle name="Comma 45 3 4 2 3 2" xfId="10783" xr:uid="{8B5348CD-285A-452E-A993-B53904B72943}"/>
    <cellStyle name="Comma 45 3 4 2 4" xfId="30719" xr:uid="{6C840A1C-1B5A-430D-8383-5E4559AF3AC6}"/>
    <cellStyle name="Comma 45 3 4 3" xfId="10845" xr:uid="{2950ADD4-5967-49CE-B68E-B019AB731F59}"/>
    <cellStyle name="Comma 45 3 4 3 2" xfId="30720" xr:uid="{605F7861-3EC3-442E-8344-8A4B286D2A6F}"/>
    <cellStyle name="Comma 45 3 4 3 2 2" xfId="10803" xr:uid="{EBD3C569-A722-49CB-AAAF-804CCE1E9071}"/>
    <cellStyle name="Comma 45 3 4 3 3" xfId="30721" xr:uid="{1B7F49B6-2D87-4357-8EF7-8AEE1BC52EA1}"/>
    <cellStyle name="Comma 45 3 4 4" xfId="30723" xr:uid="{E00BF574-824A-4702-86C0-8DCA9AB87D6A}"/>
    <cellStyle name="Comma 45 3 4 4 2" xfId="30724" xr:uid="{9910D532-246F-4F08-B8AD-38F3AFF5CC20}"/>
    <cellStyle name="Comma 45 3 4 5" xfId="30725" xr:uid="{4A2F70BD-AAC2-4EE1-B8C3-3C069A4F32EB}"/>
    <cellStyle name="Comma 45 3 5" xfId="25645" xr:uid="{2985685E-8601-4863-8585-5A77AC8741B5}"/>
    <cellStyle name="Comma 45 3 5 2" xfId="25648" xr:uid="{4BEE5162-6EB6-4214-B685-1DF3FB616D00}"/>
    <cellStyle name="Comma 45 3 5 2 2" xfId="30726" xr:uid="{7DD4CDE8-683D-4076-A04D-0443539C709A}"/>
    <cellStyle name="Comma 45 3 5 2 2 2" xfId="11010" xr:uid="{BE28D852-B89D-4840-B9E5-A191CE1D56DE}"/>
    <cellStyle name="Comma 45 3 5 2 3" xfId="5525" xr:uid="{40DECA11-EFF0-4250-988B-E46C72C0B0D9}"/>
    <cellStyle name="Comma 45 3 5 3" xfId="25651" xr:uid="{6AF52A5A-FB14-445B-90FB-D522DF199E1F}"/>
    <cellStyle name="Comma 45 3 5 3 2" xfId="82" xr:uid="{D958031C-D744-4F09-97B2-B4903B892C2F}"/>
    <cellStyle name="Comma 45 3 5 4" xfId="30727" xr:uid="{FA429BFF-BC2D-4CA0-A85A-774D98B97CB1}"/>
    <cellStyle name="Comma 45 3 6" xfId="25664" xr:uid="{B4445DEC-3B13-4F15-B6A0-16605DE472BA}"/>
    <cellStyle name="Comma 45 3 6 2" xfId="25667" xr:uid="{6CEBF98D-221C-4D8C-B5BC-4CB930E7F481}"/>
    <cellStyle name="Comma 45 3 6 2 2" xfId="23581" xr:uid="{828E2D18-7916-40BC-9970-DFA5A5461B4A}"/>
    <cellStyle name="Comma 45 3 6 3" xfId="25673" xr:uid="{2163653A-AB75-49B2-831F-746566529935}"/>
    <cellStyle name="Comma 45 3 7" xfId="25679" xr:uid="{963AA369-8AA4-4F86-99B6-CF556F2E4672}"/>
    <cellStyle name="Comma 45 3 7 2" xfId="25685" xr:uid="{A07AD947-34C5-4579-9C50-E6B87800CDFB}"/>
    <cellStyle name="Comma 45 3 8" xfId="25702" xr:uid="{45F6E256-9533-48D6-9DA1-FB7280D0E290}"/>
    <cellStyle name="Comma 45 3 9" xfId="25714" xr:uid="{BA5C80AB-690D-4FFA-82CF-08CEBD5BBAAF}"/>
    <cellStyle name="Comma 45 4" xfId="30728" xr:uid="{61329483-BED4-420C-A2B1-843AF1AB4813}"/>
    <cellStyle name="Comma 45 4 2" xfId="16184" xr:uid="{1F4CF733-74F1-4299-B804-DAC0A2378BEE}"/>
    <cellStyle name="Comma 45 4 2 2" xfId="16189" xr:uid="{20FE0703-6D7A-4A7A-83AF-CE706861B9C4}"/>
    <cellStyle name="Comma 45 4 2 2 2" xfId="30730" xr:uid="{C83C7CC3-0F3D-4A03-A25A-1BDF1FD54380}"/>
    <cellStyle name="Comma 45 4 2 2 2 2" xfId="12064" xr:uid="{69B6B276-0964-46DE-968F-9DCAB5A423E8}"/>
    <cellStyle name="Comma 45 4 2 2 2 2 2" xfId="30731" xr:uid="{D1938E5E-AD85-434B-91A6-ED656244B446}"/>
    <cellStyle name="Comma 45 4 2 2 2 2 2 2" xfId="30732" xr:uid="{6067C973-F02F-4AC5-BF76-AB19D81E0920}"/>
    <cellStyle name="Comma 45 4 2 2 2 2 3" xfId="30733" xr:uid="{84B79999-2A80-4534-92A6-0C4C7C2C477D}"/>
    <cellStyle name="Comma 45 4 2 2 2 3" xfId="12068" xr:uid="{2CFE279E-3D48-46E7-9FC9-4136FC151C31}"/>
    <cellStyle name="Comma 45 4 2 2 2 3 2" xfId="29707" xr:uid="{03B4D7E2-AD82-4AD1-99CC-CAB9BBD4A5E5}"/>
    <cellStyle name="Comma 45 4 2 2 2 4" xfId="30734" xr:uid="{D28CC3D8-9D29-4C09-ADB7-02B76E85D6BE}"/>
    <cellStyle name="Comma 45 4 2 2 3" xfId="30737" xr:uid="{A7809E9B-1413-430A-94FF-D274EAAB23CC}"/>
    <cellStyle name="Comma 45 4 2 2 3 2" xfId="30738" xr:uid="{002E6FCA-EAB3-4EB8-9768-BE39284D2365}"/>
    <cellStyle name="Comma 45 4 2 2 3 2 2" xfId="30739" xr:uid="{598A7589-DE8C-4D25-A851-FF2A509A0EB6}"/>
    <cellStyle name="Comma 45 4 2 2 3 3" xfId="30740" xr:uid="{2545BFB7-B54D-4390-8DC2-FB86DB74F2EA}"/>
    <cellStyle name="Comma 45 4 2 2 4" xfId="30743" xr:uid="{D0D609B5-B26D-40DF-A9CD-8FF34587E086}"/>
    <cellStyle name="Comma 45 4 2 2 4 2" xfId="30744" xr:uid="{7B808697-18DA-4B11-BB2B-BF9853C9580B}"/>
    <cellStyle name="Comma 45 4 2 2 5" xfId="30745" xr:uid="{D686A5A1-3002-4B37-8FAB-E984AF468717}"/>
    <cellStyle name="Comma 45 4 2 3" xfId="25876" xr:uid="{2C2574AF-C3F6-439C-A66B-212E06902CBA}"/>
    <cellStyle name="Comma 45 4 2 3 2" xfId="16082" xr:uid="{46842853-A8DB-43A8-9E98-A0AB347F30C5}"/>
    <cellStyle name="Comma 45 4 2 3 2 2" xfId="16084" xr:uid="{10C7433C-631C-4F25-B32D-7A7C1ED207DD}"/>
    <cellStyle name="Comma 45 4 2 3 2 2 2" xfId="16087" xr:uid="{E033396B-C6E6-46C2-827C-8E8DB3ABDBF1}"/>
    <cellStyle name="Comma 45 4 2 3 2 3" xfId="16089" xr:uid="{53FF8203-5AA2-4CC0-86D0-C3C711BA3C73}"/>
    <cellStyle name="Comma 45 4 2 3 3" xfId="16093" xr:uid="{242E13AB-CC4E-41A9-95D2-5B97E149AC8B}"/>
    <cellStyle name="Comma 45 4 2 3 3 2" xfId="16095" xr:uid="{12A3200E-0B7E-4D99-B61B-BB2DF35636AD}"/>
    <cellStyle name="Comma 45 4 2 3 4" xfId="16097" xr:uid="{90CB55C0-D3E9-4BC8-B6C6-F3678BBD37AB}"/>
    <cellStyle name="Comma 45 4 2 4" xfId="21145" xr:uid="{D5F7FC49-BEF4-4EEC-B811-D5DE0DD7A054}"/>
    <cellStyle name="Comma 45 4 2 4 2" xfId="16132" xr:uid="{2DF5D5D6-EB0B-4993-BDA2-9B0672142C81}"/>
    <cellStyle name="Comma 45 4 2 4 2 2" xfId="16134" xr:uid="{18A9790F-1237-48EB-BD73-885B8CC09F25}"/>
    <cellStyle name="Comma 45 4 2 4 3" xfId="2352" xr:uid="{DFA447FE-7CA5-45F7-B9A6-BA79DFBD5628}"/>
    <cellStyle name="Comma 45 4 2 5" xfId="30746" xr:uid="{4EF0FB90-9842-4725-B7D8-4F71CB8C3279}"/>
    <cellStyle name="Comma 45 4 2 5 2" xfId="16147" xr:uid="{FDB6839B-8CD5-47F0-A6D5-3E729A29D28E}"/>
    <cellStyle name="Comma 45 4 2 6" xfId="30747" xr:uid="{04265FFE-0743-4400-889C-A45211A1FF55}"/>
    <cellStyle name="Comma 45 4 2 7" xfId="11530" xr:uid="{8BE2FCB5-B4FE-458A-A339-41ED0FA21F8A}"/>
    <cellStyle name="Comma 45 4 3" xfId="16193" xr:uid="{BC9DD2C8-7229-4D18-9B49-62B391D80A24}"/>
    <cellStyle name="Comma 45 4 3 2" xfId="25879" xr:uid="{DE14B1A5-2479-4939-9EE5-CB6F43A4FEE9}"/>
    <cellStyle name="Comma 45 4 3 2 2" xfId="30748" xr:uid="{DEE13FF0-061A-4D98-9817-059B65845B19}"/>
    <cellStyle name="Comma 45 4 3 2 2 2" xfId="30749" xr:uid="{7BA2A8F4-9ED4-45B3-A81A-D27402874282}"/>
    <cellStyle name="Comma 45 4 3 2 2 2 2" xfId="30750" xr:uid="{A819D0D3-9EE7-42E9-923B-2F157EC12B0C}"/>
    <cellStyle name="Comma 45 4 3 2 2 3" xfId="8630" xr:uid="{3E4E196F-CD97-4682-9B57-2000DE3CEA67}"/>
    <cellStyle name="Comma 45 4 3 2 3" xfId="30751" xr:uid="{EE376CAD-95F0-4626-8924-B9ABF23E343B}"/>
    <cellStyle name="Comma 45 4 3 2 3 2" xfId="30752" xr:uid="{5E99A787-92E2-4527-90CE-0DDFB57C5FAA}"/>
    <cellStyle name="Comma 45 4 3 2 4" xfId="30753" xr:uid="{8E5D4F33-8C43-4453-A391-4F6DE6A180AA}"/>
    <cellStyle name="Comma 45 4 3 3" xfId="25882" xr:uid="{ADF50AB5-9023-4827-B325-D9C0BDD152FA}"/>
    <cellStyle name="Comma 45 4 3 3 2" xfId="16214" xr:uid="{7748D338-A690-4953-8005-726EAEFFD750}"/>
    <cellStyle name="Comma 45 4 3 3 2 2" xfId="16216" xr:uid="{8233F8E9-D316-46E4-B2BA-C297D996CD58}"/>
    <cellStyle name="Comma 45 4 3 3 3" xfId="16218" xr:uid="{FF0A676C-ED0B-4E2B-A384-B607A2233F49}"/>
    <cellStyle name="Comma 45 4 3 4" xfId="30754" xr:uid="{2FE1FE07-57AA-4C24-B575-7F6FBADC78D5}"/>
    <cellStyle name="Comma 45 4 3 4 2" xfId="16243" xr:uid="{13793546-F9E6-451D-B3B1-C8E1B19DDA8B}"/>
    <cellStyle name="Comma 45 4 3 5" xfId="30755" xr:uid="{634BEEED-4A1F-49FE-AADE-BB791A8D99F6}"/>
    <cellStyle name="Comma 45 4 4" xfId="25885" xr:uid="{06F5FA1D-1174-4386-A134-5A32D375EDA7}"/>
    <cellStyle name="Comma 45 4 4 2" xfId="25888" xr:uid="{FE37BA5B-6719-4404-8F44-CD3CA945DDC4}"/>
    <cellStyle name="Comma 45 4 4 2 2" xfId="30756" xr:uid="{815232D8-A745-4E36-BE25-C940DE448F5D}"/>
    <cellStyle name="Comma 45 4 4 2 2 2" xfId="11365" xr:uid="{4B26CD6F-FCE3-410B-8754-C9F6D9D139BE}"/>
    <cellStyle name="Comma 45 4 4 2 3" xfId="30757" xr:uid="{A7CC0DC6-BB06-447E-B0CA-C1450AA8DE1F}"/>
    <cellStyle name="Comma 45 4 4 3" xfId="25891" xr:uid="{54DC214A-5A37-4A16-91E1-15EBB79E9541}"/>
    <cellStyle name="Comma 45 4 4 3 2" xfId="16285" xr:uid="{2235D92F-DD5A-442B-8E32-3922C616A614}"/>
    <cellStyle name="Comma 45 4 4 4" xfId="30759" xr:uid="{654B60F2-1687-499F-A555-7053C750B250}"/>
    <cellStyle name="Comma 45 4 5" xfId="25894" xr:uid="{0898B7A4-88E0-453A-AA97-576637C303DF}"/>
    <cellStyle name="Comma 45 4 5 2" xfId="25899" xr:uid="{FDA84F5F-A1AF-4B9F-8672-46C9CCD7A4A4}"/>
    <cellStyle name="Comma 45 4 5 2 2" xfId="4384" xr:uid="{7FD22E0F-615E-4850-B92C-1F3E83D2D9DF}"/>
    <cellStyle name="Comma 45 4 5 3" xfId="25902" xr:uid="{E0C2BEC9-D169-4D1D-A7D8-61A98377CCB6}"/>
    <cellStyle name="Comma 45 4 6" xfId="25907" xr:uid="{CDF462D5-E035-4FA9-8011-20C37C2B3A10}"/>
    <cellStyle name="Comma 45 4 6 2" xfId="25912" xr:uid="{B52F59E0-BF18-4484-B49D-7FB748A7D7F4}"/>
    <cellStyle name="Comma 45 4 7" xfId="25920" xr:uid="{E06492E2-577F-43A9-A526-824568F61EAE}"/>
    <cellStyle name="Comma 45 4 8" xfId="25929" xr:uid="{803786CD-5222-4941-8948-F893633394E8}"/>
    <cellStyle name="Comma 45 4 9" xfId="25939" xr:uid="{522DF9CD-8776-41CE-9A42-C3096C98C757}"/>
    <cellStyle name="Comma 45 5" xfId="30760" xr:uid="{F5FD280E-D5EA-4E02-977B-582C81D4FEFA}"/>
    <cellStyle name="Comma 45 5 2" xfId="16202" xr:uid="{28E92F25-C3E9-4095-9206-67FCF9C0E37E}"/>
    <cellStyle name="Comma 45 5 2 2" xfId="7415" xr:uid="{FAD281A3-CC1B-45A6-8AC9-7A7DA37D32C7}"/>
    <cellStyle name="Comma 45 5 2 2 2" xfId="30762" xr:uid="{92AA88D9-10C3-4118-A761-BF55E1D6AD51}"/>
    <cellStyle name="Comma 45 5 2 2 2 2" xfId="30763" xr:uid="{73C010E0-F129-4529-AC06-A19FECF38F17}"/>
    <cellStyle name="Comma 45 5 2 2 2 2 2" xfId="30764" xr:uid="{C6901998-77BF-4F50-806E-B35E8AD3F7A7}"/>
    <cellStyle name="Comma 45 5 2 2 2 3" xfId="385" xr:uid="{C0D59069-C64E-4E49-859F-3E58B0C40762}"/>
    <cellStyle name="Comma 45 5 2 2 3" xfId="30765" xr:uid="{CF85C3C5-5A06-4F2F-A3FF-B71D25B389E0}"/>
    <cellStyle name="Comma 45 5 2 2 3 2" xfId="30766" xr:uid="{D1081950-5C41-4FF7-9F6A-71072A719117}"/>
    <cellStyle name="Comma 45 5 2 2 4" xfId="30767" xr:uid="{F16809F9-E83C-4A83-AAF4-110AB9EF7475}"/>
    <cellStyle name="Comma 45 5 2 3" xfId="30768" xr:uid="{41CCD88A-1964-43D8-8EB5-EC7BA5AF509F}"/>
    <cellStyle name="Comma 45 5 2 3 2" xfId="16548" xr:uid="{25956FF2-0B2E-4BDE-B065-05A0F0F686ED}"/>
    <cellStyle name="Comma 45 5 2 3 2 2" xfId="16550" xr:uid="{70B174DA-B873-4F22-9483-5143AEF287C7}"/>
    <cellStyle name="Comma 45 5 2 3 3" xfId="16552" xr:uid="{4E962E8F-5986-4FBA-B658-6A5FD7DA4F43}"/>
    <cellStyle name="Comma 45 5 2 4" xfId="30769" xr:uid="{4899D0A8-7106-40EB-B086-8676DB4E9285}"/>
    <cellStyle name="Comma 45 5 2 4 2" xfId="16574" xr:uid="{424902AB-5F65-4F2D-B92B-325223E9C011}"/>
    <cellStyle name="Comma 45 5 2 5" xfId="30772" xr:uid="{E9ED20C1-BA39-45B3-B05A-56CE4B244D8D}"/>
    <cellStyle name="Comma 45 5 3" xfId="30773" xr:uid="{A169FE74-5FD4-458C-9B1F-AD3811F82B33}"/>
    <cellStyle name="Comma 45 5 3 2" xfId="30774" xr:uid="{59508A72-5616-4955-9F00-DB3DBC0E3D43}"/>
    <cellStyle name="Comma 45 5 3 2 2" xfId="30775" xr:uid="{44A009BB-51A8-4382-82A2-6E85DF471337}"/>
    <cellStyle name="Comma 45 5 3 2 2 2" xfId="30776" xr:uid="{D2609D6D-6517-4161-A5B8-EA3C451B6CF3}"/>
    <cellStyle name="Comma 45 5 3 2 3" xfId="30777" xr:uid="{CC956E8D-119E-421B-8D9F-016A1F8E3671}"/>
    <cellStyle name="Comma 45 5 3 3" xfId="30778" xr:uid="{1438D8F0-D757-415C-AF47-79A5F1969D88}"/>
    <cellStyle name="Comma 45 5 3 3 2" xfId="16617" xr:uid="{7963E3A9-7A5B-4B79-AD9E-C279EA3AF3EE}"/>
    <cellStyle name="Comma 45 5 3 4" xfId="30779" xr:uid="{40AC9E1B-7B85-468A-BBF9-39371791D5DF}"/>
    <cellStyle name="Comma 45 5 4" xfId="30780" xr:uid="{95B6CBFE-ABCF-4435-BB8E-1F743770FF46}"/>
    <cellStyle name="Comma 45 5 4 2" xfId="30781" xr:uid="{FB9DD964-5896-4C3F-AC00-34B06090313B}"/>
    <cellStyle name="Comma 45 5 4 2 2" xfId="30782" xr:uid="{2B2ADDB8-6362-4175-A5FF-9D23B88026BB}"/>
    <cellStyle name="Comma 45 5 4 3" xfId="30783" xr:uid="{5BF36BA6-3666-4629-A90A-924AE46B0DB2}"/>
    <cellStyle name="Comma 45 5 5" xfId="28588" xr:uid="{769B3FBB-0685-45A1-B575-669CCFC65E32}"/>
    <cellStyle name="Comma 45 5 5 2" xfId="28595" xr:uid="{E7FD3B8D-A774-4209-AAAA-0FE8DD1B3840}"/>
    <cellStyle name="Comma 45 5 6" xfId="28599" xr:uid="{21FFADFF-A33E-4AB1-A172-7684A9484EAC}"/>
    <cellStyle name="Comma 45 5 7" xfId="28605" xr:uid="{2A6EBFF7-8AEE-417F-842C-2FC46FE9E5D3}"/>
    <cellStyle name="Comma 45 6" xfId="30784" xr:uid="{4E111604-FA92-4105-BB45-3814B8E2E2D4}"/>
    <cellStyle name="Comma 45 6 2" xfId="30785" xr:uid="{28DB57CD-2F09-4C37-936B-F48B40DEE10C}"/>
    <cellStyle name="Comma 45 6 2 2" xfId="30786" xr:uid="{216CB36B-5295-4BB1-8EE1-5B504FA7694D}"/>
    <cellStyle name="Comma 45 6 2 2 2" xfId="18661" xr:uid="{746EDD98-08DB-4DEB-914D-3F8AE9B763C0}"/>
    <cellStyle name="Comma 45 6 2 2 2 2" xfId="30787" xr:uid="{17B0EDA1-0414-473C-B661-D9AE823B4326}"/>
    <cellStyle name="Comma 45 6 2 2 3" xfId="18663" xr:uid="{0BCA343A-EDA4-45F0-9F57-4ED2ECD3806E}"/>
    <cellStyle name="Comma 45 6 2 3" xfId="30788" xr:uid="{8D3795D3-EC73-48CE-A54E-EAA81A2F200D}"/>
    <cellStyle name="Comma 45 6 2 3 2" xfId="16905" xr:uid="{5F5A544C-23BC-4B55-9846-C904EBBB71DD}"/>
    <cellStyle name="Comma 45 6 2 4" xfId="30789" xr:uid="{4DF80D6F-7301-4CE4-AEFA-C58B9EB55B05}"/>
    <cellStyle name="Comma 45 6 3" xfId="30790" xr:uid="{59B43329-BBB1-4DBE-8730-BBB48969DB88}"/>
    <cellStyle name="Comma 45 6 3 2" xfId="30791" xr:uid="{873E1AED-B6B6-4860-B092-50C6947A64FF}"/>
    <cellStyle name="Comma 45 6 3 2 2" xfId="30792" xr:uid="{D09B4AC3-3A55-4144-A92A-249616209B58}"/>
    <cellStyle name="Comma 45 6 3 3" xfId="30793" xr:uid="{386C7A7C-1496-4F1B-A3B2-203D6E00209F}"/>
    <cellStyle name="Comma 45 6 4" xfId="30794" xr:uid="{0ABEDBB7-BB30-4FB1-BB37-0A2DAA46FE64}"/>
    <cellStyle name="Comma 45 6 4 2" xfId="30795" xr:uid="{0EC5EB50-D71F-4A80-9943-31677A242477}"/>
    <cellStyle name="Comma 45 6 5" xfId="28609" xr:uid="{E9151A7B-F3DB-4890-B0C4-548895EF96F1}"/>
    <cellStyle name="Comma 45 7" xfId="30796" xr:uid="{45146C82-3020-46E5-BCEB-6DDAD61717DC}"/>
    <cellStyle name="Comma 45 7 2" xfId="30797" xr:uid="{693ADBDE-3B33-49E7-BC5A-EAB9EDC7AD9E}"/>
    <cellStyle name="Comma 45 7 2 2" xfId="30798" xr:uid="{D41C60FB-7842-4477-A1A2-8F59E5DEC40E}"/>
    <cellStyle name="Comma 45 7 2 2 2" xfId="314" xr:uid="{2210341D-6972-4956-B636-F895AD7865E1}"/>
    <cellStyle name="Comma 45 7 2 3" xfId="30799" xr:uid="{F4D5AC45-EB59-4E16-A676-D4AEF6FC7411}"/>
    <cellStyle name="Comma 45 7 3" xfId="30800" xr:uid="{78B61601-5E05-4FB7-A0ED-88AE4BA4E756}"/>
    <cellStyle name="Comma 45 7 3 2" xfId="30801" xr:uid="{F455D157-557C-495F-99D6-45B32CCE78DD}"/>
    <cellStyle name="Comma 45 7 4" xfId="30802" xr:uid="{EF2BB896-C2D9-41B9-9BF2-EC1681D09C02}"/>
    <cellStyle name="Comma 45 8" xfId="30803" xr:uid="{6BCA1DD4-5875-43E5-AA5E-A73770A4C9C5}"/>
    <cellStyle name="Comma 45 8 2" xfId="28902" xr:uid="{46D31C95-AEEE-400A-B18E-FF9D3DA089F9}"/>
    <cellStyle name="Comma 45 8 2 2" xfId="30804" xr:uid="{EBF39260-4A73-441B-BDDB-BCD5C6EED756}"/>
    <cellStyle name="Comma 45 8 3" xfId="28904" xr:uid="{76402DEA-C2E8-4F69-9769-6250545E3C64}"/>
    <cellStyle name="Comma 45 9" xfId="2857" xr:uid="{4408CE3E-8592-44BC-B02D-C0F88896F432}"/>
    <cellStyle name="Comma 45 9 2" xfId="2864" xr:uid="{E3A04E7B-6B01-41D3-A7EA-D09398C09A90}"/>
    <cellStyle name="Comma 450" xfId="24380" xr:uid="{234037A4-01FC-4B85-9180-950E0D8D0F5A}"/>
    <cellStyle name="Comma 450 2" xfId="24386" xr:uid="{A9A35F7A-8267-43AD-A6E5-1016B52DB0A0}"/>
    <cellStyle name="Comma 451" xfId="24390" xr:uid="{98EDF196-8EB5-4775-B7D7-6AA63B687679}"/>
    <cellStyle name="Comma 451 2" xfId="28881" xr:uid="{C8D13436-21C9-4273-95FB-BB1129347106}"/>
    <cellStyle name="Comma 452" xfId="28885" xr:uid="{1C7419F2-792A-4A1C-8E83-D59BCA61D5AE}"/>
    <cellStyle name="Comma 452 2" xfId="1936" xr:uid="{74BB254E-B5BA-4EFF-927C-F677D450D8FA}"/>
    <cellStyle name="Comma 453" xfId="28889" xr:uid="{D6B8590B-D5E0-4DB0-B703-D2FB7E23F96C}"/>
    <cellStyle name="Comma 453 2" xfId="6347" xr:uid="{08D23EFF-6654-4C8F-B603-A95FD33371FC}"/>
    <cellStyle name="Comma 454" xfId="9679" xr:uid="{03348D49-3AA9-4BF8-9036-4EADAF838245}"/>
    <cellStyle name="Comma 454 2" xfId="9685" xr:uid="{7546A37C-3419-441B-B975-0494DDCA2ECF}"/>
    <cellStyle name="Comma 455" xfId="9692" xr:uid="{74E09AD9-52E0-4613-A518-6D692C996974}"/>
    <cellStyle name="Comma 455 2" xfId="9698" xr:uid="{EAD28941-A5D9-41B3-ADFB-67BF3AE86693}"/>
    <cellStyle name="Comma 456" xfId="9701" xr:uid="{72E792CE-75B1-4926-9E06-726F9678CF8B}"/>
    <cellStyle name="Comma 456 2" xfId="30805" xr:uid="{FCFF1085-D959-4D3F-B8DA-881093E654A1}"/>
    <cellStyle name="Comma 457" xfId="30807" xr:uid="{E6C18425-A21D-44F6-B324-5E3156053717}"/>
    <cellStyle name="Comma 457 2" xfId="30811" xr:uid="{30AEE26E-A084-4678-86A2-DEA28736C2AC}"/>
    <cellStyle name="Comma 458" xfId="30813" xr:uid="{19040F41-2386-4A9D-A9D6-2B007FFD03C0}"/>
    <cellStyle name="Comma 458 2" xfId="30817" xr:uid="{1F818737-77ED-4564-8AFF-BDFA35ACF5ED}"/>
    <cellStyle name="Comma 459" xfId="30819" xr:uid="{B02CE601-0C52-4A84-846F-8C5C66F8B5F7}"/>
    <cellStyle name="Comma 459 2" xfId="20520" xr:uid="{218A91D7-8989-44B9-956D-2AD926A0C34F}"/>
    <cellStyle name="Comma 46" xfId="2187" xr:uid="{E5267E49-3752-47A8-B26D-4ACE7FE9175A}"/>
    <cellStyle name="Comma 46 2" xfId="30825" xr:uid="{8288005D-3D84-4C68-8947-97FD978012D1}"/>
    <cellStyle name="Comma 46 2 2" xfId="15223" xr:uid="{08044945-E043-4DB3-9A15-BFF38CAF5D43}"/>
    <cellStyle name="Comma 46 3" xfId="30827" xr:uid="{6159A490-8DD1-4588-BE93-EC72A7122B5C}"/>
    <cellStyle name="Comma 46 3 2" xfId="30508" xr:uid="{0A73B6F6-1AC1-4CF9-B640-E95A09E1C85C}"/>
    <cellStyle name="Comma 46 4" xfId="30829" xr:uid="{A2E7EF37-B6BD-4A23-B128-10A9DCD3A41D}"/>
    <cellStyle name="Comma 46 5" xfId="30832" xr:uid="{F644764B-CADB-4D1E-A523-9079687D5959}"/>
    <cellStyle name="Comma 460" xfId="9693" xr:uid="{A7E60B92-D18A-4067-8C40-EEEA280F3BC9}"/>
    <cellStyle name="Comma 460 2" xfId="9699" xr:uid="{486A322F-A1BA-4115-A652-578631CE1A45}"/>
    <cellStyle name="Comma 461" xfId="9702" xr:uid="{97B89F58-17F1-4D1E-83F9-13A91C3F0442}"/>
    <cellStyle name="Comma 461 2" xfId="30806" xr:uid="{69AB2533-512B-4423-A1D4-3F9E372CA03E}"/>
    <cellStyle name="Comma 462" xfId="30808" xr:uid="{D4B4623B-51D0-4C7B-8F63-2592BB6DAD95}"/>
    <cellStyle name="Comma 462 2" xfId="30812" xr:uid="{6E128243-E420-4A89-B6C8-67F9284F38DA}"/>
    <cellStyle name="Comma 463" xfId="30814" xr:uid="{2EA77920-38EA-4D68-A439-B93DC0F3DD08}"/>
    <cellStyle name="Comma 463 2" xfId="30818" xr:uid="{0902C7B8-87C4-4ACA-A9D4-0CA792BBFFFB}"/>
    <cellStyle name="Comma 464" xfId="30820" xr:uid="{BBE064C1-6802-4A12-8250-E14B17161D83}"/>
    <cellStyle name="Comma 464 2" xfId="20521" xr:uid="{15ECA491-C9E7-4167-8344-726B382DAE71}"/>
    <cellStyle name="Comma 465" xfId="30834" xr:uid="{4F914685-D440-46FE-B87B-08EA690DBC13}"/>
    <cellStyle name="Comma 465 2" xfId="18340" xr:uid="{A90A47F2-28A1-4732-9FAC-1829197795DE}"/>
    <cellStyle name="Comma 466" xfId="30840" xr:uid="{EACAE74C-51A3-419C-9F25-F2A71B29540F}"/>
    <cellStyle name="Comma 466 2" xfId="18416" xr:uid="{E632991C-B3E9-4AAD-B36E-8DF46BA51861}"/>
    <cellStyle name="Comma 467" xfId="30844" xr:uid="{CCE9462E-C6AC-49D3-87B2-7D0A730029EB}"/>
    <cellStyle name="Comma 467 2" xfId="9030" xr:uid="{D3D05AD4-132A-4A85-ADCE-47DC919D7058}"/>
    <cellStyle name="Comma 468" xfId="6126" xr:uid="{56C2286D-1395-4ADB-A39F-AEF34B3D477D}"/>
    <cellStyle name="Comma 468 2" xfId="6651" xr:uid="{E7A3BD68-FF28-4E7F-8AAD-447B331BC6F7}"/>
    <cellStyle name="Comma 469" xfId="6657" xr:uid="{F5D1E54A-13BF-4B21-89DB-AFA59CB700B7}"/>
    <cellStyle name="Comma 469 2" xfId="30848" xr:uid="{750F30EE-BA0B-43B2-894D-D7B2765EA4EE}"/>
    <cellStyle name="Comma 47" xfId="30850" xr:uid="{B9C0D6BA-B0CA-4E76-BF50-1F6C768EAE6D}"/>
    <cellStyle name="Comma 47 10" xfId="30853" xr:uid="{277516A0-6FC1-47BF-A162-681C44D5E0AA}"/>
    <cellStyle name="Comma 47 11" xfId="30854" xr:uid="{C62CD73A-9022-4D59-A530-6CA7BF912820}"/>
    <cellStyle name="Comma 47 12" xfId="2836" xr:uid="{5A198590-0955-415D-AEB6-EBBA9C2DEDF6}"/>
    <cellStyle name="Comma 47 2" xfId="30855" xr:uid="{028E347C-ECCF-4C78-8C24-964B51D25DAD}"/>
    <cellStyle name="Comma 47 2 10" xfId="21812" xr:uid="{7186641C-E124-46FE-B1D8-A67CA4996F55}"/>
    <cellStyle name="Comma 47 2 11" xfId="30858" xr:uid="{B26E2AC2-91CB-4BFC-89AE-C17A2790CEA0}"/>
    <cellStyle name="Comma 47 2 2" xfId="30859" xr:uid="{C355BAEB-E6A6-41A9-B26C-F34BF2ABDBAC}"/>
    <cellStyle name="Comma 47 2 2 10" xfId="23123" xr:uid="{85404C9D-04E9-475A-9E2D-CA0766627F69}"/>
    <cellStyle name="Comma 47 2 2 2" xfId="12353" xr:uid="{CD27E4E8-F60E-4F54-9E7F-0C62B92FF8A7}"/>
    <cellStyle name="Comma 47 2 2 2 2" xfId="8778" xr:uid="{F59EA361-2DC7-4AE4-BA3B-FBD45F47D61C}"/>
    <cellStyle name="Comma 47 2 2 2 2 2" xfId="8783" xr:uid="{CB9A0AC4-18F7-4DBD-ACAF-5C57ECF6EDA4}"/>
    <cellStyle name="Comma 47 2 2 2 2 2 2" xfId="8787" xr:uid="{44A4CB38-DB09-4CCE-8FB2-BA25896C11F5}"/>
    <cellStyle name="Comma 47 2 2 2 2 2 2 2" xfId="10385" xr:uid="{9F09AAE0-6837-44A6-865D-F1C8FB491891}"/>
    <cellStyle name="Comma 47 2 2 2 2 2 2 2 2" xfId="20062" xr:uid="{4A42E0A3-2F14-4442-B279-9B908E6DF30F}"/>
    <cellStyle name="Comma 47 2 2 2 2 2 2 2 2 2" xfId="30863" xr:uid="{FA3B1DB4-2114-40F0-B851-AB8AD61A8AEF}"/>
    <cellStyle name="Comma 47 2 2 2 2 2 2 2 3" xfId="7861" xr:uid="{B4D72022-6CEB-4F4C-ABE2-6E2A3CE989EE}"/>
    <cellStyle name="Comma 47 2 2 2 2 2 2 3" xfId="30864" xr:uid="{8AD565F9-5D38-40FA-9618-92408F9511F7}"/>
    <cellStyle name="Comma 47 2 2 2 2 2 2 3 2" xfId="21785" xr:uid="{5745F15D-0491-4C45-A55B-0B70D119DFB0}"/>
    <cellStyle name="Comma 47 2 2 2 2 2 2 4" xfId="30865" xr:uid="{4587C1BB-8017-4DDA-A168-85A9657C7C53}"/>
    <cellStyle name="Comma 47 2 2 2 2 2 3" xfId="30866" xr:uid="{F2552AE8-1AAD-482D-9A5C-BEEF074228FE}"/>
    <cellStyle name="Comma 47 2 2 2 2 2 3 2" xfId="30867" xr:uid="{E39A2AFE-B3C8-4BBA-BF7E-E03AB1DC5891}"/>
    <cellStyle name="Comma 47 2 2 2 2 2 3 2 2" xfId="30869" xr:uid="{FD78D8AD-BD2B-432B-AA93-51A8B4346160}"/>
    <cellStyle name="Comma 47 2 2 2 2 2 3 3" xfId="30871" xr:uid="{85D9F128-B121-4FBA-AE5A-A5CFD16C72E4}"/>
    <cellStyle name="Comma 47 2 2 2 2 2 4" xfId="30872" xr:uid="{25517CF0-63D8-4F63-B455-C8CA3CE2EB78}"/>
    <cellStyle name="Comma 47 2 2 2 2 2 4 2" xfId="30873" xr:uid="{73C24A3B-6AA5-48A0-B055-6451473E61AE}"/>
    <cellStyle name="Comma 47 2 2 2 2 2 5" xfId="30874" xr:uid="{17501133-9461-4F96-890F-26661F1B2B72}"/>
    <cellStyle name="Comma 47 2 2 2 2 3" xfId="8793" xr:uid="{DD35FA94-DA78-4C20-965B-A32FB1614D14}"/>
    <cellStyle name="Comma 47 2 2 2 2 3 2" xfId="30877" xr:uid="{EDC5C79E-9421-426B-983B-5137D546638C}"/>
    <cellStyle name="Comma 47 2 2 2 2 3 2 2" xfId="30878" xr:uid="{CA8064E9-CD98-4492-8692-0D882863855C}"/>
    <cellStyle name="Comma 47 2 2 2 2 3 2 2 2" xfId="11111" xr:uid="{DD5BCC3A-F448-4C21-86AA-69CBE5F5F57F}"/>
    <cellStyle name="Comma 47 2 2 2 2 3 2 3" xfId="30879" xr:uid="{CAC54A04-4FFF-40A5-8A5B-F3BAFD6A9A83}"/>
    <cellStyle name="Comma 47 2 2 2 2 3 3" xfId="30880" xr:uid="{D53D1F65-3940-401E-AC4F-56331FC09858}"/>
    <cellStyle name="Comma 47 2 2 2 2 3 3 2" xfId="30881" xr:uid="{BEFAAF79-9C6B-43B8-A949-2B3FD0A2C425}"/>
    <cellStyle name="Comma 47 2 2 2 2 3 4" xfId="30882" xr:uid="{4EB97414-B009-4926-901B-E7B6DF0434B1}"/>
    <cellStyle name="Comma 47 2 2 2 2 4" xfId="30884" xr:uid="{7984AC66-F2AA-41FF-9AA3-44A5AE0F3946}"/>
    <cellStyle name="Comma 47 2 2 2 2 4 2" xfId="30892" xr:uid="{0E0F8C1D-39CC-4A50-8477-502DF9F57BD9}"/>
    <cellStyle name="Comma 47 2 2 2 2 4 2 2" xfId="30893" xr:uid="{55B08812-2A75-4FE2-911E-EDC71AE1DC8F}"/>
    <cellStyle name="Comma 47 2 2 2 2 4 3" xfId="30898" xr:uid="{B2749BC9-6F6F-4781-AF3C-7C0F5FEB9566}"/>
    <cellStyle name="Comma 47 2 2 2 2 5" xfId="30901" xr:uid="{A4AF6717-C482-4AC4-935D-47ED40B574BE}"/>
    <cellStyle name="Comma 47 2 2 2 2 5 2" xfId="30904" xr:uid="{F646100D-999F-4C96-A0B9-B40CE645CCB7}"/>
    <cellStyle name="Comma 47 2 2 2 2 6" xfId="30907" xr:uid="{0E759720-430A-47D0-AF3D-4CFAA53660B5}"/>
    <cellStyle name="Comma 47 2 2 2 2 7" xfId="30910" xr:uid="{FD2C7F37-ECC9-4F93-94EC-8E6381825061}"/>
    <cellStyle name="Comma 47 2 2 2 3" xfId="8795" xr:uid="{F825DED4-3F07-47B5-A34D-37A857B215B1}"/>
    <cellStyle name="Comma 47 2 2 2 3 2" xfId="8797" xr:uid="{CC738887-F5B4-477B-BE1F-D39D17F38FF7}"/>
    <cellStyle name="Comma 47 2 2 2 3 2 2" xfId="30911" xr:uid="{F58BB190-9555-4DBD-980D-10E0BACCCD43}"/>
    <cellStyle name="Comma 47 2 2 2 3 2 2 2" xfId="30912" xr:uid="{8495AE4D-424C-4113-99C3-1CB3CE5C0E4E}"/>
    <cellStyle name="Comma 47 2 2 2 3 2 2 2 2" xfId="30913" xr:uid="{8E52B5A4-BCEA-47BF-A33E-3D61EBA506E8}"/>
    <cellStyle name="Comma 47 2 2 2 3 2 2 3" xfId="30914" xr:uid="{3463BBFA-3020-4CD9-9477-35BADCEC57CB}"/>
    <cellStyle name="Comma 47 2 2 2 3 2 3" xfId="30916" xr:uid="{E242D739-E551-4331-A3D3-C2814F7CE4F8}"/>
    <cellStyle name="Comma 47 2 2 2 3 2 3 2" xfId="10274" xr:uid="{3702EE4E-8F7D-4B27-804F-623B7F131C93}"/>
    <cellStyle name="Comma 47 2 2 2 3 2 4" xfId="30917" xr:uid="{50202005-8A96-4F31-8C4E-987D7E33DEAE}"/>
    <cellStyle name="Comma 47 2 2 2 3 3" xfId="17248" xr:uid="{AAD228BB-06FA-4379-9C86-1706BEDC05CD}"/>
    <cellStyle name="Comma 47 2 2 2 3 3 2" xfId="30918" xr:uid="{26B3C920-FD6C-4801-A71A-69BFE2D551EE}"/>
    <cellStyle name="Comma 47 2 2 2 3 3 2 2" xfId="30919" xr:uid="{473C5894-5F63-4F22-8E57-DF8BFBC0D4A5}"/>
    <cellStyle name="Comma 47 2 2 2 3 3 3" xfId="30920" xr:uid="{A379545D-647B-4E3A-AC53-88673DCDF2EF}"/>
    <cellStyle name="Comma 47 2 2 2 3 4" xfId="30921" xr:uid="{997BC29B-6FB3-40F7-8001-530BD6EC5E5A}"/>
    <cellStyle name="Comma 47 2 2 2 3 4 2" xfId="30924" xr:uid="{372DDE7B-28EB-4430-AF28-604A59B9094D}"/>
    <cellStyle name="Comma 47 2 2 2 3 5" xfId="30925" xr:uid="{30E8AE91-DDCE-4742-8FCA-D3F415DD285B}"/>
    <cellStyle name="Comma 47 2 2 2 4" xfId="8801" xr:uid="{285B5FD5-BBBA-4704-A7DF-891544649919}"/>
    <cellStyle name="Comma 47 2 2 2 4 2" xfId="25450" xr:uid="{3E82952A-D9CE-41D3-9ABB-AE3696E073C9}"/>
    <cellStyle name="Comma 47 2 2 2 4 2 2" xfId="27393" xr:uid="{4BF7CF84-5D23-4785-BC36-3282690362B4}"/>
    <cellStyle name="Comma 47 2 2 2 4 2 2 2" xfId="27396" xr:uid="{4E2BE9B9-1D80-4283-A9E8-932FE3FED54C}"/>
    <cellStyle name="Comma 47 2 2 2 4 2 3" xfId="27433" xr:uid="{E623C9E2-7426-49AA-8181-3549FA4FA0A3}"/>
    <cellStyle name="Comma 47 2 2 2 4 3" xfId="25454" xr:uid="{216DD136-FFED-4297-9D03-E795F0381C5C}"/>
    <cellStyle name="Comma 47 2 2 2 4 3 2" xfId="27476" xr:uid="{AAB09729-CBB1-477F-AC7E-CF6614B648AC}"/>
    <cellStyle name="Comma 47 2 2 2 4 4" xfId="27522" xr:uid="{B7F2037E-DB51-49A2-A8E8-64AC8F75E772}"/>
    <cellStyle name="Comma 47 2 2 2 5" xfId="8806" xr:uid="{E9423FCB-1F84-493E-8859-B2DF895D723A}"/>
    <cellStyle name="Comma 47 2 2 2 5 2" xfId="27576" xr:uid="{CAA829DB-5774-4B17-B4A2-B7C078B34780}"/>
    <cellStyle name="Comma 47 2 2 2 5 2 2" xfId="27579" xr:uid="{F0A5FA6E-596F-4FD1-9F2C-BB784667F93A}"/>
    <cellStyle name="Comma 47 2 2 2 5 3" xfId="27614" xr:uid="{5956DD0E-BF0A-454F-A99A-E54A3AAEA0F9}"/>
    <cellStyle name="Comma 47 2 2 2 6" xfId="27661" xr:uid="{1132E59F-3B2A-4071-BCDB-37D343E9CA3E}"/>
    <cellStyle name="Comma 47 2 2 2 6 2" xfId="27664" xr:uid="{F81279E2-2A8D-4562-81D1-0326DD3993BE}"/>
    <cellStyle name="Comma 47 2 2 2 7" xfId="27677" xr:uid="{1BAF94E7-B9A3-4ECD-8CC1-C30BA6AE452A}"/>
    <cellStyle name="Comma 47 2 2 2 8" xfId="27692" xr:uid="{81A025CB-0B17-40BE-94B6-FB6D2A6F9A8B}"/>
    <cellStyle name="Comma 47 2 2 3" xfId="30926" xr:uid="{2A1A87B9-BF88-420A-9B2E-17D3035A811B}"/>
    <cellStyle name="Comma 47 2 2 3 2" xfId="8861" xr:uid="{ECCB861F-D09F-4240-A394-66441F953DCA}"/>
    <cellStyle name="Comma 47 2 2 3 2 2" xfId="8863" xr:uid="{5386007E-BC74-4DCC-9767-99CCBF34641D}"/>
    <cellStyle name="Comma 47 2 2 3 2 2 2" xfId="4421" xr:uid="{9227B839-3889-45A3-97CB-F5CF5D4F5A92}"/>
    <cellStyle name="Comma 47 2 2 3 2 2 2 2" xfId="30927" xr:uid="{4E4660D6-3721-4820-A256-3E1292F3F4DE}"/>
    <cellStyle name="Comma 47 2 2 3 2 2 2 2 2" xfId="30928" xr:uid="{F062BD22-FF54-41C8-849F-F76375CF75F4}"/>
    <cellStyle name="Comma 47 2 2 3 2 2 2 3" xfId="30929" xr:uid="{27A7A541-9F58-4977-A4BF-D9B9F20BDB41}"/>
    <cellStyle name="Comma 47 2 2 3 2 2 3" xfId="30930" xr:uid="{5210B78B-BB49-4114-8D9A-AEDDAEEC4807}"/>
    <cellStyle name="Comma 47 2 2 3 2 2 3 2" xfId="30931" xr:uid="{FD8A22B3-610E-43AB-B36D-11A99485CEB2}"/>
    <cellStyle name="Comma 47 2 2 3 2 2 4" xfId="30932" xr:uid="{0E38501E-A619-4182-A71B-EDEE944FC11C}"/>
    <cellStyle name="Comma 47 2 2 3 2 3" xfId="30933" xr:uid="{A29311E8-5EE2-4AA9-9EED-5825B0F134D0}"/>
    <cellStyle name="Comma 47 2 2 3 2 3 2" xfId="30934" xr:uid="{4C6192CA-9AB6-4FEB-BAA1-396900101003}"/>
    <cellStyle name="Comma 47 2 2 3 2 3 2 2" xfId="30935" xr:uid="{504CB51D-40F5-4360-A62C-B66C62956D84}"/>
    <cellStyle name="Comma 47 2 2 3 2 3 3" xfId="30936" xr:uid="{2ADCB733-16AB-4183-8635-AED9C8369C7B}"/>
    <cellStyle name="Comma 47 2 2 3 2 4" xfId="30937" xr:uid="{EC5C839B-977A-40C8-B4AF-54F204425ED4}"/>
    <cellStyle name="Comma 47 2 2 3 2 4 2" xfId="30938" xr:uid="{D3F70AC3-8CDC-44BB-8A79-A0FCAF54AFC6}"/>
    <cellStyle name="Comma 47 2 2 3 2 5" xfId="12322" xr:uid="{7039FF89-6351-48C6-924F-A7444AA46235}"/>
    <cellStyle name="Comma 47 2 2 3 3" xfId="8865" xr:uid="{0228A4A6-2B1A-4A5D-B05C-CB940E96D752}"/>
    <cellStyle name="Comma 47 2 2 3 3 2" xfId="30939" xr:uid="{33D237A1-B84C-4A74-9FC5-5B53F725ECFB}"/>
    <cellStyle name="Comma 47 2 2 3 3 2 2" xfId="30940" xr:uid="{CB44A7E1-6F17-487A-BBDB-67F5B42322D3}"/>
    <cellStyle name="Comma 47 2 2 3 3 2 2 2" xfId="14100" xr:uid="{C8F8A1E8-A679-4CA6-9AED-B749F6F5370F}"/>
    <cellStyle name="Comma 47 2 2 3 3 2 3" xfId="30941" xr:uid="{9FEA0176-5707-4382-9F7C-0BA284ED3B93}"/>
    <cellStyle name="Comma 47 2 2 3 3 3" xfId="28175" xr:uid="{783BF4A9-6072-444E-85F0-4A154734A9E2}"/>
    <cellStyle name="Comma 47 2 2 3 3 3 2" xfId="30942" xr:uid="{F2DF5652-51B9-4152-B8D1-F7DE21889D61}"/>
    <cellStyle name="Comma 47 2 2 3 3 4" xfId="30943" xr:uid="{51142001-8604-4030-BB40-69D238C9C7FE}"/>
    <cellStyle name="Comma 47 2 2 3 4" xfId="8867" xr:uid="{CCC19396-6FAD-4C08-A84A-274AF1BC7359}"/>
    <cellStyle name="Comma 47 2 2 3 4 2" xfId="27715" xr:uid="{700EFAC5-4D6B-412D-8BBF-2BB6E05CBF3C}"/>
    <cellStyle name="Comma 47 2 2 3 4 2 2" xfId="27718" xr:uid="{6570C594-7340-484A-BA9E-4425433AC0A0}"/>
    <cellStyle name="Comma 47 2 2 3 4 3" xfId="27755" xr:uid="{686E11EF-FD69-49A2-88AC-83F6F0333094}"/>
    <cellStyle name="Comma 47 2 2 3 5" xfId="27784" xr:uid="{4A5A6B28-0689-40A1-8C9C-F50071CEFFC1}"/>
    <cellStyle name="Comma 47 2 2 3 5 2" xfId="27787" xr:uid="{E20F56FA-18C3-4375-A96D-24CC375D17EE}"/>
    <cellStyle name="Comma 47 2 2 3 6" xfId="27806" xr:uid="{3A747396-ECDC-4E8A-B057-D9E96105985B}"/>
    <cellStyle name="Comma 47 2 2 3 7" xfId="27815" xr:uid="{D644AF95-C230-4AFC-BE10-175C061A1F95}"/>
    <cellStyle name="Comma 47 2 2 4" xfId="30944" xr:uid="{D559B699-89F4-43AD-8C0E-8F24293C8579}"/>
    <cellStyle name="Comma 47 2 2 4 2" xfId="8901" xr:uid="{9EC8FA08-36B3-49CF-9F22-645ED6286391}"/>
    <cellStyle name="Comma 47 2 2 4 2 2" xfId="30945" xr:uid="{A38B90B2-2A84-457F-84E8-69048E05712B}"/>
    <cellStyle name="Comma 47 2 2 4 2 2 2" xfId="30946" xr:uid="{308B1420-5B68-48E4-A809-B894AE76380C}"/>
    <cellStyle name="Comma 47 2 2 4 2 2 2 2" xfId="30948" xr:uid="{B518600E-32E9-4F44-900E-10980302EF6E}"/>
    <cellStyle name="Comma 47 2 2 4 2 2 3" xfId="30949" xr:uid="{39420589-B20F-4916-9CAB-76F22F4C75C9}"/>
    <cellStyle name="Comma 47 2 2 4 2 3" xfId="30950" xr:uid="{E20FE649-92CD-4212-B992-712A28C0D382}"/>
    <cellStyle name="Comma 47 2 2 4 2 3 2" xfId="30951" xr:uid="{287CD3DB-A041-4384-92C4-9553568E713C}"/>
    <cellStyle name="Comma 47 2 2 4 2 4" xfId="30952" xr:uid="{05C86AB5-5567-4295-BAEB-16BA7C8AD3A7}"/>
    <cellStyle name="Comma 47 2 2 4 3" xfId="16942" xr:uid="{E1B9A3E0-EFD7-43D5-8394-CB76EA9097FA}"/>
    <cellStyle name="Comma 47 2 2 4 3 2" xfId="16944" xr:uid="{A6A88DE9-47EA-45F7-B00B-FAAA4781A68F}"/>
    <cellStyle name="Comma 47 2 2 4 3 2 2" xfId="30953" xr:uid="{C58E84DA-F3D0-4883-9E1E-2BFCCF4ED63F}"/>
    <cellStyle name="Comma 47 2 2 4 3 3" xfId="30954" xr:uid="{0EF1F5FF-1B5A-4F73-9022-92AA7981E1EB}"/>
    <cellStyle name="Comma 47 2 2 4 4" xfId="16946" xr:uid="{4F2FB699-20A8-483D-87D5-3E42DF608EAF}"/>
    <cellStyle name="Comma 47 2 2 4 4 2" xfId="202" xr:uid="{30BD8835-92F0-4657-B30C-A46647148591}"/>
    <cellStyle name="Comma 47 2 2 4 5" xfId="17171" xr:uid="{04217CB2-92C7-4969-A656-159734C4F949}"/>
    <cellStyle name="Comma 47 2 2 5" xfId="30956" xr:uid="{4B6FEC17-E311-4E24-B81C-D3766275E9DC}"/>
    <cellStyle name="Comma 47 2 2 5 2" xfId="17238" xr:uid="{1E09F5F0-595C-4677-9714-63DEABD82AD9}"/>
    <cellStyle name="Comma 47 2 2 5 2 2" xfId="30957" xr:uid="{38C685CD-B944-4FC7-91DE-05F991F6D6A2}"/>
    <cellStyle name="Comma 47 2 2 5 2 2 2" xfId="30958" xr:uid="{3461D85D-7904-436A-B474-666034A830C7}"/>
    <cellStyle name="Comma 47 2 2 5 2 3" xfId="30959" xr:uid="{4A10DA38-92CA-4FDA-8D71-7C1FF0ECB773}"/>
    <cellStyle name="Comma 47 2 2 5 3" xfId="16955" xr:uid="{E4A65193-868A-4585-AF46-DFD97223B565}"/>
    <cellStyle name="Comma 47 2 2 5 3 2" xfId="30963" xr:uid="{E3B03E89-DB72-42A0-BF05-9A63272CBF6E}"/>
    <cellStyle name="Comma 47 2 2 5 4" xfId="27871" xr:uid="{57F95324-4D3B-477D-AC79-8E46C25F4C62}"/>
    <cellStyle name="Comma 47 2 2 6" xfId="30966" xr:uid="{C0CF831B-1C16-4D79-BFBA-82CF51A5C16E}"/>
    <cellStyle name="Comma 47 2 2 6 2" xfId="30967" xr:uid="{CB822141-919A-45EB-B489-23E0EF640B0A}"/>
    <cellStyle name="Comma 47 2 2 6 2 2" xfId="30968" xr:uid="{19665446-A58B-45F4-8249-1DE46DB3ECF1}"/>
    <cellStyle name="Comma 47 2 2 6 3" xfId="30969" xr:uid="{FAE9185B-3F8A-4F5F-A463-35F15F81BA89}"/>
    <cellStyle name="Comma 47 2 2 7" xfId="30974" xr:uid="{2E96FE2E-FFEB-4F61-8734-7BD40ADBF7CF}"/>
    <cellStyle name="Comma 47 2 2 7 2" xfId="30975" xr:uid="{87DA3C2C-5648-44E4-B3E7-CFAEC9B92805}"/>
    <cellStyle name="Comma 47 2 2 8" xfId="30976" xr:uid="{A1268970-481D-4292-A86A-56A2C1982EB8}"/>
    <cellStyle name="Comma 47 2 2 9" xfId="22121" xr:uid="{A32F820B-980D-40D2-A8ED-D6EF79DE2516}"/>
    <cellStyle name="Comma 47 2 3" xfId="30977" xr:uid="{E4DF8089-5F08-473E-BF56-1E39D9C8150F}"/>
    <cellStyle name="Comma 47 2 3 2" xfId="30978" xr:uid="{0ED757D3-3107-4465-8417-9F85A29CA4CB}"/>
    <cellStyle name="Comma 47 2 3 2 2" xfId="9088" xr:uid="{387E98ED-6801-4A97-84BF-B2A0D273E6B2}"/>
    <cellStyle name="Comma 47 2 3 2 2 2" xfId="9090" xr:uid="{40174462-6D47-4C73-99EC-072B33B9C8D5}"/>
    <cellStyle name="Comma 47 2 3 2 2 2 2" xfId="30979" xr:uid="{9B7EE8F0-EB94-4491-9F79-5D96A3391D52}"/>
    <cellStyle name="Comma 47 2 3 2 2 2 2 2" xfId="30982" xr:uid="{71A5D1EA-B56F-448F-A09C-755614888DE7}"/>
    <cellStyle name="Comma 47 2 3 2 2 2 2 2 2" xfId="30985" xr:uid="{01B3860B-81F1-4FBD-B061-0937A509318F}"/>
    <cellStyle name="Comma 47 2 3 2 2 2 2 3" xfId="30989" xr:uid="{946F820D-A342-4E83-8063-08907387F818}"/>
    <cellStyle name="Comma 47 2 3 2 2 2 3" xfId="30990" xr:uid="{B7691202-C227-4C96-AB60-A1FB0868D8AE}"/>
    <cellStyle name="Comma 47 2 3 2 2 2 3 2" xfId="30993" xr:uid="{BCF9CD88-B109-4609-8993-8E76F417E6A0}"/>
    <cellStyle name="Comma 47 2 3 2 2 2 4" xfId="30994" xr:uid="{E0A782F9-A6E3-4648-A041-13790DC8D988}"/>
    <cellStyle name="Comma 47 2 3 2 2 3" xfId="25240" xr:uid="{C1D1894D-8897-4001-9535-1B453CBE148A}"/>
    <cellStyle name="Comma 47 2 3 2 2 3 2" xfId="30995" xr:uid="{704FB288-7A89-4555-9A32-AD762BDF7014}"/>
    <cellStyle name="Comma 47 2 3 2 2 3 2 2" xfId="30998" xr:uid="{81CD217E-E0A5-4EC0-86F8-F3DC94C0889D}"/>
    <cellStyle name="Comma 47 2 3 2 2 3 3" xfId="30999" xr:uid="{CD97FC65-762D-412F-973F-4C715AB54933}"/>
    <cellStyle name="Comma 47 2 3 2 2 4" xfId="25243" xr:uid="{2088723A-38F7-4ECE-977D-D9B183E5DFA2}"/>
    <cellStyle name="Comma 47 2 3 2 2 4 2" xfId="31000" xr:uid="{76F91FA4-8B85-46F2-B98C-0794E29BC1AC}"/>
    <cellStyle name="Comma 47 2 3 2 2 5" xfId="25246" xr:uid="{CE22C0B5-4FAD-4F16-B002-F86B238C32C8}"/>
    <cellStyle name="Comma 47 2 3 2 3" xfId="9094" xr:uid="{1B2A5AD7-F60B-4D1D-9FA8-60713CA4A228}"/>
    <cellStyle name="Comma 47 2 3 2 3 2" xfId="25283" xr:uid="{24E72034-CA84-4D88-B67F-0CC895FD9D32}"/>
    <cellStyle name="Comma 47 2 3 2 3 2 2" xfId="31001" xr:uid="{372CBC91-D3C4-44F6-A3AD-01FF1E098E17}"/>
    <cellStyle name="Comma 47 2 3 2 3 2 2 2" xfId="24549" xr:uid="{8BC5F0C5-90D3-4DEC-898E-3C6EE76B30A2}"/>
    <cellStyle name="Comma 47 2 3 2 3 2 3" xfId="31002" xr:uid="{6E24E4DE-0F40-4F5D-A2C8-9466C30AA4AD}"/>
    <cellStyle name="Comma 47 2 3 2 3 3" xfId="23071" xr:uid="{33482AA2-51FE-4AF1-A9D9-A75AFA9D2455}"/>
    <cellStyle name="Comma 47 2 3 2 3 3 2" xfId="31003" xr:uid="{2C970D8A-6225-4ABD-95E8-B24EBA21113E}"/>
    <cellStyle name="Comma 47 2 3 2 3 4" xfId="25285" xr:uid="{05E0D4AE-E5A9-401E-B25B-2A29CFFDB8C3}"/>
    <cellStyle name="Comma 47 2 3 2 4" xfId="9096" xr:uid="{6E0398BA-A2F5-4C53-8BF4-10D09FCEBCBE}"/>
    <cellStyle name="Comma 47 2 3 2 4 2" xfId="27979" xr:uid="{1250241B-0863-46D2-8C1F-C6EB6AEAC9BE}"/>
    <cellStyle name="Comma 47 2 3 2 4 2 2" xfId="27982" xr:uid="{06972233-A1E8-4F41-9C38-B71DE14C5BB7}"/>
    <cellStyle name="Comma 47 2 3 2 4 3" xfId="28014" xr:uid="{09063FFC-B401-441B-85E0-6E8C6D4866DE}"/>
    <cellStyle name="Comma 47 2 3 2 5" xfId="28064" xr:uid="{2945ACFE-09D5-4AF4-BE05-DAE2978B0E83}"/>
    <cellStyle name="Comma 47 2 3 2 5 2" xfId="28067" xr:uid="{D1CAB3D1-39C7-48AE-B8ED-7663389898E6}"/>
    <cellStyle name="Comma 47 2 3 2 6" xfId="28109" xr:uid="{C0210E54-0E47-4556-A3E6-8A4230F65B56}"/>
    <cellStyle name="Comma 47 2 3 2 7" xfId="28118" xr:uid="{DBB29620-48D6-4DFE-A868-4D4B2CE21FDB}"/>
    <cellStyle name="Comma 47 2 3 3" xfId="31004" xr:uid="{D002D033-707A-45F9-AA28-8967615BA4BC}"/>
    <cellStyle name="Comma 47 2 3 3 2" xfId="9129" xr:uid="{270FB688-095B-479D-8E3E-47C745C4FF48}"/>
    <cellStyle name="Comma 47 2 3 3 2 2" xfId="31005" xr:uid="{46B4C450-74F3-4605-9354-880677FE7A8B}"/>
    <cellStyle name="Comma 47 2 3 3 2 2 2" xfId="31006" xr:uid="{C2E22945-667A-419A-A38F-DECDED24AA9E}"/>
    <cellStyle name="Comma 47 2 3 3 2 2 2 2" xfId="31007" xr:uid="{CADDFFC4-E721-4D76-A2BF-8655E5A82B0E}"/>
    <cellStyle name="Comma 47 2 3 3 2 2 3" xfId="31008" xr:uid="{4F3B195A-56B4-4AB5-9DEF-C26E52DBF544}"/>
    <cellStyle name="Comma 47 2 3 3 2 3" xfId="31009" xr:uid="{46104876-770A-4214-A7FD-572EC5D520C2}"/>
    <cellStyle name="Comma 47 2 3 3 2 3 2" xfId="31010" xr:uid="{C5604085-301B-4096-8737-F32FB323AC68}"/>
    <cellStyle name="Comma 47 2 3 3 2 4" xfId="31011" xr:uid="{891C66C6-28E1-43D5-B56E-2B97EF558E9C}"/>
    <cellStyle name="Comma 47 2 3 3 3" xfId="31012" xr:uid="{99A8AAE1-93BA-4FCB-ADB7-5A0C2F5CF273}"/>
    <cellStyle name="Comma 47 2 3 3 3 2" xfId="31013" xr:uid="{48F27482-B21F-480D-B003-647AE2405659}"/>
    <cellStyle name="Comma 47 2 3 3 3 2 2" xfId="31014" xr:uid="{07D84ACE-EFD5-448E-B811-D64EA042B413}"/>
    <cellStyle name="Comma 47 2 3 3 3 3" xfId="31016" xr:uid="{42C28C29-4192-4641-911F-B2EAAB7FD0A0}"/>
    <cellStyle name="Comma 47 2 3 3 4" xfId="28141" xr:uid="{CF9E6C2F-E11B-4AE0-BAC1-35D9BAFFD797}"/>
    <cellStyle name="Comma 47 2 3 3 4 2" xfId="28144" xr:uid="{C816E102-C724-45F9-BFCD-83B1D57F03B6}"/>
    <cellStyle name="Comma 47 2 3 3 5" xfId="28184" xr:uid="{8FB14BAE-B7EC-4101-9C88-CF260EE73A36}"/>
    <cellStyle name="Comma 47 2 3 4" xfId="31017" xr:uid="{55477434-29D8-43D0-BBCF-FE286FB6C368}"/>
    <cellStyle name="Comma 47 2 3 4 2" xfId="31018" xr:uid="{284E6CEA-7B76-4BB9-861D-F030B6D27F0E}"/>
    <cellStyle name="Comma 47 2 3 4 2 2" xfId="31019" xr:uid="{3889AD0E-462B-47F5-9A3B-1CDF5D2380C2}"/>
    <cellStyle name="Comma 47 2 3 4 2 2 2" xfId="31020" xr:uid="{A6F35D39-23A4-4912-835D-A424A91F98B7}"/>
    <cellStyle name="Comma 47 2 3 4 2 3" xfId="31021" xr:uid="{27216618-95C9-4F96-A8CD-F63D073D318A}"/>
    <cellStyle name="Comma 47 2 3 4 3" xfId="16966" xr:uid="{EBA249EA-1953-40BC-BECF-CBD777B26D56}"/>
    <cellStyle name="Comma 47 2 3 4 3 2" xfId="31022" xr:uid="{7BA20837-7C95-42C4-AEBA-A1239ED5509F}"/>
    <cellStyle name="Comma 47 2 3 4 4" xfId="28214" xr:uid="{D1158EE8-F892-4E15-942A-79F6418D1E06}"/>
    <cellStyle name="Comma 47 2 3 5" xfId="31023" xr:uid="{6BB3D92F-925A-482E-95DF-D52D182A7850}"/>
    <cellStyle name="Comma 47 2 3 5 2" xfId="15751" xr:uid="{38144EB5-372A-4B1D-A572-2A7BC66D6079}"/>
    <cellStyle name="Comma 47 2 3 5 2 2" xfId="15753" xr:uid="{37F01B43-5072-430E-AB01-3F6182A9BF83}"/>
    <cellStyle name="Comma 47 2 3 5 3" xfId="15755" xr:uid="{7C2A00DE-30BD-4808-8C23-91593848C4DB}"/>
    <cellStyle name="Comma 47 2 3 6" xfId="31024" xr:uid="{F33A6E4F-11F3-4CD7-89FC-F6317D18535C}"/>
    <cellStyle name="Comma 47 2 3 6 2" xfId="15778" xr:uid="{6B525291-63B7-44B3-9861-DE8BB7C4A0EE}"/>
    <cellStyle name="Comma 47 2 3 7" xfId="31025" xr:uid="{3BD72F5F-E836-4E11-9FB5-47244E09FF99}"/>
    <cellStyle name="Comma 47 2 3 8" xfId="18207" xr:uid="{1E0C4300-6745-48A2-B563-D84DAAD792D9}"/>
    <cellStyle name="Comma 47 2 4" xfId="31026" xr:uid="{E8866914-FA6A-42D4-952E-3A7ED95C3B61}"/>
    <cellStyle name="Comma 47 2 4 2" xfId="31027" xr:uid="{E3F035A7-561F-48D8-A664-6CFA50D7CD45}"/>
    <cellStyle name="Comma 47 2 4 2 2" xfId="9251" xr:uid="{CC3573E3-6384-45F1-9E11-AE401A4ABF29}"/>
    <cellStyle name="Comma 47 2 4 2 2 2" xfId="30391" xr:uid="{8AF9E0D7-7839-4120-8ABD-DEAFB60B1DB9}"/>
    <cellStyle name="Comma 47 2 4 2 2 2 2" xfId="31030" xr:uid="{AFB8CC6B-B336-4E1D-B508-00103D95D7B9}"/>
    <cellStyle name="Comma 47 2 4 2 2 2 2 2" xfId="31033" xr:uid="{EB62C0C8-2BE3-4224-995B-C2C27F4C6CC2}"/>
    <cellStyle name="Comma 47 2 4 2 2 2 3" xfId="31036" xr:uid="{8B5D370C-DBE1-4D6F-AC3E-8669979BF365}"/>
    <cellStyle name="Comma 47 2 4 2 2 3" xfId="30395" xr:uid="{9C155095-84E4-474B-B5B2-B5796A80C50F}"/>
    <cellStyle name="Comma 47 2 4 2 2 3 2" xfId="31041" xr:uid="{745D8AE0-FF6E-48CC-899E-B6099715B099}"/>
    <cellStyle name="Comma 47 2 4 2 2 4" xfId="31044" xr:uid="{63E18E11-B888-4B2C-8C78-4F52B16C4F40}"/>
    <cellStyle name="Comma 47 2 4 2 3" xfId="31045" xr:uid="{5218F71B-8A1B-4B13-B7E8-DD1A5921982A}"/>
    <cellStyle name="Comma 47 2 4 2 3 2" xfId="29736" xr:uid="{EEDA679F-CD6E-4390-BDF8-91DF69605F09}"/>
    <cellStyle name="Comma 47 2 4 2 3 2 2" xfId="31050" xr:uid="{3D5D16F4-B08B-449E-8F40-30974DAC6336}"/>
    <cellStyle name="Comma 47 2 4 2 3 3" xfId="31055" xr:uid="{D2D8DAD3-E4AB-453E-B3E6-E37BA6FBCD43}"/>
    <cellStyle name="Comma 47 2 4 2 4" xfId="28302" xr:uid="{70DE54EA-EF47-490F-9156-603B16752204}"/>
    <cellStyle name="Comma 47 2 4 2 4 2" xfId="28312" xr:uid="{D69F0822-E49A-4212-9F6A-D5B7C8B70668}"/>
    <cellStyle name="Comma 47 2 4 2 5" xfId="28408" xr:uid="{96BB06BC-4981-40C5-BF25-B81A5CD7325C}"/>
    <cellStyle name="Comma 47 2 4 3" xfId="31056" xr:uid="{7B81F909-5AE5-4F47-B306-9CF00F5D56D3}"/>
    <cellStyle name="Comma 47 2 4 3 2" xfId="31057" xr:uid="{74DB5D5B-A261-457B-96BA-34760314E41A}"/>
    <cellStyle name="Comma 47 2 4 3 2 2" xfId="31060" xr:uid="{4998DF9B-C9C4-4C15-8564-15CE25A1C444}"/>
    <cellStyle name="Comma 47 2 4 3 2 2 2" xfId="31061" xr:uid="{8E6296D8-9DEC-4BD1-A42F-2F9D32B1711C}"/>
    <cellStyle name="Comma 47 2 4 3 2 3" xfId="31066" xr:uid="{EA1D178E-4CAE-413D-9D66-9403CC497044}"/>
    <cellStyle name="Comma 47 2 4 3 3" xfId="31067" xr:uid="{A2BD1C50-DFC2-4194-8110-030647976DEC}"/>
    <cellStyle name="Comma 47 2 4 3 3 2" xfId="31068" xr:uid="{880E1973-9A78-4A4A-ADE4-1B8CF8A36F87}"/>
    <cellStyle name="Comma 47 2 4 3 4" xfId="28526" xr:uid="{D6DD9EC9-50DE-470B-8BF3-E04D1EFD4AB4}"/>
    <cellStyle name="Comma 47 2 4 4" xfId="31070" xr:uid="{EE38340A-D9B2-4BAB-86CA-1A7E81C31E8D}"/>
    <cellStyle name="Comma 47 2 4 4 2" xfId="31071" xr:uid="{19060B41-6050-491B-9915-4A6899A35422}"/>
    <cellStyle name="Comma 47 2 4 4 2 2" xfId="25644" xr:uid="{5CF2A4D2-F240-4B32-A00E-22AF617D7706}"/>
    <cellStyle name="Comma 47 2 4 4 3" xfId="31072" xr:uid="{6C51A100-83A8-497C-A5BC-81A3A7A91CCB}"/>
    <cellStyle name="Comma 47 2 4 5" xfId="31073" xr:uid="{4A63CC80-370A-40DB-8A6E-B05A340C92F1}"/>
    <cellStyle name="Comma 47 2 4 5 2" xfId="15817" xr:uid="{7F70EE03-2122-411E-807D-7BED28A561FB}"/>
    <cellStyle name="Comma 47 2 4 6" xfId="31074" xr:uid="{F9986043-3899-4327-8870-D001AAF07F20}"/>
    <cellStyle name="Comma 47 2 4 7" xfId="31075" xr:uid="{AF8D72D1-F2A4-4864-AC56-512E51D6EA8A}"/>
    <cellStyle name="Comma 47 2 5" xfId="31076" xr:uid="{5CA2203F-23E4-4EEE-A112-DD63A41EC4B3}"/>
    <cellStyle name="Comma 47 2 5 2" xfId="31077" xr:uid="{9ED4A007-A65C-44CB-88F9-30DCE1360DF3}"/>
    <cellStyle name="Comma 47 2 5 2 2" xfId="31078" xr:uid="{46211DE5-8ED8-4B91-9677-0F7BC6318209}"/>
    <cellStyle name="Comma 47 2 5 2 2 2" xfId="31079" xr:uid="{F137A1F4-29A8-4100-8EE9-9DD301297D9A}"/>
    <cellStyle name="Comma 47 2 5 2 2 2 2" xfId="31080" xr:uid="{6A6E0AEB-1588-4457-8293-41993466BE2E}"/>
    <cellStyle name="Comma 47 2 5 2 2 3" xfId="31081" xr:uid="{78B3ADCA-9734-4BE6-9B41-DFCE153436E0}"/>
    <cellStyle name="Comma 47 2 5 2 3" xfId="6294" xr:uid="{02617A2B-0DAE-44DA-BE53-25E19403D5B7}"/>
    <cellStyle name="Comma 47 2 5 2 3 2" xfId="31082" xr:uid="{B376ED01-FD30-4A07-BD70-261C0FAA206D}"/>
    <cellStyle name="Comma 47 2 5 2 4" xfId="28653" xr:uid="{6D2A7724-A7BA-4C60-8E15-06D8DE9D237F}"/>
    <cellStyle name="Comma 47 2 5 3" xfId="31083" xr:uid="{B8C6B6B4-08A1-4A31-8BF7-F1AB4849AA6F}"/>
    <cellStyle name="Comma 47 2 5 3 2" xfId="31084" xr:uid="{05B8BFC7-BB1A-46CF-8311-18C3A2283C4D}"/>
    <cellStyle name="Comma 47 2 5 3 2 2" xfId="31085" xr:uid="{23108ED5-4150-4E47-96C8-16C55A9DF026}"/>
    <cellStyle name="Comma 47 2 5 3 3" xfId="31086" xr:uid="{3B916F83-5515-48CC-AC31-B8F34A3CE2CE}"/>
    <cellStyle name="Comma 47 2 5 4" xfId="31087" xr:uid="{7C39A6ED-5F36-4132-AD3C-780701531779}"/>
    <cellStyle name="Comma 47 2 5 4 2" xfId="31088" xr:uid="{50ECD417-2752-458A-847C-961DCBCB7EE4}"/>
    <cellStyle name="Comma 47 2 5 5" xfId="31089" xr:uid="{C159D709-58BE-40A0-BC71-6E92480A3A9E}"/>
    <cellStyle name="Comma 47 2 6" xfId="4919" xr:uid="{B39B4BCD-E6CF-450A-951F-C568F3F292DB}"/>
    <cellStyle name="Comma 47 2 6 2" xfId="2631" xr:uid="{3398AAA7-5A69-4DAC-A15D-CB5574D8B5B3}"/>
    <cellStyle name="Comma 47 2 6 2 2" xfId="2641" xr:uid="{35C9BB23-1F1E-4FC1-ABDC-BB203FD97991}"/>
    <cellStyle name="Comma 47 2 6 2 2 2" xfId="31090" xr:uid="{77FBA720-D9FC-42B9-93E7-A3F3D7A32275}"/>
    <cellStyle name="Comma 47 2 6 2 3" xfId="19232" xr:uid="{33219010-B072-4020-828F-C5965DD47D2B}"/>
    <cellStyle name="Comma 47 2 6 3" xfId="2661" xr:uid="{95C37756-CCC5-4220-9671-BDC871B14601}"/>
    <cellStyle name="Comma 47 2 6 3 2" xfId="19283" xr:uid="{4AE9EE04-0F8B-4EE4-B3FD-2974D3C8784C}"/>
    <cellStyle name="Comma 47 2 6 4" xfId="31091" xr:uid="{28A3B705-9452-4020-B831-094E9DE62337}"/>
    <cellStyle name="Comma 47 2 7" xfId="4921" xr:uid="{8D217DA3-FB47-4882-8037-589FC54A111A}"/>
    <cellStyle name="Comma 47 2 7 2" xfId="2824" xr:uid="{2A747654-3435-49E4-B689-75409926FF7D}"/>
    <cellStyle name="Comma 47 2 7 2 2" xfId="31092" xr:uid="{F1462208-3E24-43D0-A4CF-2A55435D3CF2}"/>
    <cellStyle name="Comma 47 2 7 3" xfId="31093" xr:uid="{766D1C1F-2EFB-4AC4-8969-E2FE2DA1773D}"/>
    <cellStyle name="Comma 47 2 8" xfId="4924" xr:uid="{225A7BCD-D000-4191-BBFC-E2E15BA51C89}"/>
    <cellStyle name="Comma 47 2 8 2" xfId="31094" xr:uid="{63345AA3-9CBD-44C6-8A31-7F85F7A10F16}"/>
    <cellStyle name="Comma 47 2 9" xfId="31097" xr:uid="{C95F35D2-824C-4A4D-A814-02F00719F5A5}"/>
    <cellStyle name="Comma 47 3" xfId="31098" xr:uid="{43DA9F4F-E95C-4AF2-8946-10EEDAD253CF}"/>
    <cellStyle name="Comma 47 3 10" xfId="31100" xr:uid="{F313DA59-A272-42C9-92D3-3E5354E0ECD6}"/>
    <cellStyle name="Comma 47 3 2" xfId="31101" xr:uid="{93564C8D-81FB-4409-8EE9-D1E7BE4AEA33}"/>
    <cellStyle name="Comma 47 3 2 2" xfId="31103" xr:uid="{F5F1EAC1-E924-4CF4-B99F-ECC567E16B96}"/>
    <cellStyle name="Comma 47 3 2 2 2" xfId="9586" xr:uid="{4F7992AB-8F15-46B6-A7B8-C9D2E47CD932}"/>
    <cellStyle name="Comma 47 3 2 2 2 2" xfId="9590" xr:uid="{23EF8AF0-F1DE-4203-ABCE-6FED12630B11}"/>
    <cellStyle name="Comma 47 3 2 2 2 2 2" xfId="2111" xr:uid="{D5AC0BCE-E30F-4735-8D2D-AA5ACA826A8A}"/>
    <cellStyle name="Comma 47 3 2 2 2 2 2 2" xfId="2117" xr:uid="{B3D288F6-4AF9-419A-917F-70DB8EC1C9D4}"/>
    <cellStyle name="Comma 47 3 2 2 2 2 2 2 2" xfId="11805" xr:uid="{B0C12EAC-CA12-4790-AC6D-330A4982740C}"/>
    <cellStyle name="Comma 47 3 2 2 2 2 2 3" xfId="31104" xr:uid="{D0E6FFA8-DBDF-4C69-9562-F20904F7FBD0}"/>
    <cellStyle name="Comma 47 3 2 2 2 2 3" xfId="2127" xr:uid="{AB9A1C58-719D-48FB-AF75-1D5DD797AA1A}"/>
    <cellStyle name="Comma 47 3 2 2 2 2 3 2" xfId="31105" xr:uid="{0E6A4CBC-7AE6-491B-9DA8-0D3624ED5F00}"/>
    <cellStyle name="Comma 47 3 2 2 2 2 4" xfId="20171" xr:uid="{EAC290C7-7BD5-4343-869B-F199EA30F985}"/>
    <cellStyle name="Comma 47 3 2 2 2 3" xfId="26412" xr:uid="{99CBA31D-89C1-41E1-996A-DB63B4C54E7D}"/>
    <cellStyle name="Comma 47 3 2 2 2 3 2" xfId="20226" xr:uid="{09F967D9-DFA7-4719-96D6-F2AB57ED58C4}"/>
    <cellStyle name="Comma 47 3 2 2 2 3 2 2" xfId="31106" xr:uid="{543D3F76-E43A-486E-8774-CA77C5C8C2B2}"/>
    <cellStyle name="Comma 47 3 2 2 2 3 3" xfId="20228" xr:uid="{DFC4F413-F0A2-4E6C-B749-BD71E13F0C47}"/>
    <cellStyle name="Comma 47 3 2 2 2 4" xfId="31107" xr:uid="{CFEC047E-9E9A-43BC-96FF-BAD16F80C1C4}"/>
    <cellStyle name="Comma 47 3 2 2 2 4 2" xfId="21592" xr:uid="{B604F78D-786E-4EAB-96E7-817B46ACC32F}"/>
    <cellStyle name="Comma 47 3 2 2 2 5" xfId="31108" xr:uid="{37B4518C-D917-41EC-8AC7-B9CEE74BB978}"/>
    <cellStyle name="Comma 47 3 2 2 3" xfId="9593" xr:uid="{6B273D07-ADBF-4ACB-9431-C13BA1C18F24}"/>
    <cellStyle name="Comma 47 3 2 2 3 2" xfId="26418" xr:uid="{C73A141E-B2EE-49EB-86DE-D942A0752224}"/>
    <cellStyle name="Comma 47 3 2 2 3 2 2" xfId="20573" xr:uid="{77295ACD-99C3-4EFC-87B6-FFE7DF1C5F7E}"/>
    <cellStyle name="Comma 47 3 2 2 3 2 2 2" xfId="31109" xr:uid="{EE612A80-EECD-47D3-8CB7-7094CEFCD870}"/>
    <cellStyle name="Comma 47 3 2 2 3 2 3" xfId="20575" xr:uid="{A3F658F2-047E-4C40-84CD-1CB79B7727C8}"/>
    <cellStyle name="Comma 47 3 2 2 3 3" xfId="31110" xr:uid="{9F0A1811-ED91-47DD-82AE-8451A6B6AF89}"/>
    <cellStyle name="Comma 47 3 2 2 3 3 2" xfId="2189" xr:uid="{4459DC18-E7ED-4C03-BC89-EA1AC3E2FE2A}"/>
    <cellStyle name="Comma 47 3 2 2 3 4" xfId="20924" xr:uid="{5E832003-AF81-429A-BA7D-F5B86895840F}"/>
    <cellStyle name="Comma 47 3 2 2 4" xfId="9595" xr:uid="{F5A866FA-9FBE-43FF-B54F-D1BBF7DFCCA4}"/>
    <cellStyle name="Comma 47 3 2 2 4 2" xfId="30359" xr:uid="{496AC176-79FC-4DAC-B0A2-AB784D245FD7}"/>
    <cellStyle name="Comma 47 3 2 2 4 2 2" xfId="30361" xr:uid="{DA922C0E-90DC-457C-BF6F-EE0E977174AB}"/>
    <cellStyle name="Comma 47 3 2 2 4 3" xfId="30363" xr:uid="{36EC6327-D822-474A-8D82-2886099465C5}"/>
    <cellStyle name="Comma 47 3 2 2 5" xfId="1975" xr:uid="{AA43C9A1-26F9-43C6-BD1F-12FF8E909177}"/>
    <cellStyle name="Comma 47 3 2 2 5 2" xfId="30365" xr:uid="{6635E605-7545-40BD-9C64-30728A45FCB9}"/>
    <cellStyle name="Comma 47 3 2 2 6" xfId="20965" xr:uid="{FD12EFDD-453C-442F-926C-5BF3FEEDB2D1}"/>
    <cellStyle name="Comma 47 3 2 2 7" xfId="20973" xr:uid="{BF37278E-5A75-498A-A6DC-A43E9E1369B2}"/>
    <cellStyle name="Comma 47 3 2 3" xfId="31111" xr:uid="{FD3938C4-743D-4F80-8BDD-D27E310BC5C7}"/>
    <cellStyle name="Comma 47 3 2 3 2" xfId="9616" xr:uid="{62BE3BC8-A18C-4EB9-9CB5-A3CAA4641C21}"/>
    <cellStyle name="Comma 47 3 2 3 2 2" xfId="26444" xr:uid="{0E80F202-6614-4B6F-B513-F159262D7D19}"/>
    <cellStyle name="Comma 47 3 2 3 2 2 2" xfId="21159" xr:uid="{FFFBC282-7D7D-4550-91E9-F3BAE8D14701}"/>
    <cellStyle name="Comma 47 3 2 3 2 2 2 2" xfId="31112" xr:uid="{B99F5F4B-C3F4-4DC9-8ABE-27E4723E2718}"/>
    <cellStyle name="Comma 47 3 2 3 2 2 3" xfId="21162" xr:uid="{306FF069-E593-47F9-93C6-4A8CF2CFA369}"/>
    <cellStyle name="Comma 47 3 2 3 2 3" xfId="27423" xr:uid="{C25677D6-60A0-49A2-B1FA-98D4E115FCA1}"/>
    <cellStyle name="Comma 47 3 2 3 2 3 2" xfId="31113" xr:uid="{C6E60B03-E8B7-4B14-9A3F-13465A49C726}"/>
    <cellStyle name="Comma 47 3 2 3 2 4" xfId="31114" xr:uid="{BC091147-EC7B-4862-955F-72E5049EE084}"/>
    <cellStyle name="Comma 47 3 2 3 3" xfId="31115" xr:uid="{1300B1B6-54EB-48EB-BB69-EE9ADCA2887D}"/>
    <cellStyle name="Comma 47 3 2 3 3 2" xfId="12960" xr:uid="{63BA4FD0-B287-499A-AE8E-E86EB06187C8}"/>
    <cellStyle name="Comma 47 3 2 3 3 2 2" xfId="31117" xr:uid="{9E2A7ED4-2B42-4F84-9E9A-83CDBAD3C8D1}"/>
    <cellStyle name="Comma 47 3 2 3 3 3" xfId="31118" xr:uid="{C3FA8254-288D-4B4D-BFE8-EA230EC6BCFA}"/>
    <cellStyle name="Comma 47 3 2 3 4" xfId="30372" xr:uid="{C4CC5ADB-2D71-4388-9341-5DBFE1EE1553}"/>
    <cellStyle name="Comma 47 3 2 3 4 2" xfId="30376" xr:uid="{AD628604-92D7-447B-BC7F-2ECC6D534ABC}"/>
    <cellStyle name="Comma 47 3 2 3 5" xfId="30380" xr:uid="{4AE2E0D4-58F5-424C-80AC-8DCCBBA05865}"/>
    <cellStyle name="Comma 47 3 2 4" xfId="31119" xr:uid="{F7B56A54-3614-4879-9509-7BEEEBFB52FA}"/>
    <cellStyle name="Comma 47 3 2 4 2" xfId="31120" xr:uid="{3A46C58F-2CD1-4931-BBB2-4D20B43EFEB8}"/>
    <cellStyle name="Comma 47 3 2 4 2 2" xfId="27442" xr:uid="{A8BE34FB-C752-4E0C-86DC-0326CF348C95}"/>
    <cellStyle name="Comma 47 3 2 4 2 2 2" xfId="31121" xr:uid="{6F0C3B67-9DFE-4A41-9603-CF96DACAD289}"/>
    <cellStyle name="Comma 47 3 2 4 2 3" xfId="31122" xr:uid="{CC754BE5-F117-4F97-B47F-2A5C79F92348}"/>
    <cellStyle name="Comma 47 3 2 4 3" xfId="16980" xr:uid="{C762B488-C2CB-4BDF-A048-53E93445DB12}"/>
    <cellStyle name="Comma 47 3 2 4 3 2" xfId="31123" xr:uid="{31EAB3B4-4047-4B8C-B652-7100F9C27EF3}"/>
    <cellStyle name="Comma 47 3 2 4 4" xfId="30387" xr:uid="{2A4ED228-6DB4-4E6C-A544-F817FA84F87D}"/>
    <cellStyle name="Comma 47 3 2 5" xfId="31124" xr:uid="{D18614CE-593E-4B05-A23E-2747BF93553D}"/>
    <cellStyle name="Comma 47 3 2 5 2" xfId="31125" xr:uid="{C1938321-D1E0-468C-AC35-A17354ACD8E4}"/>
    <cellStyle name="Comma 47 3 2 5 2 2" xfId="31126" xr:uid="{7F076429-A839-481F-A9A2-4A829F4CFA91}"/>
    <cellStyle name="Comma 47 3 2 5 3" xfId="31127" xr:uid="{4A815B07-820C-4495-815C-5A10866E7DEB}"/>
    <cellStyle name="Comma 47 3 2 6" xfId="31130" xr:uid="{B2F4AC1C-59F4-4D01-BDFF-FD72832E97F4}"/>
    <cellStyle name="Comma 47 3 2 6 2" xfId="31134" xr:uid="{9B9AE7A4-E270-4723-A02F-0A39CE00F323}"/>
    <cellStyle name="Comma 47 3 2 7" xfId="11910" xr:uid="{97B546DB-C090-4E43-AC47-84E95E5863E9}"/>
    <cellStyle name="Comma 47 3 2 8" xfId="31135" xr:uid="{DB1B623C-8948-4B3A-BFB3-ED39AAFD3485}"/>
    <cellStyle name="Comma 47 3 2 9" xfId="31136" xr:uid="{3D5F733C-2814-4D2C-A550-E166A5170712}"/>
    <cellStyle name="Comma 47 3 3" xfId="31137" xr:uid="{53FC18F1-4BBC-400F-8194-75AB839954E7}"/>
    <cellStyle name="Comma 47 3 3 2" xfId="31138" xr:uid="{61D3917E-455C-4148-B27C-A1F0B9C18F57}"/>
    <cellStyle name="Comma 47 3 3 2 2" xfId="9776" xr:uid="{11AAAC03-9680-4202-8252-80F121EA0C03}"/>
    <cellStyle name="Comma 47 3 3 2 2 2" xfId="26605" xr:uid="{81FAA243-E7F2-4E98-83EE-3B336455C659}"/>
    <cellStyle name="Comma 47 3 3 2 2 2 2" xfId="31139" xr:uid="{A03DCD53-5745-4BDB-A32B-134F733DBBD4}"/>
    <cellStyle name="Comma 47 3 3 2 2 2 2 2" xfId="31140" xr:uid="{1F23DDA0-9239-4098-902A-301D64D3108A}"/>
    <cellStyle name="Comma 47 3 3 2 2 2 3" xfId="31141" xr:uid="{E6A2C1FE-1797-43C5-9098-BD194B2FF237}"/>
    <cellStyle name="Comma 47 3 3 2 2 3" xfId="29673" xr:uid="{A9017C73-EB15-44E7-94E2-811E77B32CD6}"/>
    <cellStyle name="Comma 47 3 3 2 2 3 2" xfId="31142" xr:uid="{F8E85679-EBA5-4C2F-B249-F4DA500C7162}"/>
    <cellStyle name="Comma 47 3 3 2 2 4" xfId="31143" xr:uid="{55A2D538-B524-4B09-A473-A42A650C6C64}"/>
    <cellStyle name="Comma 47 3 3 2 3" xfId="31144" xr:uid="{3D8BFAD4-5A96-4BA2-8055-5D2847E778AF}"/>
    <cellStyle name="Comma 47 3 3 2 3 2" xfId="31145" xr:uid="{0FEA436D-9265-429B-B3C4-ABDB523EA8C7}"/>
    <cellStyle name="Comma 47 3 3 2 3 2 2" xfId="31146" xr:uid="{403DA62B-17F4-40D0-8813-2FF486AC6350}"/>
    <cellStyle name="Comma 47 3 3 2 3 3" xfId="31147" xr:uid="{53E314DC-5BB5-4D62-A116-19608EFEB2EE}"/>
    <cellStyle name="Comma 47 3 3 2 4" xfId="30412" xr:uid="{99E9F7CA-BD1F-4705-AAF1-247C724C9CEF}"/>
    <cellStyle name="Comma 47 3 3 2 4 2" xfId="30417" xr:uid="{D6EC504D-47AF-4E0E-A414-0FF1F1A81B29}"/>
    <cellStyle name="Comma 47 3 3 2 5" xfId="30422" xr:uid="{9FC59F45-6F38-4FE5-9FF1-C4ABDBDB70B5}"/>
    <cellStyle name="Comma 47 3 3 3" xfId="31148" xr:uid="{62D543D8-2262-40D3-AA15-33F71685EA28}"/>
    <cellStyle name="Comma 47 3 3 3 2" xfId="31149" xr:uid="{F492F168-C841-40CE-88BC-6657AB31E1B3}"/>
    <cellStyle name="Comma 47 3 3 3 2 2" xfId="27493" xr:uid="{7D291FC8-0413-4305-8392-AA4EA5EA481F}"/>
    <cellStyle name="Comma 47 3 3 3 2 2 2" xfId="31150" xr:uid="{D70A98C5-AF0A-4B3A-A04B-82DAC9CDE2E5}"/>
    <cellStyle name="Comma 47 3 3 3 2 3" xfId="31151" xr:uid="{59607B0E-8E1B-41AC-A1EA-730C9B4A8CB7}"/>
    <cellStyle name="Comma 47 3 3 3 3" xfId="31152" xr:uid="{95231506-791B-461F-8362-23F8C27EB95F}"/>
    <cellStyle name="Comma 47 3 3 3 3 2" xfId="31153" xr:uid="{B798E6F9-A58D-47A6-84A5-FEAAA69C09D6}"/>
    <cellStyle name="Comma 47 3 3 3 4" xfId="30433" xr:uid="{1F5215F8-0D3B-4F69-9DB7-FD6294892C6B}"/>
    <cellStyle name="Comma 47 3 3 4" xfId="31154" xr:uid="{85369508-3FD5-49B1-B99E-EB9AE19376F9}"/>
    <cellStyle name="Comma 47 3 3 4 2" xfId="31155" xr:uid="{129C173B-945F-41E3-8F3F-A1E0397EDE4B}"/>
    <cellStyle name="Comma 47 3 3 4 2 2" xfId="31156" xr:uid="{C02E20C8-71C2-4717-B30E-E41D2C150F87}"/>
    <cellStyle name="Comma 47 3 3 4 3" xfId="31157" xr:uid="{3F595F79-787E-4425-ABD3-C717949B33F2}"/>
    <cellStyle name="Comma 47 3 3 5" xfId="31158" xr:uid="{E0EDC963-A2F0-4ACF-8887-E0100DF07951}"/>
    <cellStyle name="Comma 47 3 3 5 2" xfId="15916" xr:uid="{D10F22F2-CA14-40A1-BF16-63EDFA2EDD0B}"/>
    <cellStyle name="Comma 47 3 3 6" xfId="31159" xr:uid="{AB1CB922-A801-4116-8433-E5ACFA3F55A9}"/>
    <cellStyle name="Comma 47 3 3 7" xfId="31160" xr:uid="{3D544E78-38C3-4FF3-9E88-E2ED87A41DC0}"/>
    <cellStyle name="Comma 47 3 4" xfId="31161" xr:uid="{5BFFCDB5-EA0B-4753-AE07-345BAEC9E789}"/>
    <cellStyle name="Comma 47 3 4 2" xfId="31162" xr:uid="{605462D2-4822-44B8-94F4-6ED207688F33}"/>
    <cellStyle name="Comma 47 3 4 2 2" xfId="6631" xr:uid="{D02F5C45-DFB4-42CD-B1BF-EF707FACC7F6}"/>
    <cellStyle name="Comma 47 3 4 2 2 2" xfId="13067" xr:uid="{BF3063D8-3A6A-459F-B7AC-6601920DE1BE}"/>
    <cellStyle name="Comma 47 3 4 2 2 2 2" xfId="23924" xr:uid="{74AF1505-0845-49F6-BEF7-DFBD3B2A5894}"/>
    <cellStyle name="Comma 47 3 4 2 2 3" xfId="31163" xr:uid="{87590724-E8E6-4559-9225-E500E73C5D14}"/>
    <cellStyle name="Comma 47 3 4 2 3" xfId="31164" xr:uid="{6454030F-2856-43B8-8C2F-3911E864657D}"/>
    <cellStyle name="Comma 47 3 4 2 3 2" xfId="31165" xr:uid="{72DFF706-EFC6-4EAB-9D0F-2169B57D5A32}"/>
    <cellStyle name="Comma 47 3 4 2 4" xfId="30465" xr:uid="{583679A1-4569-44F2-8D44-D96DF8FDA4F5}"/>
    <cellStyle name="Comma 47 3 4 3" xfId="31166" xr:uid="{E6F29257-EBB4-4246-AD93-44B034125613}"/>
    <cellStyle name="Comma 47 3 4 3 2" xfId="31167" xr:uid="{E0F1E5BE-F9C3-4FA6-BA24-35E6437B19F2}"/>
    <cellStyle name="Comma 47 3 4 3 2 2" xfId="31168" xr:uid="{FDC6F3A2-C73C-46E3-9788-77E819CD5969}"/>
    <cellStyle name="Comma 47 3 4 3 3" xfId="31169" xr:uid="{87237D12-FC3E-4081-A0D9-FE4ACCA108CF}"/>
    <cellStyle name="Comma 47 3 4 4" xfId="31170" xr:uid="{244273A6-FA4B-4321-9042-2661218632B5}"/>
    <cellStyle name="Comma 47 3 4 4 2" xfId="31171" xr:uid="{CBC3BC6B-9C1C-484E-B79B-F806DAEEB74B}"/>
    <cellStyle name="Comma 47 3 4 5" xfId="31172" xr:uid="{C895932E-3160-4930-B24C-6F6F6B08A989}"/>
    <cellStyle name="Comma 47 3 5" xfId="31174" xr:uid="{0BE35605-8FDA-4390-A8F9-FF90ED90F626}"/>
    <cellStyle name="Comma 47 3 5 2" xfId="31176" xr:uid="{B3297AE6-D805-43C1-9C27-70F048894166}"/>
    <cellStyle name="Comma 47 3 5 2 2" xfId="31178" xr:uid="{2941EAF3-0DEF-4D83-A81C-A9A3EF8479CE}"/>
    <cellStyle name="Comma 47 3 5 2 2 2" xfId="31180" xr:uid="{87E2518E-5A3F-4350-82DB-76937C79EC59}"/>
    <cellStyle name="Comma 47 3 5 2 3" xfId="31182" xr:uid="{EA07E8CE-F86D-4C36-BDE5-5D74FD4EC3BD}"/>
    <cellStyle name="Comma 47 3 5 3" xfId="31184" xr:uid="{72FBA8DA-40B8-4280-BCB1-7C8C895618CF}"/>
    <cellStyle name="Comma 47 3 5 3 2" xfId="31186" xr:uid="{B00C2B27-B95D-44F5-99B0-1371C175ECB7}"/>
    <cellStyle name="Comma 47 3 5 4" xfId="31188" xr:uid="{73DC47A8-A20C-4198-B9F0-5AE85DF28FE4}"/>
    <cellStyle name="Comma 47 3 6" xfId="4928" xr:uid="{6167D7A8-34FE-47C0-88D0-D2AA68FF3588}"/>
    <cellStyle name="Comma 47 3 6 2" xfId="4934" xr:uid="{EAD5E715-78BC-4AD9-B0E6-0032D18640B7}"/>
    <cellStyle name="Comma 47 3 6 2 2" xfId="31190" xr:uid="{1DD43001-28FC-4F71-A30D-9D13CD366920}"/>
    <cellStyle name="Comma 47 3 6 3" xfId="31192" xr:uid="{9DD89AD6-3876-46E0-AAA7-31E54AC69741}"/>
    <cellStyle name="Comma 47 3 7" xfId="4938" xr:uid="{BD847E0B-4BA8-4E31-8CFB-A506EA02C8DF}"/>
    <cellStyle name="Comma 47 3 7 2" xfId="31195" xr:uid="{058245F7-5881-46B0-99AD-8BC7DBF57588}"/>
    <cellStyle name="Comma 47 3 8" xfId="31198" xr:uid="{6B275A2C-7C2D-41AB-8D95-8C81694B1033}"/>
    <cellStyle name="Comma 47 3 9" xfId="31200" xr:uid="{4B21FD7B-8112-42AB-AEC7-AF0C616B9C59}"/>
    <cellStyle name="Comma 47 4" xfId="31202" xr:uid="{59A24623-E820-4023-9DCA-A6C79503886D}"/>
    <cellStyle name="Comma 47 4 2" xfId="31204" xr:uid="{B2B8E2FF-0337-49F2-89D3-F1B92768E929}"/>
    <cellStyle name="Comma 47 4 2 2" xfId="31205" xr:uid="{6BC8ABBF-F83A-4C55-916F-0CDD2274E45D}"/>
    <cellStyle name="Comma 47 4 2 2 2" xfId="10017" xr:uid="{950383C5-E3FC-41B8-9DE7-888783F6209F}"/>
    <cellStyle name="Comma 47 4 2 2 2 2" xfId="26875" xr:uid="{CEC2A6AC-2082-478F-8A29-C6BBC13B99D9}"/>
    <cellStyle name="Comma 47 4 2 2 2 2 2" xfId="31206" xr:uid="{5C25A420-F9EF-4110-8345-128E6B684FF1}"/>
    <cellStyle name="Comma 47 4 2 2 2 2 2 2" xfId="31207" xr:uid="{F40414C1-8160-403E-A0A0-7DE1D02ABE13}"/>
    <cellStyle name="Comma 47 4 2 2 2 2 3" xfId="31208" xr:uid="{C6320955-CB70-4534-BAA2-50B18A54440B}"/>
    <cellStyle name="Comma 47 4 2 2 2 3" xfId="31209" xr:uid="{779EAE5D-559A-4F8B-A260-B0EE7AC8F986}"/>
    <cellStyle name="Comma 47 4 2 2 2 3 2" xfId="31210" xr:uid="{8A1DCC82-637A-4808-AC74-880E486DB14D}"/>
    <cellStyle name="Comma 47 4 2 2 2 4" xfId="31211" xr:uid="{155A1DFF-F446-4239-9AEB-0CBBFC3829EC}"/>
    <cellStyle name="Comma 47 4 2 2 3" xfId="31212" xr:uid="{5FCDE2E4-BE11-456D-B3A8-41892D5749D3}"/>
    <cellStyle name="Comma 47 4 2 2 3 2" xfId="2893" xr:uid="{E5441792-13C2-4FC8-BF13-F4DF8F52E298}"/>
    <cellStyle name="Comma 47 4 2 2 3 2 2" xfId="30351" xr:uid="{FD38B57A-99E2-484C-A54C-68F103FEB5DA}"/>
    <cellStyle name="Comma 47 4 2 2 3 3" xfId="29169" xr:uid="{1836E7DA-9870-4028-A778-8C1850D34A65}"/>
    <cellStyle name="Comma 47 4 2 2 4" xfId="15052" xr:uid="{7F87329E-E97B-435A-B9EC-54D2AED15ED2}"/>
    <cellStyle name="Comma 47 4 2 2 4 2" xfId="30484" xr:uid="{78004D19-E3A4-457A-9A9D-479C2E045C97}"/>
    <cellStyle name="Comma 47 4 2 2 5" xfId="30486" xr:uid="{B97E5230-9D7D-472B-98E6-37F92C08B55F}"/>
    <cellStyle name="Comma 47 4 2 3" xfId="31213" xr:uid="{4A1E1415-7E85-4F1D-AC02-A170633E0B67}"/>
    <cellStyle name="Comma 47 4 2 3 2" xfId="31214" xr:uid="{C08CBE77-2D27-4008-BA6A-117105B37E66}"/>
    <cellStyle name="Comma 47 4 2 3 2 2" xfId="27595" xr:uid="{233E95F7-F6FD-4C1C-9CAC-E1EA7F26E69C}"/>
    <cellStyle name="Comma 47 4 2 3 2 2 2" xfId="31217" xr:uid="{3A9EF27D-812A-44B0-AA3E-B5FF6F44FA90}"/>
    <cellStyle name="Comma 47 4 2 3 2 3" xfId="31218" xr:uid="{88AF2F0E-CD93-4FD2-A9C9-69ABBEBC656D}"/>
    <cellStyle name="Comma 47 4 2 3 3" xfId="31219" xr:uid="{7EB660FE-44EE-4973-AACB-545196F142A2}"/>
    <cellStyle name="Comma 47 4 2 3 3 2" xfId="31220" xr:uid="{89EDF307-FA2A-476C-934A-6374F4B03A0A}"/>
    <cellStyle name="Comma 47 4 2 3 4" xfId="30488" xr:uid="{300A00BE-0F38-4995-B085-1E37AF9F3A8D}"/>
    <cellStyle name="Comma 47 4 2 4" xfId="31221" xr:uid="{FC0BA204-7ED7-42CA-940B-EBEC95B77042}"/>
    <cellStyle name="Comma 47 4 2 4 2" xfId="31222" xr:uid="{8FC5FFD6-68B9-4D8B-9B40-19D1D0E494C5}"/>
    <cellStyle name="Comma 47 4 2 4 2 2" xfId="31223" xr:uid="{BFB4DD51-8338-4170-855D-3990526D6374}"/>
    <cellStyle name="Comma 47 4 2 4 3" xfId="4785" xr:uid="{95C735B4-E7E9-4840-B0AC-FDBC67A5FB01}"/>
    <cellStyle name="Comma 47 4 2 5" xfId="31224" xr:uid="{A38903C0-A859-426F-B4EC-56858A1834B0}"/>
    <cellStyle name="Comma 47 4 2 5 2" xfId="31225" xr:uid="{7F324B68-29B1-4BE2-B6F6-8A1A1881969C}"/>
    <cellStyle name="Comma 47 4 2 6" xfId="31227" xr:uid="{46C61842-71D4-40A9-AB5D-B0F9016CB4BC}"/>
    <cellStyle name="Comma 47 4 2 7" xfId="31233" xr:uid="{1BA7E500-315A-4B81-ACEB-1AB694EE8F0E}"/>
    <cellStyle name="Comma 47 4 3" xfId="31234" xr:uid="{0678B7B7-A277-4A10-9B2F-AE463749514A}"/>
    <cellStyle name="Comma 47 4 3 2" xfId="31235" xr:uid="{43F36882-EC37-474D-B5C9-2DBAAB702A8E}"/>
    <cellStyle name="Comma 47 4 3 2 2" xfId="31236" xr:uid="{4958C387-5C6C-4619-A94A-627A9DFF35BD}"/>
    <cellStyle name="Comma 47 4 3 2 2 2" xfId="31237" xr:uid="{F465A5EF-0556-4E85-B7BC-0F477DFA337D}"/>
    <cellStyle name="Comma 47 4 3 2 2 2 2" xfId="31238" xr:uid="{D69163B5-A939-4C45-93DC-7A031F2576F6}"/>
    <cellStyle name="Comma 47 4 3 2 2 3" xfId="31239" xr:uid="{1BAD5E74-6760-4236-9EDA-257492E9294F}"/>
    <cellStyle name="Comma 47 4 3 2 3" xfId="3342" xr:uid="{856DC06B-9610-4C0F-A0CD-E75BEC0A25A6}"/>
    <cellStyle name="Comma 47 4 3 2 3 2" xfId="22135" xr:uid="{2540E800-ED58-421C-A359-A1B5C332D4BF}"/>
    <cellStyle name="Comma 47 4 3 2 4" xfId="30495" xr:uid="{AB798107-3FBA-4839-8353-70989F3AC696}"/>
    <cellStyle name="Comma 47 4 3 3" xfId="31240" xr:uid="{53CCE90F-871F-49E9-8DAE-248E44459459}"/>
    <cellStyle name="Comma 47 4 3 3 2" xfId="31241" xr:uid="{9EEFB474-5BC0-4FB1-89AA-45E8F88A6967}"/>
    <cellStyle name="Comma 47 4 3 3 2 2" xfId="31242" xr:uid="{F4A20BB2-2F6C-4CBF-A9A6-BA0D4A9D109D}"/>
    <cellStyle name="Comma 47 4 3 3 3" xfId="31243" xr:uid="{D8A3A4D6-7274-44A1-A02F-2BEED4D4B267}"/>
    <cellStyle name="Comma 47 4 3 4" xfId="31244" xr:uid="{5A300641-24D9-4C3F-B2B9-A3E1B684E1B7}"/>
    <cellStyle name="Comma 47 4 3 4 2" xfId="31245" xr:uid="{A5F1626A-BE43-4B72-B677-C953E6833F98}"/>
    <cellStyle name="Comma 47 4 3 5" xfId="31246" xr:uid="{9D8DC88C-B9C8-4511-A793-41EDCCEDE76E}"/>
    <cellStyle name="Comma 47 4 4" xfId="31247" xr:uid="{5DC3EE6A-0906-4707-9D09-85EE6CC19EEC}"/>
    <cellStyle name="Comma 47 4 4 2" xfId="31248" xr:uid="{6484B757-EA7D-4CE0-815B-0B97E492526C}"/>
    <cellStyle name="Comma 47 4 4 2 2" xfId="31249" xr:uid="{729C113E-F6B2-4217-BB4D-9B0DCAC928BC}"/>
    <cellStyle name="Comma 47 4 4 2 2 2" xfId="31250" xr:uid="{FC6BF175-4671-446C-A56D-42C0377FA4B0}"/>
    <cellStyle name="Comma 47 4 4 2 3" xfId="31251" xr:uid="{DE90AA66-9BC9-4996-ABDC-1233CF303B70}"/>
    <cellStyle name="Comma 47 4 4 3" xfId="31252" xr:uid="{62CBBACE-F362-4918-959F-66D7D8E91279}"/>
    <cellStyle name="Comma 47 4 4 3 2" xfId="31253" xr:uid="{F1428313-C4DC-48F9-8FAB-A9CCB0A1FAF4}"/>
    <cellStyle name="Comma 47 4 4 4" xfId="31254" xr:uid="{9840402A-CF3A-4290-8BC1-D5ACF022627D}"/>
    <cellStyle name="Comma 47 4 5" xfId="31256" xr:uid="{864AEC08-6294-44C2-82DA-FE87368CD87B}"/>
    <cellStyle name="Comma 47 4 5 2" xfId="31258" xr:uid="{A9E06948-F7C1-4C9A-9C79-C90053E5870D}"/>
    <cellStyle name="Comma 47 4 5 2 2" xfId="31260" xr:uid="{086CE275-94EB-42CA-B53B-F8A2C1E8CBC5}"/>
    <cellStyle name="Comma 47 4 5 3" xfId="31262" xr:uid="{4494F0BB-391C-4515-9699-377539A83D9A}"/>
    <cellStyle name="Comma 47 4 6" xfId="4942" xr:uid="{BE2B6DC6-B27A-4412-9C62-716FB23E7D27}"/>
    <cellStyle name="Comma 47 4 6 2" xfId="31264" xr:uid="{787FA6BD-57A2-4537-B27A-C763B517AA68}"/>
    <cellStyle name="Comma 47 4 7" xfId="31267" xr:uid="{2F8D03C7-3A8B-478A-94FE-5AB88EA3AADB}"/>
    <cellStyle name="Comma 47 4 8" xfId="31268" xr:uid="{9D3D57AE-2248-4435-877A-ACCF1407E161}"/>
    <cellStyle name="Comma 47 4 9" xfId="31270" xr:uid="{0474ACAB-1AC0-44C2-A877-B1B3275616E4}"/>
    <cellStyle name="Comma 47 5" xfId="31271" xr:uid="{1CFB696C-0176-432F-AD85-DC7BD008B647}"/>
    <cellStyle name="Comma 47 5 2" xfId="31273" xr:uid="{1B19F450-2205-4AF3-A076-A5D8BCE886EF}"/>
    <cellStyle name="Comma 47 5 2 2" xfId="3566" xr:uid="{5BF93FBC-C5CF-47D5-A99C-CDFC7E3BDF94}"/>
    <cellStyle name="Comma 47 5 2 2 2" xfId="31274" xr:uid="{1627BF12-76C2-421D-B090-78AA0A11C4C5}"/>
    <cellStyle name="Comma 47 5 2 2 2 2" xfId="11101" xr:uid="{BACB317A-00DA-418A-BCDE-C83E7F0E439D}"/>
    <cellStyle name="Comma 47 5 2 2 2 2 2" xfId="31275" xr:uid="{CD41B522-6507-47AB-98DF-0DC3CC7AECFE}"/>
    <cellStyle name="Comma 47 5 2 2 2 3" xfId="31276" xr:uid="{A7F3A1AA-AAC1-41DC-A830-9E66DF18FCE8}"/>
    <cellStyle name="Comma 47 5 2 2 3" xfId="31277" xr:uid="{A2B29793-A325-434D-AAD6-611F17394EE5}"/>
    <cellStyle name="Comma 47 5 2 2 3 2" xfId="31278" xr:uid="{36B0AF98-4B29-4718-8AC8-DAEB57A91E69}"/>
    <cellStyle name="Comma 47 5 2 2 4" xfId="25618" xr:uid="{CDB0736A-FCDB-45EE-A96A-1C9FF3E8881C}"/>
    <cellStyle name="Comma 47 5 2 3" xfId="31279" xr:uid="{F983DCE5-AED2-44D3-8DE8-313DB47E53BB}"/>
    <cellStyle name="Comma 47 5 2 3 2" xfId="31280" xr:uid="{3441215A-31CF-4916-ABA7-75549922CBE1}"/>
    <cellStyle name="Comma 47 5 2 3 2 2" xfId="31281" xr:uid="{6988F822-2713-40A3-A24E-0E46E9C337F2}"/>
    <cellStyle name="Comma 47 5 2 3 3" xfId="31282" xr:uid="{A2AC8657-00C8-45AE-9DC5-CCBF6FD70FBA}"/>
    <cellStyle name="Comma 47 5 2 4" xfId="31283" xr:uid="{FA1ADF19-E110-4BD3-AD16-E11D270F7D97}"/>
    <cellStyle name="Comma 47 5 2 4 2" xfId="31284" xr:uid="{42A70EA2-276A-423D-994C-4FC17447E041}"/>
    <cellStyle name="Comma 47 5 2 5" xfId="31285" xr:uid="{D94F4AC1-A768-404C-A413-DB63BABD5593}"/>
    <cellStyle name="Comma 47 5 3" xfId="31286" xr:uid="{965093F1-E722-4A5D-813A-B92BAC673BD9}"/>
    <cellStyle name="Comma 47 5 3 2" xfId="31287" xr:uid="{16A59E8A-6E6F-447E-A2BA-EAF973BED410}"/>
    <cellStyle name="Comma 47 5 3 2 2" xfId="31288" xr:uid="{F62315D0-C935-49BE-84E9-7D9062AE8056}"/>
    <cellStyle name="Comma 47 5 3 2 2 2" xfId="29018" xr:uid="{26E9DB7A-CA2B-4DB3-930A-AE9053D6800C}"/>
    <cellStyle name="Comma 47 5 3 2 3" xfId="31289" xr:uid="{06A0927A-5ED7-43FA-ACD3-606573975BDF}"/>
    <cellStyle name="Comma 47 5 3 3" xfId="31290" xr:uid="{216689E8-0083-420A-A073-4DA553BAD94B}"/>
    <cellStyle name="Comma 47 5 3 3 2" xfId="31291" xr:uid="{0D0319EC-AA08-4D49-A729-CD3F7AFF7EA3}"/>
    <cellStyle name="Comma 47 5 3 4" xfId="31292" xr:uid="{618293F4-673A-49B4-ACA9-230B65BEF854}"/>
    <cellStyle name="Comma 47 5 4" xfId="31293" xr:uid="{85E6A69C-71C8-406E-ABC2-5BFA51637F3F}"/>
    <cellStyle name="Comma 47 5 4 2" xfId="31294" xr:uid="{F40B177A-92A4-4FEA-AB5C-CDF9FF6DC4FC}"/>
    <cellStyle name="Comma 47 5 4 2 2" xfId="31296" xr:uid="{A2E29C89-C896-45F1-A68F-15332025F04B}"/>
    <cellStyle name="Comma 47 5 4 3" xfId="31297" xr:uid="{03593A72-5893-476D-9F43-FDA58C15CEFE}"/>
    <cellStyle name="Comma 47 5 5" xfId="28641" xr:uid="{4044FE90-1798-4D54-A78F-5235DC384345}"/>
    <cellStyle name="Comma 47 5 5 2" xfId="31299" xr:uid="{D2ABD885-97DA-4DDB-998C-0C2E7DEAD70D}"/>
    <cellStyle name="Comma 47 5 6" xfId="31301" xr:uid="{18D9A7FD-9673-4FA6-A8D9-6804177E3E6A}"/>
    <cellStyle name="Comma 47 5 7" xfId="31302" xr:uid="{43546F41-A35A-4251-BB69-30AB24844140}"/>
    <cellStyle name="Comma 47 6" xfId="31303" xr:uid="{7FAA6DA9-5D95-4D79-8A55-C1092A2BB2F5}"/>
    <cellStyle name="Comma 47 6 2" xfId="31304" xr:uid="{7C6D1917-8409-40AD-8C5F-218FAD10A0F4}"/>
    <cellStyle name="Comma 47 6 2 2" xfId="31307" xr:uid="{F865CC3C-5683-453C-AA4A-F41AB5B67BE7}"/>
    <cellStyle name="Comma 47 6 2 2 2" xfId="31310" xr:uid="{9374CCD3-0588-4703-8A31-9F383026E704}"/>
    <cellStyle name="Comma 47 6 2 2 2 2" xfId="31311" xr:uid="{1DB70DAA-CE7A-4A5B-877B-24375EA1F31C}"/>
    <cellStyle name="Comma 47 6 2 2 3" xfId="12329" xr:uid="{261693FE-E694-49BF-A1FC-25DE25A8DDBD}"/>
    <cellStyle name="Comma 47 6 2 3" xfId="31314" xr:uid="{8C2A4A82-9737-4702-A9AD-445AF47C9F6D}"/>
    <cellStyle name="Comma 47 6 2 3 2" xfId="31315" xr:uid="{99838F08-2678-4E05-882C-3DF92E224446}"/>
    <cellStyle name="Comma 47 6 2 4" xfId="31316" xr:uid="{243752B1-A76D-4D72-A115-A7F45CC0BE48}"/>
    <cellStyle name="Comma 47 6 3" xfId="31317" xr:uid="{409C8B38-7C2C-42FE-98D7-755B6A9544A7}"/>
    <cellStyle name="Comma 47 6 3 2" xfId="31320" xr:uid="{40717B5D-6FA7-4514-B210-1C07275E647B}"/>
    <cellStyle name="Comma 47 6 3 2 2" xfId="31321" xr:uid="{4775BC26-D757-4226-B48A-23430DE3B1DF}"/>
    <cellStyle name="Comma 47 6 3 3" xfId="16559" xr:uid="{0C3F83A5-9637-4AC7-ACDD-159D9F1C15C9}"/>
    <cellStyle name="Comma 47 6 4" xfId="31322" xr:uid="{A26B0BA5-5A1D-4C67-91A0-093D58A612A9}"/>
    <cellStyle name="Comma 47 6 4 2" xfId="31323" xr:uid="{01919199-9DD1-42C4-BBFA-3EA570A2E946}"/>
    <cellStyle name="Comma 47 6 5" xfId="31325" xr:uid="{69A0BF9D-E886-431F-8DE3-A5338C3A601B}"/>
    <cellStyle name="Comma 47 7" xfId="31326" xr:uid="{1533FC46-AC3E-49CE-AD22-E0DB6737EF70}"/>
    <cellStyle name="Comma 47 7 2" xfId="31327" xr:uid="{3B80E077-6CA3-4B8B-A3C8-7074D69AC085}"/>
    <cellStyle name="Comma 47 7 2 2" xfId="31330" xr:uid="{EAB5E62F-B644-476B-ABC6-3F24AAE61203}"/>
    <cellStyle name="Comma 47 7 2 2 2" xfId="31331" xr:uid="{7AF33CAB-E419-4A1F-BD7A-F44522C0EA2E}"/>
    <cellStyle name="Comma 47 7 2 3" xfId="31332" xr:uid="{51B689C0-A761-4C94-B019-0F674C268B2F}"/>
    <cellStyle name="Comma 47 7 3" xfId="31333" xr:uid="{D0ABF00C-38A7-48ED-A96C-E3E3A7A9E054}"/>
    <cellStyle name="Comma 47 7 3 2" xfId="31334" xr:uid="{225B6298-2076-4BB4-A971-AB299F28020F}"/>
    <cellStyle name="Comma 47 7 4" xfId="31335" xr:uid="{1F4AC5AC-C459-462D-9DC1-60ECCA6A5B18}"/>
    <cellStyle name="Comma 47 8" xfId="31336" xr:uid="{B363B8FF-E0F4-4BBB-82C2-AB9B345D401C}"/>
    <cellStyle name="Comma 47 8 2" xfId="31337" xr:uid="{EBE09B46-AE91-4B74-A3AE-1F946B6B57B7}"/>
    <cellStyle name="Comma 47 8 2 2" xfId="31340" xr:uid="{D4A61710-3843-4C48-B900-0132FF5AD8F4}"/>
    <cellStyle name="Comma 47 8 3" xfId="31341" xr:uid="{B0029EAA-C70C-4D5C-9C63-8DAE58DBABE3}"/>
    <cellStyle name="Comma 47 9" xfId="5495" xr:uid="{13D404C8-E7E9-437B-B4DC-4B2E50C88A15}"/>
    <cellStyle name="Comma 47 9 2" xfId="31342" xr:uid="{B9D154D7-1620-4B85-AA24-93E2F2B19AAD}"/>
    <cellStyle name="Comma 470" xfId="30835" xr:uid="{621D00CA-1743-4E67-AEC2-7D7B2800274E}"/>
    <cellStyle name="Comma 470 2" xfId="18341" xr:uid="{9F27FD0C-3E17-49FE-9D2C-B3CBA7C01386}"/>
    <cellStyle name="Comma 471" xfId="30841" xr:uid="{17A1A984-983C-4404-AF96-C782BE5ADEE9}"/>
    <cellStyle name="Comma 471 2" xfId="18417" xr:uid="{3AD6C85A-8C6D-4203-A4AA-5F1A6FA875F2}"/>
    <cellStyle name="Comma 472" xfId="30845" xr:uid="{630E1750-52CE-49BE-9C68-3296D94295EC}"/>
    <cellStyle name="Comma 472 2" xfId="9031" xr:uid="{F1DAA637-54B4-4E4A-9CC5-49C625C6D51E}"/>
    <cellStyle name="Comma 473" xfId="6127" xr:uid="{4A189C85-45EF-45C6-9F4F-3ED4F404FC66}"/>
    <cellStyle name="Comma 473 2" xfId="6652" xr:uid="{3FFFCBB2-79EF-4032-8CDE-1770981642CF}"/>
    <cellStyle name="Comma 474" xfId="6658" xr:uid="{0C95C23B-0175-4474-B48C-CA88FA7894D9}"/>
    <cellStyle name="Comma 474 2" xfId="30849" xr:uid="{D2B99A27-7302-40B5-809D-784983573CA6}"/>
    <cellStyle name="Comma 475" xfId="31343" xr:uid="{9733C367-84F4-4355-83F1-3BAEA82FE2CA}"/>
    <cellStyle name="Comma 475 2" xfId="18602" xr:uid="{EA50CE28-4382-4D48-8158-C3E1776418B2}"/>
    <cellStyle name="Comma 476" xfId="31347" xr:uid="{45152A60-D942-4E39-B1F4-EF7218E576E4}"/>
    <cellStyle name="Comma 476 2" xfId="18654" xr:uid="{D0602D5C-F57E-4944-99B7-1F9B5D9A24A5}"/>
    <cellStyle name="Comma 477" xfId="7306" xr:uid="{6441163C-04C5-44AA-87A7-7C11DBBA9B63}"/>
    <cellStyle name="Comma 477 2" xfId="16890" xr:uid="{ACFBA38A-8AE1-4EA8-A956-612621BA8400}"/>
    <cellStyle name="Comma 478" xfId="16814" xr:uid="{77385EE7-C256-4F1C-AEF8-69F401FDE68B}"/>
    <cellStyle name="Comma 478 2" xfId="16819" xr:uid="{7C67E4CC-362F-422A-968E-50FCB7876FE8}"/>
    <cellStyle name="Comma 479" xfId="16654" xr:uid="{BAFE5E29-6CF6-4F0D-A13B-D9E2DF65FB9D}"/>
    <cellStyle name="Comma 479 2" xfId="16665" xr:uid="{1B13474B-8E66-4D81-9939-5C72676D173A}"/>
    <cellStyle name="Comma 48" xfId="31351" xr:uid="{13AA405D-DD99-4F14-ABD9-4A559C0BE57B}"/>
    <cellStyle name="Comma 48 10" xfId="31353" xr:uid="{26F97D28-9808-455D-984B-A76D1397D99F}"/>
    <cellStyle name="Comma 48 11" xfId="31354" xr:uid="{49D90F53-D1B5-415B-9072-9F1B33AF37EF}"/>
    <cellStyle name="Comma 48 12" xfId="31355" xr:uid="{4975C78C-D1FA-45EC-969B-CDC41B304E55}"/>
    <cellStyle name="Comma 48 2" xfId="31356" xr:uid="{D57B2EA0-F3EF-4474-820E-FC0E14FB4717}"/>
    <cellStyle name="Comma 48 2 10" xfId="31358" xr:uid="{195092E2-9855-4CDC-82C3-E774539722FA}"/>
    <cellStyle name="Comma 48 2 11" xfId="31359" xr:uid="{5839777A-6579-43AE-AC05-8A40BF5A8A4C}"/>
    <cellStyle name="Comma 48 2 2" xfId="31360" xr:uid="{35A69728-B288-45B3-B4A2-E1F98F869769}"/>
    <cellStyle name="Comma 48 2 2 10" xfId="14228" xr:uid="{D649B97A-6E40-4008-8057-1D10C3107B16}"/>
    <cellStyle name="Comma 48 2 2 2" xfId="31364" xr:uid="{D6C4EC62-4179-4C16-BC72-CCD51A6F35BD}"/>
    <cellStyle name="Comma 48 2 2 2 2" xfId="12381" xr:uid="{79827A0B-A74A-4A02-93ED-E2E44B710D5F}"/>
    <cellStyle name="Comma 48 2 2 2 2 2" xfId="12384" xr:uid="{5CDC2109-492D-46BE-BBC8-A1C4806A3400}"/>
    <cellStyle name="Comma 48 2 2 2 2 2 2" xfId="12387" xr:uid="{509FC358-FBC5-4A90-859F-592B13469ABF}"/>
    <cellStyle name="Comma 48 2 2 2 2 2 2 2" xfId="21320" xr:uid="{221F2209-9C87-483A-9A5D-A9178D6DB48E}"/>
    <cellStyle name="Comma 48 2 2 2 2 2 2 2 2" xfId="14943" xr:uid="{2EAE4421-9089-4C58-8A53-8A9232A435DA}"/>
    <cellStyle name="Comma 48 2 2 2 2 2 2 2 2 2" xfId="14947" xr:uid="{30E15C32-43AC-4642-BD34-7D3DD63DA5F0}"/>
    <cellStyle name="Comma 48 2 2 2 2 2 2 2 3" xfId="9255" xr:uid="{F4D2507D-55A7-4D3B-9ED0-0A253C5CDB05}"/>
    <cellStyle name="Comma 48 2 2 2 2 2 2 3" xfId="10672" xr:uid="{F746699B-9CB6-421F-99DB-A79718ADF641}"/>
    <cellStyle name="Comma 48 2 2 2 2 2 2 3 2" xfId="14993" xr:uid="{EE6ECB65-859C-4E05-AA0B-01C1A5F5BC15}"/>
    <cellStyle name="Comma 48 2 2 2 2 2 2 4" xfId="31366" xr:uid="{27D82FFA-F633-4335-AA86-8CC053A3DE89}"/>
    <cellStyle name="Comma 48 2 2 2 2 2 3" xfId="10337" xr:uid="{FFAAD90D-454A-4A2A-86F2-3FE7FEFC1386}"/>
    <cellStyle name="Comma 48 2 2 2 2 2 3 2" xfId="10341" xr:uid="{F5658491-3399-49D9-AEB4-3067682263C1}"/>
    <cellStyle name="Comma 48 2 2 2 2 2 3 2 2" xfId="10346" xr:uid="{D9B5B77F-F08D-4C1E-81AB-79EF72E63E52}"/>
    <cellStyle name="Comma 48 2 2 2 2 2 3 3" xfId="10349" xr:uid="{EF5AAF1D-0A65-4D11-8E9F-FC93AE67DC7C}"/>
    <cellStyle name="Comma 48 2 2 2 2 2 4" xfId="10351" xr:uid="{A01D75D8-3FC2-48DE-909B-E58CAE9D2B7F}"/>
    <cellStyle name="Comma 48 2 2 2 2 2 4 2" xfId="10355" xr:uid="{AF351B48-F3A2-4B7F-89BE-819FC1A29C23}"/>
    <cellStyle name="Comma 48 2 2 2 2 2 5" xfId="10357" xr:uid="{4750AE15-28A5-40E9-90A3-C22A3386910B}"/>
    <cellStyle name="Comma 48 2 2 2 2 3" xfId="12391" xr:uid="{BEF03295-7A7B-44C9-A1B1-412027AD52EE}"/>
    <cellStyle name="Comma 48 2 2 2 2 3 2" xfId="21333" xr:uid="{128A8433-BE61-4D3C-8B33-A61FD987AE54}"/>
    <cellStyle name="Comma 48 2 2 2 2 3 2 2" xfId="21337" xr:uid="{7EF29EF4-6F61-4CDF-8EB8-CE1F2519D8E6}"/>
    <cellStyle name="Comma 48 2 2 2 2 3 2 2 2" xfId="15335" xr:uid="{0BE7CEF7-20F0-44B1-BE40-24975392847C}"/>
    <cellStyle name="Comma 48 2 2 2 2 3 2 3" xfId="17486" xr:uid="{25F6657E-5D82-461B-B95E-3978509425FA}"/>
    <cellStyle name="Comma 48 2 2 2 2 3 3" xfId="21341" xr:uid="{B72DFF15-2072-433F-ABE5-047D0ACA7C58}"/>
    <cellStyle name="Comma 48 2 2 2 2 3 3 2" xfId="31367" xr:uid="{18C03A22-D7D2-45E2-9D55-36F97431B285}"/>
    <cellStyle name="Comma 48 2 2 2 2 3 4" xfId="31368" xr:uid="{8A1354B6-0FE8-40C1-8B7C-E07542D73C4E}"/>
    <cellStyle name="Comma 48 2 2 2 2 4" xfId="31369" xr:uid="{F279F11E-B253-42F6-987A-44AC4DF15B0E}"/>
    <cellStyle name="Comma 48 2 2 2 2 4 2" xfId="21349" xr:uid="{B5F44F59-8A32-4CC8-8CB3-AC80CC50D4B9}"/>
    <cellStyle name="Comma 48 2 2 2 2 4 2 2" xfId="21461" xr:uid="{2E663718-1C3E-4453-8A20-7A8DB84C9528}"/>
    <cellStyle name="Comma 48 2 2 2 2 4 3" xfId="31371" xr:uid="{D69372C1-C441-4077-8267-BC65E065A1C2}"/>
    <cellStyle name="Comma 48 2 2 2 2 5" xfId="31372" xr:uid="{71667D69-7D6A-43D7-8688-BA8140EF1CC4}"/>
    <cellStyle name="Comma 48 2 2 2 2 5 2" xfId="31373" xr:uid="{F072B827-ED95-4096-866D-553A5A8B7A2A}"/>
    <cellStyle name="Comma 48 2 2 2 2 6" xfId="31374" xr:uid="{4BA34262-7C6D-4342-8E4C-9FAF43B174B6}"/>
    <cellStyle name="Comma 48 2 2 2 2 7" xfId="31375" xr:uid="{D52EEB69-D59E-422D-B28F-5E872323618C}"/>
    <cellStyle name="Comma 48 2 2 2 3" xfId="3444" xr:uid="{CCD190F5-CB90-4A70-85F4-305AFD9FA77A}"/>
    <cellStyle name="Comma 48 2 2 2 3 2" xfId="7754" xr:uid="{065E8A4E-46F0-4AD1-8378-DD5F3366D3CD}"/>
    <cellStyle name="Comma 48 2 2 2 3 2 2" xfId="21362" xr:uid="{DFF5F7B4-4505-4F08-BAB8-AF7F50A6E034}"/>
    <cellStyle name="Comma 48 2 2 2 3 2 2 2" xfId="21364" xr:uid="{54A6A7DC-F584-4D0A-BDD0-C94206F44C0E}"/>
    <cellStyle name="Comma 48 2 2 2 3 2 2 2 2" xfId="5241" xr:uid="{50605458-3DB8-4A4C-BE7C-FF210220DC22}"/>
    <cellStyle name="Comma 48 2 2 2 3 2 2 3" xfId="31377" xr:uid="{88138084-6774-4481-AD02-7DE97CDA478B}"/>
    <cellStyle name="Comma 48 2 2 2 3 2 3" xfId="14062" xr:uid="{A93C0702-3F16-4CD1-A67B-5510A0C01BC0}"/>
    <cellStyle name="Comma 48 2 2 2 3 2 3 2" xfId="14065" xr:uid="{06435301-392D-494C-B595-1D64B9CCE84B}"/>
    <cellStyle name="Comma 48 2 2 2 3 2 4" xfId="14070" xr:uid="{B286B03F-A9FF-4B73-9D8A-6EBE0CBC2136}"/>
    <cellStyle name="Comma 48 2 2 2 3 3" xfId="31378" xr:uid="{8BBDD644-2C77-4FB0-9598-95FBBFEE604F}"/>
    <cellStyle name="Comma 48 2 2 2 3 3 2" xfId="21369" xr:uid="{AA9267AC-9452-45B0-B5BE-78FDA71BD555}"/>
    <cellStyle name="Comma 48 2 2 2 3 3 2 2" xfId="31379" xr:uid="{ED78CA09-9325-4387-B688-986090EB9BF5}"/>
    <cellStyle name="Comma 48 2 2 2 3 3 3" xfId="31380" xr:uid="{9E500362-C4CC-47F8-BE4F-0D8FB8743F08}"/>
    <cellStyle name="Comma 48 2 2 2 3 4" xfId="31381" xr:uid="{70272D73-AA12-4D04-A6C8-9B9FC69D6C2A}"/>
    <cellStyle name="Comma 48 2 2 2 3 4 2" xfId="31382" xr:uid="{55B0FD45-D3D7-4B44-88DE-7498FE6F0857}"/>
    <cellStyle name="Comma 48 2 2 2 3 5" xfId="31384" xr:uid="{83237DB1-E3BC-4AAE-BA22-EC5A9F27A9E9}"/>
    <cellStyle name="Comma 48 2 2 2 4" xfId="7211" xr:uid="{E0D7C6C3-5656-4D28-A2E5-E7A7CC6C26E4}"/>
    <cellStyle name="Comma 48 2 2 2 4 2" xfId="31385" xr:uid="{03B41AD6-8AE9-4C5E-9783-AA0F12E5FFBF}"/>
    <cellStyle name="Comma 48 2 2 2 4 2 2" xfId="21376" xr:uid="{705CF673-DD80-4D76-9FBD-FACE9C88E253}"/>
    <cellStyle name="Comma 48 2 2 2 4 2 2 2" xfId="31386" xr:uid="{5193C00B-1F71-4B92-8DB8-E5345AB97252}"/>
    <cellStyle name="Comma 48 2 2 2 4 2 3" xfId="15708" xr:uid="{33051F2C-F3CD-4181-BD5B-A24D1B6AEB35}"/>
    <cellStyle name="Comma 48 2 2 2 4 3" xfId="31387" xr:uid="{75BDF80D-0D15-4B94-AAD6-A9EDE7075534}"/>
    <cellStyle name="Comma 48 2 2 2 4 3 2" xfId="31388" xr:uid="{DC396A65-7E60-4A6C-969A-0374A1E8D384}"/>
    <cellStyle name="Comma 48 2 2 2 4 4" xfId="31389" xr:uid="{C72E7B65-6DE2-49CB-9D8E-A9F03F463C25}"/>
    <cellStyle name="Comma 48 2 2 2 5" xfId="12395" xr:uid="{928E5140-A92E-4BE2-BEF3-2CD0D31430F1}"/>
    <cellStyle name="Comma 48 2 2 2 5 2" xfId="23619" xr:uid="{0E2B9DA0-32D6-4BAC-AD46-143BA1DE9650}"/>
    <cellStyle name="Comma 48 2 2 2 5 2 2" xfId="23621" xr:uid="{93F56815-7C57-4FAA-ABE6-18F879B2A185}"/>
    <cellStyle name="Comma 48 2 2 2 5 3" xfId="23629" xr:uid="{0DCF20C9-5A23-4E76-BF55-F5346784826C}"/>
    <cellStyle name="Comma 48 2 2 2 6" xfId="12273" xr:uid="{9CFF2C0C-2EC9-4C0A-9653-3BE31BC3E18F}"/>
    <cellStyle name="Comma 48 2 2 2 6 2" xfId="4607" xr:uid="{9D26ECA4-0478-4336-9A2E-7A1D5E5B9B2C}"/>
    <cellStyle name="Comma 48 2 2 2 7" xfId="12275" xr:uid="{045D81B1-6BC7-4AC2-988C-E402DCAA105C}"/>
    <cellStyle name="Comma 48 2 2 2 8" xfId="31390" xr:uid="{E5FD168A-C825-4FB4-9EE8-51A4BB9955A4}"/>
    <cellStyle name="Comma 48 2 2 3" xfId="30896" xr:uid="{EDDBE7DD-F800-4FD4-905F-03DAD474C4DB}"/>
    <cellStyle name="Comma 48 2 2 3 2" xfId="12436" xr:uid="{3496D07D-0328-4607-A8E9-DD66ADCEA32E}"/>
    <cellStyle name="Comma 48 2 2 3 2 2" xfId="12439" xr:uid="{D7F654E0-14A5-4F83-A0BF-264CBF1BED9E}"/>
    <cellStyle name="Comma 48 2 2 3 2 2 2" xfId="21394" xr:uid="{427F5B45-66E0-4ADD-AD43-077EE2699468}"/>
    <cellStyle name="Comma 48 2 2 3 2 2 2 2" xfId="21399" xr:uid="{C48AB0BA-B168-439E-A2FE-6E47566AA478}"/>
    <cellStyle name="Comma 48 2 2 3 2 2 2 2 2" xfId="31393" xr:uid="{EFDA666D-B782-4508-B086-A92611773FC9}"/>
    <cellStyle name="Comma 48 2 2 3 2 2 2 3" xfId="31394" xr:uid="{7C54CAA3-18EA-436C-8FF1-691F8BDFC123}"/>
    <cellStyle name="Comma 48 2 2 3 2 2 3" xfId="21400" xr:uid="{A8646150-02A3-44C2-B30C-51E938585085}"/>
    <cellStyle name="Comma 48 2 2 3 2 2 3 2" xfId="31395" xr:uid="{D8DD61EC-B19C-4774-8F38-D37AB8BFE803}"/>
    <cellStyle name="Comma 48 2 2 3 2 2 4" xfId="31396" xr:uid="{3AACA760-ECBA-4BFB-B60C-0951AB45029A}"/>
    <cellStyle name="Comma 48 2 2 3 2 3" xfId="26684" xr:uid="{8426A7D8-7654-4616-BC02-9E617BCAD494}"/>
    <cellStyle name="Comma 48 2 2 3 2 3 2" xfId="21404" xr:uid="{46BCA699-3EE6-47AA-886A-3F4DDF6A3DEA}"/>
    <cellStyle name="Comma 48 2 2 3 2 3 2 2" xfId="31397" xr:uid="{40882375-5A0D-4C66-80A9-323435B91DE0}"/>
    <cellStyle name="Comma 48 2 2 3 2 3 3" xfId="31398" xr:uid="{19E186A5-F541-49B3-9BDA-8702F6C9EC58}"/>
    <cellStyle name="Comma 48 2 2 3 2 4" xfId="31399" xr:uid="{58AB3AAB-AFEB-411E-AA04-2431AADCE4EC}"/>
    <cellStyle name="Comma 48 2 2 3 2 4 2" xfId="31400" xr:uid="{5A376999-4179-4F9A-9596-F5071A13DF90}"/>
    <cellStyle name="Comma 48 2 2 3 2 5" xfId="20654" xr:uid="{FB844A26-63FF-4573-9868-F31174C1C77F}"/>
    <cellStyle name="Comma 48 2 2 3 3" xfId="8296" xr:uid="{A4BAF1AA-D703-4502-B59D-8A3AEBF86149}"/>
    <cellStyle name="Comma 48 2 2 3 3 2" xfId="31401" xr:uid="{D4088E1E-C220-49BD-B1C5-D47170024F27}"/>
    <cellStyle name="Comma 48 2 2 3 3 2 2" xfId="7291" xr:uid="{D8ABB55E-5BF0-4E95-899D-61F7B1A2D468}"/>
    <cellStyle name="Comma 48 2 2 3 3 2 2 2" xfId="31402" xr:uid="{8C4E3760-0DC6-41F2-B8AF-2D96605016B4}"/>
    <cellStyle name="Comma 48 2 2 3 3 2 3" xfId="2095" xr:uid="{96172183-CE45-4EC1-8D5A-A2C5B73D2E95}"/>
    <cellStyle name="Comma 48 2 2 3 3 3" xfId="31403" xr:uid="{AE6078DA-8A3D-4A3B-A24E-6B36C97916B7}"/>
    <cellStyle name="Comma 48 2 2 3 3 3 2" xfId="31404" xr:uid="{8E8B7472-B50A-4F3C-A660-72B759ECF234}"/>
    <cellStyle name="Comma 48 2 2 3 3 4" xfId="31405" xr:uid="{B510A571-552B-4E90-8A23-F2D90556D2EA}"/>
    <cellStyle name="Comma 48 2 2 3 4" xfId="12441" xr:uid="{A7452F99-50F1-4418-8C32-6281BB7F423A}"/>
    <cellStyle name="Comma 48 2 2 3 4 2" xfId="31406" xr:uid="{A3D5369C-E3AB-4D6E-B623-B507AE1074E8}"/>
    <cellStyle name="Comma 48 2 2 3 4 2 2" xfId="29106" xr:uid="{A83349EA-DDB4-4B1A-B528-138CB00B88B4}"/>
    <cellStyle name="Comma 48 2 2 3 4 3" xfId="31407" xr:uid="{4722A192-0C3F-4D56-A45D-25723BC041B6}"/>
    <cellStyle name="Comma 48 2 2 3 5" xfId="31408" xr:uid="{B0F437DD-CBA6-482D-96A1-254C67A84D78}"/>
    <cellStyle name="Comma 48 2 2 3 5 2" xfId="23700" xr:uid="{2DA5F65C-4AAD-4658-89FD-DBD8201051DF}"/>
    <cellStyle name="Comma 48 2 2 3 6" xfId="12278" xr:uid="{69DFA2F8-B4D6-4CA0-838C-4E283AB1AE3F}"/>
    <cellStyle name="Comma 48 2 2 3 7" xfId="31409" xr:uid="{D8D41B39-E2B0-4138-A7A8-8C92BD100F6F}"/>
    <cellStyle name="Comma 48 2 2 4" xfId="31412" xr:uid="{B5498DF3-9B8E-4060-A031-1230A89CE6CC}"/>
    <cellStyle name="Comma 48 2 2 4 2" xfId="12465" xr:uid="{1779C768-6E29-4FFB-996F-847CE2E4CF9B}"/>
    <cellStyle name="Comma 48 2 2 4 2 2" xfId="31414" xr:uid="{962F41FB-CDF8-4A73-87E1-F07B3266B884}"/>
    <cellStyle name="Comma 48 2 2 4 2 2 2" xfId="21426" xr:uid="{FED162BB-F888-4A99-85D8-D0A3E097AFAF}"/>
    <cellStyle name="Comma 48 2 2 4 2 2 2 2" xfId="31415" xr:uid="{83609DE3-C5BB-4B0B-B0F4-93A94DA85AEC}"/>
    <cellStyle name="Comma 48 2 2 4 2 2 3" xfId="31416" xr:uid="{97721EB6-5070-421A-A57C-8CABCA44D9B5}"/>
    <cellStyle name="Comma 48 2 2 4 2 3" xfId="31417" xr:uid="{01D8531C-89D5-4FCF-883A-915DCE8722E3}"/>
    <cellStyle name="Comma 48 2 2 4 2 3 2" xfId="31418" xr:uid="{F3BB20CA-A2DA-4DA3-A672-2EA86AC9B645}"/>
    <cellStyle name="Comma 48 2 2 4 2 4" xfId="19985" xr:uid="{8FAE36F6-786A-4F80-965E-78AAF5AF466F}"/>
    <cellStyle name="Comma 48 2 2 4 3" xfId="17044" xr:uid="{BDA29F6B-C81A-442A-83EC-8F984A3BBD4C}"/>
    <cellStyle name="Comma 48 2 2 4 3 2" xfId="31419" xr:uid="{BB381243-4513-4ED2-BA5E-3ECBC0D915FF}"/>
    <cellStyle name="Comma 48 2 2 4 3 2 2" xfId="3986" xr:uid="{8A5C69A0-948B-4B9C-B5F8-52C605099713}"/>
    <cellStyle name="Comma 48 2 2 4 3 3" xfId="31420" xr:uid="{C0EB2F3D-6845-49DA-B4BF-5AD51146B6E6}"/>
    <cellStyle name="Comma 48 2 2 4 4" xfId="31421" xr:uid="{952DBA2B-8259-420F-8064-977D6CB05C47}"/>
    <cellStyle name="Comma 48 2 2 4 4 2" xfId="31422" xr:uid="{6A104422-4AFB-4E60-85AB-5D64B5BBE0C0}"/>
    <cellStyle name="Comma 48 2 2 4 5" xfId="31423" xr:uid="{4EF9B87D-E898-4110-9D08-3431D65C3F91}"/>
    <cellStyle name="Comma 48 2 2 5" xfId="31426" xr:uid="{E849D276-8013-49DF-9C5B-4A9D63589EDD}"/>
    <cellStyle name="Comma 48 2 2 5 2" xfId="31428" xr:uid="{650BB4E7-EE50-419B-9898-BC7782048EE6}"/>
    <cellStyle name="Comma 48 2 2 5 2 2" xfId="31429" xr:uid="{BFDEA223-249F-44FB-9DE1-F26E7148CAF1}"/>
    <cellStyle name="Comma 48 2 2 5 2 2 2" xfId="31430" xr:uid="{FD5DB1FE-B5B8-433D-BE12-A4BE6C10925C}"/>
    <cellStyle name="Comma 48 2 2 5 2 3" xfId="31431" xr:uid="{148F2610-6D09-415D-B67F-907A2BEFFF37}"/>
    <cellStyle name="Comma 48 2 2 5 3" xfId="31432" xr:uid="{1185A133-DA9E-4808-9906-C14A3EDAB0CB}"/>
    <cellStyle name="Comma 48 2 2 5 3 2" xfId="31434" xr:uid="{F77117A0-B439-469F-B52E-2D4D0DB050E7}"/>
    <cellStyle name="Comma 48 2 2 5 4" xfId="31435" xr:uid="{B3C783E4-0B91-4661-8413-AD0E155FC2C4}"/>
    <cellStyle name="Comma 48 2 2 6" xfId="31438" xr:uid="{7FC7D408-F003-4CEB-8ECC-62AB9C928CBD}"/>
    <cellStyle name="Comma 48 2 2 6 2" xfId="31439" xr:uid="{3A2B34DC-8B47-4E14-9DF7-3972770E0854}"/>
    <cellStyle name="Comma 48 2 2 6 2 2" xfId="31440" xr:uid="{E2A35BE4-C7D8-478D-8CB4-8A7B82EE17D9}"/>
    <cellStyle name="Comma 48 2 2 6 3" xfId="30180" xr:uid="{5BBBC3BC-AC6B-47C0-BD68-865B21E395C7}"/>
    <cellStyle name="Comma 48 2 2 7" xfId="28394" xr:uid="{5601BA6F-30EA-4D05-92BB-9A0A1D6A7B99}"/>
    <cellStyle name="Comma 48 2 2 7 2" xfId="31441" xr:uid="{C314549B-50BB-43B7-AB37-C7C520BFEB59}"/>
    <cellStyle name="Comma 48 2 2 8" xfId="31442" xr:uid="{53246238-5BD3-44E5-86C0-B53B2CD68342}"/>
    <cellStyle name="Comma 48 2 2 9" xfId="31443" xr:uid="{C654C40D-7C18-4403-B92F-A7D8F10D799D}"/>
    <cellStyle name="Comma 48 2 3" xfId="31444" xr:uid="{7A766A51-9C1F-4B8A-8672-6E2522E2DC28}"/>
    <cellStyle name="Comma 48 2 3 2" xfId="31448" xr:uid="{794BAFDA-6EE9-4FB1-871C-6196CBD11610}"/>
    <cellStyle name="Comma 48 2 3 2 2" xfId="12658" xr:uid="{B38CE9A4-345A-4BEE-9A35-D5A584B179E3}"/>
    <cellStyle name="Comma 48 2 3 2 2 2" xfId="1636" xr:uid="{C05A7E60-44DC-4070-BB64-38EC3FC295FB}"/>
    <cellStyle name="Comma 48 2 3 2 2 2 2" xfId="21183" xr:uid="{D6F99935-B526-48FF-B0B7-B32A4A0B7E2E}"/>
    <cellStyle name="Comma 48 2 3 2 2 2 2 2" xfId="21653" xr:uid="{A02FBE2B-37E2-40D2-9A84-D40D17F00E45}"/>
    <cellStyle name="Comma 48 2 3 2 2 2 2 2 2" xfId="3521" xr:uid="{FD38F535-1DB2-41CE-BABC-63919A6BAEEA}"/>
    <cellStyle name="Comma 48 2 3 2 2 2 2 3" xfId="22106" xr:uid="{DD7A8CF5-A41E-4199-BECA-97CEE524E78F}"/>
    <cellStyle name="Comma 48 2 3 2 2 2 3" xfId="21658" xr:uid="{891DEBE9-D41E-49E7-A73F-2169DB56567E}"/>
    <cellStyle name="Comma 48 2 3 2 2 2 3 2" xfId="24960" xr:uid="{12F6163D-58B0-4578-9009-120EAC032CA8}"/>
    <cellStyle name="Comma 48 2 3 2 2 2 4" xfId="31450" xr:uid="{FE8D71F3-381F-46B2-90DC-7C89675A6107}"/>
    <cellStyle name="Comma 48 2 3 2 2 3" xfId="1644" xr:uid="{E13730C4-D0BC-4DA1-9F37-8603BD709D19}"/>
    <cellStyle name="Comma 48 2 3 2 2 3 2" xfId="21662" xr:uid="{AECF10AC-5796-4E7E-929E-E18FEA12E6B5}"/>
    <cellStyle name="Comma 48 2 3 2 2 3 2 2" xfId="25104" xr:uid="{E8A47477-71E7-4786-AEFA-0989C28065B7}"/>
    <cellStyle name="Comma 48 2 3 2 2 3 3" xfId="31452" xr:uid="{3A06F813-2B43-48DA-BA5F-35B2FA50999F}"/>
    <cellStyle name="Comma 48 2 3 2 2 4" xfId="24512" xr:uid="{A99599C8-C342-4B83-BA5F-50C4A40B3299}"/>
    <cellStyle name="Comma 48 2 3 2 2 4 2" xfId="31453" xr:uid="{7BFA77B8-151D-4E02-B2F9-E6F719620095}"/>
    <cellStyle name="Comma 48 2 3 2 2 5" xfId="31455" xr:uid="{1339FC04-486A-4C85-9D22-A9DB13324281}"/>
    <cellStyle name="Comma 48 2 3 2 3" xfId="8306" xr:uid="{149B190D-DFCB-4AAE-935C-502F9B3EDB66}"/>
    <cellStyle name="Comma 48 2 3 2 3 2" xfId="1296" xr:uid="{D47244CF-9C66-41B9-9C8B-0C87C01BE1BA}"/>
    <cellStyle name="Comma 48 2 3 2 3 2 2" xfId="21671" xr:uid="{2F1B6D45-06F9-4B0B-BCFF-1B4A3A5DA04D}"/>
    <cellStyle name="Comma 48 2 3 2 3 2 2 2" xfId="31456" xr:uid="{2D4AFE90-7750-4962-A979-B0303C57343E}"/>
    <cellStyle name="Comma 48 2 3 2 3 2 3" xfId="31457" xr:uid="{9CDDDE19-3709-413C-B6DF-7C0AD5142891}"/>
    <cellStyle name="Comma 48 2 3 2 3 3" xfId="1301" xr:uid="{BDDA1BB7-4D86-4E55-BA46-1E0049979A7D}"/>
    <cellStyle name="Comma 48 2 3 2 3 3 2" xfId="31458" xr:uid="{917260E8-2F85-44F9-8161-D020ADC7554F}"/>
    <cellStyle name="Comma 48 2 3 2 3 4" xfId="1307" xr:uid="{5A35EA02-CBEE-4462-B86B-9549897EDD3E}"/>
    <cellStyle name="Comma 48 2 3 2 4" xfId="12663" xr:uid="{680F2255-E91C-4B4E-93F0-03DC7225B4FF}"/>
    <cellStyle name="Comma 48 2 3 2 4 2" xfId="24515" xr:uid="{3D9BB3D7-0B83-4F8D-8E0A-DE5156C4C3EE}"/>
    <cellStyle name="Comma 48 2 3 2 4 2 2" xfId="29601" xr:uid="{80DA1148-4D49-44B4-BCA7-DEAAA767D9F9}"/>
    <cellStyle name="Comma 48 2 3 2 4 3" xfId="26761" xr:uid="{65BA895D-2937-452D-AEF8-499A4759FDEA}"/>
    <cellStyle name="Comma 48 2 3 2 5" xfId="31459" xr:uid="{971EC631-E44F-42E8-8925-4CC5DE0ADDB0}"/>
    <cellStyle name="Comma 48 2 3 2 5 2" xfId="23837" xr:uid="{0F7147F8-5AF3-4F5B-9195-4533FEA8F540}"/>
    <cellStyle name="Comma 48 2 3 2 6" xfId="12284" xr:uid="{8880E63C-3AA7-4A02-8B4C-6B2DB4EF3C69}"/>
    <cellStyle name="Comma 48 2 3 2 7" xfId="31460" xr:uid="{2209A1E5-14B9-4F59-BD72-EBDC39B69CD5}"/>
    <cellStyle name="Comma 48 2 3 3" xfId="31463" xr:uid="{08E2A0AB-10A5-425D-A098-4FADE96E1C31}"/>
    <cellStyle name="Comma 48 2 3 3 2" xfId="12694" xr:uid="{9235645E-FDEF-43DE-BADF-B89D453B6966}"/>
    <cellStyle name="Comma 48 2 3 3 2 2" xfId="31466" xr:uid="{45BEBB19-8543-4EFC-8BF0-A326DFD380AB}"/>
    <cellStyle name="Comma 48 2 3 3 2 2 2" xfId="21696" xr:uid="{DE093596-19FB-48A6-9C71-E9A0BF2633F1}"/>
    <cellStyle name="Comma 48 2 3 3 2 2 2 2" xfId="31467" xr:uid="{FCE8A095-EDCF-4637-A1D0-3C7152C28684}"/>
    <cellStyle name="Comma 48 2 3 3 2 2 3" xfId="31468" xr:uid="{EE931B60-FF3C-4119-A155-66D33DD89499}"/>
    <cellStyle name="Comma 48 2 3 3 2 3" xfId="10496" xr:uid="{C5D9B5F5-3BD8-462D-A81D-D03FC6E1F509}"/>
    <cellStyle name="Comma 48 2 3 3 2 3 2" xfId="31469" xr:uid="{4200CC61-EB62-49E5-BAF4-3E87DD58538B}"/>
    <cellStyle name="Comma 48 2 3 3 2 4" xfId="31471" xr:uid="{B8F8420C-336B-4D8E-99DD-DECAC6EA1AC5}"/>
    <cellStyle name="Comma 48 2 3 3 3" xfId="31472" xr:uid="{CB93CA09-B12A-4E1B-A664-DEEA90E32EAA}"/>
    <cellStyle name="Comma 48 2 3 3 3 2" xfId="1361" xr:uid="{55666376-E14E-4489-B9EC-546C722CB7FA}"/>
    <cellStyle name="Comma 48 2 3 3 3 2 2" xfId="31473" xr:uid="{A8E86889-D23F-4061-BB60-98B9B418CB41}"/>
    <cellStyle name="Comma 48 2 3 3 3 3" xfId="1363" xr:uid="{78D892A1-5061-4FCF-8891-E18CB6FF38E3}"/>
    <cellStyle name="Comma 48 2 3 3 4" xfId="31474" xr:uid="{E79CCC5C-995A-4584-A97D-BA5A7C3B658E}"/>
    <cellStyle name="Comma 48 2 3 3 4 2" xfId="31475" xr:uid="{58064250-C836-4129-A98A-59561A5CACCC}"/>
    <cellStyle name="Comma 48 2 3 3 5" xfId="31476" xr:uid="{E327F5BE-707F-45CD-A4EE-6C2AF9B516D7}"/>
    <cellStyle name="Comma 48 2 3 4" xfId="8342" xr:uid="{C6D3051F-863D-4949-A4D8-263A04E1322F}"/>
    <cellStyle name="Comma 48 2 3 4 2" xfId="8344" xr:uid="{96B05DAD-3CA3-4C5D-9606-FC94156950D4}"/>
    <cellStyle name="Comma 48 2 3 4 2 2" xfId="8346" xr:uid="{A9544404-0B6B-4672-9CBF-F1292720705F}"/>
    <cellStyle name="Comma 48 2 3 4 2 2 2" xfId="31477" xr:uid="{BEE5D660-9B84-40FF-AEFD-1532BBE9507C}"/>
    <cellStyle name="Comma 48 2 3 4 2 3" xfId="31480" xr:uid="{84D94660-61CE-45DE-AF01-6D23B8347801}"/>
    <cellStyle name="Comma 48 2 3 4 3" xfId="8348" xr:uid="{6280A900-7EBB-40CE-B698-FCD3DF5C1EF5}"/>
    <cellStyle name="Comma 48 2 3 4 3 2" xfId="1421" xr:uid="{2A183556-F0CF-4C4B-8E99-1C28285652A4}"/>
    <cellStyle name="Comma 48 2 3 4 4" xfId="31481" xr:uid="{9BD9E180-FC7C-4529-9410-8D8EB70A6D75}"/>
    <cellStyle name="Comma 48 2 3 5" xfId="6386" xr:uid="{3D8736DF-D522-4CDA-BE57-FF7499BC594A}"/>
    <cellStyle name="Comma 48 2 3 5 2" xfId="8350" xr:uid="{EC4A0598-406B-4220-9ED1-28189E9CD025}"/>
    <cellStyle name="Comma 48 2 3 5 2 2" xfId="31482" xr:uid="{0EA5006C-7E26-4C7C-8616-F27CE4D9B462}"/>
    <cellStyle name="Comma 48 2 3 5 3" xfId="31483" xr:uid="{0D58C591-0D1A-442F-AAC1-2C08FCDA45E8}"/>
    <cellStyle name="Comma 48 2 3 6" xfId="8356" xr:uid="{E5AB5AE6-4FCC-4F7B-91D5-141783B25224}"/>
    <cellStyle name="Comma 48 2 3 6 2" xfId="31484" xr:uid="{E870E72C-B817-4604-BC22-E07B73E1A472}"/>
    <cellStyle name="Comma 48 2 3 7" xfId="31487" xr:uid="{8578C5C5-B628-426D-ADE1-43EAB36F73C0}"/>
    <cellStyle name="Comma 48 2 3 8" xfId="31490" xr:uid="{5753BE0B-EA4F-4CDF-B993-70262D5C025D}"/>
    <cellStyle name="Comma 48 2 4" xfId="31491" xr:uid="{742C7DB7-3559-41A3-B5A3-B6A418224469}"/>
    <cellStyle name="Comma 48 2 4 2" xfId="31497" xr:uid="{C537457C-A918-4145-9B0D-A24855779792}"/>
    <cellStyle name="Comma 48 2 4 2 2" xfId="12811" xr:uid="{71E6C13A-2E66-4384-A207-74A36C664CD4}"/>
    <cellStyle name="Comma 48 2 4 2 2 2" xfId="31502" xr:uid="{1F91BCDB-77AE-4423-BF76-F84089338671}"/>
    <cellStyle name="Comma 48 2 4 2 2 2 2" xfId="21864" xr:uid="{C82924DC-79F0-4686-A566-93AF80BEEC90}"/>
    <cellStyle name="Comma 48 2 4 2 2 2 2 2" xfId="30955" xr:uid="{E19E0CB2-CBC1-4D84-ABAC-17EA5708099F}"/>
    <cellStyle name="Comma 48 2 4 2 2 2 3" xfId="31503" xr:uid="{9574FBCA-8510-4E9C-B94C-CE4058D60EE8}"/>
    <cellStyle name="Comma 48 2 4 2 2 3" xfId="31508" xr:uid="{7C36FE69-5EC0-46AF-99AC-1BD2337B2C3A}"/>
    <cellStyle name="Comma 48 2 4 2 2 3 2" xfId="18139" xr:uid="{CF6AD7A5-A218-4E90-967D-985D3968C374}"/>
    <cellStyle name="Comma 48 2 4 2 2 4" xfId="31511" xr:uid="{5AA159B8-1201-4887-8706-D857B9DFDB07}"/>
    <cellStyle name="Comma 48 2 4 2 3" xfId="31512" xr:uid="{FFC2C034-B06A-4490-9935-7FE7A3DFD1A6}"/>
    <cellStyle name="Comma 48 2 4 2 3 2" xfId="31513" xr:uid="{A37710AB-2B9C-4BC8-9036-202C79424D5F}"/>
    <cellStyle name="Comma 48 2 4 2 3 2 2" xfId="31514" xr:uid="{F221E8CB-6DB3-4E74-AA32-36C5099F1763}"/>
    <cellStyle name="Comma 48 2 4 2 3 3" xfId="31515" xr:uid="{795AE2B0-AE68-4BBA-A09B-70F55E16CD61}"/>
    <cellStyle name="Comma 48 2 4 2 4" xfId="14917" xr:uid="{3F6F9034-17B0-4B99-92FC-5FE1FDF0A209}"/>
    <cellStyle name="Comma 48 2 4 2 4 2" xfId="14919" xr:uid="{0F80961A-2BC6-4C3E-A387-30CCE1ABD89E}"/>
    <cellStyle name="Comma 48 2 4 2 5" xfId="14921" xr:uid="{C1D962CB-33AF-4576-A798-C830001E44A5}"/>
    <cellStyle name="Comma 48 2 4 3" xfId="31520" xr:uid="{2A032391-D8B7-4D3D-B047-2F282C90A185}"/>
    <cellStyle name="Comma 48 2 4 3 2" xfId="31522" xr:uid="{7B46F084-5A7E-4FD0-937E-ED7F3B9AEE86}"/>
    <cellStyle name="Comma 48 2 4 3 2 2" xfId="705" xr:uid="{5064BCA6-5C63-47DF-961E-8CC77C4E3F31}"/>
    <cellStyle name="Comma 48 2 4 3 2 2 2" xfId="31523" xr:uid="{B6A21004-C671-4BAD-B99B-B8A9E34439E6}"/>
    <cellStyle name="Comma 48 2 4 3 2 3" xfId="714" xr:uid="{E01BCE0D-DCEF-4B37-A38D-EC980865BB0F}"/>
    <cellStyle name="Comma 48 2 4 3 3" xfId="10388" xr:uid="{621B636C-A0ED-49AB-90C0-34450A53D6A3}"/>
    <cellStyle name="Comma 48 2 4 3 3 2" xfId="28974" xr:uid="{9C427133-3420-4DBD-923B-C142AFAE4BDD}"/>
    <cellStyle name="Comma 48 2 4 3 4" xfId="10390" xr:uid="{A74B505E-5F7B-459F-9B27-F61AA95A4036}"/>
    <cellStyle name="Comma 48 2 4 4" xfId="8364" xr:uid="{8938156B-B53B-4A7F-8049-054083088079}"/>
    <cellStyle name="Comma 48 2 4 4 2" xfId="8367" xr:uid="{987B2643-DCE1-4522-8C92-587B56D2DDC3}"/>
    <cellStyle name="Comma 48 2 4 4 2 2" xfId="31524" xr:uid="{5DC2C574-01D4-4233-8CF1-B2B5E207FD0A}"/>
    <cellStyle name="Comma 48 2 4 4 3" xfId="31525" xr:uid="{D56BA0C3-2441-44D1-A4B7-286A7C0FD0E3}"/>
    <cellStyle name="Comma 48 2 4 5" xfId="6691" xr:uid="{F5869BDC-A84C-46FE-BF1D-EE0E06175F11}"/>
    <cellStyle name="Comma 48 2 4 5 2" xfId="31527" xr:uid="{2FFBB370-6AD3-461A-904E-431F4AE8BFEC}"/>
    <cellStyle name="Comma 48 2 4 6" xfId="31531" xr:uid="{78F239D5-AFAD-4318-8C58-4EE0A74BB80A}"/>
    <cellStyle name="Comma 48 2 4 7" xfId="31535" xr:uid="{D41BCAF0-0EE7-404B-A635-0707E280C88A}"/>
    <cellStyle name="Comma 48 2 5" xfId="31538" xr:uid="{81859081-2B44-47ED-AFD4-FF7EDA0D6994}"/>
    <cellStyle name="Comma 48 2 5 2" xfId="31542" xr:uid="{A61D47CC-AFFA-4CBC-A86B-EAC6C95FFCF8}"/>
    <cellStyle name="Comma 48 2 5 2 2" xfId="31543" xr:uid="{CD988088-FAC6-484D-B9BA-71CAD58BF74B}"/>
    <cellStyle name="Comma 48 2 5 2 2 2" xfId="31544" xr:uid="{AE6F17FD-C7CF-4DC0-9208-EDAA19CEB087}"/>
    <cellStyle name="Comma 48 2 5 2 2 2 2" xfId="31545" xr:uid="{32472F10-A734-490B-BFB2-39C80B8668B9}"/>
    <cellStyle name="Comma 48 2 5 2 2 3" xfId="27725" xr:uid="{09DC7E90-5E7B-4FA5-8D39-78B7CA2860C7}"/>
    <cellStyle name="Comma 48 2 5 2 3" xfId="31546" xr:uid="{593DD8EC-247C-4022-A98D-D60DCBEA600D}"/>
    <cellStyle name="Comma 48 2 5 2 3 2" xfId="31547" xr:uid="{7A9DE346-D4EC-4EC5-9273-5690CC8EAC00}"/>
    <cellStyle name="Comma 48 2 5 2 4" xfId="14927" xr:uid="{D98B2345-A733-461D-9798-EDBB27BEA93D}"/>
    <cellStyle name="Comma 48 2 5 3" xfId="31549" xr:uid="{0193EF80-3F55-405E-9CB4-35E3AFADA364}"/>
    <cellStyle name="Comma 48 2 5 3 2" xfId="31550" xr:uid="{CD16DAF0-7875-4100-AB89-24E437F6699C}"/>
    <cellStyle name="Comma 48 2 5 3 2 2" xfId="19721" xr:uid="{B5DC92DE-A144-4CA0-B041-55FD4C99F25F}"/>
    <cellStyle name="Comma 48 2 5 3 3" xfId="31551" xr:uid="{B3269B17-6BDD-4804-A49C-1A86383EB862}"/>
    <cellStyle name="Comma 48 2 5 4" xfId="4331" xr:uid="{24EC14DA-7253-42F9-B468-3DC1EC320178}"/>
    <cellStyle name="Comma 48 2 5 4 2" xfId="31552" xr:uid="{24CBA852-D362-413D-8E60-0FD70F76231A}"/>
    <cellStyle name="Comma 48 2 5 5" xfId="31555" xr:uid="{8A674FB4-AEAA-4EED-8163-A285DE5A98FA}"/>
    <cellStyle name="Comma 48 2 6" xfId="4351" xr:uid="{C2145521-12C4-4BA0-9418-073D5E4D1656}"/>
    <cellStyle name="Comma 48 2 6 2" xfId="4357" xr:uid="{2AFD6CA6-A08C-488E-AD44-3B155C6B77ED}"/>
    <cellStyle name="Comma 48 2 6 2 2" xfId="31556" xr:uid="{B782043D-D7BC-4353-A20D-BBA84B87E575}"/>
    <cellStyle name="Comma 48 2 6 2 2 2" xfId="31557" xr:uid="{D1A2E0AA-5C6E-4E65-BFF4-D668A3EE07BF}"/>
    <cellStyle name="Comma 48 2 6 2 3" xfId="31558" xr:uid="{B463AF4C-A017-4DDF-AF29-CC0E9A03258E}"/>
    <cellStyle name="Comma 48 2 6 3" xfId="31559" xr:uid="{B740D46E-19C1-4DE0-B19A-831A20393695}"/>
    <cellStyle name="Comma 48 2 6 3 2" xfId="25415" xr:uid="{FBCA88A8-7F3C-4B4B-9F7E-E733AB887324}"/>
    <cellStyle name="Comma 48 2 6 4" xfId="31560" xr:uid="{A79311BA-DCCB-4375-B7AE-35CFDD74C15B}"/>
    <cellStyle name="Comma 48 2 7" xfId="4371" xr:uid="{22CA10E5-E280-4AEC-9AD2-2804C68C7359}"/>
    <cellStyle name="Comma 48 2 7 2" xfId="31561" xr:uid="{B7FBE5B5-677E-4C59-8B0F-0ED83A4D9C06}"/>
    <cellStyle name="Comma 48 2 7 2 2" xfId="31562" xr:uid="{20F433F2-1C9E-4AC7-8CB9-73B506FAD9EF}"/>
    <cellStyle name="Comma 48 2 7 3" xfId="14532" xr:uid="{C3C3732D-DFC2-461A-8B95-631A6E394A91}"/>
    <cellStyle name="Comma 48 2 8" xfId="31565" xr:uid="{F7E34EB6-26E7-4377-B288-1FC2A3C944AB}"/>
    <cellStyle name="Comma 48 2 8 2" xfId="31566" xr:uid="{D20FD8E2-7874-4547-8410-5097AA97057D}"/>
    <cellStyle name="Comma 48 2 9" xfId="4395" xr:uid="{11AC7092-552A-4909-830C-6B2D1878C8F8}"/>
    <cellStyle name="Comma 48 3" xfId="31567" xr:uid="{7830D8FF-DBAD-4902-A469-52C7A5CD4B4F}"/>
    <cellStyle name="Comma 48 3 10" xfId="10045" xr:uid="{D974CEE9-66A9-4DE7-8FE2-A2D3D531860A}"/>
    <cellStyle name="Comma 48 3 2" xfId="31569" xr:uid="{1BA10057-0F67-435A-AEC3-5A5C5769DEF8}"/>
    <cellStyle name="Comma 48 3 2 2" xfId="31571" xr:uid="{A4A3292D-581B-4795-8434-57DDD2E8D5B2}"/>
    <cellStyle name="Comma 48 3 2 2 2" xfId="13153" xr:uid="{E175C251-D7A3-4DC1-9229-061F80A0C753}"/>
    <cellStyle name="Comma 48 3 2 2 2 2" xfId="13157" xr:uid="{4B947A81-676E-4D8E-854C-03FD95EE967A}"/>
    <cellStyle name="Comma 48 3 2 2 2 2 2" xfId="31574" xr:uid="{5E85D39A-AFC7-4736-8852-DB6261B307E8}"/>
    <cellStyle name="Comma 48 3 2 2 2 2 2 2" xfId="31575" xr:uid="{F00A7572-8361-4F28-A33A-9EE81BC4CF1F}"/>
    <cellStyle name="Comma 48 3 2 2 2 2 2 2 2" xfId="15457" xr:uid="{28C3C206-D4FF-405F-B41C-1EBE4A3AE2D3}"/>
    <cellStyle name="Comma 48 3 2 2 2 2 2 3" xfId="31576" xr:uid="{D383CE85-AE86-4959-A3E3-6DFC89CAB4C4}"/>
    <cellStyle name="Comma 48 3 2 2 2 2 3" xfId="31577" xr:uid="{79EF65F7-4BAD-45C3-ACB3-87A75AC2A352}"/>
    <cellStyle name="Comma 48 3 2 2 2 2 3 2" xfId="31578" xr:uid="{26017AFF-99FD-4C05-B215-96D167B7C824}"/>
    <cellStyle name="Comma 48 3 2 2 2 2 4" xfId="31579" xr:uid="{01B7DE64-A5D4-46E1-8335-92B6BEAA6B3F}"/>
    <cellStyle name="Comma 48 3 2 2 2 3" xfId="31580" xr:uid="{AAFC589F-1479-4280-B1D8-00A62FD8592B}"/>
    <cellStyle name="Comma 48 3 2 2 2 3 2" xfId="31581" xr:uid="{AE1BB536-11A1-43B7-ADCD-549939AFFA24}"/>
    <cellStyle name="Comma 48 3 2 2 2 3 2 2" xfId="31582" xr:uid="{BB0D7BDF-1811-419D-BA76-38BAC26EA453}"/>
    <cellStyle name="Comma 48 3 2 2 2 3 3" xfId="31583" xr:uid="{FD144968-4CBB-4181-B13B-19209C041047}"/>
    <cellStyle name="Comma 48 3 2 2 2 4" xfId="31584" xr:uid="{FB2713B5-7670-41A0-A476-350476A400BD}"/>
    <cellStyle name="Comma 48 3 2 2 2 4 2" xfId="31585" xr:uid="{4CCA79DB-FE12-45FE-A933-A7D2A843CDF8}"/>
    <cellStyle name="Comma 48 3 2 2 2 5" xfId="31586" xr:uid="{9926C4B5-19ED-49BE-8FB0-3AD3E162B9C0}"/>
    <cellStyle name="Comma 48 3 2 2 3" xfId="1781" xr:uid="{B09C5CA3-7D2C-49AD-90E4-9A89BBDC5996}"/>
    <cellStyle name="Comma 48 3 2 2 3 2" xfId="31587" xr:uid="{D3FF10E4-9860-426D-A0EA-C307DC394108}"/>
    <cellStyle name="Comma 48 3 2 2 3 2 2" xfId="31588" xr:uid="{B6B1FF1C-63D7-4ED2-A4CD-4C13F25E9093}"/>
    <cellStyle name="Comma 48 3 2 2 3 2 2 2" xfId="31589" xr:uid="{55A1A697-7642-4FC3-A5EB-78538548E681}"/>
    <cellStyle name="Comma 48 3 2 2 3 2 3" xfId="31590" xr:uid="{6AC43EC2-5F18-41FA-82CC-82B0CDC5E10C}"/>
    <cellStyle name="Comma 48 3 2 2 3 3" xfId="31591" xr:uid="{A6E8A887-7470-45E8-9050-8E154DF0B517}"/>
    <cellStyle name="Comma 48 3 2 2 3 3 2" xfId="31592" xr:uid="{427F930B-66BF-45B4-BC9F-6E75B071D4FE}"/>
    <cellStyle name="Comma 48 3 2 2 3 4" xfId="31593" xr:uid="{6C21C958-4914-4B53-9D4A-3DF3F9ACA9FE}"/>
    <cellStyle name="Comma 48 3 2 2 4" xfId="13159" xr:uid="{F54C9B4F-4989-423E-8BE6-00022D09CA85}"/>
    <cellStyle name="Comma 48 3 2 2 4 2" xfId="30527" xr:uid="{BBD3FD15-A8DC-49CC-B095-D775B2F1DC35}"/>
    <cellStyle name="Comma 48 3 2 2 4 2 2" xfId="31594" xr:uid="{37A33670-4C84-4757-95A9-104B636E7DF5}"/>
    <cellStyle name="Comma 48 3 2 2 4 3" xfId="31596" xr:uid="{931001CB-200F-4FF6-9719-5387C65B2CFD}"/>
    <cellStyle name="Comma 48 3 2 2 5" xfId="30530" xr:uid="{A349BE13-2976-41A2-B4EE-718CA1545906}"/>
    <cellStyle name="Comma 48 3 2 2 5 2" xfId="24100" xr:uid="{D325D354-0475-4007-B6B0-1A7C1F897E5B}"/>
    <cellStyle name="Comma 48 3 2 2 6" xfId="12293" xr:uid="{8EE58BCE-0B08-4B2E-A723-9957620D1025}"/>
    <cellStyle name="Comma 48 3 2 2 7" xfId="10628" xr:uid="{138F6B47-5F64-4641-8BC4-73CFD7AB5842}"/>
    <cellStyle name="Comma 48 3 2 3" xfId="31597" xr:uid="{67E3F84E-F578-43F1-8BB0-283A76A9A522}"/>
    <cellStyle name="Comma 48 3 2 3 2" xfId="13196" xr:uid="{BACF3D6D-59A4-47FF-AEDD-9A5DDA62BB0D}"/>
    <cellStyle name="Comma 48 3 2 3 2 2" xfId="27732" xr:uid="{02DCA2DF-E50B-42DF-82AC-7232FFCCCF40}"/>
    <cellStyle name="Comma 48 3 2 3 2 2 2" xfId="31599" xr:uid="{8ED26C35-F76F-4B3F-86E7-9EBDFEC08A17}"/>
    <cellStyle name="Comma 48 3 2 3 2 2 2 2" xfId="31600" xr:uid="{8F86F6DE-BFA0-47EC-8A26-ADEB15F2C16F}"/>
    <cellStyle name="Comma 48 3 2 3 2 2 3" xfId="31601" xr:uid="{0DAC6F3A-C357-4613-B479-66E3A88F5576}"/>
    <cellStyle name="Comma 48 3 2 3 2 3" xfId="31602" xr:uid="{7297A55D-D924-48B8-AD45-4AD4AD5EE99F}"/>
    <cellStyle name="Comma 48 3 2 3 2 3 2" xfId="31603" xr:uid="{7212B28C-E2E2-4CCF-A41F-9BC40355523B}"/>
    <cellStyle name="Comma 48 3 2 3 2 4" xfId="31604" xr:uid="{473EDC97-DC13-491B-ADCE-D51584B52644}"/>
    <cellStyle name="Comma 48 3 2 3 3" xfId="31605" xr:uid="{5CA3BE21-5C75-47D5-9E50-5F5FE98981C4}"/>
    <cellStyle name="Comma 48 3 2 3 3 2" xfId="31606" xr:uid="{E3D430FB-919A-4AE7-B237-66F776FBF672}"/>
    <cellStyle name="Comma 48 3 2 3 3 2 2" xfId="31607" xr:uid="{95EB3514-DC47-43D6-802D-5D6CA50E155B}"/>
    <cellStyle name="Comma 48 3 2 3 3 3" xfId="31608" xr:uid="{DF9A4975-46D1-4E73-B841-F95C9435E3F1}"/>
    <cellStyle name="Comma 48 3 2 3 4" xfId="30534" xr:uid="{72973A0B-F971-425A-8204-3221152FFC6C}"/>
    <cellStyle name="Comma 48 3 2 3 4 2" xfId="31610" xr:uid="{E70DA995-2FAA-4C6D-BABA-FFA52BCABDBE}"/>
    <cellStyle name="Comma 48 3 2 3 5" xfId="31611" xr:uid="{38551FE5-6B70-42DE-9AED-9DD6346B9765}"/>
    <cellStyle name="Comma 48 3 2 4" xfId="31612" xr:uid="{E610230A-2EB1-4B84-8D14-18B01F54DA60}"/>
    <cellStyle name="Comma 48 3 2 4 2" xfId="31613" xr:uid="{E5351806-687C-4456-A410-58422E283159}"/>
    <cellStyle name="Comma 48 3 2 4 2 2" xfId="31614" xr:uid="{60F83A15-4A58-4A39-A0D2-CB1BDBE23AF7}"/>
    <cellStyle name="Comma 48 3 2 4 2 2 2" xfId="31615" xr:uid="{59F02424-55C9-4D9B-B085-5C2224DD5519}"/>
    <cellStyle name="Comma 48 3 2 4 2 3" xfId="31616" xr:uid="{9BE4E60B-B754-444E-BFD2-DD64A2CC795E}"/>
    <cellStyle name="Comma 48 3 2 4 3" xfId="31617" xr:uid="{3139082B-19E0-4536-A77C-A2E710F21AE0}"/>
    <cellStyle name="Comma 48 3 2 4 3 2" xfId="31618" xr:uid="{9C3F8DC2-65BD-4163-8168-2C68582B6F16}"/>
    <cellStyle name="Comma 48 3 2 4 4" xfId="31619" xr:uid="{4289D194-E8F4-4CCF-B70B-7E088989E0FE}"/>
    <cellStyle name="Comma 48 3 2 5" xfId="31620" xr:uid="{7004D658-3BE7-4314-90A2-7456D535B34F}"/>
    <cellStyle name="Comma 48 3 2 5 2" xfId="31621" xr:uid="{2274BEB5-7C2D-4713-9410-7539C0D29024}"/>
    <cellStyle name="Comma 48 3 2 5 2 2" xfId="25444" xr:uid="{38406BA4-C10E-4A83-87C7-57F78CAA11FF}"/>
    <cellStyle name="Comma 48 3 2 5 3" xfId="31622" xr:uid="{426FC001-8303-4A0A-A616-A770D1CBB9C2}"/>
    <cellStyle name="Comma 48 3 2 6" xfId="31623" xr:uid="{972FFBA5-390E-4BDB-9582-D8B48247842C}"/>
    <cellStyle name="Comma 48 3 2 6 2" xfId="31624" xr:uid="{42348099-E4E5-43C5-9FFF-E70657659878}"/>
    <cellStyle name="Comma 48 3 2 7" xfId="31625" xr:uid="{ED846F81-53F2-45C0-A61C-E0768B696297}"/>
    <cellStyle name="Comma 48 3 2 8" xfId="31626" xr:uid="{04EEA619-8D67-4C61-B1C1-4186630DDFE2}"/>
    <cellStyle name="Comma 48 3 2 9" xfId="31627" xr:uid="{7E3E75EB-9159-46E7-B4B1-513836A32429}"/>
    <cellStyle name="Comma 48 3 3" xfId="31628" xr:uid="{69477200-C410-4C98-BCFE-6EEFEB15AC73}"/>
    <cellStyle name="Comma 48 3 3 2" xfId="30623" xr:uid="{84FA7785-3380-4FEE-86CF-2892773D2AE4}"/>
    <cellStyle name="Comma 48 3 3 2 2" xfId="13329" xr:uid="{D8C54C3E-4622-49F0-9D08-C83305393BEE}"/>
    <cellStyle name="Comma 48 3 3 2 2 2" xfId="31630" xr:uid="{EF0EA456-B537-4E72-B142-1C7E992A3F4B}"/>
    <cellStyle name="Comma 48 3 3 2 2 2 2" xfId="31631" xr:uid="{5288E1C4-97C9-4D51-933E-2400412CC67C}"/>
    <cellStyle name="Comma 48 3 3 2 2 2 2 2" xfId="31632" xr:uid="{161202D9-AE47-4A5C-AB6C-72FD4354C827}"/>
    <cellStyle name="Comma 48 3 3 2 2 2 3" xfId="31633" xr:uid="{F398EEB5-2E1A-4335-8F9C-70CF3855E635}"/>
    <cellStyle name="Comma 48 3 3 2 2 3" xfId="31634" xr:uid="{E035CABC-B015-44B6-AD33-7EE0ED0253D0}"/>
    <cellStyle name="Comma 48 3 3 2 2 3 2" xfId="31635" xr:uid="{4005F13A-63A8-4B17-954E-498F38475266}"/>
    <cellStyle name="Comma 48 3 3 2 2 4" xfId="31637" xr:uid="{09AF8EA9-5F92-4B78-9780-99E55465D53A}"/>
    <cellStyle name="Comma 48 3 3 2 3" xfId="31638" xr:uid="{F42E766D-60CF-4D78-8230-CAC302B65472}"/>
    <cellStyle name="Comma 48 3 3 2 3 2" xfId="31639" xr:uid="{835D5EE2-59F8-444B-862C-C86F68C252C7}"/>
    <cellStyle name="Comma 48 3 3 2 3 2 2" xfId="31640" xr:uid="{1EFA39B4-BC25-4756-A1F1-FF175AF8E582}"/>
    <cellStyle name="Comma 48 3 3 2 3 3" xfId="31641" xr:uid="{ED2B70DA-270F-45E5-9F37-B1456AF12711}"/>
    <cellStyle name="Comma 48 3 3 2 4" xfId="30545" xr:uid="{802E8C14-9E34-4B31-AE95-6391E12D2CF2}"/>
    <cellStyle name="Comma 48 3 3 2 4 2" xfId="31642" xr:uid="{AB734443-8929-4BB6-B8AC-72A5D4FF3B6E}"/>
    <cellStyle name="Comma 48 3 3 2 5" xfId="31643" xr:uid="{B7D93CBE-E86E-4E85-AC27-1875AF609F85}"/>
    <cellStyle name="Comma 48 3 3 3" xfId="31644" xr:uid="{1EF6C27D-13CE-473D-821C-034733C4EBF7}"/>
    <cellStyle name="Comma 48 3 3 3 2" xfId="31645" xr:uid="{B441CF93-C390-42AE-958D-688F8F26A38F}"/>
    <cellStyle name="Comma 48 3 3 3 2 2" xfId="31646" xr:uid="{0E994E77-80BC-44FD-A37E-B997EE0C7760}"/>
    <cellStyle name="Comma 48 3 3 3 2 2 2" xfId="31647" xr:uid="{BE314902-B281-4779-8EA1-4FDC1FB26429}"/>
    <cellStyle name="Comma 48 3 3 3 2 3" xfId="31648" xr:uid="{39B92F50-3741-4382-9725-437CA1535A18}"/>
    <cellStyle name="Comma 48 3 3 3 3" xfId="31649" xr:uid="{5218BD05-3A0D-4AFF-93DC-E4C0FEC4AADE}"/>
    <cellStyle name="Comma 48 3 3 3 3 2" xfId="1046" xr:uid="{7BF3282B-2CA9-4DDB-9FEA-88D76CB80726}"/>
    <cellStyle name="Comma 48 3 3 3 4" xfId="31650" xr:uid="{ECC86AF7-1C0C-45E9-85F4-9EFF9A0B6297}"/>
    <cellStyle name="Comma 48 3 3 4" xfId="8376" xr:uid="{5425F4DE-7BCD-485C-AA25-95A05049F4DE}"/>
    <cellStyle name="Comma 48 3 3 4 2" xfId="8219" xr:uid="{6E3B3932-E5C0-4532-B184-8E8B87C98661}"/>
    <cellStyle name="Comma 48 3 3 4 2 2" xfId="31651" xr:uid="{B70028A1-FC2D-41EF-BF45-8CD45FBA7157}"/>
    <cellStyle name="Comma 48 3 3 4 3" xfId="31652" xr:uid="{D010F1C7-50C7-4242-BDAD-555C4BF244AB}"/>
    <cellStyle name="Comma 48 3 3 5" xfId="8117" xr:uid="{CAF4EB84-B338-4D18-8B8C-1B922001CE24}"/>
    <cellStyle name="Comma 48 3 3 5 2" xfId="31653" xr:uid="{F2820B2B-5812-4895-9A4C-61BF22F7301B}"/>
    <cellStyle name="Comma 48 3 3 6" xfId="31654" xr:uid="{B30E8ADC-8A49-4F56-B0A3-5DE30F98108F}"/>
    <cellStyle name="Comma 48 3 3 7" xfId="31655" xr:uid="{574BB4AF-191F-43ED-80A1-3061DDED819D}"/>
    <cellStyle name="Comma 48 3 4" xfId="31656" xr:uid="{AFECBC0F-B3B3-4D1E-9076-8CD88DB306B3}"/>
    <cellStyle name="Comma 48 3 4 2" xfId="25711" xr:uid="{85103EAC-B7CD-456A-BEFC-A2DD98BF4CDF}"/>
    <cellStyle name="Comma 48 3 4 2 2" xfId="25717" xr:uid="{FAA91195-0216-4374-A9EF-473F3C30AF62}"/>
    <cellStyle name="Comma 48 3 4 2 2 2" xfId="31659" xr:uid="{16BF18E1-6B8F-4748-AB07-67F48CEB675F}"/>
    <cellStyle name="Comma 48 3 4 2 2 2 2" xfId="31660" xr:uid="{2798D597-0135-40EE-B46D-CFDB672C4655}"/>
    <cellStyle name="Comma 48 3 4 2 2 3" xfId="31662" xr:uid="{58D1C112-B163-4260-ADA0-AFD8DEBFA8A8}"/>
    <cellStyle name="Comma 48 3 4 2 3" xfId="25720" xr:uid="{03D620BE-3FB6-4963-BF0F-1263BFC98911}"/>
    <cellStyle name="Comma 48 3 4 2 3 2" xfId="31666" xr:uid="{2B74A83E-37E3-4C8A-8D5D-7F4330E35F2C}"/>
    <cellStyle name="Comma 48 3 4 2 4" xfId="14937" xr:uid="{555FD61D-EAB2-4581-96E7-8432240E9B77}"/>
    <cellStyle name="Comma 48 3 4 3" xfId="25733" xr:uid="{2C78E727-24AE-44BE-84CF-2578EA0B40DE}"/>
    <cellStyle name="Comma 48 3 4 3 2" xfId="25737" xr:uid="{D7C6E2A9-C638-493D-B784-73D9A611A557}"/>
    <cellStyle name="Comma 48 3 4 3 2 2" xfId="31667" xr:uid="{FA8AF2F3-D0B8-4ADD-8E3E-530C12E3DF6D}"/>
    <cellStyle name="Comma 48 3 4 3 3" xfId="25740" xr:uid="{55E304AC-E9C9-4220-B25D-4CE69D2BB9B1}"/>
    <cellStyle name="Comma 48 3 4 4" xfId="5296" xr:uid="{9C946AB5-E8AE-4627-ADFC-B9D3A43A84A3}"/>
    <cellStyle name="Comma 48 3 4 4 2" xfId="25744" xr:uid="{20BB56ED-F5F5-438A-8ECE-0E59466A6C9F}"/>
    <cellStyle name="Comma 48 3 4 5" xfId="25749" xr:uid="{A6FFCF7E-BA0E-4236-918F-E2746CED6FBF}"/>
    <cellStyle name="Comma 48 3 5" xfId="31669" xr:uid="{882048BF-4D91-4E7B-AB37-0E6ED2531F0E}"/>
    <cellStyle name="Comma 48 3 5 2" xfId="25937" xr:uid="{7E3DA899-4020-40B1-9591-34E669EAA1B9}"/>
    <cellStyle name="Comma 48 3 5 2 2" xfId="25943" xr:uid="{C1922C1B-7ECB-4D88-B644-D95A8BA4B521}"/>
    <cellStyle name="Comma 48 3 5 2 2 2" xfId="31671" xr:uid="{04D3E862-2C1B-4B06-83D8-BD2371E42183}"/>
    <cellStyle name="Comma 48 3 5 2 3" xfId="25946" xr:uid="{A9F1FC4C-91FD-49EC-97C3-0403440F0555}"/>
    <cellStyle name="Comma 48 3 5 3" xfId="25950" xr:uid="{8D649A73-5C9A-4DF2-A6C9-3BC16448B58A}"/>
    <cellStyle name="Comma 48 3 5 3 2" xfId="25953" xr:uid="{B4A092D9-27F6-444C-9DA8-93EA183292B1}"/>
    <cellStyle name="Comma 48 3 5 4" xfId="25958" xr:uid="{98088C1E-5E00-4E56-85A2-B1DDA3AA9B7D}"/>
    <cellStyle name="Comma 48 3 6" xfId="2360" xr:uid="{EE045C39-99CD-40E4-922D-4A484E26DDB0}"/>
    <cellStyle name="Comma 48 3 6 2" xfId="31673" xr:uid="{E6F536CB-85A3-4203-9972-1FCFE20EFB93}"/>
    <cellStyle name="Comma 48 3 6 2 2" xfId="31674" xr:uid="{53F4F458-287F-41E5-8C5A-41DE535C4018}"/>
    <cellStyle name="Comma 48 3 6 3" xfId="31675" xr:uid="{D77A9A4E-490E-4CE4-83DA-608F85DB35C4}"/>
    <cellStyle name="Comma 48 3 7" xfId="31678" xr:uid="{94A0CF35-4AAA-44A3-BF5D-D71FA3CD7419}"/>
    <cellStyle name="Comma 48 3 7 2" xfId="31679" xr:uid="{A453C46C-06EE-4AB9-977A-42FEC3DF2749}"/>
    <cellStyle name="Comma 48 3 8" xfId="31680" xr:uid="{9351F2D6-E45A-433B-B427-F25F8B25D619}"/>
    <cellStyle name="Comma 48 3 9" xfId="2399" xr:uid="{47ACFCCD-D4BC-4F5E-BC62-67A5F6DC0F19}"/>
    <cellStyle name="Comma 48 4" xfId="31681" xr:uid="{565491F0-2EAA-454A-BACA-D83D2A5C57D0}"/>
    <cellStyle name="Comma 48 4 2" xfId="31683" xr:uid="{0D053BCD-AF88-4ED8-9275-4B89C5194874}"/>
    <cellStyle name="Comma 48 4 2 2" xfId="31685" xr:uid="{536FCADF-BFFC-409E-8E27-36B4F0FD64E3}"/>
    <cellStyle name="Comma 48 4 2 2 2" xfId="13657" xr:uid="{D0758C79-FB8F-4A9E-A26C-17AE8E333C29}"/>
    <cellStyle name="Comma 48 4 2 2 2 2" xfId="31687" xr:uid="{6AE16BAB-C8D7-48F0-92DC-1407A6C310C0}"/>
    <cellStyle name="Comma 48 4 2 2 2 2 2" xfId="20993" xr:uid="{3108F00F-A9DA-4FB4-BBDC-55591EDED734}"/>
    <cellStyle name="Comma 48 4 2 2 2 2 2 2" xfId="31690" xr:uid="{A3346CFA-ED13-4913-9EB1-C9BF51928A41}"/>
    <cellStyle name="Comma 48 4 2 2 2 2 3" xfId="20995" xr:uid="{40F41AA3-E9F5-43B4-9F91-A274B5596753}"/>
    <cellStyle name="Comma 48 4 2 2 2 3" xfId="2792" xr:uid="{A5B049D9-E446-4AB6-8DCB-978F6FBC84D7}"/>
    <cellStyle name="Comma 48 4 2 2 2 3 2" xfId="21016" xr:uid="{77ED4E79-D374-4A8E-8F79-24212755F1EC}"/>
    <cellStyle name="Comma 48 4 2 2 2 4" xfId="31695" xr:uid="{D5DBF0D3-980E-48A7-8656-8478FA5D44BB}"/>
    <cellStyle name="Comma 48 4 2 2 3" xfId="31696" xr:uid="{81CEE76F-8E85-470E-82FB-234AC95CB90B}"/>
    <cellStyle name="Comma 48 4 2 2 3 2" xfId="31697" xr:uid="{0C8C5C56-12C9-4B4E-9FBD-79D2ADF47087}"/>
    <cellStyle name="Comma 48 4 2 2 3 2 2" xfId="21090" xr:uid="{5B88F5BB-EE4D-44E9-A2D8-D1F9A3D5E580}"/>
    <cellStyle name="Comma 48 4 2 2 3 3" xfId="2808" xr:uid="{AB5BF9A3-5C3C-48B7-B768-CB02F85BF3BB}"/>
    <cellStyle name="Comma 48 4 2 2 4" xfId="30560" xr:uid="{B0607D07-5AD0-4116-ACAA-D527C5B469DF}"/>
    <cellStyle name="Comma 48 4 2 2 4 2" xfId="31698" xr:uid="{6D946CCF-1884-4E14-A30A-BF3AEDA8D0E6}"/>
    <cellStyle name="Comma 48 4 2 2 5" xfId="31699" xr:uid="{11B01E0A-5133-4EE8-9F28-3B8F48883B09}"/>
    <cellStyle name="Comma 48 4 2 3" xfId="31700" xr:uid="{E27EB48E-0183-4912-8701-F72E8F9863B0}"/>
    <cellStyle name="Comma 48 4 2 3 2" xfId="31701" xr:uid="{96C33E39-0549-4E34-92A7-F77984EB43EB}"/>
    <cellStyle name="Comma 48 4 2 3 2 2" xfId="31702" xr:uid="{EDE10ECA-9612-4C20-AA1D-1C17DE63163A}"/>
    <cellStyle name="Comma 48 4 2 3 2 2 2" xfId="21219" xr:uid="{E5AB8D42-9B74-415E-A8B0-55B1B739AFBE}"/>
    <cellStyle name="Comma 48 4 2 3 2 3" xfId="2860" xr:uid="{98641BA8-ECA0-4126-A64D-16915FA63EE6}"/>
    <cellStyle name="Comma 48 4 2 3 3" xfId="27838" xr:uid="{677230B0-981B-4ED4-9DB1-BB6ABFF50C79}"/>
    <cellStyle name="Comma 48 4 2 3 3 2" xfId="31703" xr:uid="{3959BE12-B259-4C39-A572-2215D539E9BB}"/>
    <cellStyle name="Comma 48 4 2 3 4" xfId="31704" xr:uid="{F73E956A-F81C-4542-82F8-94B0F5A54D6E}"/>
    <cellStyle name="Comma 48 4 2 4" xfId="31705" xr:uid="{41D1FDEE-07FC-4DBF-B0E4-0A3CBD14134E}"/>
    <cellStyle name="Comma 48 4 2 4 2" xfId="31706" xr:uid="{99F5F735-9225-4D5F-93EE-1011A1913658}"/>
    <cellStyle name="Comma 48 4 2 4 2 2" xfId="20819" xr:uid="{C8FF3CAD-C5F6-44B3-8702-E40DE1553616}"/>
    <cellStyle name="Comma 48 4 2 4 3" xfId="31707" xr:uid="{F82C8DB5-FE1D-4089-AA1F-430A810DC0C8}"/>
    <cellStyle name="Comma 48 4 2 5" xfId="31708" xr:uid="{CA694A52-5803-44AC-9D8C-D3D398B51D4E}"/>
    <cellStyle name="Comma 48 4 2 5 2" xfId="31709" xr:uid="{42636812-EAF3-4E8E-B8BE-E227858D1614}"/>
    <cellStyle name="Comma 48 4 2 6" xfId="31710" xr:uid="{3FE08910-3C32-41FF-8C58-FBA76C8E9190}"/>
    <cellStyle name="Comma 48 4 2 7" xfId="31711" xr:uid="{D237346F-871E-4F98-9AEF-7F80067DE29E}"/>
    <cellStyle name="Comma 48 4 3" xfId="21847" xr:uid="{2D33ED68-86EE-4726-BD2F-1D3B945A5F81}"/>
    <cellStyle name="Comma 48 4 3 2" xfId="31712" xr:uid="{5E6CA7A7-3875-4BC2-9ACC-CCF4E3F06B37}"/>
    <cellStyle name="Comma 48 4 3 2 2" xfId="1732" xr:uid="{77E749F5-51F8-4366-9BB1-990523AA4D86}"/>
    <cellStyle name="Comma 48 4 3 2 2 2" xfId="31713" xr:uid="{809D3D5B-4775-4734-99D5-BA343EA0EEC1}"/>
    <cellStyle name="Comma 48 4 3 2 2 2 2" xfId="21482" xr:uid="{A872DB6E-54AC-4D87-BA48-B9E2EB8971B0}"/>
    <cellStyle name="Comma 48 4 3 2 2 3" xfId="7028" xr:uid="{6D5C65F9-3279-4087-864B-705D92D44AC9}"/>
    <cellStyle name="Comma 48 4 3 2 3" xfId="1734" xr:uid="{61FA4BDA-C2CF-4E0F-A3C9-80B9692D8ACF}"/>
    <cellStyle name="Comma 48 4 3 2 3 2" xfId="31714" xr:uid="{B8DE1CC8-2B49-4FD8-A74F-0C9CA08D8693}"/>
    <cellStyle name="Comma 48 4 3 2 4" xfId="1736" xr:uid="{B8FE5D28-9A53-4DD1-84E2-5E800983F5BE}"/>
    <cellStyle name="Comma 48 4 3 3" xfId="31715" xr:uid="{22F481CF-56E8-42D3-829E-8FEF0F977DA2}"/>
    <cellStyle name="Comma 48 4 3 3 2" xfId="31716" xr:uid="{4735DE73-1B9A-4000-BC47-3B6B1F57CEDF}"/>
    <cellStyle name="Comma 48 4 3 3 2 2" xfId="31717" xr:uid="{193CE75D-BBAF-47F0-8F07-8C8146262EC0}"/>
    <cellStyle name="Comma 48 4 3 3 3" xfId="31718" xr:uid="{3F6A3BC4-14FA-4CA7-AA5B-F37D0FEEAFC3}"/>
    <cellStyle name="Comma 48 4 3 4" xfId="8380" xr:uid="{6DB99C3B-D059-4E52-852F-748EF50C8934}"/>
    <cellStyle name="Comma 48 4 3 4 2" xfId="31719" xr:uid="{9F2F264F-DCB1-4646-9FA0-7E8EBE7E009E}"/>
    <cellStyle name="Comma 48 4 3 5" xfId="31720" xr:uid="{9127B845-4DF4-4DE1-B9BB-54326E0AD27F}"/>
    <cellStyle name="Comma 48 4 4" xfId="31721" xr:uid="{20017CED-339A-4F6F-99E5-28BFB0435805}"/>
    <cellStyle name="Comma 48 4 4 2" xfId="31722" xr:uid="{7B428BE2-081D-4A38-BF1B-68837847AC59}"/>
    <cellStyle name="Comma 48 4 4 2 2" xfId="31723" xr:uid="{EBC248CD-F2B4-4EEF-914A-31EE2F032B3B}"/>
    <cellStyle name="Comma 48 4 4 2 2 2" xfId="31724" xr:uid="{42FF1D33-81A4-463A-A44D-80BE9ABB6A67}"/>
    <cellStyle name="Comma 48 4 4 2 3" xfId="31725" xr:uid="{D81ACCA9-8614-4370-AAFC-C59435BAB750}"/>
    <cellStyle name="Comma 48 4 4 3" xfId="31726" xr:uid="{66D69BD5-C191-4C44-8146-3A7CFC0E62EA}"/>
    <cellStyle name="Comma 48 4 4 3 2" xfId="31727" xr:uid="{49B2366B-1308-48C2-AA1E-E331CFB89B4A}"/>
    <cellStyle name="Comma 48 4 4 4" xfId="31728" xr:uid="{E04F0254-C6DF-4A28-BE70-51CDF8C139AC}"/>
    <cellStyle name="Comma 48 4 5" xfId="31730" xr:uid="{0421E373-8DEE-4250-A60D-DC34C40F001E}"/>
    <cellStyle name="Comma 48 4 5 2" xfId="31732" xr:uid="{04A6791F-4C3C-4022-B285-D8920763115F}"/>
    <cellStyle name="Comma 48 4 5 2 2" xfId="31733" xr:uid="{4044175C-65BE-4F51-AED8-DAE8CEB0254E}"/>
    <cellStyle name="Comma 48 4 5 3" xfId="31734" xr:uid="{052F24D6-80F0-40DA-9B43-EB1B4F2EF0F4}"/>
    <cellStyle name="Comma 48 4 6" xfId="31736" xr:uid="{A930CEEB-7E78-4264-93BA-916552830710}"/>
    <cellStyle name="Comma 48 4 6 2" xfId="31737" xr:uid="{56817EF4-8F44-410D-8FD7-556C2E9AB98D}"/>
    <cellStyle name="Comma 48 4 7" xfId="31738" xr:uid="{F3836519-7D47-43F9-BCDF-2F444C46A5C1}"/>
    <cellStyle name="Comma 48 4 8" xfId="31739" xr:uid="{59DA335C-22DA-43DA-87AB-C7C8961DFE68}"/>
    <cellStyle name="Comma 48 4 9" xfId="31740" xr:uid="{CD549851-40ED-4FB9-9F64-AF07CAFDEE2D}"/>
    <cellStyle name="Comma 48 5" xfId="31741" xr:uid="{16AE7B4B-D5D1-4516-BA8B-F1B878C7605F}"/>
    <cellStyle name="Comma 48 5 2" xfId="31743" xr:uid="{C195BA87-6C2D-419B-958A-8ABD59A2DEC4}"/>
    <cellStyle name="Comma 48 5 2 2" xfId="64" xr:uid="{D73CF350-C977-46CD-AF0D-92456874C4EA}"/>
    <cellStyle name="Comma 48 5 2 2 2" xfId="31745" xr:uid="{AC7E4088-AEBE-4A1E-A97E-CC814C41505F}"/>
    <cellStyle name="Comma 48 5 2 2 2 2" xfId="31746" xr:uid="{8BAA63CC-3D97-4E25-BB2F-06E0C57C56DA}"/>
    <cellStyle name="Comma 48 5 2 2 2 2 2" xfId="19432" xr:uid="{633090AB-E191-409F-8799-EBBFD8FE10AE}"/>
    <cellStyle name="Comma 48 5 2 2 2 3" xfId="31748" xr:uid="{A68C7A67-3AFE-42E4-ACD5-E671D28F1EB6}"/>
    <cellStyle name="Comma 48 5 2 2 3" xfId="31749" xr:uid="{0FFC055E-47C2-48A7-AA2B-914C7060580B}"/>
    <cellStyle name="Comma 48 5 2 2 3 2" xfId="31750" xr:uid="{05556604-067B-44B4-942B-8DA36989E78A}"/>
    <cellStyle name="Comma 48 5 2 2 4" xfId="31751" xr:uid="{667303D8-146F-44B3-8960-C5334AF5FFB3}"/>
    <cellStyle name="Comma 48 5 2 3" xfId="31752" xr:uid="{B10779AA-841F-4007-947C-91B4801FB918}"/>
    <cellStyle name="Comma 48 5 2 3 2" xfId="31753" xr:uid="{10A03FFD-046D-4AE9-8743-FB60EB30C936}"/>
    <cellStyle name="Comma 48 5 2 3 2 2" xfId="31754" xr:uid="{7AF1437A-BEE0-469B-B054-B466336A780C}"/>
    <cellStyle name="Comma 48 5 2 3 3" xfId="31755" xr:uid="{D5DF0BDA-18F8-444A-BD33-C6008DCE736C}"/>
    <cellStyle name="Comma 48 5 2 4" xfId="31756" xr:uid="{1C4B2605-4FAE-408B-8534-08864F01850A}"/>
    <cellStyle name="Comma 48 5 2 4 2" xfId="31757" xr:uid="{5A468128-C89D-4B12-A72A-18E55D78150F}"/>
    <cellStyle name="Comma 48 5 2 5" xfId="31758" xr:uid="{053994CA-96E0-4F15-8CAA-072051FFC3D5}"/>
    <cellStyle name="Comma 48 5 3" xfId="31759" xr:uid="{4A424957-F6E5-4EFF-8A1D-1FB00D82FF35}"/>
    <cellStyle name="Comma 48 5 3 2" xfId="31095" xr:uid="{66A007DB-CDB4-47DF-AE3C-D671C318AF20}"/>
    <cellStyle name="Comma 48 5 3 2 2" xfId="31760" xr:uid="{DC36DC3A-47A2-4356-91D3-21C387814757}"/>
    <cellStyle name="Comma 48 5 3 2 2 2" xfId="31761" xr:uid="{62703B00-18EE-42E4-8D0C-590974F3C9FA}"/>
    <cellStyle name="Comma 48 5 3 2 3" xfId="31762" xr:uid="{1570D431-ECC4-4B78-8684-B7289B2A66BF}"/>
    <cellStyle name="Comma 48 5 3 3" xfId="31763" xr:uid="{C929F1F2-4210-47BB-B551-E1BFDFD896EB}"/>
    <cellStyle name="Comma 48 5 3 3 2" xfId="31764" xr:uid="{1EF3A4DC-42FD-48B1-B4E8-3398D36185F3}"/>
    <cellStyle name="Comma 48 5 3 4" xfId="31765" xr:uid="{B99CEA3A-5C07-4BAB-BCE6-7B1B7379EFEE}"/>
    <cellStyle name="Comma 48 5 4" xfId="31766" xr:uid="{3B76753A-0B1D-408D-96DD-8E15DC98C3D2}"/>
    <cellStyle name="Comma 48 5 4 2" xfId="31199" xr:uid="{4A6829FB-9323-4355-8DCE-D745AAEDD67C}"/>
    <cellStyle name="Comma 48 5 4 2 2" xfId="31767" xr:uid="{7B7CA1DB-146B-4BD3-A401-F5FF8A52DB6D}"/>
    <cellStyle name="Comma 48 5 4 3" xfId="31768" xr:uid="{5E8A1074-54B1-472B-A574-50F5D93CD4EE}"/>
    <cellStyle name="Comma 48 5 5" xfId="31770" xr:uid="{37FE6949-91DE-48BE-9730-B5F1C4ACDA68}"/>
    <cellStyle name="Comma 48 5 5 2" xfId="31269" xr:uid="{076DBFF8-4C6E-4CCB-AA4F-424462CDD6B1}"/>
    <cellStyle name="Comma 48 5 6" xfId="31771" xr:uid="{82159756-25DE-4143-99A6-E8CC804623C2}"/>
    <cellStyle name="Comma 48 5 7" xfId="31772" xr:uid="{DB05A709-132E-4B52-BA8B-0F2B3D189B57}"/>
    <cellStyle name="Comma 48 6" xfId="7128" xr:uid="{D14DB8D8-8893-4571-BC8A-8E451FA50D0D}"/>
    <cellStyle name="Comma 48 6 2" xfId="7134" xr:uid="{32023272-001B-4D83-B993-403F6BFC0266}"/>
    <cellStyle name="Comma 48 6 2 2" xfId="8189" xr:uid="{3618B5F8-E65F-4077-BABB-2650C55D247E}"/>
    <cellStyle name="Comma 48 6 2 2 2" xfId="8196" xr:uid="{BB4816CE-F4B5-4ED9-AA6B-18B2F2E70E43}"/>
    <cellStyle name="Comma 48 6 2 2 2 2" xfId="8201" xr:uid="{E01A7A1C-FDD7-495F-83EA-EB9AE223B8B9}"/>
    <cellStyle name="Comma 48 6 2 2 3" xfId="8207" xr:uid="{3C190DD4-B8E1-4FF8-AF66-0D9A253C1CBC}"/>
    <cellStyle name="Comma 48 6 2 3" xfId="8210" xr:uid="{EDC64AA0-976C-467C-B730-A32B197F3919}"/>
    <cellStyle name="Comma 48 6 2 3 2" xfId="8216" xr:uid="{FD13391F-B00C-4954-BDCB-A5E51FBFCDEF}"/>
    <cellStyle name="Comma 48 6 2 4" xfId="8220" xr:uid="{1F003871-C6BA-4F61-889A-0115FCFE87AA}"/>
    <cellStyle name="Comma 48 6 3" xfId="6111" xr:uid="{6328D047-BFCF-4311-A5B1-ED097E5D3A6A}"/>
    <cellStyle name="Comma 48 6 3 2" xfId="4393" xr:uid="{B0224E7E-88B4-4AFF-8FFA-11DBED957C00}"/>
    <cellStyle name="Comma 48 6 3 2 2" xfId="8226" xr:uid="{4E5E8FBC-6C2F-496D-90B3-E7B30C6D40E3}"/>
    <cellStyle name="Comma 48 6 3 3" xfId="4399" xr:uid="{30FF3AA8-251D-4A05-B668-FD7CD7A00B23}"/>
    <cellStyle name="Comma 48 6 4" xfId="6115" xr:uid="{5FC3150D-6750-4E27-A250-C41B9A5EEFA6}"/>
    <cellStyle name="Comma 48 6 4 2" xfId="2397" xr:uid="{A51B992F-BCCF-473F-BA46-3FBB72E8841F}"/>
    <cellStyle name="Comma 48 6 5" xfId="4459" xr:uid="{85521E87-52F8-4E2C-9066-28E6D1D73999}"/>
    <cellStyle name="Comma 48 7" xfId="7140" xr:uid="{B80C7014-1616-46FA-A089-1FE9EC812D18}"/>
    <cellStyle name="Comma 48 7 2" xfId="8227" xr:uid="{4345F3A5-FD11-474A-9B86-778C1E8A5757}"/>
    <cellStyle name="Comma 48 7 2 2" xfId="1901" xr:uid="{209360F9-2D6F-4970-95F6-083D5D142210}"/>
    <cellStyle name="Comma 48 7 2 2 2" xfId="8231" xr:uid="{C3B36EEF-0038-424A-B9BA-7FD992EB74B7}"/>
    <cellStyle name="Comma 48 7 2 3" xfId="1906" xr:uid="{1CA07C44-F8E0-4B31-8ECF-F4103A72705C}"/>
    <cellStyle name="Comma 48 7 3" xfId="6123" xr:uid="{B981855F-1B4B-4C6A-B198-47BCE2F79BBC}"/>
    <cellStyle name="Comma 48 7 3 2" xfId="6648" xr:uid="{AFD457E3-0F5B-47CA-AED0-902A252CA597}"/>
    <cellStyle name="Comma 48 7 4" xfId="6654" xr:uid="{0C40FFE8-9430-4928-B2DA-9BBAB3D5A3C7}"/>
    <cellStyle name="Comma 48 8" xfId="7148" xr:uid="{71A0252E-FE70-435D-B910-4A5DF54B15D3}"/>
    <cellStyle name="Comma 48 8 2" xfId="4292" xr:uid="{4A3D90D8-E0A5-4728-A9CB-870E58C08CFB}"/>
    <cellStyle name="Comma 48 8 2 2" xfId="8236" xr:uid="{72820C60-56B6-4D01-978E-25F718F337EC}"/>
    <cellStyle name="Comma 48 8 3" xfId="4297" xr:uid="{2F53DD60-4418-499B-A708-D8CDC2C8601A}"/>
    <cellStyle name="Comma 48 9" xfId="6002" xr:uid="{52E1D77B-8A15-4572-94C2-7C6EC57B40E9}"/>
    <cellStyle name="Comma 48 9 2" xfId="6007" xr:uid="{43A2645D-9D14-4B9F-9E7E-B4CC9CE50948}"/>
    <cellStyle name="Comma 480" xfId="31344" xr:uid="{768196A5-87CA-4955-895C-91428DBFD47D}"/>
    <cellStyle name="Comma 480 2" xfId="18603" xr:uid="{15D741F6-8C34-48F3-9549-6AB42BBFFE37}"/>
    <cellStyle name="Comma 481" xfId="31348" xr:uid="{8EF7417A-A58D-4C52-9D98-08B8D949822B}"/>
    <cellStyle name="Comma 481 2" xfId="18655" xr:uid="{B21917A8-20A1-44E0-A31D-52205E3D07AE}"/>
    <cellStyle name="Comma 482" xfId="7307" xr:uid="{22436614-FBB7-4F59-80E8-CB92E65E127B}"/>
    <cellStyle name="Comma 482 2" xfId="16891" xr:uid="{97BE83E9-334E-41E0-A3A4-AE1DBA9571FA}"/>
    <cellStyle name="Comma 483" xfId="16815" xr:uid="{B3A8E6DD-BB46-48F1-B854-E9C89386F31C}"/>
    <cellStyle name="Comma 483 2" xfId="16820" xr:uid="{6B00718B-707E-42B1-B040-5AC3487AAF6F}"/>
    <cellStyle name="Comma 484" xfId="16655" xr:uid="{653DD5DA-66F5-4F20-9D21-BBE34BB8BC23}"/>
    <cellStyle name="Comma 484 2" xfId="16666" xr:uid="{1E5A1327-E7CB-41E5-9977-6AF08296DC10}"/>
    <cellStyle name="Comma 485" xfId="16680" xr:uid="{7E6FADD4-1B31-424A-8D96-997341EE9F93}"/>
    <cellStyle name="Comma 485 2" xfId="16688" xr:uid="{4B0864B2-F109-4C80-BCEC-A664F76F834E}"/>
    <cellStyle name="Comma 486" xfId="16700" xr:uid="{C5CEBA92-5E82-40C7-BBE0-F0272BD61AC3}"/>
    <cellStyle name="Comma 486 2" xfId="16708" xr:uid="{D245A675-64AA-4DBA-8418-B7CD8AE70C08}"/>
    <cellStyle name="Comma 487" xfId="1855" xr:uid="{D918E9B1-F11B-4B13-B3CC-AF3428ABCA62}"/>
    <cellStyle name="Comma 487 2" xfId="4597" xr:uid="{FD9185A4-B8DE-4E3A-BAD2-E56E8AAC218A}"/>
    <cellStyle name="Comma 488" xfId="4601" xr:uid="{743B8FBF-CD94-4638-86F8-13905228B970}"/>
    <cellStyle name="Comma 488 2" xfId="17934" xr:uid="{5ED8EDD5-2760-4E77-8A50-E31966D51ED7}"/>
    <cellStyle name="Comma 489" xfId="13268" xr:uid="{782C6760-E1BE-4B25-9C8E-B7BEB182E703}"/>
    <cellStyle name="Comma 489 2" xfId="17960" xr:uid="{6F9EACC4-DBD4-40A7-8445-1E0904F31FF4}"/>
    <cellStyle name="Comma 49" xfId="10663" xr:uid="{A3EEAE9B-5339-4412-99A4-FF3C2C783B51}"/>
    <cellStyle name="Comma 49 2" xfId="10666" xr:uid="{206A3948-8040-4B80-8B2A-DD69FE5CCC74}"/>
    <cellStyle name="Comma 49 2 2" xfId="10669" xr:uid="{9AA31911-F925-48BC-BDE0-F89850133E06}"/>
    <cellStyle name="Comma 49 3" xfId="10678" xr:uid="{C87703EB-C78A-49CB-8CA3-35D657A7A603}"/>
    <cellStyle name="Comma 49 3 2" xfId="10681" xr:uid="{3AEA00E0-7F8F-4D9B-B43B-60F6FB0F140D}"/>
    <cellStyle name="Comma 49 4" xfId="10685" xr:uid="{01F0C2A3-6FF6-4B95-8EFC-E3C4AD939C99}"/>
    <cellStyle name="Comma 49 5" xfId="31773" xr:uid="{899F28A9-ECF2-4095-B775-ED83D306B25C}"/>
    <cellStyle name="Comma 490" xfId="16681" xr:uid="{E916C5ED-B257-4B73-97A0-8B83FFEBFEFE}"/>
    <cellStyle name="Comma 491" xfId="16701" xr:uid="{2D3E930F-D1A8-489B-8B86-740F40CEE3EE}"/>
    <cellStyle name="Comma 492" xfId="1856" xr:uid="{146BCD28-8FE1-4010-9059-23D1C4CB4DE4}"/>
    <cellStyle name="Comma 493" xfId="4602" xr:uid="{EC8CFE0F-3222-421E-81BD-59C3AD1AB47B}"/>
    <cellStyle name="Comma 494" xfId="13269" xr:uid="{D5453954-94F3-4663-BE95-7CBCFD4C6383}"/>
    <cellStyle name="Comma 495" xfId="24394" xr:uid="{DADF6B66-A445-4397-8930-2A446106B533}"/>
    <cellStyle name="Comma 496" xfId="31774" xr:uid="{20A383B1-AC1B-4499-B674-5A6AF9C973EF}"/>
    <cellStyle name="Comma 497" xfId="31778" xr:uid="{77539E51-9861-4189-8C27-CF40AF92B218}"/>
    <cellStyle name="Comma 498" xfId="31782" xr:uid="{66564822-E189-4D20-9C54-1A8F59270AE2}"/>
    <cellStyle name="Comma 499" xfId="9709" xr:uid="{8576D37F-A525-439A-8F4E-5B6B33AF9D8B}"/>
    <cellStyle name="Comma 5" xfId="11" xr:uid="{A611D896-5714-4E98-B7EB-465F768848DC}"/>
    <cellStyle name="Comma 5 10" xfId="8776" xr:uid="{B93ABDE0-6B28-4BAE-95FF-E54A8D773A9E}"/>
    <cellStyle name="Comma 5 10 2" xfId="11370" xr:uid="{6E8A53B5-CC7A-4623-A540-ADFD6782DFAC}"/>
    <cellStyle name="Comma 5 10 3" xfId="31787" xr:uid="{E3709936-202C-439B-A414-106D13B6106D}"/>
    <cellStyle name="Comma 5 11" xfId="31790" xr:uid="{72E947D8-3ED3-4A55-B602-7124F96CB35D}"/>
    <cellStyle name="Comma 5 11 2" xfId="31791" xr:uid="{8277F686-D82D-40B1-A5C7-F2C866833077}"/>
    <cellStyle name="Comma 5 12" xfId="31792" xr:uid="{005BCAD4-9786-44C0-8E2A-9E152235AFD0}"/>
    <cellStyle name="Comma 5 12 2" xfId="31793" xr:uid="{74B33FE2-6B6E-4A0F-9AE7-F43E6907E7B6}"/>
    <cellStyle name="Comma 5 13" xfId="31794" xr:uid="{E51BBF22-5696-4819-A444-6BA872AB4AB2}"/>
    <cellStyle name="Comma 5 13 2" xfId="31795" xr:uid="{73331B1E-5CCD-483A-915A-E2BEBEDDF5CA}"/>
    <cellStyle name="Comma 5 14" xfId="31796" xr:uid="{AAFBF99E-62C5-4442-A842-9A38C96908A1}"/>
    <cellStyle name="Comma 5 14 2" xfId="31797" xr:uid="{C7F6C16D-F8EA-488F-96AD-63F2481EC10D}"/>
    <cellStyle name="Comma 5 15" xfId="31798" xr:uid="{15867A9E-D7BB-4146-93A0-863CAF9D8A53}"/>
    <cellStyle name="Comma 5 15 2" xfId="31800" xr:uid="{99C8A324-D278-4EAB-8BB2-8B0A1366C273}"/>
    <cellStyle name="Comma 5 16" xfId="31805" xr:uid="{097AF49B-F869-4370-94A6-EE241CCBDF25}"/>
    <cellStyle name="Comma 5 16 2" xfId="31810" xr:uid="{DABB9FA6-2ABB-494E-BDF3-AEDE59BC69B2}"/>
    <cellStyle name="Comma 5 17" xfId="31815" xr:uid="{047A7374-1BE9-47D8-9E0B-ED5FD5717F6F}"/>
    <cellStyle name="Comma 5 17 2" xfId="31817" xr:uid="{A3F33CD0-297E-4C0A-ADA2-A79401A507DC}"/>
    <cellStyle name="Comma 5 18" xfId="29519" xr:uid="{CF4E21CB-76F7-44E4-B273-5A804DF052AC}"/>
    <cellStyle name="Comma 5 18 2" xfId="26478" xr:uid="{DF6D88E3-A608-4535-8B18-954EF47804AA}"/>
    <cellStyle name="Comma 5 19" xfId="31819" xr:uid="{425A5213-692D-4E30-9227-955CD6CEF62B}"/>
    <cellStyle name="Comma 5 19 2" xfId="26488" xr:uid="{6D4AAE01-D9BB-4A4F-B105-FECAB08B568C}"/>
    <cellStyle name="Comma 5 2" xfId="2432" xr:uid="{A3A7A17B-5C2F-4CDB-B59F-E4444649CFC8}"/>
    <cellStyle name="Comma 5 2 2" xfId="94" xr:uid="{DF7BE14D-AD8A-4A72-919A-AF5D7E813E57}"/>
    <cellStyle name="Comma 5 2 2 2" xfId="31821" xr:uid="{53D3B629-4E8A-4262-AAB3-19C74CAC6C19}"/>
    <cellStyle name="Comma 5 2 3" xfId="19576" xr:uid="{9445700B-B330-4F5B-B7CE-D0272CB878E8}"/>
    <cellStyle name="Comma 5 2 4" xfId="31822" xr:uid="{467655ED-C2E5-4AFA-805C-AF7446ADAA3C}"/>
    <cellStyle name="Comma 5 20" xfId="31799" xr:uid="{9935AE9F-08FA-4D91-A561-09F53CAF31E2}"/>
    <cellStyle name="Comma 5 20 2" xfId="31801" xr:uid="{66E7019C-73FE-4EE5-864E-1F940C747D38}"/>
    <cellStyle name="Comma 5 21" xfId="31806" xr:uid="{72A2B53E-1894-4081-B082-CC71D627081C}"/>
    <cellStyle name="Comma 5 21 2" xfId="31811" xr:uid="{3AD70E09-92B6-41C6-89D3-C2880506942F}"/>
    <cellStyle name="Comma 5 22" xfId="31816" xr:uid="{FBCB83F9-E8BA-4EBF-A7D0-A832E8F07636}"/>
    <cellStyle name="Comma 5 22 2" xfId="31818" xr:uid="{1C4C4573-A8ED-4F4E-93B7-F06D01ED02BE}"/>
    <cellStyle name="Comma 5 23" xfId="29520" xr:uid="{45F82C6B-6CE7-41B1-AF8F-F7859C908733}"/>
    <cellStyle name="Comma 5 23 2" xfId="26479" xr:uid="{2870FF52-EA93-40B0-8C62-152104F42017}"/>
    <cellStyle name="Comma 5 24" xfId="31820" xr:uid="{5487C21C-FD52-46F7-91FD-160FB42076DB}"/>
    <cellStyle name="Comma 5 24 2" xfId="26489" xr:uid="{F8B641CA-274A-4495-8F96-0E0712D83D3C}"/>
    <cellStyle name="Comma 5 25" xfId="31823" xr:uid="{36A6D75B-29A3-4109-B2A1-BBBCE28DB311}"/>
    <cellStyle name="Comma 5 25 2" xfId="31825" xr:uid="{B3499999-4493-4A98-9353-58A7A87C84CD}"/>
    <cellStyle name="Comma 5 26" xfId="31827" xr:uid="{03E7B0F2-8DB5-4290-8743-89EE0D9F6312}"/>
    <cellStyle name="Comma 5 26 2" xfId="31829" xr:uid="{6085D293-56F0-42B9-AEDF-536703E2C416}"/>
    <cellStyle name="Comma 5 27" xfId="31831" xr:uid="{DCFD6826-C4A7-4E1D-A978-A8C9FA84665F}"/>
    <cellStyle name="Comma 5 27 2" xfId="31833" xr:uid="{3DC12661-F95A-480C-97ED-8FF6DD4A86D6}"/>
    <cellStyle name="Comma 5 28" xfId="6236" xr:uid="{E3783B24-D698-4FE9-B6A4-F08E65851732}"/>
    <cellStyle name="Comma 5 28 2" xfId="6242" xr:uid="{36E5C74E-3825-48A9-BB35-582A20076582}"/>
    <cellStyle name="Comma 5 29" xfId="6252" xr:uid="{00A47DFC-3CFA-4094-8787-9EEE6E0A2BD4}"/>
    <cellStyle name="Comma 5 29 2" xfId="6264" xr:uid="{74F5E89C-5D17-4D5B-A3FC-B0860A36E642}"/>
    <cellStyle name="Comma 5 3" xfId="2435" xr:uid="{E2C0FA8A-7DAF-4C3F-BB85-76CE8272CD98}"/>
    <cellStyle name="Comma 5 3 2" xfId="2440" xr:uid="{FD8C7A46-9774-48C2-9710-4314C7D908F1}"/>
    <cellStyle name="Comma 5 3 2 2" xfId="31835" xr:uid="{29F40352-8003-4135-B71D-B31D792286F8}"/>
    <cellStyle name="Comma 5 3 2 2 2" xfId="31836" xr:uid="{F52A05F6-DFC9-448B-B822-AD8A65E08974}"/>
    <cellStyle name="Comma 5 3 2 2 2 2" xfId="1269" xr:uid="{43F15658-DCC6-42DD-AD97-DF2B5FEC082D}"/>
    <cellStyle name="Comma 5 3 2 2 2 2 2" xfId="9300" xr:uid="{58937A56-79E7-4A95-8F20-E48B7EEB8210}"/>
    <cellStyle name="Comma 5 3 2 2 2 3" xfId="30130" xr:uid="{81C707A1-17A5-458F-85B5-4E7FD53EC066}"/>
    <cellStyle name="Comma 5 3 2 2 3" xfId="27127" xr:uid="{57658BDE-E588-4662-8426-61410AC4DE39}"/>
    <cellStyle name="Comma 5 3 2 2 3 2" xfId="27133" xr:uid="{3D80C25E-89C7-4C2F-B4FC-C242D50651D1}"/>
    <cellStyle name="Comma 5 3 2 2 3 2 2" xfId="27139" xr:uid="{3FE3E974-179F-44E6-874E-01ADEBBA7704}"/>
    <cellStyle name="Comma 5 3 2 2 3 3" xfId="4019" xr:uid="{15B62FF9-EA4E-4B55-B480-FC085E1D5A04}"/>
    <cellStyle name="Comma 5 3 2 2 4" xfId="27149" xr:uid="{131D212F-2484-4C69-B43F-4DC5B932E13E}"/>
    <cellStyle name="Comma 5 3 2 2 4 2" xfId="19527" xr:uid="{BC851C0F-2C76-43B4-BFB2-05229273D22E}"/>
    <cellStyle name="Comma 5 3 2 2 5" xfId="27158" xr:uid="{A09421EB-A460-47F9-9829-22E8F85AB021}"/>
    <cellStyle name="Comma 5 3 2 3" xfId="7837" xr:uid="{88245402-5993-4AD4-9020-E2A38863CA4A}"/>
    <cellStyle name="Comma 5 3 2 3 2" xfId="31837" xr:uid="{59B217F3-49C2-4064-B6E3-ECBFD22E9A8C}"/>
    <cellStyle name="Comma 5 3 2 3 2 2" xfId="31838" xr:uid="{8A4E531F-0141-46AE-BC02-00FCD4EA52BD}"/>
    <cellStyle name="Comma 5 3 2 3 3" xfId="27171" xr:uid="{4CF47DD0-9C68-4D7A-B799-1EEEC00CABA1}"/>
    <cellStyle name="Comma 5 3 2 4" xfId="31839" xr:uid="{DDDF1908-69C1-40FF-A387-5FD4552FF14A}"/>
    <cellStyle name="Comma 5 3 2 4 2" xfId="31840" xr:uid="{40B9F206-A91E-4817-92BF-8752E62AEDA7}"/>
    <cellStyle name="Comma 5 3 2 4 2 2" xfId="31841" xr:uid="{9331156C-E7ED-439C-B416-EF938F86C042}"/>
    <cellStyle name="Comma 5 3 2 4 3" xfId="27193" xr:uid="{8B1CE6AF-0399-4D29-A0A3-8D43A48FBE46}"/>
    <cellStyle name="Comma 5 3 2 5" xfId="31842" xr:uid="{0BB5030B-0086-4D5F-A0FB-3AFDE4A80E1A}"/>
    <cellStyle name="Comma 5 3 2 5 2" xfId="31843" xr:uid="{061B6A98-8CCF-4B4F-8661-3EDD44A2A436}"/>
    <cellStyle name="Comma 5 3 2 6" xfId="27682" xr:uid="{D903CA8D-536D-4DD3-AB71-EA177543B82D}"/>
    <cellStyle name="Comma 5 3 2 7" xfId="27686" xr:uid="{DB6604FD-2D86-4B45-BF9F-31C3F3F55600}"/>
    <cellStyle name="Comma 5 3 3" xfId="25395" xr:uid="{351F8F84-23D0-456A-BE28-34E836B8BE06}"/>
    <cellStyle name="Comma 5 3 3 2" xfId="31845" xr:uid="{F6A4ACFA-DAEB-4095-BF98-FA7B1BF87011}"/>
    <cellStyle name="Comma 5 3 3 2 2" xfId="22665" xr:uid="{3DE6D731-4911-4EB5-952E-FC328B7082BB}"/>
    <cellStyle name="Comma 5 3 3 2 2 2" xfId="5378" xr:uid="{1C640881-3731-480A-8B06-53EC78884132}"/>
    <cellStyle name="Comma 5 3 3 2 3" xfId="22672" xr:uid="{AC0BD489-11C5-414B-AA37-C50682FA328F}"/>
    <cellStyle name="Comma 5 3 3 3" xfId="31846" xr:uid="{2E005084-7A92-421D-9668-B719F8EB2E73}"/>
    <cellStyle name="Comma 5 3 3 3 2" xfId="22685" xr:uid="{98546ADB-133F-47E2-93E9-F99548B37740}"/>
    <cellStyle name="Comma 5 3 3 3 2 2" xfId="22687" xr:uid="{4FB537B9-8BC9-4613-B8ED-8355B60B3834}"/>
    <cellStyle name="Comma 5 3 3 3 3" xfId="22692" xr:uid="{77D29F64-D258-4BB5-8D27-1275C191F720}"/>
    <cellStyle name="Comma 5 3 3 4" xfId="31847" xr:uid="{B5BC4C21-A4B0-4609-99D7-731FB676B012}"/>
    <cellStyle name="Comma 5 3 3 4 2" xfId="22699" xr:uid="{CB93E086-9A0E-479B-B803-F1901C747F6C}"/>
    <cellStyle name="Comma 5 3 3 5" xfId="29029" xr:uid="{764B6F4C-6D57-4920-B7E4-AA7959ECFBBA}"/>
    <cellStyle name="Comma 5 3 4" xfId="25399" xr:uid="{A38AE66A-FEF4-43FB-B287-CEFF531EFA44}"/>
    <cellStyle name="Comma 5 3 4 2" xfId="31848" xr:uid="{F4521E0E-199B-4832-A6AA-0207FA3A7395}"/>
    <cellStyle name="Comma 5 3 4 2 2" xfId="22710" xr:uid="{1FD8259D-A990-4B2C-8A5F-8BEACFD6732C}"/>
    <cellStyle name="Comma 5 3 4 3" xfId="31849" xr:uid="{F2B68521-178F-4563-91CC-DFCDD28A3EE9}"/>
    <cellStyle name="Comma 5 3 5" xfId="25402" xr:uid="{7A8D0098-2F75-4D9F-ACC7-DF8AEC9088AA}"/>
    <cellStyle name="Comma 5 3 5 2" xfId="25406" xr:uid="{53A157EA-730E-42F7-949F-28DB74DE2BC4}"/>
    <cellStyle name="Comma 5 3 5 2 2" xfId="22729" xr:uid="{6D9A12A3-8B49-4E03-BDC0-D140182E6B42}"/>
    <cellStyle name="Comma 5 3 5 3" xfId="31850" xr:uid="{6AB597AF-9340-47C3-B1A3-CAC87F89FEFB}"/>
    <cellStyle name="Comma 5 3 6" xfId="14445" xr:uid="{D6752843-4D15-4D73-B15E-B9A2D14E2D24}"/>
    <cellStyle name="Comma 5 3 6 2" xfId="31851" xr:uid="{C3F7846A-0FB9-4B82-93F8-A8B2AE186262}"/>
    <cellStyle name="Comma 5 3 7" xfId="25404" xr:uid="{C14D6310-DBA1-4A7F-9360-975C12E93D72}"/>
    <cellStyle name="Comma 5 3 8" xfId="14303" xr:uid="{14618D62-1ED4-4761-8C8A-32F28CA7889F}"/>
    <cellStyle name="Comma 5 30" xfId="31824" xr:uid="{EFDCF67E-0E36-48B2-9C0B-0DA9874590A4}"/>
    <cellStyle name="Comma 5 30 2" xfId="31826" xr:uid="{9D8D62D4-32F6-4FA6-A8AD-EDA8C5C7F841}"/>
    <cellStyle name="Comma 5 31" xfId="31828" xr:uid="{2C6FAC5C-A7C0-4416-BAFC-9B77C065E295}"/>
    <cellStyle name="Comma 5 31 2" xfId="31830" xr:uid="{ED757F92-3BF0-46F1-A31F-FA3D038AD718}"/>
    <cellStyle name="Comma 5 32" xfId="31832" xr:uid="{01D5D221-95D0-44E6-933D-6C8C21421A79}"/>
    <cellStyle name="Comma 5 32 2" xfId="31834" xr:uid="{0D4FAAC4-F3EE-4FC5-88BA-0EE4DE3A8A62}"/>
    <cellStyle name="Comma 5 33" xfId="6237" xr:uid="{FBFD9A81-D7F7-4E36-A92F-4CEF8CD3F82B}"/>
    <cellStyle name="Comma 5 33 2" xfId="6243" xr:uid="{7F4BFCC9-6F32-4969-B7A6-2EACD36047B2}"/>
    <cellStyle name="Comma 5 34" xfId="6253" xr:uid="{597D3219-80FF-4643-A91C-07A3226823CB}"/>
    <cellStyle name="Comma 5 34 2" xfId="6265" xr:uid="{B9A2B817-766F-4F84-91E2-5696442B02CE}"/>
    <cellStyle name="Comma 5 35" xfId="6270" xr:uid="{6A8BF179-F78B-43D8-BE5F-3BAE6B887352}"/>
    <cellStyle name="Comma 5 35 2" xfId="22267" xr:uid="{EB8CA8AB-9E9F-452F-B544-630CEB3F9136}"/>
    <cellStyle name="Comma 5 36" xfId="31854" xr:uid="{66BE4DC5-93F1-48BE-885A-CCADB37AC5DD}"/>
    <cellStyle name="Comma 5 36 2" xfId="31856" xr:uid="{7DDFA3ED-B174-4CC8-BDC8-F1A39C233D20}"/>
    <cellStyle name="Comma 5 37" xfId="6720" xr:uid="{D742927F-B28D-4443-9912-05A42C2531A3}"/>
    <cellStyle name="Comma 5 37 2" xfId="17105" xr:uid="{3A7A2AA2-B828-4C96-A265-A69EA306F81E}"/>
    <cellStyle name="Comma 5 38" xfId="17111" xr:uid="{E1CC31F6-AF83-4183-862E-8138978E8866}"/>
    <cellStyle name="Comma 5 38 2" xfId="17114" xr:uid="{66BFF923-8A7C-467A-B086-A2E277C299CA}"/>
    <cellStyle name="Comma 5 39" xfId="17118" xr:uid="{7C6F7293-E82E-4E39-B8EE-79B802F8BFFA}"/>
    <cellStyle name="Comma 5 39 2" xfId="31858" xr:uid="{1A32641F-E0D7-45DF-BC18-B5F286FEB594}"/>
    <cellStyle name="Comma 5 4" xfId="2446" xr:uid="{951D08C1-4749-48DB-AED7-905162C1ABD6}"/>
    <cellStyle name="Comma 5 4 2" xfId="2451" xr:uid="{013AA99D-DC5C-4A6A-8D0A-41DB27DCC76A}"/>
    <cellStyle name="Comma 5 4 3" xfId="30664" xr:uid="{3AFF39F8-8D44-42C0-8931-6CA63CD57217}"/>
    <cellStyle name="Comma 5 40" xfId="6271" xr:uid="{F0D07C52-5C41-4066-A3C1-DA8E43BB91CD}"/>
    <cellStyle name="Comma 5 40 2" xfId="22268" xr:uid="{EE87BF55-9542-4C47-AEFC-32FCE7C3B882}"/>
    <cellStyle name="Comma 5 41" xfId="31855" xr:uid="{730035E0-B530-4291-BF6D-60D1A897B7F8}"/>
    <cellStyle name="Comma 5 41 2" xfId="31857" xr:uid="{18442E5C-0A44-4884-9BE7-A39E9947D1E6}"/>
    <cellStyle name="Comma 5 42" xfId="6721" xr:uid="{3D6D05E4-F581-42E1-B167-57EF0053A0D7}"/>
    <cellStyle name="Comma 5 42 2" xfId="17106" xr:uid="{34BF6304-CE95-4FB0-868E-CF2864259780}"/>
    <cellStyle name="Comma 5 43" xfId="17112" xr:uid="{187DC7CF-0EB1-408B-8E60-E77CA69FBF76}"/>
    <cellStyle name="Comma 5 43 2" xfId="17115" xr:uid="{5D46C995-F3DE-41D7-A371-B0CAA6A22A69}"/>
    <cellStyle name="Comma 5 44" xfId="17119" xr:uid="{48C6B04D-A82C-43CA-93FE-FE2F822376FA}"/>
    <cellStyle name="Comma 5 44 2" xfId="31859" xr:uid="{C6443C39-226F-4058-A30F-FCBCA2628C90}"/>
    <cellStyle name="Comma 5 45" xfId="17122" xr:uid="{08A3F12C-6C82-4BEE-99ED-85AE5A8144AE}"/>
    <cellStyle name="Comma 5 45 2" xfId="20481" xr:uid="{3C4889B4-8F71-4724-A826-1D889D4BCE33}"/>
    <cellStyle name="Comma 5 46" xfId="10467" xr:uid="{C2F1B8EC-230A-4584-9027-10E79A00E3DE}"/>
    <cellStyle name="Comma 5 46 2" xfId="30668" xr:uid="{5B18D917-8BE2-4900-ABC0-258AAA90FA08}"/>
    <cellStyle name="Comma 5 47" xfId="25442" xr:uid="{5DE5C74B-64C8-499E-BE9F-A3F4F192FC54}"/>
    <cellStyle name="Comma 5 47 2" xfId="16271" xr:uid="{34A26D67-DDD6-4A70-9A2B-658CC34E9CB9}"/>
    <cellStyle name="Comma 5 48" xfId="8781" xr:uid="{649E0F4B-731C-47B9-AD99-EF8F25306338}"/>
    <cellStyle name="Comma 5 48 2" xfId="8785" xr:uid="{EE7097DB-CE4E-4834-A578-82C649E665F1}"/>
    <cellStyle name="Comma 5 49" xfId="8791" xr:uid="{73F4BC61-AACC-42AE-85BD-F7D52B97CD81}"/>
    <cellStyle name="Comma 5 49 2" xfId="30875" xr:uid="{871872D1-563C-4B0A-A028-F4C1D76C97E6}"/>
    <cellStyle name="Comma 5 5" xfId="2480" xr:uid="{9DF0FF14-38DF-41E6-9436-D1C6E1162E1A}"/>
    <cellStyle name="Comma 5 5 2" xfId="2492" xr:uid="{AB61248A-5A8F-46FB-9F2B-1696B906244F}"/>
    <cellStyle name="Comma 5 5 2 2" xfId="24297" xr:uid="{27CC2555-79BD-4C68-85A1-CCF32EE08B42}"/>
    <cellStyle name="Comma 5 5 2 2 2" xfId="24299" xr:uid="{5BA3BFA8-78F3-4F5A-B98E-8FE9F3AE4B4A}"/>
    <cellStyle name="Comma 5 5 2 2 2 2" xfId="24301" xr:uid="{912918BB-6E31-4A21-B613-E95BC18230D3}"/>
    <cellStyle name="Comma 5 5 2 2 3" xfId="24306" xr:uid="{F87A461B-1991-4102-B7D4-760DDCBE7834}"/>
    <cellStyle name="Comma 5 5 2 3" xfId="24312" xr:uid="{E47DCCAB-7FF8-4355-8BEB-2ECB8FB50AA4}"/>
    <cellStyle name="Comma 5 5 2 3 2" xfId="24314" xr:uid="{FCD874B8-376C-4006-83E7-C111B96A099D}"/>
    <cellStyle name="Comma 5 5 2 3 2 2" xfId="31861" xr:uid="{D1B653E1-A65B-432F-B028-FBC5455A59C8}"/>
    <cellStyle name="Comma 5 5 2 3 3" xfId="27353" xr:uid="{96219D33-1950-44EF-A7B6-E4071ED6D238}"/>
    <cellStyle name="Comma 5 5 2 4" xfId="24318" xr:uid="{80359B79-6AD5-43D3-892A-6BFF86F0DE17}"/>
    <cellStyle name="Comma 5 5 2 4 2" xfId="30012" xr:uid="{8A537075-E5D0-4BF8-AC2D-58FCC33E84E6}"/>
    <cellStyle name="Comma 5 5 2 5" xfId="31864" xr:uid="{5054115A-0EE6-45E8-B569-224F12B1DD9E}"/>
    <cellStyle name="Comma 5 5 2 6" xfId="27706" xr:uid="{154806ED-3969-4C43-B296-95B35F6E313A}"/>
    <cellStyle name="Comma 5 5 3" xfId="24321" xr:uid="{6095433C-BED3-43CF-BD86-F1D10A81C2D9}"/>
    <cellStyle name="Comma 5 5 3 2" xfId="630" xr:uid="{B2EBF273-E0E9-4194-B90C-E4F2233B9AF6}"/>
    <cellStyle name="Comma 5 5 3 2 2" xfId="2995" xr:uid="{44329EB0-7B4A-47DC-9D1E-9F9D4BA6A752}"/>
    <cellStyle name="Comma 5 5 3 3" xfId="637" xr:uid="{B4376B53-5FEB-4438-987D-5FFE2C797C21}"/>
    <cellStyle name="Comma 5 5 4" xfId="24323" xr:uid="{A4BA8347-D3AC-4AB1-AAF4-91B381FE3868}"/>
    <cellStyle name="Comma 5 5 4 2" xfId="3033" xr:uid="{FEFEB139-AAA7-47E9-ACFF-F26C3519A5C5}"/>
    <cellStyle name="Comma 5 5 4 2 2" xfId="31865" xr:uid="{25C65BF9-9277-4192-8D5D-4101958C9B76}"/>
    <cellStyle name="Comma 5 5 4 3" xfId="31866" xr:uid="{D14CF4F2-176D-418B-AD1A-F35BB44EE890}"/>
    <cellStyle name="Comma 5 5 5" xfId="21546" xr:uid="{9C543123-2453-4ACE-9C27-973E81AE3E42}"/>
    <cellStyle name="Comma 5 5 5 2" xfId="31867" xr:uid="{C37B3DB2-B39A-41F4-817A-4A470D7A1C78}"/>
    <cellStyle name="Comma 5 5 6" xfId="31868" xr:uid="{DC855ED2-3E3A-4779-AA9D-906F5A910166}"/>
    <cellStyle name="Comma 5 5 7" xfId="31869" xr:uid="{7AA56C27-CB08-4BDA-B15D-811D5263BEED}"/>
    <cellStyle name="Comma 5 50" xfId="17123" xr:uid="{B3C43D7F-ADA1-4330-9E56-15F83F09F611}"/>
    <cellStyle name="Comma 5 50 2" xfId="20482" xr:uid="{DA449542-AE9B-42C3-BAA5-5436AF9ED490}"/>
    <cellStyle name="Comma 5 51" xfId="10468" xr:uid="{0CC8CFF4-4550-4D6E-9688-0044724D90EE}"/>
    <cellStyle name="Comma 5 51 2" xfId="30669" xr:uid="{AE90D526-113D-40B7-8971-E0BA02B72427}"/>
    <cellStyle name="Comma 5 52" xfId="25443" xr:uid="{26472EF1-3D48-4294-90F9-005275CB7C4D}"/>
    <cellStyle name="Comma 5 52 2" xfId="16272" xr:uid="{7F019F04-FF2D-4344-8FF0-B455A3C28587}"/>
    <cellStyle name="Comma 5 53" xfId="8782" xr:uid="{8553EBDF-FA9F-455A-A7D1-5FFDD64076F9}"/>
    <cellStyle name="Comma 5 53 2" xfId="8786" xr:uid="{21BD0007-DCC6-4999-83FA-6B0BF44A463B}"/>
    <cellStyle name="Comma 5 54" xfId="8792" xr:uid="{CDA712F9-6D84-4F99-8718-1C4555367645}"/>
    <cellStyle name="Comma 5 54 2" xfId="30876" xr:uid="{9B5C9BC0-60E9-4FB6-B48F-6DDFF52A3D45}"/>
    <cellStyle name="Comma 5 55" xfId="30888" xr:uid="{97EC9A91-DE59-49D1-AC19-2708065A8A18}"/>
    <cellStyle name="Comma 5 55 2" xfId="30890" xr:uid="{6C3B6D95-31F2-43A1-AD70-381400412442}"/>
    <cellStyle name="Comma 5 56" xfId="30899" xr:uid="{720004B1-DA8F-40B9-82AE-64FDDC90E6BA}"/>
    <cellStyle name="Comma 5 56 2" xfId="30902" xr:uid="{6553FF7E-D1F3-48F3-B7F9-BEC820DB2FDE}"/>
    <cellStyle name="Comma 5 57" xfId="30905" xr:uid="{BA4A0624-497C-4209-82D9-6958A9D91E9B}"/>
    <cellStyle name="Comma 5 57 2" xfId="31870" xr:uid="{76DB09E4-B14D-411F-A7FF-7165D3FC4E3C}"/>
    <cellStyle name="Comma 5 58" xfId="30908" xr:uid="{0EE1120D-0DC1-4B39-B9A5-FB6D4DC67EA0}"/>
    <cellStyle name="Comma 5 58 2" xfId="31872" xr:uid="{7AE15F43-ACE6-431C-A1D8-87954728BDF7}"/>
    <cellStyle name="Comma 5 59" xfId="31874" xr:uid="{B5FF8C15-6883-4293-8B7F-AAF311D1FF2D}"/>
    <cellStyle name="Comma 5 59 2" xfId="31876" xr:uid="{093C0392-EF34-4262-96AF-3F552D757C28}"/>
    <cellStyle name="Comma 5 6" xfId="2499" xr:uid="{B1E840AD-EF61-4A13-8C51-2293811AA24D}"/>
    <cellStyle name="Comma 5 6 2" xfId="2508" xr:uid="{EF497345-9676-49DE-9C0F-C70A69543703}"/>
    <cellStyle name="Comma 5 6 2 2" xfId="24325" xr:uid="{E03C5D31-CE7D-4771-B9BC-62D90E48385E}"/>
    <cellStyle name="Comma 5 6 2 2 2" xfId="24327" xr:uid="{775C3FA4-A742-48F7-81B3-5A37613ACB72}"/>
    <cellStyle name="Comma 5 6 2 3" xfId="24331" xr:uid="{8C799CE5-AF7F-4FD5-9054-5FF66122BE66}"/>
    <cellStyle name="Comma 5 6 2 4" xfId="31878" xr:uid="{4CFEB62B-19BD-437A-86D9-81AEAAB88393}"/>
    <cellStyle name="Comma 5 6 3" xfId="24333" xr:uid="{83C80D0A-F475-40F8-879F-D2D5BDF844E6}"/>
    <cellStyle name="Comma 5 6 3 2" xfId="3148" xr:uid="{0E402324-9EA6-48B0-87D2-478E1878FB2D}"/>
    <cellStyle name="Comma 5 6 3 2 2" xfId="28116" xr:uid="{42B14CD9-F21A-4CA3-80AA-954452C91396}"/>
    <cellStyle name="Comma 5 6 3 3" xfId="31879" xr:uid="{24772F3B-C0B1-4B69-ABD3-1ADDFAB679C7}"/>
    <cellStyle name="Comma 5 6 4" xfId="24335" xr:uid="{3AF43466-CE5C-4819-B3DE-3C371A7B5097}"/>
    <cellStyle name="Comma 5 6 4 2" xfId="31880" xr:uid="{9C5CF1B9-7C0D-4966-A029-CBF566B49692}"/>
    <cellStyle name="Comma 5 6 5" xfId="31881" xr:uid="{0CE6B9AD-4974-4361-B687-8EBDA6A1454D}"/>
    <cellStyle name="Comma 5 6 6" xfId="31882" xr:uid="{2584A4C2-955B-4F53-AC38-C9C3A8886A91}"/>
    <cellStyle name="Comma 5 60" xfId="30889" xr:uid="{8AADBDD9-0EBE-4BDB-9B85-171DC55773B0}"/>
    <cellStyle name="Comma 5 60 2" xfId="30891" xr:uid="{80F16661-5FD7-404D-BF48-8E6DB9315113}"/>
    <cellStyle name="Comma 5 61" xfId="30900" xr:uid="{6E9CCAFA-D1CB-4590-9DD8-D1A48230DD51}"/>
    <cellStyle name="Comma 5 61 2" xfId="30903" xr:uid="{7CFB30E8-B5C2-4675-9794-4D25D5DD6B8C}"/>
    <cellStyle name="Comma 5 62" xfId="30906" xr:uid="{7BA4DE04-FEC8-43CD-90C7-1029FD0836C9}"/>
    <cellStyle name="Comma 5 62 2" xfId="31871" xr:uid="{28B66698-D317-413C-85A0-15EDFF286423}"/>
    <cellStyle name="Comma 5 63" xfId="30909" xr:uid="{8F27FDD8-1F69-4721-8A45-A29616ED5316}"/>
    <cellStyle name="Comma 5 63 2" xfId="31873" xr:uid="{AE64A6CA-2E0C-4507-A16D-3C931EBFCC92}"/>
    <cellStyle name="Comma 5 64" xfId="31875" xr:uid="{C0899757-A99B-41C3-8524-87ADA69E0459}"/>
    <cellStyle name="Comma 5 64 2" xfId="31877" xr:uid="{22DCF1CC-D965-4C74-97D5-7D1D3C3FA286}"/>
    <cellStyle name="Comma 5 65" xfId="31883" xr:uid="{39D270CE-ACD3-4BF1-8FEE-9C8CB1440C99}"/>
    <cellStyle name="Comma 5 65 2" xfId="31885" xr:uid="{C18A64F6-A61F-4753-A620-F1160F22DB6E}"/>
    <cellStyle name="Comma 5 66" xfId="31890" xr:uid="{056571B8-68C7-4504-92A6-141D9A5D0486}"/>
    <cellStyle name="Comma 5 66 2" xfId="31894" xr:uid="{0C08E01F-D4D2-4896-A02E-2E4205B2D122}"/>
    <cellStyle name="Comma 5 67" xfId="31898" xr:uid="{7FB8A5F9-2A52-4552-A0BB-F222E1B59EF6}"/>
    <cellStyle name="Comma 5 67 2" xfId="31900" xr:uid="{1FD54D85-286D-4818-8109-654846BFFECC}"/>
    <cellStyle name="Comma 5 68" xfId="31902" xr:uid="{B2B17A3E-053B-4A10-A834-FBD9C915D0EF}"/>
    <cellStyle name="Comma 5 69" xfId="31904" xr:uid="{C461D6BB-E245-4357-B4E0-D1A5D9436747}"/>
    <cellStyle name="Comma 5 69 2" xfId="31906" xr:uid="{FD911ACC-A833-4C80-B152-ECDC4E933016}"/>
    <cellStyle name="Comma 5 69 3" xfId="30947" xr:uid="{527F5EE9-70B9-4224-9C07-9F361A491F68}"/>
    <cellStyle name="Comma 5 69 3 2" xfId="31907" xr:uid="{6230D58D-EAD2-49C2-9A98-15BD2560D35E}"/>
    <cellStyle name="Comma 5 69 3 2 2" xfId="26848" xr:uid="{0E433B6C-D9AF-4984-87AC-E926673E23CB}"/>
    <cellStyle name="Comma 5 69 3 3" xfId="14372" xr:uid="{8EE15B9C-8DBC-4876-8F4D-C51CD3D2C5FF}"/>
    <cellStyle name="Comma 5 7" xfId="2520" xr:uid="{35787464-2CF6-4BE3-BAE8-B3221BD166BC}"/>
    <cellStyle name="Comma 5 7 2" xfId="2527" xr:uid="{DA68F665-5573-4C56-9FBD-1C633326AD88}"/>
    <cellStyle name="Comma 5 7 2 2" xfId="24337" xr:uid="{F974C96C-2E0A-4607-9967-27D233E7511E}"/>
    <cellStyle name="Comma 5 7 2 3" xfId="31908" xr:uid="{499D12A3-50DC-4315-8779-A3BE32B5A3C9}"/>
    <cellStyle name="Comma 5 7 3" xfId="24339" xr:uid="{9D4E812F-D1D7-49B5-83BC-2B16F2BDB0BD}"/>
    <cellStyle name="Comma 5 7 4" xfId="31909" xr:uid="{03142FE4-9B4E-47F4-88D5-5ED88A1D9CE6}"/>
    <cellStyle name="Comma 5 70" xfId="31884" xr:uid="{CBC10E5B-F12F-4503-9237-03854B1021E2}"/>
    <cellStyle name="Comma 5 70 2" xfId="31886" xr:uid="{2301A7AE-C9FD-446D-A50C-769DBE09C409}"/>
    <cellStyle name="Comma 5 71" xfId="31891" xr:uid="{E568AD1A-7F94-43DE-B6DC-FC9041D3DA1A}"/>
    <cellStyle name="Comma 5 71 2" xfId="31895" xr:uid="{6FD13FA0-4CFA-400E-B7E8-A37F43EFF09E}"/>
    <cellStyle name="Comma 5 72" xfId="31899" xr:uid="{F333E718-6C5D-414C-8A71-73498C57E33C}"/>
    <cellStyle name="Comma 5 72 2" xfId="31901" xr:uid="{9D2B17DD-52EC-4B49-AF07-3916A46E35D7}"/>
    <cellStyle name="Comma 5 73" xfId="31903" xr:uid="{F0E53609-2EB9-4652-A872-FEF10A57E312}"/>
    <cellStyle name="Comma 5 74" xfId="31905" xr:uid="{7508C1B7-43F1-481A-893A-A7C788532778}"/>
    <cellStyle name="Comma 5 75" xfId="31910" xr:uid="{9C585B02-3AAD-4452-84A1-8ECB850CDDE5}"/>
    <cellStyle name="Comma 5 76" xfId="3028" xr:uid="{222F7054-ECD8-4E82-BCC1-242B56E112C9}"/>
    <cellStyle name="Comma 5 77" xfId="54149" xr:uid="{F90A7334-E69C-4892-A78A-7984C02EF92B}"/>
    <cellStyle name="Comma 5 78" xfId="54159" xr:uid="{E8180BBC-8749-4DA8-8B85-2365D8AA5648}"/>
    <cellStyle name="Comma 5 79" xfId="54199" xr:uid="{0A12A225-7253-4E91-84D3-AF97C06CEF61}"/>
    <cellStyle name="Comma 5 79 2" xfId="54219" xr:uid="{C95C7B41-16AF-420F-A96E-523EAAF31EB1}"/>
    <cellStyle name="Comma 5 8" xfId="2534" xr:uid="{18587D86-AC88-436C-AC4C-1D6EDFE49626}"/>
    <cellStyle name="Comma 5 8 2" xfId="2543" xr:uid="{61FBEB04-8BFD-4F82-AB7D-CFA19C0D8113}"/>
    <cellStyle name="Comma 5 8 2 2" xfId="31911" xr:uid="{A33F1950-76B8-47DC-9472-FD6594624423}"/>
    <cellStyle name="Comma 5 8 2 3" xfId="31912" xr:uid="{61D065B3-01CF-467C-AC86-F1702A4BEC6D}"/>
    <cellStyle name="Comma 5 8 3" xfId="25432" xr:uid="{4E89B508-FE30-480F-A67D-B16BA73909A5}"/>
    <cellStyle name="Comma 5 8 4" xfId="25435" xr:uid="{C2DE7DD5-0C05-433B-A49C-D18238FDAF12}"/>
    <cellStyle name="Comma 5 80" xfId="31786" xr:uid="{9F95F05F-6EBB-4796-B2C4-1D54153FE5CC}"/>
    <cellStyle name="Comma 5 9" xfId="2550" xr:uid="{6B10D0DE-DB35-4698-A422-D5B7281B69CB}"/>
    <cellStyle name="Comma 5 9 2" xfId="2558" xr:uid="{437F7020-46BB-40D8-9803-D2B3D58B386C}"/>
    <cellStyle name="Comma 5 9 2 2" xfId="31915" xr:uid="{5DBE0062-2114-4694-9626-13A1514C5FC1}"/>
    <cellStyle name="Comma 5 9 3" xfId="31916" xr:uid="{E4C9E4B6-9E0B-4FDC-B696-C7B23536D09F}"/>
    <cellStyle name="Comma 50" xfId="2184" xr:uid="{36DE0852-4883-4B6A-8CD1-4D6589504DDD}"/>
    <cellStyle name="Comma 50 2" xfId="30349" xr:uid="{53AEAA33-71DB-4B04-B86E-75555D6E2DF6}"/>
    <cellStyle name="Comma 50 2 2" xfId="15140" xr:uid="{ACA49B0A-8B15-425B-9C17-EE4F1AFA0071}"/>
    <cellStyle name="Comma 50 3" xfId="30627" xr:uid="{676210AC-02C5-48D2-AC78-44779B02EDB9}"/>
    <cellStyle name="Comma 50 3 2" xfId="15164" xr:uid="{848EA317-10E5-4AAC-861B-3C39EF9AF51E}"/>
    <cellStyle name="Comma 50 4" xfId="30729" xr:uid="{76A5F2A9-49A5-4DB8-9939-57B32C5163EF}"/>
    <cellStyle name="Comma 50 5" xfId="30761" xr:uid="{3FCA9094-375F-4CB7-8372-A08E155EDF90}"/>
    <cellStyle name="Comma 500" xfId="24381" xr:uid="{C4278CA7-CB70-4BA7-AC3A-6ED2A7BB921F}"/>
    <cellStyle name="Comma 501" xfId="24391" xr:uid="{1AB3DD71-084C-4E75-8E36-1395A3A53DD9}"/>
    <cellStyle name="Comma 501 2" xfId="28882" xr:uid="{463C83A6-E8B3-4669-8DDD-B93242FCB1D1}"/>
    <cellStyle name="Comma 502" xfId="28886" xr:uid="{02723512-5A65-4646-A598-CB75F211D338}"/>
    <cellStyle name="Comma 503" xfId="28890" xr:uid="{DC5FADDB-A408-4DAD-BFEC-AD4C0D6D9469}"/>
    <cellStyle name="Comma 504" xfId="9680" xr:uid="{C7BFE5E9-0312-46C1-B2BF-347CD8335ECD}"/>
    <cellStyle name="Comma 505" xfId="9694" xr:uid="{A1614D98-1DAE-4714-99C1-530420E796ED}"/>
    <cellStyle name="Comma 506" xfId="9703" xr:uid="{742195BF-2648-4929-A1F4-9C82E95AED6D}"/>
    <cellStyle name="Comma 507" xfId="30809" xr:uid="{C53FF8E0-2435-4BA8-A14C-4C86B4CC0577}"/>
    <cellStyle name="Comma 508" xfId="30815" xr:uid="{56E37E69-1E32-482F-B859-19B3EB16EF39}"/>
    <cellStyle name="Comma 509" xfId="30821" xr:uid="{28C9238F-B06A-41DA-B4ED-55ED5A0F427D}"/>
    <cellStyle name="Comma 51" xfId="2188" xr:uid="{53E4AE30-5899-4798-B82E-DCB39D2E410D}"/>
    <cellStyle name="Comma 51 2" xfId="30826" xr:uid="{E68BB300-35B3-4C91-85F9-EDC0A2FDFECE}"/>
    <cellStyle name="Comma 51 2 2" xfId="15224" xr:uid="{4535333B-E4EC-4BED-A874-EC749140951B}"/>
    <cellStyle name="Comma 51 3" xfId="30828" xr:uid="{7E99FD08-35EB-4D31-B93C-71D464EF804C}"/>
    <cellStyle name="Comma 51 3 2" xfId="30509" xr:uid="{A189CED2-8F07-489E-9513-EFEF9E85F79F}"/>
    <cellStyle name="Comma 51 4" xfId="30830" xr:uid="{704D2490-3C18-4875-AA98-88320098E1EA}"/>
    <cellStyle name="Comma 51 5" xfId="30833" xr:uid="{2230FE45-8639-485C-B2FD-42FA47801CC6}"/>
    <cellStyle name="Comma 510" xfId="9695" xr:uid="{F0B365B0-B761-49DD-9441-0970C1E6EAAF}"/>
    <cellStyle name="Comma 511" xfId="9704" xr:uid="{2AE59A88-B569-4BBF-B7EE-FA8FAEA66DDD}"/>
    <cellStyle name="Comma 512" xfId="30810" xr:uid="{2ED5E705-DB33-4814-A8DB-DE6F7E04BFAD}"/>
    <cellStyle name="Comma 513" xfId="30816" xr:uid="{A4637435-2FEB-466A-BA22-1A1C852A4A2A}"/>
    <cellStyle name="Comma 514" xfId="30822" xr:uid="{E6C59C91-63F3-49B3-9FA0-7A48EBE25278}"/>
    <cellStyle name="Comma 515" xfId="30836" xr:uid="{3EDDA408-C37B-4156-B8DE-401E1EC24972}"/>
    <cellStyle name="Comma 516" xfId="30842" xr:uid="{87D40DFD-B754-4E8C-9BEC-FA0A8372C066}"/>
    <cellStyle name="Comma 517" xfId="30846" xr:uid="{8FF7B079-747A-420F-B41A-C2BEA20693CB}"/>
    <cellStyle name="Comma 518" xfId="6128" xr:uid="{74AF89EC-069A-4C0F-9730-D9A2C1CA3546}"/>
    <cellStyle name="Comma 519" xfId="6659" xr:uid="{DD2B65F2-F0E2-4179-96A2-B582BC02F769}"/>
    <cellStyle name="Comma 52" xfId="30851" xr:uid="{2254875B-D559-4A3B-87BA-429AAD15C5BF}"/>
    <cellStyle name="Comma 52 2" xfId="30856" xr:uid="{20AE2BE6-4AFD-4494-8A03-BEED8E72E6FA}"/>
    <cellStyle name="Comma 52 2 2" xfId="30860" xr:uid="{FF458A49-A765-4FC8-85B1-5663773EABF4}"/>
    <cellStyle name="Comma 52 3" xfId="31099" xr:uid="{C29A28D3-3577-447C-B4B0-B0710386E2B1}"/>
    <cellStyle name="Comma 52 3 2" xfId="31102" xr:uid="{EC4C11BA-052F-40F7-B0CD-AAFCEC7ED019}"/>
    <cellStyle name="Comma 52 4" xfId="31203" xr:uid="{2553D014-45D3-4E26-B23C-5592F0FE6FCF}"/>
    <cellStyle name="Comma 52 5" xfId="31272" xr:uid="{0ED76F92-20C3-41F3-A6FF-1DEB3F351DA1}"/>
    <cellStyle name="Comma 520" xfId="30837" xr:uid="{A8BE112B-D700-4980-A9F4-54A06FC550AD}"/>
    <cellStyle name="Comma 521" xfId="30843" xr:uid="{00B85D67-1D2F-489F-8711-A11391C8FD58}"/>
    <cellStyle name="Comma 522" xfId="30847" xr:uid="{57F89216-F6BB-4764-93FA-746799200E2F}"/>
    <cellStyle name="Comma 523" xfId="6129" xr:uid="{133AD16D-4643-4FFC-B991-743A12DD9E84}"/>
    <cellStyle name="Comma 524" xfId="6660" xr:uid="{78AC36E0-12CF-4AC2-B2FB-C414C1F27C01}"/>
    <cellStyle name="Comma 525" xfId="31345" xr:uid="{5D568373-B384-409D-B68A-E3C74940DA3B}"/>
    <cellStyle name="Comma 526" xfId="31349" xr:uid="{5F210E38-85CB-4F96-9999-A7E08D3A526F}"/>
    <cellStyle name="Comma 527" xfId="7308" xr:uid="{30E27C6E-E25A-443F-8B9F-AA8A539E851E}"/>
    <cellStyle name="Comma 528" xfId="16816" xr:uid="{01A534B0-2AB5-4343-AC1D-692F7A0266DC}"/>
    <cellStyle name="Comma 529" xfId="16656" xr:uid="{A9C76E59-6439-4640-B16F-2D0AB2B1000A}"/>
    <cellStyle name="Comma 53" xfId="31352" xr:uid="{A36ABD79-F361-4EFC-AEA4-A35FD1E98682}"/>
    <cellStyle name="Comma 53 2" xfId="31357" xr:uid="{53FA73BA-57E2-44D2-B8FE-F34BA0100A29}"/>
    <cellStyle name="Comma 53 2 2" xfId="31361" xr:uid="{FDC3AD3D-D611-4E07-A348-755E94CC3DDA}"/>
    <cellStyle name="Comma 53 2 2 2" xfId="31365" xr:uid="{438BEC55-066E-4DA7-8B73-B44D30E409A5}"/>
    <cellStyle name="Comma 53 2 2 2 2" xfId="12382" xr:uid="{8A92B95F-9476-4B1B-82F1-B5EF1E64F594}"/>
    <cellStyle name="Comma 53 2 2 2 2 2" xfId="12385" xr:uid="{071C1EB8-E8E7-4B07-B734-81526504DF55}"/>
    <cellStyle name="Comma 53 2 2 2 3" xfId="3445" xr:uid="{031FF07A-E1DB-44B9-958D-202520EEAE1E}"/>
    <cellStyle name="Comma 53 2 2 3" xfId="30897" xr:uid="{412A5740-3593-4A3D-B18B-6DF721B4DFDF}"/>
    <cellStyle name="Comma 53 2 2 3 2" xfId="12437" xr:uid="{0F67A8DD-8A28-4141-A846-C658DBAA31BD}"/>
    <cellStyle name="Comma 53 2 2 4" xfId="31413" xr:uid="{F06ADA07-5C18-400C-89E9-10EF671BDB86}"/>
    <cellStyle name="Comma 53 2 2 5" xfId="31427" xr:uid="{DD661A53-B407-4207-9332-79C8AD0D2A53}"/>
    <cellStyle name="Comma 53 2 3" xfId="31445" xr:uid="{D47C5673-485D-4937-8B63-22F7C15BA574}"/>
    <cellStyle name="Comma 53 2 3 2" xfId="31449" xr:uid="{26797916-4A4E-41F2-A1BB-046FF95A3F0D}"/>
    <cellStyle name="Comma 53 2 3 2 2" xfId="12659" xr:uid="{AD54060C-D501-4EEE-832A-0ED617E33EBE}"/>
    <cellStyle name="Comma 53 2 3 3" xfId="31464" xr:uid="{1877E468-091C-4DBB-9A50-C1AEF5C0293C}"/>
    <cellStyle name="Comma 53 2 4" xfId="31492" xr:uid="{EEA17A23-1419-4B02-87B1-74F637C40731}"/>
    <cellStyle name="Comma 53 2 4 2" xfId="31498" xr:uid="{94D90FE2-E7BF-4F4D-B2D0-FF38555C5CC0}"/>
    <cellStyle name="Comma 53 2 5" xfId="31539" xr:uid="{C632509A-D3CC-4DE5-9990-C910C60A6956}"/>
    <cellStyle name="Comma 53 2 6" xfId="4352" xr:uid="{C814A5B5-2CD2-41A5-A6F7-3F82845879E4}"/>
    <cellStyle name="Comma 53 3" xfId="31568" xr:uid="{11EEB30F-8299-4D99-91BD-0A62EE8EEB12}"/>
    <cellStyle name="Comma 53 3 2" xfId="31570" xr:uid="{EC7C2980-9D77-410D-9740-E0C2377290D5}"/>
    <cellStyle name="Comma 53 3 2 2" xfId="31572" xr:uid="{4EADACD1-84EE-46E4-AAB7-62978DA3C877}"/>
    <cellStyle name="Comma 53 3 2 2 2" xfId="13154" xr:uid="{E5FEFE59-AFA2-4D5C-952D-8D597E0CA530}"/>
    <cellStyle name="Comma 53 3 2 3" xfId="31598" xr:uid="{7E55BB74-503D-4323-ACBE-5FA5BFD0DE4C}"/>
    <cellStyle name="Comma 53 3 3" xfId="31629" xr:uid="{F9719635-758D-44EC-89F3-E0D7E0973814}"/>
    <cellStyle name="Comma 53 3 3 2" xfId="30624" xr:uid="{DD777E8C-4B4B-40A2-BE65-EFE4EA81CDF6}"/>
    <cellStyle name="Comma 53 3 4" xfId="31657" xr:uid="{DCB6E8A4-BDA9-465B-9BD4-D5385AEA1AAF}"/>
    <cellStyle name="Comma 53 3 5" xfId="31670" xr:uid="{A68697EB-3830-4408-BFCF-3421D767F168}"/>
    <cellStyle name="Comma 53 4" xfId="31682" xr:uid="{051D0C63-676B-4DA7-91EC-36E5B2A7789D}"/>
    <cellStyle name="Comma 53 4 2" xfId="31684" xr:uid="{386929F9-7C77-40B8-AD8F-47A49CE604A5}"/>
    <cellStyle name="Comma 53 4 2 2" xfId="31686" xr:uid="{D0C021EA-61EC-46DB-B5CF-39C05846D0B5}"/>
    <cellStyle name="Comma 53 4 3" xfId="21848" xr:uid="{1354781A-1432-4E6E-B7A4-30C2F90548B4}"/>
    <cellStyle name="Comma 53 5" xfId="31742" xr:uid="{ED9FDA76-F085-4BAC-B57A-CB0F1AD0BB3D}"/>
    <cellStyle name="Comma 53 5 2" xfId="31744" xr:uid="{DDEEB092-985F-4853-956F-7743249994BB}"/>
    <cellStyle name="Comma 53 6" xfId="7129" xr:uid="{96A586C4-A436-4FFD-87F5-36B36ACC1047}"/>
    <cellStyle name="Comma 53 7" xfId="7141" xr:uid="{6F778360-A009-4372-9AB6-56AEAF83F0B9}"/>
    <cellStyle name="Comma 53 8" xfId="7149" xr:uid="{A7556100-4126-4D81-9730-0EF3A1053602}"/>
    <cellStyle name="Comma 530" xfId="31346" xr:uid="{AF1163E5-7139-4C2E-824A-C9C872AC29FA}"/>
    <cellStyle name="Comma 531" xfId="31350" xr:uid="{73C24945-B6FC-4893-A330-568FD3531F66}"/>
    <cellStyle name="Comma 532" xfId="7309" xr:uid="{6D43A64D-E51B-47DB-A340-136989BCCB47}"/>
    <cellStyle name="Comma 533" xfId="16817" xr:uid="{6F1D3269-396E-4F5E-BC9D-0F31EA699D0F}"/>
    <cellStyle name="Comma 534" xfId="16657" xr:uid="{7DE9DBFA-17D2-40C3-82DB-67FB71EC6CBE}"/>
    <cellStyle name="Comma 535" xfId="16682" xr:uid="{4D801A94-88BE-4688-A815-7D253E82C7D5}"/>
    <cellStyle name="Comma 536" xfId="16702" xr:uid="{9257687A-5861-4397-8D1C-60024D6A8757}"/>
    <cellStyle name="Comma 537" xfId="1857" xr:uid="{77138206-9771-41E8-B604-BA06240F673F}"/>
    <cellStyle name="Comma 538" xfId="4603" xr:uid="{49558642-53DB-4D23-8B7D-8EEF62D5D80C}"/>
    <cellStyle name="Comma 539" xfId="13270" xr:uid="{12628E14-7B70-4B1E-A6E1-C455FBD2465C}"/>
    <cellStyle name="Comma 54" xfId="10664" xr:uid="{0AD4D96B-3079-4813-8900-EC7805854F23}"/>
    <cellStyle name="Comma 54 2" xfId="10667" xr:uid="{0662A4AC-CCFD-40F3-921D-BEBB245160DF}"/>
    <cellStyle name="Comma 54 2 2" xfId="10670" xr:uid="{B7AB6BDD-598C-4E9A-9598-9375E729DDF9}"/>
    <cellStyle name="Comma 54 3" xfId="10679" xr:uid="{7707D5E7-8BC1-46A2-BF5C-EE82DFF4A1DA}"/>
    <cellStyle name="Comma 54 4" xfId="10686" xr:uid="{2D9E953D-B190-4732-9DFB-4EE8756F3DDE}"/>
    <cellStyle name="Comma 540" xfId="16683" xr:uid="{5C379771-6749-43BA-98FE-DCF9E8739E7D}"/>
    <cellStyle name="Comma 541" xfId="16703" xr:uid="{CBFEB928-F262-4E20-8ADF-49D889AA37E9}"/>
    <cellStyle name="Comma 542" xfId="1858" xr:uid="{50E1B128-BF34-4A29-94AF-483A5BB32E37}"/>
    <cellStyle name="Comma 543" xfId="4604" xr:uid="{76B341A7-E334-427F-A97C-2E79BED46930}"/>
    <cellStyle name="Comma 544" xfId="13271" xr:uid="{8B9D826F-B2D1-4E96-858D-CBF348E9AA62}"/>
    <cellStyle name="Comma 545" xfId="24395" xr:uid="{B2527E3A-BD3F-464E-BBDD-83EF76365FA6}"/>
    <cellStyle name="Comma 546" xfId="31775" xr:uid="{2562C611-F039-48DB-A17A-432F738E79CD}"/>
    <cellStyle name="Comma 547" xfId="31779" xr:uid="{A4520F9F-04D7-4501-8F05-FA7C1327A107}"/>
    <cellStyle name="Comma 548" xfId="31783" xr:uid="{33F8DE56-8A29-49E7-9016-A8B48EBB9161}"/>
    <cellStyle name="Comma 549" xfId="9710" xr:uid="{64786937-5D20-47AA-80C3-D151B658F105}"/>
    <cellStyle name="Comma 55" xfId="10689" xr:uid="{6FAC3EAB-ABC6-49FF-9A17-9924008737B4}"/>
    <cellStyle name="Comma 55 2" xfId="10692" xr:uid="{5CBB1185-A913-4737-AF3F-4A2A4B3657F9}"/>
    <cellStyle name="Comma 55 2 2" xfId="10695" xr:uid="{612FC071-CAD2-4130-AE31-361C764F0E7B}"/>
    <cellStyle name="Comma 55 2 2 2" xfId="31376" xr:uid="{32DE822F-D749-4816-BC59-648D48468374}"/>
    <cellStyle name="Comma 55 2 2 2 2" xfId="31917" xr:uid="{039D821B-A854-48C9-A322-19EAE549A790}"/>
    <cellStyle name="Comma 55 2 2 3" xfId="27529" xr:uid="{5BAE5369-E7A8-4DD5-A5BB-CC4B026D60E9}"/>
    <cellStyle name="Comma 55 2 2 4" xfId="13081" xr:uid="{118F8D52-72E9-49D2-8C91-5FF2694EA069}"/>
    <cellStyle name="Comma 55 2 3" xfId="31918" xr:uid="{BC521DEF-A566-4194-83FA-96F8A6392A66}"/>
    <cellStyle name="Comma 55 2 3 2" xfId="14068" xr:uid="{21736BEB-9269-4896-AE64-66CB18F33DC6}"/>
    <cellStyle name="Comma 55 2 4" xfId="31919" xr:uid="{9A212014-DF1A-4D6E-9BD1-3AEA27BAAB49}"/>
    <cellStyle name="Comma 55 2 5" xfId="25824" xr:uid="{25862354-3ED3-460F-BAB2-0620B5117E9E}"/>
    <cellStyle name="Comma 55 3" xfId="10699" xr:uid="{46030179-B08F-487D-9CD5-BE4FF8672DEC}"/>
    <cellStyle name="Comma 55 3 2" xfId="20181" xr:uid="{2E6128FC-A32C-4CF3-9343-848ADDD2550B}"/>
    <cellStyle name="Comma 55 3 2 2" xfId="20185" xr:uid="{EBD85B8F-C40C-4C03-B905-A14997208566}"/>
    <cellStyle name="Comma 55 3 3" xfId="20187" xr:uid="{746195FA-D566-4FCB-93E7-2580B8ED9BBA}"/>
    <cellStyle name="Comma 55 3 4" xfId="25637" xr:uid="{8795146C-E59D-4FF8-828E-BB83E0B4A5FC}"/>
    <cellStyle name="Comma 55 4" xfId="20191" xr:uid="{8BEFCD7C-CBBA-4EAB-B34B-A0E2370DB9E3}"/>
    <cellStyle name="Comma 55 4 2" xfId="20194" xr:uid="{67E50696-7141-4BEB-92CA-E7C67C1A2329}"/>
    <cellStyle name="Comma 55 5" xfId="20198" xr:uid="{4BBB35CE-1599-4AC1-970A-61206B2B51F1}"/>
    <cellStyle name="Comma 55 6" xfId="8248" xr:uid="{250C8834-ACF8-4543-A8D8-79701CB97B0E}"/>
    <cellStyle name="Comma 55 7" xfId="8253" xr:uid="{181DCCE6-AC2B-4F5D-B3A6-FDB2A689DC20}"/>
    <cellStyle name="Comma 550" xfId="24396" xr:uid="{359049C4-ABF6-42DC-B73A-AD2E49EC2826}"/>
    <cellStyle name="Comma 551" xfId="31776" xr:uid="{B2AB4138-7390-411A-AD5E-C519C1D91288}"/>
    <cellStyle name="Comma 552" xfId="31780" xr:uid="{B21014ED-04A9-4891-A1E5-A595103A4C91}"/>
    <cellStyle name="Comma 553" xfId="31784" xr:uid="{C247A8E1-FC49-451A-BDAC-E6413337D1C5}"/>
    <cellStyle name="Comma 554" xfId="9711" xr:uid="{0D8262B8-632F-4531-ABB3-A91B6CA2D536}"/>
    <cellStyle name="Comma 555" xfId="9718" xr:uid="{512AE6D9-D7A7-4996-8E9A-BF355270FED9}"/>
    <cellStyle name="Comma 556" xfId="29099" xr:uid="{874215AD-2A27-41C9-A9CF-8FC0F505C1C3}"/>
    <cellStyle name="Comma 557" xfId="31920" xr:uid="{65705D9B-E760-4DDD-8D48-A90669FFCE5D}"/>
    <cellStyle name="Comma 558" xfId="31924" xr:uid="{45411928-AACE-4753-AE00-EFBC44F58D9F}"/>
    <cellStyle name="Comma 559" xfId="31928" xr:uid="{9CA22153-675D-4715-B0A6-C4225480F211}"/>
    <cellStyle name="Comma 56" xfId="10702" xr:uid="{9F7E5785-23E0-41EC-B10B-F169FA37BFE0}"/>
    <cellStyle name="Comma 56 2" xfId="10705" xr:uid="{60F4F657-8A14-4200-9A52-90078DFBB398}"/>
    <cellStyle name="Comma 56 2 2" xfId="22398" xr:uid="{1C9D0968-9A72-4663-8E95-24ED4852028B}"/>
    <cellStyle name="Comma 56 3" xfId="20201" xr:uid="{34CE0742-BDC0-4D95-B5E2-626ECA434DBB}"/>
    <cellStyle name="Comma 56 4" xfId="20206" xr:uid="{7EB757A9-0274-45ED-BD76-14B4DF80863F}"/>
    <cellStyle name="Comma 560" xfId="9719" xr:uid="{719FC0C2-1964-4414-B115-8BBE10570807}"/>
    <cellStyle name="Comma 561" xfId="29100" xr:uid="{85BB4462-5750-453E-B522-54A1AD1D0638}"/>
    <cellStyle name="Comma 562" xfId="31921" xr:uid="{2B313458-364E-4ADD-877B-5DCAF25955E8}"/>
    <cellStyle name="Comma 563" xfId="31925" xr:uid="{BCACDCEF-15B7-4726-B270-3D24F1F52626}"/>
    <cellStyle name="Comma 564" xfId="31929" xr:uid="{2B0B9FD3-5232-4EF8-A0E0-6FFD04673B70}"/>
    <cellStyle name="Comma 565" xfId="31932" xr:uid="{C3265488-826A-4CF0-A3CA-8BACD5E57769}"/>
    <cellStyle name="Comma 566" xfId="31936" xr:uid="{4C759A21-3045-459B-9515-54EF053846E4}"/>
    <cellStyle name="Comma 567" xfId="31940" xr:uid="{2DA6B55F-C8B9-45D5-B74A-299744E0B2C2}"/>
    <cellStyle name="Comma 568" xfId="4300" xr:uid="{DB8938BA-A8CC-44B7-8A38-D1FE0AF0785E}"/>
    <cellStyle name="Comma 569" xfId="31944" xr:uid="{4ED32E61-C6EE-4C9B-A8FB-98EF0E51054F}"/>
    <cellStyle name="Comma 57" xfId="10708" xr:uid="{0805922D-88DB-4203-B4EA-E2F5E727DA50}"/>
    <cellStyle name="Comma 57 2" xfId="31948" xr:uid="{A830B807-0874-439F-A7CF-0DD3CD9CC9E2}"/>
    <cellStyle name="Comma 57 2 2" xfId="22609" xr:uid="{17E23F9E-E526-42B8-9B3B-BC8B123CF8AE}"/>
    <cellStyle name="Comma 57 3" xfId="20211" xr:uid="{A3AD9FDA-2729-4398-B029-2ECB38A0A176}"/>
    <cellStyle name="Comma 57 4" xfId="31950" xr:uid="{FE3B47CD-6D3E-46FF-9835-6D73EECDDE08}"/>
    <cellStyle name="Comma 570" xfId="31933" xr:uid="{E2220DF5-A666-4AB1-AD34-FEB9D9906BD0}"/>
    <cellStyle name="Comma 571" xfId="31937" xr:uid="{666D8105-0A71-4988-A43D-03A2FC8509F2}"/>
    <cellStyle name="Comma 572" xfId="31941" xr:uid="{F748723E-5116-40F7-B22B-9160EC3C0F10}"/>
    <cellStyle name="Comma 573" xfId="4301" xr:uid="{EF0189EA-804F-4264-9E2F-FEA46D6D7B53}"/>
    <cellStyle name="Comma 574" xfId="31945" xr:uid="{3A47E549-F1DB-4477-9B13-01F1D4449F33}"/>
    <cellStyle name="Comma 575" xfId="31951" xr:uid="{7FFDD0B7-6AF9-4E67-A284-7FCA592CEE6F}"/>
    <cellStyle name="Comma 576" xfId="31955" xr:uid="{C682E90B-174F-4E04-82C3-39CCF2CA002B}"/>
    <cellStyle name="Comma 577" xfId="31959" xr:uid="{923C10E6-6C30-4D39-8F93-066906A28CD4}"/>
    <cellStyle name="Comma 578" xfId="16836" xr:uid="{7BA52D29-51AD-4A3B-9C82-9D846184007C}"/>
    <cellStyle name="Comma 579" xfId="16722" xr:uid="{6BB8E849-5730-48C5-9120-7004995D49CC}"/>
    <cellStyle name="Comma 579 2" xfId="16732" xr:uid="{0F575412-A066-485B-80EF-3BFA5B0C2B53}"/>
    <cellStyle name="Comma 58" xfId="31965" xr:uid="{1BC844A3-2D50-4264-BDA6-F0E7700913BE}"/>
    <cellStyle name="Comma 58 2" xfId="31969" xr:uid="{A79FC0DA-E582-4112-911D-9529407CAB88}"/>
    <cellStyle name="Comma 58 2 2" xfId="31971" xr:uid="{11E1B528-266B-4B28-9EFB-30140698ABB0}"/>
    <cellStyle name="Comma 58 3" xfId="31973" xr:uid="{7562D3DF-8632-4B96-B63E-BD638C5989EE}"/>
    <cellStyle name="Comma 58 4" xfId="31975" xr:uid="{F242485C-D340-4926-87F1-1C929CC04C31}"/>
    <cellStyle name="Comma 580" xfId="31952" xr:uid="{6A068761-E890-4A2A-8403-43CAA0C375AF}"/>
    <cellStyle name="Comma 581" xfId="31956" xr:uid="{6C1240FC-5EC6-46E1-8CD4-3FB688F1B217}"/>
    <cellStyle name="Comma 582" xfId="31960" xr:uid="{32CE6FCC-DF43-40A8-B108-40D00D758C50}"/>
    <cellStyle name="Comma 583" xfId="16837" xr:uid="{06BBFCE3-E8C0-4142-BC07-9E425B72D615}"/>
    <cellStyle name="Comma 584" xfId="16723" xr:uid="{8ABF7D3B-1640-4B77-BD47-6C34101F355D}"/>
    <cellStyle name="Comma 585" xfId="16739" xr:uid="{205003BB-09C4-46F7-BDCA-62E0823468E5}"/>
    <cellStyle name="Comma 586" xfId="16752" xr:uid="{C00F906E-BDA8-4018-B812-0EA49FCB9B76}"/>
    <cellStyle name="Comma 587" xfId="1876" xr:uid="{CA867BB6-605F-4484-9CE3-FB355BCFE2AA}"/>
    <cellStyle name="Comma 588" xfId="31976" xr:uid="{A33238F0-A2B1-4004-B264-FCEAAC00E5CC}"/>
    <cellStyle name="Comma 589" xfId="31980" xr:uid="{D686133D-088E-4158-AFF7-80319AAB5F8A}"/>
    <cellStyle name="Comma 59" xfId="31986" xr:uid="{036C3D54-F50D-4E4A-9430-16EC5DB5C6CA}"/>
    <cellStyle name="Comma 59 2" xfId="31988" xr:uid="{8FDDA5C9-35DB-4339-80CE-E05888B03BB5}"/>
    <cellStyle name="Comma 59 2 2" xfId="31990" xr:uid="{71A0459B-4035-4DDB-B37C-6DE5F43DBC83}"/>
    <cellStyle name="Comma 59 3" xfId="31992" xr:uid="{37B50E0C-E7F6-40D4-990C-3824EAEF2F95}"/>
    <cellStyle name="Comma 59 4" xfId="31994" xr:uid="{C11BF368-4419-49A2-ABA8-08CD801496AF}"/>
    <cellStyle name="Comma 590" xfId="16740" xr:uid="{B6DFF7E0-84A1-4617-BBC2-C401F785CA04}"/>
    <cellStyle name="Comma 591" xfId="16753" xr:uid="{3706F945-2EB5-4E32-B426-61E7DEC24706}"/>
    <cellStyle name="Comma 592" xfId="1877" xr:uid="{BDD4EF25-F5EF-467E-916E-B6C49B9ADE64}"/>
    <cellStyle name="Comma 593" xfId="31977" xr:uid="{A78A40E2-072C-447A-B758-1F7F3F94BD05}"/>
    <cellStyle name="Comma 594" xfId="31981" xr:uid="{8F2A11EF-906A-4B16-8934-B11EDFD31ACC}"/>
    <cellStyle name="Comma 595" xfId="31995" xr:uid="{AFFCF2EF-A132-4E63-A058-68D57FF3073C}"/>
    <cellStyle name="Comma 596" xfId="31999" xr:uid="{BE2A7101-5B72-4932-A23A-0CFCFAB6221C}"/>
    <cellStyle name="Comma 597" xfId="32003" xr:uid="{0D58F02C-615D-423E-A095-64754ED22B57}"/>
    <cellStyle name="Comma 598" xfId="32007" xr:uid="{2FD3258F-3EFA-4613-8494-C03E59BACE98}"/>
    <cellStyle name="Comma 599" xfId="5273" xr:uid="{7BE0544F-C3FE-4ED7-925E-6DB7DAC197F7}"/>
    <cellStyle name="Comma 6" xfId="32011" xr:uid="{AC8BE8B7-AA0E-40A2-8F77-C134EAFE32A4}"/>
    <cellStyle name="Comma 6 2" xfId="17145" xr:uid="{8947AA97-4907-4980-9B80-EE576163606A}"/>
    <cellStyle name="Comma 6 2 2" xfId="17150" xr:uid="{469FBE4B-9574-4E46-BBF6-D88A8AB2D427}"/>
    <cellStyle name="Comma 6 3" xfId="17156" xr:uid="{B9624239-544F-4311-9663-CD166DA31A11}"/>
    <cellStyle name="Comma 6 3 2" xfId="17161" xr:uid="{F158115D-CBE2-47E3-A18A-1E9427CFB075}"/>
    <cellStyle name="Comma 6 4" xfId="17166" xr:uid="{95BCD17F-50AA-4350-8954-5329A42C738D}"/>
    <cellStyle name="Comma 6 5" xfId="17255" xr:uid="{F02BE720-247E-450F-9C42-1BCB94B53732}"/>
    <cellStyle name="Comma 60" xfId="10690" xr:uid="{6CBBE4D0-E3B9-4346-AF67-7FE0817C99C7}"/>
    <cellStyle name="Comma 60 2" xfId="10693" xr:uid="{8710834F-ECAC-4235-91A6-07CAAF000642}"/>
    <cellStyle name="Comma 60 2 2" xfId="10696" xr:uid="{3DA88793-10D0-4B29-951F-9597EE1EB5F6}"/>
    <cellStyle name="Comma 60 3" xfId="10700" xr:uid="{7F06E0D7-EDD2-4A73-A84D-D6FA87BEBD8D}"/>
    <cellStyle name="Comma 60 4" xfId="20192" xr:uid="{3A864001-D612-46F2-8B47-17F969A4FECD}"/>
    <cellStyle name="Comma 600" xfId="24397" xr:uid="{69DDC5FB-AE36-43E9-9377-EC8A9F3B2690}"/>
    <cellStyle name="Comma 601" xfId="31777" xr:uid="{5F209727-2206-4E50-B13C-0970C63480B0}"/>
    <cellStyle name="Comma 602" xfId="31781" xr:uid="{B81230C8-CA06-4CBB-B6F7-463B9AF55388}"/>
    <cellStyle name="Comma 603" xfId="31785" xr:uid="{3B36CD43-8EED-440E-98A9-C8199A18797F}"/>
    <cellStyle name="Comma 604" xfId="9712" xr:uid="{C35E94C2-4710-466A-9E30-1901B90C858D}"/>
    <cellStyle name="Comma 605" xfId="9720" xr:uid="{73D5F5CF-AEC2-41FD-AA6B-6805842344A9}"/>
    <cellStyle name="Comma 606" xfId="29101" xr:uid="{467A3FCD-B4DF-4615-93AC-59591E7319FA}"/>
    <cellStyle name="Comma 607" xfId="31922" xr:uid="{7B5339E4-812C-4682-B8E9-215CF9800DDA}"/>
    <cellStyle name="Comma 608" xfId="31926" xr:uid="{26F0DD88-422D-4258-9997-4D3DF5F2F2E5}"/>
    <cellStyle name="Comma 609" xfId="31930" xr:uid="{C355B565-3C10-4226-8B50-288520D851FA}"/>
    <cellStyle name="Comma 61" xfId="10703" xr:uid="{082E7DF7-2F3A-4928-978B-A1F01EE324A9}"/>
    <cellStyle name="Comma 61 2" xfId="10706" xr:uid="{EE1833EB-BE80-403B-B60A-B5CD4CEAA556}"/>
    <cellStyle name="Comma 61 2 2" xfId="22399" xr:uid="{2F808CA1-D61A-4DF2-A108-4E7E719D6FF1}"/>
    <cellStyle name="Comma 61 3" xfId="20202" xr:uid="{C5F259E6-F928-4943-AD0F-6016D9899EEA}"/>
    <cellStyle name="Comma 610" xfId="9721" xr:uid="{7F1B3973-3D85-4FF4-A459-596FC3A9D2FC}"/>
    <cellStyle name="Comma 611" xfId="29102" xr:uid="{A48A3B95-12FF-4E70-B3E6-76389AD33C3C}"/>
    <cellStyle name="Comma 612" xfId="31923" xr:uid="{94D602DF-E81E-4E0E-A30D-7598B8030BA5}"/>
    <cellStyle name="Comma 613" xfId="31927" xr:uid="{6B177610-2360-47EC-AB54-5CEA6AAD8E93}"/>
    <cellStyle name="Comma 614" xfId="31931" xr:uid="{72CD34E1-7FF5-4A73-B11B-A092032F4266}"/>
    <cellStyle name="Comma 615" xfId="31934" xr:uid="{31B22B66-91A4-44DF-AE0B-B20E9BB94334}"/>
    <cellStyle name="Comma 616" xfId="31938" xr:uid="{8028DDE0-BDBC-4E33-8951-4132D233B808}"/>
    <cellStyle name="Comma 617" xfId="31942" xr:uid="{11A3A37B-C698-4DFF-9AEA-0CF844E97C3C}"/>
    <cellStyle name="Comma 618" xfId="4302" xr:uid="{27BF7499-7446-40D6-B29C-21B5FE53AE13}"/>
    <cellStyle name="Comma 619" xfId="31946" xr:uid="{436A14F2-D500-473C-9D3D-8FE2C14C8811}"/>
    <cellStyle name="Comma 62" xfId="10709" xr:uid="{F598FBA0-D0D0-45E9-AEBF-18059127DC3C}"/>
    <cellStyle name="Comma 62 2" xfId="31949" xr:uid="{A1FC4086-4C1F-4EFF-B2BF-C807F13C7E4A}"/>
    <cellStyle name="Comma 62 2 2" xfId="22610" xr:uid="{99DBEEAC-16FF-4A85-ADB0-6BA51BF20705}"/>
    <cellStyle name="Comma 62 3" xfId="20212" xr:uid="{60A42D9E-171E-4DD6-BB73-7DE3D9F6D27A}"/>
    <cellStyle name="Comma 620" xfId="31935" xr:uid="{38A3D054-CAD4-47C0-AE9E-2217589627EE}"/>
    <cellStyle name="Comma 621" xfId="31939" xr:uid="{6E9DFD40-56C4-4058-97BF-A41399B57743}"/>
    <cellStyle name="Comma 622" xfId="31943" xr:uid="{83C70CAC-CCC1-4D54-B70C-77BD4FC4C3A9}"/>
    <cellStyle name="Comma 623" xfId="4303" xr:uid="{7C527A7B-77FF-402D-9033-D6ABD0436633}"/>
    <cellStyle name="Comma 624" xfId="31947" xr:uid="{BD710CEF-6993-4BF3-AC56-ACDB74C986F5}"/>
    <cellStyle name="Comma 625" xfId="31953" xr:uid="{8E7A51C1-F00B-46AD-8374-2FD14AC28B0B}"/>
    <cellStyle name="Comma 626" xfId="31957" xr:uid="{207B0C12-0040-42CE-9D7E-43C6CC0E5BD6}"/>
    <cellStyle name="Comma 627" xfId="31961" xr:uid="{473D4B92-A275-4AAB-B4F6-5AA37A86FA71}"/>
    <cellStyle name="Comma 628" xfId="16838" xr:uid="{C1CAD1E4-61CD-43B4-B3E6-0CA1B5318483}"/>
    <cellStyle name="Comma 629" xfId="16724" xr:uid="{C4C01DC5-89D9-45EA-BFA1-646DC64E3316}"/>
    <cellStyle name="Comma 63" xfId="31966" xr:uid="{E9BB294D-3243-4EFC-85B9-A48EED921E79}"/>
    <cellStyle name="Comma 63 2" xfId="31970" xr:uid="{F430FC42-E39C-4D0F-9114-AA788FF19904}"/>
    <cellStyle name="Comma 63 2 2" xfId="31972" xr:uid="{E4C44CF1-99A9-44C9-A851-4AE50E1A48CB}"/>
    <cellStyle name="Comma 63 3" xfId="31974" xr:uid="{4A29C832-355E-4B09-BAD2-02D47BE2CC28}"/>
    <cellStyle name="Comma 630" xfId="31954" xr:uid="{A5D81D11-BFA6-4A5E-B055-0ABB18D54A77}"/>
    <cellStyle name="Comma 631" xfId="31958" xr:uid="{D89DD58D-83EB-44E3-8C4F-76E27BE56135}"/>
    <cellStyle name="Comma 632" xfId="31962" xr:uid="{3E5B693E-711C-4235-B071-5312E7C961D5}"/>
    <cellStyle name="Comma 633" xfId="16839" xr:uid="{22E8B36B-8353-425F-B1C1-95DB134BECB5}"/>
    <cellStyle name="Comma 634" xfId="16725" xr:uid="{40A78F95-D431-4D40-A4BF-495360FC6692}"/>
    <cellStyle name="Comma 635" xfId="16741" xr:uid="{4202CC8B-9406-44C4-B756-291BBF0D52F3}"/>
    <cellStyle name="Comma 636" xfId="16754" xr:uid="{766C936A-E19D-4537-95A4-BE70F22773B5}"/>
    <cellStyle name="Comma 637" xfId="1878" xr:uid="{6DCE54F3-CE94-4656-A717-8C6FA3EC45C9}"/>
    <cellStyle name="Comma 638" xfId="31978" xr:uid="{DF8880F4-F294-43DA-89FD-79CC4E77F402}"/>
    <cellStyle name="Comma 639" xfId="31982" xr:uid="{1EF74DAF-F051-4EFF-A9AC-79E0E6FB5AD2}"/>
    <cellStyle name="Comma 64" xfId="31987" xr:uid="{ADF43168-19DF-497E-B893-CF6453209657}"/>
    <cellStyle name="Comma 64 2" xfId="31989" xr:uid="{D70CFBE8-F5E9-4DF0-82AC-4391804B522F}"/>
    <cellStyle name="Comma 64 2 2" xfId="31991" xr:uid="{0B69B4A8-760C-40D5-9ECE-4873AA569928}"/>
    <cellStyle name="Comma 64 3" xfId="31993" xr:uid="{E08FAB8C-B9E8-481C-AC55-1CA374D0B3A0}"/>
    <cellStyle name="Comma 640" xfId="16742" xr:uid="{889FFD96-E0A7-4342-8CB7-6CD8C53EF9AE}"/>
    <cellStyle name="Comma 641" xfId="16755" xr:uid="{B2B26B06-4164-41E3-BBE6-083389E1CE6F}"/>
    <cellStyle name="Comma 642" xfId="1879" xr:uid="{55F22912-2D37-4D55-8EE9-D70D0A18AC23}"/>
    <cellStyle name="Comma 643" xfId="31979" xr:uid="{7B8E0CCD-42D4-4913-A0FA-00AE0FECF84E}"/>
    <cellStyle name="Comma 644" xfId="31983" xr:uid="{15A1D513-5069-41F4-ADC8-070289909B46}"/>
    <cellStyle name="Comma 645" xfId="31996" xr:uid="{82486131-A494-4966-A7D4-878C92F526D2}"/>
    <cellStyle name="Comma 646" xfId="32000" xr:uid="{331F0C53-F47D-4B2E-BF01-5AC086DA8E1A}"/>
    <cellStyle name="Comma 647" xfId="32004" xr:uid="{9D77CEDD-EC1C-4DB8-B808-0B73EA2B6CFD}"/>
    <cellStyle name="Comma 648" xfId="32008" xr:uid="{1CEA4D66-0B94-4AF0-8CA5-C35EDC0BE9FC}"/>
    <cellStyle name="Comma 649" xfId="5274" xr:uid="{985D2511-8EF4-470C-BA6E-E3AB3944B233}"/>
    <cellStyle name="Comma 65" xfId="32012" xr:uid="{9D79554D-0968-4351-9638-5E918EC6AFCC}"/>
    <cellStyle name="Comma 65 2" xfId="32014" xr:uid="{AF50F59C-AEE2-4609-82F0-CC933F4A853E}"/>
    <cellStyle name="Comma 65 2 2" xfId="32016" xr:uid="{9924AA1D-4DC4-4D07-B127-314D08A2F584}"/>
    <cellStyle name="Comma 65 3" xfId="32018" xr:uid="{7E968FBB-89AF-4BA9-97FB-DB2CE81CBE1B}"/>
    <cellStyle name="Comma 650" xfId="31997" xr:uid="{E995C7EB-520B-4A9C-B6C0-42F13664892A}"/>
    <cellStyle name="Comma 651" xfId="32001" xr:uid="{554AE8BD-1429-4D47-BADB-535172835BA8}"/>
    <cellStyle name="Comma 652" xfId="32005" xr:uid="{0EBDCCBA-38BD-4CDC-90A7-327254AAF5CA}"/>
    <cellStyle name="Comma 653" xfId="32009" xr:uid="{0781ACDD-7A92-4574-A0F6-A01DD441D9FB}"/>
    <cellStyle name="Comma 654" xfId="5275" xr:uid="{F61AA90A-9D24-4C36-8880-0AC395F96229}"/>
    <cellStyle name="Comma 655" xfId="32020" xr:uid="{A49CF386-F2B6-432F-95A7-5B669350D420}"/>
    <cellStyle name="Comma 656" xfId="32024" xr:uid="{A3B29C78-0B6C-42D6-B282-E2D27A29CFA7}"/>
    <cellStyle name="Comma 657" xfId="32028" xr:uid="{DA6DD1EC-59E5-4EAD-BCC0-58CB5E9F2B5E}"/>
    <cellStyle name="Comma 658" xfId="32032" xr:uid="{51300A76-9661-4707-B4D7-D0EBF4786693}"/>
    <cellStyle name="Comma 659" xfId="32036" xr:uid="{12E56E39-5F74-40AB-9FAC-1F77932422CA}"/>
    <cellStyle name="Comma 66" xfId="32040" xr:uid="{7053688C-C722-4B1C-9F6E-6D9C3DDB558E}"/>
    <cellStyle name="Comma 66 2" xfId="32042" xr:uid="{FF9BE643-1248-47CE-AA8F-B1D7E25C68A9}"/>
    <cellStyle name="Comma 66 2 2" xfId="32044" xr:uid="{1F80729C-A3BC-45E5-8B60-E46162B1D83C}"/>
    <cellStyle name="Comma 66 3" xfId="32046" xr:uid="{FD6B7644-EAFE-48DC-B538-59328B3513E1}"/>
    <cellStyle name="Comma 660" xfId="32021" xr:uid="{E93695B3-A607-4913-B59A-3B80DEB485D2}"/>
    <cellStyle name="Comma 661" xfId="32025" xr:uid="{0069937C-7F34-4401-ACC4-CBDF8C928DCF}"/>
    <cellStyle name="Comma 662" xfId="32029" xr:uid="{307F658C-13D1-447D-90E5-E74AB9738123}"/>
    <cellStyle name="Comma 663" xfId="32033" xr:uid="{397132A4-0D1F-4D45-A312-7C00513AEE85}"/>
    <cellStyle name="Comma 664" xfId="32037" xr:uid="{016C0072-F560-4E86-BECF-8269C560230D}"/>
    <cellStyle name="Comma 665" xfId="32049" xr:uid="{F8346432-12C3-476D-B7F9-E9EAA1099092}"/>
    <cellStyle name="Comma 666" xfId="32053" xr:uid="{E31BC634-9096-408C-817F-D1CE79268DE1}"/>
    <cellStyle name="Comma 667" xfId="32057" xr:uid="{381F6542-B425-486A-A695-24D79B5F96C9}"/>
    <cellStyle name="Comma 668" xfId="32061" xr:uid="{E6996114-D831-4305-8662-548D42779694}"/>
    <cellStyle name="Comma 669" xfId="32065" xr:uid="{CB594C73-9A75-44A8-9C3A-C0EEC36F933A}"/>
    <cellStyle name="Comma 67" xfId="32069" xr:uid="{3E972CF8-6968-4CB1-8D7D-5C11FF9B683A}"/>
    <cellStyle name="Comma 67 2" xfId="32071" xr:uid="{3BA7E88B-6810-4BD2-A203-862806AF3895}"/>
    <cellStyle name="Comma 67 2 2" xfId="32073" xr:uid="{E466DAC4-07CC-4FF4-BCC4-5D834C8EAEB2}"/>
    <cellStyle name="Comma 67 3" xfId="32075" xr:uid="{74675FEF-0642-4194-9975-8902F379DF53}"/>
    <cellStyle name="Comma 670" xfId="32050" xr:uid="{185284CE-D746-484E-B73E-619CB1276B20}"/>
    <cellStyle name="Comma 671" xfId="32054" xr:uid="{260CFF0B-BE0F-4ACA-806A-0BB5C56CF964}"/>
    <cellStyle name="Comma 672" xfId="32058" xr:uid="{8318D165-148E-4F1E-958A-6208DC731B57}"/>
    <cellStyle name="Comma 673" xfId="32062" xr:uid="{E403BEA6-218B-4E1B-9021-6F0E08C11ABB}"/>
    <cellStyle name="Comma 674" xfId="32066" xr:uid="{D4719FE3-8CD0-4714-B131-28F635E8B64E}"/>
    <cellStyle name="Comma 675" xfId="6136" xr:uid="{ED44C3F6-2DAD-41A1-9D74-28BB610CE9AC}"/>
    <cellStyle name="Comma 676" xfId="32077" xr:uid="{C8CAAB33-3476-44CC-9D5F-B1B549B61445}"/>
    <cellStyle name="Comma 677" xfId="32081" xr:uid="{E3D610B4-4283-4A9B-944A-F87CDD1C3AE8}"/>
    <cellStyle name="Comma 678" xfId="16849" xr:uid="{DF289F91-DDD8-4F79-8034-5DD30C2A1270}"/>
    <cellStyle name="Comma 679" xfId="16765" xr:uid="{DF3E8A88-62C6-4244-88CB-311DD12062AB}"/>
    <cellStyle name="Comma 68" xfId="6734" xr:uid="{E6740BAF-2041-4E70-BF6C-689ACF2F8B08}"/>
    <cellStyle name="Comma 68 2" xfId="32085" xr:uid="{AA92C536-83E1-43CB-9DBB-1891688E3E92}"/>
    <cellStyle name="Comma 68 2 2" xfId="1746" xr:uid="{81E4E2EE-202A-40F4-BCDD-B00EEA25A6AB}"/>
    <cellStyle name="Comma 68 3" xfId="32086" xr:uid="{40062E80-6D43-49A1-B473-5A2F98665951}"/>
    <cellStyle name="Comma 680" xfId="6137" xr:uid="{FD4E757E-9363-409B-B80E-C366AE44F408}"/>
    <cellStyle name="Comma 681" xfId="32078" xr:uid="{FD7A3909-87B5-4492-BD49-B238897908CB}"/>
    <cellStyle name="Comma 682" xfId="32082" xr:uid="{18C3EF0D-B03D-40BA-BD80-BC9CBBEF3DAF}"/>
    <cellStyle name="Comma 683" xfId="16850" xr:uid="{B77C7F7C-443C-4BAF-ADF0-940DD3E644D7}"/>
    <cellStyle name="Comma 684" xfId="16766" xr:uid="{083B3FB0-2403-46F6-9383-C2B3BA874079}"/>
    <cellStyle name="Comma 685" xfId="16778" xr:uid="{10E059E3-7E98-4139-8A7A-50AFB3911388}"/>
    <cellStyle name="Comma 686" xfId="32087" xr:uid="{B6B93C66-5535-4699-81F2-3E4D8AAFF3F5}"/>
    <cellStyle name="Comma 687" xfId="13621" xr:uid="{D7CC7EC6-46AE-4AA3-BC98-3CA684221C90}"/>
    <cellStyle name="Comma 688" xfId="32091" xr:uid="{3E1AA151-B78D-4F18-A23E-0028F67F4996}"/>
    <cellStyle name="Comma 689" xfId="32095" xr:uid="{2A54C166-174C-4320-BE37-0FA990C55A26}"/>
    <cellStyle name="Comma 69" xfId="27749" xr:uid="{C22AFED9-334B-491C-B866-5140ACE3A76E}"/>
    <cellStyle name="Comma 69 2" xfId="32099" xr:uid="{C63CCBDE-8550-434B-9B09-7A8BE086DF55}"/>
    <cellStyle name="Comma 69 2 2" xfId="32100" xr:uid="{5AC4E73F-94FA-4A22-A79C-16FCB2719D9B}"/>
    <cellStyle name="Comma 69 3" xfId="32101" xr:uid="{0742A829-35F0-412C-82E3-5698536B7F53}"/>
    <cellStyle name="Comma 690" xfId="16779" xr:uid="{890507B0-A5D3-4761-B5D8-ED48C5F3A7BD}"/>
    <cellStyle name="Comma 691" xfId="32088" xr:uid="{1F4A7BB1-A959-4753-8824-EEC75A660885}"/>
    <cellStyle name="Comma 692" xfId="13622" xr:uid="{DD9B824F-5BFC-47C6-82C9-CF59D2BFB8AF}"/>
    <cellStyle name="Comma 693" xfId="32092" xr:uid="{E549537A-0A01-4A12-8CA3-6CA81F4CA455}"/>
    <cellStyle name="Comma 694" xfId="32096" xr:uid="{4D1D4DED-E9B7-4419-9ECC-A4849ACD4B20}"/>
    <cellStyle name="Comma 695" xfId="32102" xr:uid="{41C1FD09-EC89-4C18-8DE5-84480E5E4780}"/>
    <cellStyle name="Comma 696" xfId="32106" xr:uid="{1F0CA38C-84C6-40C4-B283-6E8B6361559F}"/>
    <cellStyle name="Comma 697" xfId="32110" xr:uid="{AB90936E-7761-4D64-ABA8-E06325FEBB6A}"/>
    <cellStyle name="Comma 698" xfId="32114" xr:uid="{EE7C5515-34C6-4E75-85EA-25A546D093C1}"/>
    <cellStyle name="Comma 699" xfId="32118" xr:uid="{BA50BDAB-E6A8-4EDA-B28E-34A617A92D7D}"/>
    <cellStyle name="Comma 7" xfId="32122" xr:uid="{662C051C-CF99-488E-960F-AA9E1CF6857B}"/>
    <cellStyle name="Comma 7 2" xfId="25530" xr:uid="{5465C775-D1EA-4684-A4F8-B42217948929}"/>
    <cellStyle name="Comma 7 2 2" xfId="25548" xr:uid="{07A913BB-2633-4B22-A2E2-603313037F3E}"/>
    <cellStyle name="Comma 7 2 3" xfId="32123" xr:uid="{E4027E9E-419F-453A-A930-9FE6267A91DC}"/>
    <cellStyle name="Comma 7 3" xfId="25535" xr:uid="{9F0D36B4-1739-4783-A8DC-A33BA00659C4}"/>
    <cellStyle name="Comma 7 4" xfId="25540" xr:uid="{8E6BA1C2-CA09-466D-96B3-DAFD1AC7BCB6}"/>
    <cellStyle name="Comma 7 5" xfId="24353" xr:uid="{5BBF1631-ADE2-487C-BB33-2BE6A121DC17}"/>
    <cellStyle name="Comma 70" xfId="32013" xr:uid="{A57B2F3A-C0E2-40CC-A492-F6E170455AB1}"/>
    <cellStyle name="Comma 70 2" xfId="32015" xr:uid="{787D2F11-F182-4A9E-99C6-089AB62B9471}"/>
    <cellStyle name="Comma 70 2 2" xfId="32017" xr:uid="{A3AA947D-F999-4B2E-86E5-A51CF4B7A0CC}"/>
    <cellStyle name="Comma 70 3" xfId="32019" xr:uid="{902EFED8-3342-45AB-BD92-04E47E191058}"/>
    <cellStyle name="Comma 700" xfId="31998" xr:uid="{03269D6A-1F5F-4DE5-AD17-961A5BE0C32D}"/>
    <cellStyle name="Comma 701" xfId="32002" xr:uid="{49237502-49AE-4CB0-B433-622E84342609}"/>
    <cellStyle name="Comma 702" xfId="32006" xr:uid="{49AD0DB4-C113-49D9-8206-56E65921B46A}"/>
    <cellStyle name="Comma 703" xfId="32010" xr:uid="{04A47EE4-FEAA-4508-9DCC-314F3F0D33E3}"/>
    <cellStyle name="Comma 704" xfId="5276" xr:uid="{2C7D9C78-9E9F-45C1-BEF6-A99351FA2358}"/>
    <cellStyle name="Comma 705" xfId="32022" xr:uid="{5181BB3A-695F-4486-81D3-F13274FE3B34}"/>
    <cellStyle name="Comma 706" xfId="32026" xr:uid="{BF7F0BEE-71EB-4F5D-AA0F-1896A2356B59}"/>
    <cellStyle name="Comma 707" xfId="32030" xr:uid="{4615D2D3-12FF-4374-A601-E7CC9766BF37}"/>
    <cellStyle name="Comma 708" xfId="32034" xr:uid="{7FD7319E-6EAB-4B72-BF66-8A4CF98730C8}"/>
    <cellStyle name="Comma 709" xfId="32038" xr:uid="{0658C4C8-D0A5-4B27-8C7B-671346C5C8F2}"/>
    <cellStyle name="Comma 71" xfId="32041" xr:uid="{B68C44A8-BE3F-4717-BDA8-3BFD6DD27CEC}"/>
    <cellStyle name="Comma 71 2" xfId="32043" xr:uid="{FED81124-FC7C-45DF-B609-40DEAD570C94}"/>
    <cellStyle name="Comma 71 2 2" xfId="32045" xr:uid="{7BA52DC3-D93E-41D1-A72A-43B8237A2735}"/>
    <cellStyle name="Comma 71 2 2 2" xfId="31747" xr:uid="{D058A2B3-56D3-426A-B8B7-9A080EC0D730}"/>
    <cellStyle name="Comma 71 2 2 3" xfId="32124" xr:uid="{54C48779-C1C6-4AB6-9E7E-2ECBA345A49E}"/>
    <cellStyle name="Comma 71 2 2 4" xfId="32125" xr:uid="{B9BC7E14-7A67-47F5-BBE6-637C42C1C178}"/>
    <cellStyle name="Comma 71 2 3" xfId="32126" xr:uid="{AD45B215-4F0E-452A-A997-DCF8FC032391}"/>
    <cellStyle name="Comma 71 3" xfId="32047" xr:uid="{E6EB6773-DDDB-49A8-8195-23FF6663F89C}"/>
    <cellStyle name="Comma 710" xfId="32023" xr:uid="{1730F4BC-A20B-4D53-BF93-5E4076ED263B}"/>
    <cellStyle name="Comma 711" xfId="32027" xr:uid="{F9E17935-B7B8-4189-9464-4C99089652F4}"/>
    <cellStyle name="Comma 712" xfId="32031" xr:uid="{E79BE576-62E9-420C-9010-00FE4BE7B847}"/>
    <cellStyle name="Comma 713" xfId="32035" xr:uid="{54EF4EDF-1B6D-4BA9-9A32-201988D1E5F7}"/>
    <cellStyle name="Comma 714" xfId="32039" xr:uid="{97A55334-1B2B-43FA-9C2C-87AE0A3CD1E7}"/>
    <cellStyle name="Comma 715" xfId="32051" xr:uid="{8DE5BF89-4E48-45D3-A83B-A07702FD7208}"/>
    <cellStyle name="Comma 716" xfId="32055" xr:uid="{D3BAD07A-2F11-4C5F-AF05-4B678A62F87B}"/>
    <cellStyle name="Comma 717" xfId="32059" xr:uid="{8AB0793F-E1C2-41E4-9F03-2B6BB59CC605}"/>
    <cellStyle name="Comma 718" xfId="32063" xr:uid="{A07A7FDB-94A3-40F7-BF59-16F755FAB2E6}"/>
    <cellStyle name="Comma 719" xfId="32067" xr:uid="{FB9F29E0-8B67-4A17-9F0C-98B4293781E3}"/>
    <cellStyle name="Comma 72" xfId="32070" xr:uid="{63F6763C-2DD3-474D-BC2C-C0D44B54D0A8}"/>
    <cellStyle name="Comma 72 2" xfId="32072" xr:uid="{75B9786E-A88F-4E91-99ED-3CE954F83919}"/>
    <cellStyle name="Comma 72 2 2" xfId="32074" xr:uid="{1C1A6ACA-8B10-4A9D-9B40-EDC5329A4154}"/>
    <cellStyle name="Comma 72 3" xfId="32076" xr:uid="{0DC104C2-8FE6-4592-AC78-39058531D900}"/>
    <cellStyle name="Comma 720" xfId="32052" xr:uid="{7F0C8293-C208-42D6-AE66-A91EC37E943C}"/>
    <cellStyle name="Comma 721" xfId="32056" xr:uid="{BA149DC1-D10F-4F8B-9174-C4B29DEB9275}"/>
    <cellStyle name="Comma 722" xfId="32060" xr:uid="{51CAF8D0-1FF4-43F6-9A6F-4A06487F9C8D}"/>
    <cellStyle name="Comma 723" xfId="32064" xr:uid="{99612829-C68A-4FB0-9207-280D1C4F2362}"/>
    <cellStyle name="Comma 724" xfId="32068" xr:uid="{E956E783-263B-4596-913F-CE08E71D4C72}"/>
    <cellStyle name="Comma 725" xfId="6138" xr:uid="{50ABE7C4-F680-4031-8D3B-DBE3A3E8BB19}"/>
    <cellStyle name="Comma 726" xfId="32079" xr:uid="{F3240E70-7EA5-4FEC-A038-2274B496FC2F}"/>
    <cellStyle name="Comma 727" xfId="32083" xr:uid="{11C0A298-70FA-42ED-B15C-D438F2B13768}"/>
    <cellStyle name="Comma 728" xfId="16851" xr:uid="{E896C32C-1F9A-4CA8-9999-86AC072945CD}"/>
    <cellStyle name="Comma 729" xfId="16767" xr:uid="{A394DCA3-CA19-48FF-B581-539DB5F8CB8C}"/>
    <cellStyle name="Comma 73" xfId="6735" xr:uid="{D96E3134-B5DD-47F9-9D66-D9F2629162E6}"/>
    <cellStyle name="Comma 730" xfId="6139" xr:uid="{129C60D4-5E2C-4AB5-A977-FAFD74576BA7}"/>
    <cellStyle name="Comma 731" xfId="32080" xr:uid="{89DCB0D1-3A32-41D3-9288-1314C4D9CF82}"/>
    <cellStyle name="Comma 732" xfId="32084" xr:uid="{7E62F1FF-1612-42D4-B967-869BB7E8AD2E}"/>
    <cellStyle name="Comma 733" xfId="16852" xr:uid="{6676E98D-53FD-4CAA-83EC-32B407937B96}"/>
    <cellStyle name="Comma 734" xfId="16768" xr:uid="{58A9E7FE-12DF-44F5-B416-1E9C28085AED}"/>
    <cellStyle name="Comma 735" xfId="16780" xr:uid="{1B4D6359-394B-4CCA-B138-98CECD8A1939}"/>
    <cellStyle name="Comma 736" xfId="32089" xr:uid="{533F9786-B804-4340-88BA-0DBAF871B203}"/>
    <cellStyle name="Comma 737" xfId="13623" xr:uid="{74E956E5-3C53-4FD6-8F07-8842DFA45209}"/>
    <cellStyle name="Comma 738" xfId="32093" xr:uid="{E8774A68-D5F2-4737-A049-42A35AC6E7B4}"/>
    <cellStyle name="Comma 739" xfId="32097" xr:uid="{9B9CA191-BA94-4AB2-B353-37B08321B065}"/>
    <cellStyle name="Comma 74" xfId="27750" xr:uid="{8FFC658F-8200-497C-ACAC-7B889970ABD6}"/>
    <cellStyle name="Comma 740" xfId="16781" xr:uid="{AA8209A6-1531-447E-A6C1-AB6EB09336DE}"/>
    <cellStyle name="Comma 741" xfId="32090" xr:uid="{0E456334-62AD-4E9D-8AD3-D5F693E17354}"/>
    <cellStyle name="Comma 742" xfId="13624" xr:uid="{FC93AC4A-931E-4250-B266-B7382588E7A5}"/>
    <cellStyle name="Comma 743" xfId="32094" xr:uid="{F3B0EACE-C6FD-4238-A9B5-DD602F4278E1}"/>
    <cellStyle name="Comma 744" xfId="32098" xr:uid="{679970E3-BDFC-4558-8D2F-9E05D63EEAE6}"/>
    <cellStyle name="Comma 745" xfId="32103" xr:uid="{BDE14701-482D-49A2-A4D5-A7C0D51606BA}"/>
    <cellStyle name="Comma 746" xfId="32107" xr:uid="{C169ABA0-3775-448B-8B06-332C85A0B8C7}"/>
    <cellStyle name="Comma 747" xfId="32111" xr:uid="{F44EE63F-0549-47C0-981E-9DC252B6E6E9}"/>
    <cellStyle name="Comma 748" xfId="32115" xr:uid="{DF52ED15-A9C3-48FC-9345-DBED6CE1EAD1}"/>
    <cellStyle name="Comma 749" xfId="32119" xr:uid="{B9AD8446-49A2-4141-B872-F80582368764}"/>
    <cellStyle name="Comma 75" xfId="32127" xr:uid="{8EE9D630-60A0-4FCF-89A8-56ECCB0A0907}"/>
    <cellStyle name="Comma 750" xfId="32104" xr:uid="{B222F88D-0340-4419-8E09-42D0E89BA109}"/>
    <cellStyle name="Comma 751" xfId="32108" xr:uid="{8FE1423C-5159-4E91-8BF5-6B45DA6B428E}"/>
    <cellStyle name="Comma 752" xfId="32112" xr:uid="{ECD12582-F3B8-45D3-8068-5D891F830CA1}"/>
    <cellStyle name="Comma 753" xfId="32116" xr:uid="{98E6E976-628A-42D0-AFE1-A078A9568ED1}"/>
    <cellStyle name="Comma 754" xfId="32120" xr:uid="{AFB012A5-4357-45AA-ABF1-52EA5C6FC45E}"/>
    <cellStyle name="Comma 755" xfId="32129" xr:uid="{36AAFA11-F24C-46AE-9DA9-FD075ED84C6B}"/>
    <cellStyle name="Comma 756" xfId="32133" xr:uid="{48C7AED0-AB97-4734-8004-3642999E4C0C}"/>
    <cellStyle name="Comma 757" xfId="32137" xr:uid="{1D122D54-099A-4141-B8A7-094F95A9CF97}"/>
    <cellStyle name="Comma 758" xfId="32141" xr:uid="{69C2044E-E0E2-40EA-904D-6B5131D51AA1}"/>
    <cellStyle name="Comma 759" xfId="32145" xr:uid="{A45EFE92-2253-4907-AA6B-E9CA1C75CF75}"/>
    <cellStyle name="Comma 76" xfId="32149" xr:uid="{86201B8E-3721-49A3-937A-8DC47D358E43}"/>
    <cellStyle name="Comma 760" xfId="32130" xr:uid="{96F966D0-1991-4801-96B7-99E69095AFB4}"/>
    <cellStyle name="Comma 761" xfId="32134" xr:uid="{74ED60CD-60C3-4D53-B056-83EC16417A95}"/>
    <cellStyle name="Comma 762" xfId="32138" xr:uid="{D726007B-3F42-49FA-8B30-17264609C9EE}"/>
    <cellStyle name="Comma 763" xfId="32142" xr:uid="{8AC24FCF-7874-4DF6-BC69-6E185DA7C026}"/>
    <cellStyle name="Comma 764" xfId="32146" xr:uid="{49EAFEF4-7354-41EC-A6A5-AC580F3DCACC}"/>
    <cellStyle name="Comma 765" xfId="32151" xr:uid="{D0701E94-1218-4B64-95C2-7D65E920CFA9}"/>
    <cellStyle name="Comma 766" xfId="32155" xr:uid="{8F32EF76-BE1C-4CC5-BEE7-ECE8C4812B65}"/>
    <cellStyle name="Comma 767" xfId="32159" xr:uid="{A3510ADF-96B5-416C-9C52-4BDFB24D5DBE}"/>
    <cellStyle name="Comma 768" xfId="32163" xr:uid="{61253330-E901-4D93-8C99-8C37E8805E88}"/>
    <cellStyle name="Comma 769" xfId="29981" xr:uid="{81387D1E-AE99-4344-A3E6-4950B765927A}"/>
    <cellStyle name="Comma 77" xfId="32167" xr:uid="{8A92D399-4BE9-4542-9549-D99E191DFDD4}"/>
    <cellStyle name="Comma 770" xfId="32152" xr:uid="{B7366744-24C3-44AE-9EC0-BB6137898D5B}"/>
    <cellStyle name="Comma 771" xfId="32156" xr:uid="{EE8FF490-9F7D-43D2-92A5-749C1357E709}"/>
    <cellStyle name="Comma 772" xfId="32160" xr:uid="{05177DB2-0F33-4E07-AB13-52BE1592C193}"/>
    <cellStyle name="Comma 773" xfId="32164" xr:uid="{CA99D67A-68AA-4DC3-990E-5FE2813E9E95}"/>
    <cellStyle name="Comma 774" xfId="29982" xr:uid="{A9A3C6DE-5E70-4A42-9C19-A445E70AAC09}"/>
    <cellStyle name="Comma 775" xfId="29990" xr:uid="{D5D9BAAF-3A30-4036-92B0-053B0327C818}"/>
    <cellStyle name="Comma 776" xfId="29998" xr:uid="{18B6A2B5-9928-4494-A367-653CF1F11097}"/>
    <cellStyle name="Comma 777" xfId="30003" xr:uid="{C8C441CA-A662-4E61-B308-F95215DC7ABE}"/>
    <cellStyle name="Comma 778" xfId="16861" xr:uid="{9A696C8A-2186-4182-AB13-19B284A22DB1}"/>
    <cellStyle name="Comma 779" xfId="16790" xr:uid="{5B0D1121-3C0B-4D6A-A520-74F276A076D4}"/>
    <cellStyle name="Comma 78" xfId="22749" xr:uid="{B4E04000-B94D-4ECC-BD80-C2327F246463}"/>
    <cellStyle name="Comma 780" xfId="29991" xr:uid="{A2869FC1-C223-4545-8B9F-51BDD15B850B}"/>
    <cellStyle name="Comma 781" xfId="29999" xr:uid="{11A105CC-9686-4974-B26D-A18D20E42BFF}"/>
    <cellStyle name="Comma 782" xfId="30004" xr:uid="{91AB1C3D-9A1F-4541-9E71-0A6DD3CCCE35}"/>
    <cellStyle name="Comma 783" xfId="16862" xr:uid="{7EF360BA-C727-41E9-9F41-7F0F77B4331F}"/>
    <cellStyle name="Comma 784" xfId="16791" xr:uid="{21154738-D540-43DA-A7B7-02500A4C7DC4}"/>
    <cellStyle name="Comma 785" xfId="32169" xr:uid="{275FA778-A3BD-4047-9231-88F7C1FE96C5}"/>
    <cellStyle name="Comma 786" xfId="32173" xr:uid="{24CB1080-2A30-4F20-A01A-9812BFCB3961}"/>
    <cellStyle name="Comma 787" xfId="32177" xr:uid="{CC1D946F-849D-4828-BAD1-E5AF6811BF5D}"/>
    <cellStyle name="Comma 788" xfId="32181" xr:uid="{EDB50D3B-A05C-481A-9CE7-14637F774426}"/>
    <cellStyle name="Comma 789" xfId="32185" xr:uid="{845D27DA-3FB0-4645-BB3C-0F3F8C043E4F}"/>
    <cellStyle name="Comma 79" xfId="22756" xr:uid="{8FBE27F1-20E6-4402-ACF6-2091837AF2D9}"/>
    <cellStyle name="Comma 790" xfId="32170" xr:uid="{0ADE9369-436C-4293-AB82-15FBCDDD659B}"/>
    <cellStyle name="Comma 791" xfId="32174" xr:uid="{7FC09E18-DCE8-4EBF-9CAE-FC48EBDED0E6}"/>
    <cellStyle name="Comma 792" xfId="32178" xr:uid="{845F667C-517F-42DF-B2B3-40A12D7FA83C}"/>
    <cellStyle name="Comma 793" xfId="32182" xr:uid="{342246F2-64AB-4640-9597-C78A25076DF3}"/>
    <cellStyle name="Comma 794" xfId="32186" xr:uid="{BC920B9B-B382-4456-A363-C48B1C284DC6}"/>
    <cellStyle name="Comma 795" xfId="32189" xr:uid="{62ECD6ED-6215-4A90-BDFE-DBC506949057}"/>
    <cellStyle name="Comma 796" xfId="32192" xr:uid="{A2661A23-7A13-4689-B41A-F004C09CEA96}"/>
    <cellStyle name="Comma 797" xfId="32195" xr:uid="{125E0411-2475-455F-B5CD-D892F0386CDD}"/>
    <cellStyle name="Comma 798" xfId="32199" xr:uid="{2A4D18E5-43F2-47B7-BFB6-1940588A4932}"/>
    <cellStyle name="Comma 799" xfId="32202" xr:uid="{A1879C92-4E93-45D4-90A7-B140794278ED}"/>
    <cellStyle name="Comma 8" xfId="32205" xr:uid="{EF193A7D-3CB2-443B-B00F-5CE019D13B41}"/>
    <cellStyle name="Comma 8 2" xfId="16803" xr:uid="{9BB4B0C7-5169-4385-89B5-B4F83544822D}"/>
    <cellStyle name="Comma 8 2 2" xfId="28860" xr:uid="{5FD2C698-AA6D-4F92-8795-561C06738751}"/>
    <cellStyle name="Comma 8 3" xfId="16811" xr:uid="{F0523A10-6986-47B6-A405-71B83D9209AC}"/>
    <cellStyle name="Comma 8 3 2" xfId="28865" xr:uid="{42EA5FBC-96B0-4384-97B1-925D9184F980}"/>
    <cellStyle name="Comma 8 4" xfId="28870" xr:uid="{54E3E194-F2E4-4FBC-B104-595DB582E3E3}"/>
    <cellStyle name="Comma 8 5" xfId="24382" xr:uid="{F9211455-BEA4-47DF-9EEE-0DEDC80A6646}"/>
    <cellStyle name="Comma 80" xfId="32128" xr:uid="{A3A480EF-3668-40F6-B980-C47ACBCB86E8}"/>
    <cellStyle name="Comma 800" xfId="32105" xr:uid="{7B2B61BE-49FC-4B2E-8C02-4844CCE6C201}"/>
    <cellStyle name="Comma 801" xfId="32109" xr:uid="{1607C946-F215-4CB3-9E04-51D6A189D43C}"/>
    <cellStyle name="Comma 802" xfId="32113" xr:uid="{8B91859B-D719-4648-BED7-7A43F8A8FAF3}"/>
    <cellStyle name="Comma 803" xfId="32117" xr:uid="{B0A4BAF4-9598-4278-A56C-B1DC3925FA81}"/>
    <cellStyle name="Comma 804" xfId="32121" xr:uid="{F92F65D8-1A21-4CB4-8AD5-6B9EC6EE1259}"/>
    <cellStyle name="Comma 805" xfId="32131" xr:uid="{98DFAEB6-585A-4CF3-A483-5BF8742FBEA6}"/>
    <cellStyle name="Comma 806" xfId="32135" xr:uid="{D11D66B3-1409-4191-8268-05FD7E03E7E5}"/>
    <cellStyle name="Comma 807" xfId="32139" xr:uid="{0C183222-59AF-43BE-928B-6DC5ECB2C50F}"/>
    <cellStyle name="Comma 808" xfId="32143" xr:uid="{9BD8D467-DE86-42ED-9A6E-D805A59E2748}"/>
    <cellStyle name="Comma 809" xfId="32147" xr:uid="{C5B1451F-2344-49B5-92C7-12CC0CB5960F}"/>
    <cellStyle name="Comma 81" xfId="32150" xr:uid="{02083F7F-405F-4762-BFCF-CAD75F1FE646}"/>
    <cellStyle name="Comma 810" xfId="32132" xr:uid="{8C2EE0B9-BFD1-421F-97A3-5C2EBA100A29}"/>
    <cellStyle name="Comma 811" xfId="32136" xr:uid="{6683B618-C8C2-49B0-BEB7-AAEB08C73D52}"/>
    <cellStyle name="Comma 812" xfId="32140" xr:uid="{F587DA3B-78B1-4610-9925-52A802FBDF05}"/>
    <cellStyle name="Comma 813" xfId="32144" xr:uid="{0070742E-FF38-47C6-8DC5-1BAC386782DF}"/>
    <cellStyle name="Comma 814" xfId="32148" xr:uid="{6EA78053-6C00-4F58-AC11-3A5DD5855255}"/>
    <cellStyle name="Comma 815" xfId="32153" xr:uid="{9137CD26-2A46-40EF-89D8-ACA0266AF2C1}"/>
    <cellStyle name="Comma 816" xfId="32157" xr:uid="{0A12009F-0124-4CC3-AE91-F34EEEDE43A5}"/>
    <cellStyle name="Comma 817" xfId="32161" xr:uid="{00A6E63C-986E-4E8A-AE8E-63F5899C0A39}"/>
    <cellStyle name="Comma 818" xfId="32165" xr:uid="{102C09F4-4A06-4E88-AD7A-38F3E50EC050}"/>
    <cellStyle name="Comma 819" xfId="29983" xr:uid="{BBC3662B-08D4-4055-8DCD-169B29455A86}"/>
    <cellStyle name="Comma 82" xfId="32168" xr:uid="{C6F96141-0E39-4247-ACE2-82FAC38C4094}"/>
    <cellStyle name="Comma 82 2" xfId="32206" xr:uid="{5C24D9E9-C0CA-4FA1-A669-4846A7541642}"/>
    <cellStyle name="Comma 820" xfId="32154" xr:uid="{42D05B2A-5ECD-47C9-8801-0175B3E56E7F}"/>
    <cellStyle name="Comma 821" xfId="32158" xr:uid="{EC3F0DDC-33B5-4C43-83FD-259D7494D89C}"/>
    <cellStyle name="Comma 822" xfId="32162" xr:uid="{9C05B79A-7281-4B22-83AB-1266B4C3E699}"/>
    <cellStyle name="Comma 823" xfId="32166" xr:uid="{C5BE343A-9F57-408E-84A7-7985823810E4}"/>
    <cellStyle name="Comma 824" xfId="29984" xr:uid="{A9AE1B44-A580-4974-A713-BCA152048979}"/>
    <cellStyle name="Comma 825" xfId="29992" xr:uid="{693FDB5B-8361-4D16-93A0-DC52BAFBC907}"/>
    <cellStyle name="Comma 826" xfId="30000" xr:uid="{357D6EB1-8FFF-4097-A8CB-6C366BE2F452}"/>
    <cellStyle name="Comma 827" xfId="30005" xr:uid="{BC60F9D0-DA3A-4559-8BC5-0D23407AFB39}"/>
    <cellStyle name="Comma 828" xfId="16863" xr:uid="{F3DD0247-F25A-4BC9-AFD6-17D95C735ADB}"/>
    <cellStyle name="Comma 829" xfId="16792" xr:uid="{85C4C3D1-56D1-4A4E-9437-2C5CB39A4C9E}"/>
    <cellStyle name="Comma 83" xfId="22750" xr:uid="{5574F0CC-D075-4E70-9F22-B79FDA0CB5EC}"/>
    <cellStyle name="Comma 83 2" xfId="22752" xr:uid="{93F70B55-74E1-4ACB-ACE0-82893973B163}"/>
    <cellStyle name="Comma 830" xfId="29993" xr:uid="{C26D0931-B6DD-46AF-B074-57A4CED82197}"/>
    <cellStyle name="Comma 831" xfId="30001" xr:uid="{F6723331-ED9E-4BA7-B04C-2C9295117320}"/>
    <cellStyle name="Comma 832" xfId="30006" xr:uid="{D02C3634-FF8E-4E91-8D4A-C05A0166EA4C}"/>
    <cellStyle name="Comma 833" xfId="16864" xr:uid="{8F60EB65-58CB-4FE5-8344-87D928D3F1C0}"/>
    <cellStyle name="Comma 834" xfId="16793" xr:uid="{9195AC0C-C266-41F3-9056-0D4AF7003630}"/>
    <cellStyle name="Comma 835" xfId="32171" xr:uid="{7A16EAEF-2B81-4E04-840D-ABCA90F6AA54}"/>
    <cellStyle name="Comma 836" xfId="32175" xr:uid="{CB42D8FD-B701-4D9E-9153-A0639E9615EB}"/>
    <cellStyle name="Comma 837" xfId="32179" xr:uid="{BC41DBF2-3F9B-49F1-A2A0-4E3605797A44}"/>
    <cellStyle name="Comma 838" xfId="32183" xr:uid="{1ECDD6EA-911E-40C8-9323-9EAAE15E38AF}"/>
    <cellStyle name="Comma 839" xfId="32187" xr:uid="{367131B6-BD99-4FD4-9140-A0F165578B52}"/>
    <cellStyle name="Comma 84" xfId="22757" xr:uid="{00760999-EE7E-4432-A81A-EA26409469CA}"/>
    <cellStyle name="Comma 84 2" xfId="22759" xr:uid="{4005C919-CA57-4727-BC07-9471A0CE9EDB}"/>
    <cellStyle name="Comma 840" xfId="32172" xr:uid="{245D93A9-4856-4D76-976C-A3013A2A3042}"/>
    <cellStyle name="Comma 841" xfId="32176" xr:uid="{70B096B5-FEA0-4785-A622-97CCE58E9328}"/>
    <cellStyle name="Comma 842" xfId="32180" xr:uid="{8268C364-01DC-496F-A5A5-EFA94AEAF1F0}"/>
    <cellStyle name="Comma 843" xfId="32184" xr:uid="{9CB9D817-2E19-461D-AAD4-395F81F93F98}"/>
    <cellStyle name="Comma 844" xfId="32188" xr:uid="{933AA78E-87B3-406C-B212-EF0601346767}"/>
    <cellStyle name="Comma 845" xfId="32190" xr:uid="{8438DC61-BD44-44AD-8129-7A16AE670640}"/>
    <cellStyle name="Comma 846" xfId="32193" xr:uid="{35175DD5-9383-457B-A732-68F19CD4357E}"/>
    <cellStyle name="Comma 847" xfId="32196" xr:uid="{6639CF1C-C9B8-4275-BDE3-DC6FEC305D84}"/>
    <cellStyle name="Comma 848" xfId="32200" xr:uid="{B8FA3CCA-EA89-44BE-8A3E-941C8DBC3E06}"/>
    <cellStyle name="Comma 848 2" xfId="32207" xr:uid="{1F0261C8-905C-4AAC-9984-B7238D47C01F}"/>
    <cellStyle name="Comma 849" xfId="32203" xr:uid="{C4F608B9-851F-4ACB-917F-C230E06F4983}"/>
    <cellStyle name="Comma 85" xfId="22763" xr:uid="{6C2C731A-83D4-422D-A3B6-C92EE8D250A1}"/>
    <cellStyle name="Comma 85 2" xfId="27300" xr:uid="{3A9F1940-F186-4207-9100-E9228548114D}"/>
    <cellStyle name="Comma 850" xfId="32191" xr:uid="{0982B2CE-262A-41BF-9D31-2F519475967D}"/>
    <cellStyle name="Comma 851" xfId="32194" xr:uid="{D95AF9A9-2B40-4F64-A88A-289C6C71CF78}"/>
    <cellStyle name="Comma 852" xfId="32197" xr:uid="{F9261B0B-5F84-4F4D-853C-8FD4FC1708DF}"/>
    <cellStyle name="Comma 853" xfId="32201" xr:uid="{16EE5563-CDFF-438C-AA23-80C7016F39D7}"/>
    <cellStyle name="Comma 854" xfId="32204" xr:uid="{43C32FEC-401D-48C4-BE15-FCDE283C1E79}"/>
    <cellStyle name="Comma 855" xfId="32208" xr:uid="{6CE1FB8D-90DD-48CB-B860-AA5FEB4F4DC5}"/>
    <cellStyle name="Comma 856" xfId="32210" xr:uid="{4DE3EC82-A8A8-48DC-B396-9BC77C10E92A}"/>
    <cellStyle name="Comma 857" xfId="32212" xr:uid="{30A3DAFD-B157-4B15-B254-8C514B41580F}"/>
    <cellStyle name="Comma 857 2" xfId="32216" xr:uid="{98950362-5398-494D-97F7-C2CBA873FC44}"/>
    <cellStyle name="Comma 858" xfId="32217" xr:uid="{B2535D76-1300-4C9A-ACFC-B606A56A3F49}"/>
    <cellStyle name="Comma 858 2" xfId="32219" xr:uid="{5FB9C96A-4258-4484-B30E-1B0C3E151884}"/>
    <cellStyle name="Comma 859" xfId="32220" xr:uid="{64EFE5BC-BA63-4519-8F60-9C666885A451}"/>
    <cellStyle name="Comma 86" xfId="27304" xr:uid="{21DCC1F5-E72E-43CA-8767-C64CE5E25B8E}"/>
    <cellStyle name="Comma 86 2" xfId="32222" xr:uid="{61CF74E3-096B-4A7A-A1EA-5FC96DB60721}"/>
    <cellStyle name="Comma 860" xfId="32209" xr:uid="{74ACFD10-ED6C-47BF-A844-7A15C5B834DF}"/>
    <cellStyle name="Comma 861" xfId="32211" xr:uid="{198D6089-F69C-4150-AC40-BFDD51B1199C}"/>
    <cellStyle name="Comma 861 2" xfId="32224" xr:uid="{7607792A-C7F8-4ADE-A8E8-AAC3B23EFCFD}"/>
    <cellStyle name="Comma 862" xfId="32213" xr:uid="{C96ADAD9-6BEE-4544-8D19-FDB6D3DD477A}"/>
    <cellStyle name="Comma 863" xfId="32218" xr:uid="{ABC5DF94-0C7C-4EA0-9D95-AA70BA935E8C}"/>
    <cellStyle name="Comma 864" xfId="32221" xr:uid="{E7213BE0-AE00-4BD8-86E8-DE9F73A4AB95}"/>
    <cellStyle name="Comma 865" xfId="32225" xr:uid="{92DB1ACB-5C09-4164-A75F-962522D97CFE}"/>
    <cellStyle name="Comma 866" xfId="32226" xr:uid="{8D12C03F-27C9-4A17-8639-B7C1C8B98E05}"/>
    <cellStyle name="Comma 867" xfId="54143" xr:uid="{3290ABDF-1927-4074-B1E3-4E1ED9D8C3E6}"/>
    <cellStyle name="Comma 867 2" xfId="54164" xr:uid="{6D74C46D-3D3E-4D50-B37A-138B67570451}"/>
    <cellStyle name="Comma 867 3" xfId="54173" xr:uid="{99588339-DC4E-44BF-9FFC-360833E18C31}"/>
    <cellStyle name="Comma 868" xfId="54154" xr:uid="{1F83EA99-444D-4093-82A4-7A06AF739B8E}"/>
    <cellStyle name="Comma 869" xfId="54182" xr:uid="{ACC73746-FAAE-4BBB-B867-4D1049D3F5A3}"/>
    <cellStyle name="Comma 869 2" xfId="54172" xr:uid="{005E3A94-0F58-460D-BE96-B0540C11CD9E}"/>
    <cellStyle name="Comma 87" xfId="20623" xr:uid="{230C85D9-4A70-441B-951E-154D68C98558}"/>
    <cellStyle name="Comma 87 2" xfId="20627" xr:uid="{83F3F22D-7C2A-4543-A35E-693F2C16746A}"/>
    <cellStyle name="Comma 870" xfId="54169" xr:uid="{C9CE41BC-9F9E-4390-85FD-BA68C999EA85}"/>
    <cellStyle name="Comma 871" xfId="54189" xr:uid="{6FDAFA6E-D60E-423A-A9B7-B3532B3ADA11}"/>
    <cellStyle name="Comma 872" xfId="54220" xr:uid="{43D1BA2E-8D98-4782-9306-462552913230}"/>
    <cellStyle name="Comma 873" xfId="23" xr:uid="{85B8CDC4-3178-42F3-8A8E-FD57B61B569D}"/>
    <cellStyle name="Comma 88" xfId="20635" xr:uid="{D89C3D08-1995-4F8C-AB35-E43B0D9064BB}"/>
    <cellStyle name="Comma 88 2" xfId="20639" xr:uid="{56132C0B-066A-4620-9149-C5614CC162F3}"/>
    <cellStyle name="Comma 89" xfId="2191" xr:uid="{8E0295B1-BED5-4D23-A9DC-8CA53DB83B2D}"/>
    <cellStyle name="Comma 89 2" xfId="21621" xr:uid="{5C1B2D5C-B31D-43F9-83F9-69E3B2D952F3}"/>
    <cellStyle name="Comma 9" xfId="1848" xr:uid="{971F384A-278F-45BE-8DF9-769BC40BFA7F}"/>
    <cellStyle name="Comma 9 2" xfId="1859" xr:uid="{9C8B130C-BBB1-4F57-9B62-AFDE3BE7AC23}"/>
    <cellStyle name="Comma 9 3" xfId="4605" xr:uid="{726021FB-7967-49CE-807D-49777BC541B5}"/>
    <cellStyle name="Comma 9 4" xfId="13272" xr:uid="{7532F7FF-127E-49CD-8D03-057C05DD0264}"/>
    <cellStyle name="Comma 90" xfId="22764" xr:uid="{83749EF8-DEF3-4B0E-8A8E-5988EF66365B}"/>
    <cellStyle name="Comma 90 2" xfId="27301" xr:uid="{1E9C89EE-CAB0-4879-858F-9FAB5282E1D1}"/>
    <cellStyle name="Comma 91" xfId="27305" xr:uid="{DC6C85BE-E955-4120-A110-14AB16B1382A}"/>
    <cellStyle name="Comma 91 2" xfId="32223" xr:uid="{C2E4119F-8C47-487B-9694-C2C646A46ED9}"/>
    <cellStyle name="Comma 92" xfId="20624" xr:uid="{D09CB65E-52FB-4A8A-909E-F48EA5DE8048}"/>
    <cellStyle name="Comma 92 2" xfId="20628" xr:uid="{23894450-1544-4B7B-A4A7-EFB441D2ED0B}"/>
    <cellStyle name="Comma 93" xfId="20636" xr:uid="{1D7C3A82-00E3-4675-B54A-992F2AA0FB6C}"/>
    <cellStyle name="Comma 93 2" xfId="20640" xr:uid="{3522E0BD-E0D8-4A09-963B-2AD5A26C1C50}"/>
    <cellStyle name="Comma 94" xfId="2192" xr:uid="{FA03DD80-BF22-45E1-A393-6311AB67B141}"/>
    <cellStyle name="Comma 94 2" xfId="21622" xr:uid="{6BA3A4DF-FC32-48D5-82C6-CC3E9DBF49E2}"/>
    <cellStyle name="Comma 95" xfId="21624" xr:uid="{85652C93-BF5D-4BE2-8522-12F4BE84F712}"/>
    <cellStyle name="Comma 95 2" xfId="32227" xr:uid="{C330DD55-3F8E-4235-B3C5-F19E2A91E9E9}"/>
    <cellStyle name="Comma 96" xfId="32228" xr:uid="{13F09530-132E-4123-B7DE-7DB25214D949}"/>
    <cellStyle name="Comma 96 2" xfId="32229" xr:uid="{E8723D62-05AA-4265-8557-8B92270984F5}"/>
    <cellStyle name="Comma 97" xfId="32230" xr:uid="{39D72855-857D-4397-8E33-860CFB4A8513}"/>
    <cellStyle name="Comma 97 2" xfId="32231" xr:uid="{8DBA8833-3EDC-48D0-958F-AB06CF1D8202}"/>
    <cellStyle name="Comma 98" xfId="32232" xr:uid="{518F336C-092B-4F67-8C2A-D7152943AAB9}"/>
    <cellStyle name="Comma 98 2" xfId="32233" xr:uid="{8221F016-574E-446F-92F1-1C7973275DE7}"/>
    <cellStyle name="Comma 99" xfId="10712" xr:uid="{02F2D52C-6937-4594-A2FC-1DF71E9AF92B}"/>
    <cellStyle name="Comma 99 2" xfId="10714" xr:uid="{B5C897F8-213E-4946-B497-292924F9DAD7}"/>
    <cellStyle name="Currency" xfId="54226" builtinId="4"/>
    <cellStyle name="Currency 2" xfId="27421" xr:uid="{3D08AC3E-67D4-4582-93CD-87DE11031076}"/>
    <cellStyle name="Excel Built-in Comma" xfId="29846" xr:uid="{BD208B54-FD83-4532-B2A0-DFF8764DF6FB}"/>
    <cellStyle name="Excel Built-in Comma 1" xfId="32234" xr:uid="{CC41CA65-3206-4D6C-A038-CA973DE5DCE3}"/>
    <cellStyle name="Excel Built-in Comma 2" xfId="29848" xr:uid="{BA70CE74-83DB-4277-8485-652DC6F02A6F}"/>
    <cellStyle name="Excel Built-in Hyperlink" xfId="32235" xr:uid="{E4FEB5C8-BDF5-47EC-BF65-1EDE1A5120BC}"/>
    <cellStyle name="Excel_BuiltIn_Comma" xfId="2956" xr:uid="{A5BAB77B-A043-45F2-BCC7-DCEF008447A3}"/>
    <cellStyle name="Explanatory Text 2" xfId="32236" xr:uid="{29F2D76D-75D1-4F20-82AD-C58C0B69E428}"/>
    <cellStyle name="Explanatory Text 2 2" xfId="30198" xr:uid="{77591CE6-DBE6-4093-8E6A-282B62D70CDD}"/>
    <cellStyle name="Explanatory Text 2 3" xfId="30200" xr:uid="{49ACF297-9243-4920-B991-1E6A6A755EFE}"/>
    <cellStyle name="Explanatory Text 2 4" xfId="32237" xr:uid="{3E35A046-0B3A-48F2-80A3-89D26366DD24}"/>
    <cellStyle name="Explanatory Text 2 5" xfId="32238" xr:uid="{2A9FB5EC-A7BB-4AEB-B0B4-D4B6C332D646}"/>
    <cellStyle name="Explanatory Text 2 6" xfId="14432" xr:uid="{0A41413A-F068-4DBE-BD90-3ED19AB1C53E}"/>
    <cellStyle name="Explanatory Text 2 7" xfId="14440" xr:uid="{281C5C16-A594-4C6B-84C7-B892524172D2}"/>
    <cellStyle name="Explanatory Text 3" xfId="10282" xr:uid="{F466C8E2-511A-42DB-AB0F-E947279AA084}"/>
    <cellStyle name="Explanatory Text 4" xfId="10287" xr:uid="{E6AB39EA-8EE8-47F8-A239-F1534EC009E3}"/>
    <cellStyle name="Explanatory Text 5" xfId="10293" xr:uid="{F686EC19-28C8-458A-B2FF-E6DD64C40B8E}"/>
    <cellStyle name="Explanatory Text 6" xfId="32239" xr:uid="{C523091B-3F57-448B-8927-53FA552BCFD9}"/>
    <cellStyle name="Good 2" xfId="17870" xr:uid="{853E01D3-DCF9-4A08-AC93-AAAB4E6AACF0}"/>
    <cellStyle name="Good 2 2" xfId="32241" xr:uid="{E71D68B7-23C6-4754-870D-88074B235CE6}"/>
    <cellStyle name="Good 2 3" xfId="32243" xr:uid="{65620316-0418-4B29-9D64-A7EDB7A999B0}"/>
    <cellStyle name="Good 2 4" xfId="32244" xr:uid="{BF1B184C-0433-4552-842C-194B020B52EA}"/>
    <cellStyle name="Good 2 5" xfId="32245" xr:uid="{EDF1B51B-21AD-4F06-A385-E72A433A02FD}"/>
    <cellStyle name="Good 2 6" xfId="16467" xr:uid="{D2A03AB1-4FDF-443C-9A92-0AB271AF16E1}"/>
    <cellStyle name="Good 2 7" xfId="32246" xr:uid="{6FDBE3DD-24CE-44AD-AD07-819272377490}"/>
    <cellStyle name="Good 3" xfId="17873" xr:uid="{2B6245FA-DC90-47A0-BCE5-C615A19DB4D8}"/>
    <cellStyle name="Good 4" xfId="17876" xr:uid="{9E496DC6-D105-48C2-B0DD-FED64F1AF3FA}"/>
    <cellStyle name="Good 5" xfId="9783" xr:uid="{4BE0F475-9659-409E-A0AF-48CFAB9238DC}"/>
    <cellStyle name="Good 6" xfId="9788" xr:uid="{C9468939-BA24-4445-A4FA-021421B70C72}"/>
    <cellStyle name="header" xfId="32247" xr:uid="{A29F4906-5F13-4C01-93DD-04586FE7011A}"/>
    <cellStyle name="Header Total" xfId="32248" xr:uid="{3FF5E757-4890-4C15-A9DC-641D7C17FCBB}"/>
    <cellStyle name="Header1" xfId="32249" xr:uid="{9FEFB128-E893-4791-A245-CED34BE6AD85}"/>
    <cellStyle name="Header2" xfId="2262" xr:uid="{8E269FF3-ED48-4EFC-9E06-90AB0DC93313}"/>
    <cellStyle name="Header3" xfId="32250" xr:uid="{8D8266A4-DA3C-40D0-BE30-AB7B141989C8}"/>
    <cellStyle name="Header4" xfId="31465" xr:uid="{6BD50D9B-0FFA-47DF-92B3-5B9F9A738996}"/>
    <cellStyle name="Heading" xfId="10425" xr:uid="{88497FC9-2EB7-4D39-ACB5-E9489CE1C167}"/>
    <cellStyle name="Heading 1 2" xfId="29400" xr:uid="{40404A0F-5A27-4810-9DDA-1076919B3D43}"/>
    <cellStyle name="Heading 1 2 2" xfId="29402" xr:uid="{8C4C56EB-5361-4481-9B20-EEAF8981B7B0}"/>
    <cellStyle name="Heading 1 2 3" xfId="32252" xr:uid="{F0C94CB7-DEB9-46DE-AF28-9081285D6A08}"/>
    <cellStyle name="Heading 1 2 4" xfId="32253" xr:uid="{3B800238-0DBC-4FE5-89BF-4BB918E36BAC}"/>
    <cellStyle name="Heading 1 2 5" xfId="12306" xr:uid="{9C480986-20F1-4131-91DC-1C41EB35E9F9}"/>
    <cellStyle name="Heading 1 2 6" xfId="12326" xr:uid="{6A1DF3A8-25DD-4909-B198-DA87DBEA4AC6}"/>
    <cellStyle name="Heading 1 2 7" xfId="3381" xr:uid="{C5DB1C8E-8217-454E-ABA4-4865FC451F1B}"/>
    <cellStyle name="Heading 1 3" xfId="29404" xr:uid="{09BF4760-ED3C-4690-A40D-07BA1930ABA2}"/>
    <cellStyle name="Heading 1 4" xfId="21273" xr:uid="{8A6256E7-C49E-49DA-8988-A37B40F1A29C}"/>
    <cellStyle name="Heading 1 5" xfId="21277" xr:uid="{589D9CF5-D197-4C4C-A943-21F359F3AAD7}"/>
    <cellStyle name="Heading 1 6" xfId="21279" xr:uid="{13616D90-B7B5-4E30-8937-700B706B6B12}"/>
    <cellStyle name="Heading 2 2" xfId="29412" xr:uid="{2CEAE8BE-9340-4BED-8691-5442B36611AF}"/>
    <cellStyle name="Heading 2 2 2" xfId="32254" xr:uid="{B4D35110-73F1-4DDF-B31A-B01DE178E1EF}"/>
    <cellStyle name="Heading 2 2 3" xfId="32255" xr:uid="{C3E79CC6-EDC3-4161-AB8C-7EDEFAB3D0E0}"/>
    <cellStyle name="Heading 2 2 4" xfId="32256" xr:uid="{EEC762FE-E5E3-4B74-9793-F6DEBC28977E}"/>
    <cellStyle name="Heading 2 2 5" xfId="12399" xr:uid="{D71C05B2-7F14-4F3A-A889-C02BF5ECB870}"/>
    <cellStyle name="Heading 2 2 6" xfId="12409" xr:uid="{0AF79014-A1E8-4576-BF32-11CB2CF42F0F}"/>
    <cellStyle name="Heading 2 2 7" xfId="12415" xr:uid="{D4E95E32-29AC-41E0-AB2D-AA4F0819A189}"/>
    <cellStyle name="Heading 2 3" xfId="32258" xr:uid="{C46E5A6D-13F4-498B-84D7-8999623C57A7}"/>
    <cellStyle name="Heading 2 4" xfId="21281" xr:uid="{9B0933AA-7CE6-4983-BF96-D83563BDD823}"/>
    <cellStyle name="Heading 2 5" xfId="21284" xr:uid="{96428B4F-FE4C-4151-BA13-BDBBE2C2BE38}"/>
    <cellStyle name="Heading 2 6" xfId="32260" xr:uid="{CB8EE268-F738-4019-BB0E-577A26FBCD9D}"/>
    <cellStyle name="Heading 3 2" xfId="32261" xr:uid="{5F27BE04-0BB5-42AB-9F41-A954A90C334B}"/>
    <cellStyle name="Heading 3 2 2" xfId="23335" xr:uid="{CA66590B-E069-4B72-84FF-6D5B359C7DF6}"/>
    <cellStyle name="Heading 3 2 2 2" xfId="23337" xr:uid="{C6080DBA-76D0-46F0-8FD2-4D099AD69448}"/>
    <cellStyle name="Heading 3 2 3" xfId="23343" xr:uid="{A27B09A7-CA86-4FC1-9225-622A001E5645}"/>
    <cellStyle name="Heading 3 2 3 2" xfId="23345" xr:uid="{0484F869-466D-4A74-B163-7E29C82A5F9B}"/>
    <cellStyle name="Heading 3 2 4" xfId="23348" xr:uid="{D6A0008F-D8CE-4524-AE4C-4745D2EA518F}"/>
    <cellStyle name="Heading 3 2 4 2" xfId="29298" xr:uid="{25CA77E4-F0CB-4071-9858-F0C907730B87}"/>
    <cellStyle name="Heading 3 2 5" xfId="12445" xr:uid="{0D6A7F27-4D43-4B28-9A69-AD431C1E952A}"/>
    <cellStyle name="Heading 3 2 5 2" xfId="12447" xr:uid="{7B56FEF8-06EC-4BAF-944B-0027DC8E8647}"/>
    <cellStyle name="Heading 3 2 6" xfId="12451" xr:uid="{299EED2D-79BF-437A-9595-373ADFEF1707}"/>
    <cellStyle name="Heading 3 2 6 2" xfId="12453" xr:uid="{705EADE3-2ECD-495D-BECD-60AF0C1CDFF0}"/>
    <cellStyle name="Heading 3 2 7" xfId="12457" xr:uid="{8C00907F-E76D-4D40-9C29-0EFE8823C965}"/>
    <cellStyle name="Heading 3 2 7 2" xfId="19885" xr:uid="{74737C5B-29DA-4CA0-9A26-472902804672}"/>
    <cellStyle name="Heading 3 3" xfId="32262" xr:uid="{26E113C8-F44D-4604-A4D5-1193B1EACDB8}"/>
    <cellStyle name="Heading 3 4" xfId="21286" xr:uid="{4CB30596-945E-4078-BCD9-B65AEFF83E1B}"/>
    <cellStyle name="Heading 3 5" xfId="32264" xr:uid="{64A1679A-91A0-466C-B273-2FB43A014EE3}"/>
    <cellStyle name="Heading 3 6" xfId="32265" xr:uid="{DF4AA9D4-AA77-4776-9501-3754B6D2D911}"/>
    <cellStyle name="Heading 4 2" xfId="32266" xr:uid="{074903FC-F897-4287-A4A1-0E0A651BED5F}"/>
    <cellStyle name="Heading 4 2 2" xfId="18269" xr:uid="{0AECBA57-1D0D-4111-8058-FF9E268DBD0F}"/>
    <cellStyle name="Heading 4 2 3" xfId="18273" xr:uid="{08A48577-D807-44C2-A735-088DB6AFE353}"/>
    <cellStyle name="Heading 4 2 4" xfId="18302" xr:uid="{C687C6F3-2816-4F72-948F-52B9D2100535}"/>
    <cellStyle name="Heading 4 2 5" xfId="12469" xr:uid="{732CFF47-FE8B-40C0-87D2-56344F4BA276}"/>
    <cellStyle name="Heading 4 2 6" xfId="12475" xr:uid="{10FF6231-A24E-4C4C-8F4E-BA9D802EFA28}"/>
    <cellStyle name="Heading 4 2 7" xfId="20004" xr:uid="{C6E17DD7-D9C4-4701-8EDB-06EA12152BE9}"/>
    <cellStyle name="Heading 4 3" xfId="32267" xr:uid="{180FEE72-FDE0-4D82-A6F2-FEF38C9C9581}"/>
    <cellStyle name="Heading 4 4" xfId="32268" xr:uid="{343E70AC-11C9-4BF0-BF41-4574A5C3EF96}"/>
    <cellStyle name="Heading 4 5" xfId="32269" xr:uid="{15C29CE6-1ECE-4525-BEA8-F7BD38932ABB}"/>
    <cellStyle name="Heading 4 6" xfId="32270" xr:uid="{36C6A826-7E71-4DF2-AE10-CE7520A50785}"/>
    <cellStyle name="Heading1" xfId="13506" xr:uid="{94019988-2B50-4860-979F-4419DF8C672C}"/>
    <cellStyle name="Heading1 1" xfId="32271" xr:uid="{CC18091C-256B-4990-BFA4-6A72666C35B5}"/>
    <cellStyle name="Hyperlink 2" xfId="32272" xr:uid="{D47D197D-8D34-459E-A3ED-47AB8F5869A8}"/>
    <cellStyle name="Hyperlink 2 2" xfId="32273" xr:uid="{2F179F90-CC1D-4EFE-B2C9-555BDA706703}"/>
    <cellStyle name="Hyperlink 3" xfId="32275" xr:uid="{EAACD01D-8483-4E12-826B-249FF9872BB0}"/>
    <cellStyle name="Hyperlink 3 2" xfId="7951" xr:uid="{8437113F-2689-4779-A47E-C108A10480B6}"/>
    <cellStyle name="Hyperlink 4" xfId="32276" xr:uid="{5DE2AA80-1EAA-4C26-B714-86A30B4E8DB1}"/>
    <cellStyle name="Hyperlink 5" xfId="12199" xr:uid="{FC1078A2-7D9C-446B-98B3-3FB590332F65}"/>
    <cellStyle name="Input 2" xfId="23074" xr:uid="{99645083-F0BD-4DE2-A0AA-24D639F36905}"/>
    <cellStyle name="Input 2 2" xfId="23079" xr:uid="{756C6A5B-9996-47FE-8B09-2AA1F0AAF80D}"/>
    <cellStyle name="Input 2 2 2" xfId="31015" xr:uid="{6D6B3BD2-5437-4632-8F76-DDCD23BF38D8}"/>
    <cellStyle name="Input 2 2 3" xfId="16362" xr:uid="{820FF24F-B8C8-4610-94A1-8A5821C30A26}"/>
    <cellStyle name="Input 2 3" xfId="32277" xr:uid="{4E29E3D1-95AD-420B-865D-714E7F0B1D77}"/>
    <cellStyle name="Input 2 4" xfId="32278" xr:uid="{8A45D176-05D0-4FC4-AD86-E3A541D4A1F5}"/>
    <cellStyle name="Input 2 5" xfId="13886" xr:uid="{9291E091-E2E0-49A2-8463-F1EB2404228D}"/>
    <cellStyle name="Input 2 6" xfId="13904" xr:uid="{15559E4C-6AB6-4767-BDEE-1B9A2D835F4A}"/>
    <cellStyle name="Input 2 7" xfId="13912" xr:uid="{20E47BDB-FCEF-4B9C-91CA-CEA6F9A70143}"/>
    <cellStyle name="Input 3" xfId="23084" xr:uid="{B12BD2AE-E286-4288-BA1D-CF31BB407C0C}"/>
    <cellStyle name="Input 4" xfId="29271" xr:uid="{50899AD2-B852-4202-BDB7-36822E9AFE62}"/>
    <cellStyle name="Input 5" xfId="32281" xr:uid="{1BB1FA78-D98C-4DA1-9116-8FF86E414B30}"/>
    <cellStyle name="Input 6" xfId="32282" xr:uid="{CEC60A84-8EF4-4416-8A9C-52F9FBB13967}"/>
    <cellStyle name="Linked Cell 2" xfId="23253" xr:uid="{39B92923-4130-4FAF-990F-E6005F8E7D09}"/>
    <cellStyle name="Linked Cell 2 2" xfId="28487" xr:uid="{EB353E7F-A938-42E3-AACD-D67B2DB4A0CA}"/>
    <cellStyle name="Linked Cell 2 3" xfId="32283" xr:uid="{F67413C0-083D-4ECD-B07B-2DB9B3E4A2E3}"/>
    <cellStyle name="Linked Cell 2 4" xfId="7906" xr:uid="{B50762C7-662B-4307-A035-29A26F1DA45C}"/>
    <cellStyle name="Linked Cell 2 5" xfId="32284" xr:uid="{2439797C-88E1-433E-B7A0-0AE11720D9FD}"/>
    <cellStyle name="Linked Cell 2 6" xfId="32285" xr:uid="{8ECCFD92-1EC4-4F0B-BECC-F5CA99D86DA4}"/>
    <cellStyle name="Linked Cell 2 7" xfId="32286" xr:uid="{402B2E15-63EC-40E4-A6CF-86D314F36BD0}"/>
    <cellStyle name="Linked Cell 3" xfId="22598" xr:uid="{7FE318BA-EFA0-4956-B6B5-88C526DED73F}"/>
    <cellStyle name="Linked Cell 4" xfId="22601" xr:uid="{D2F40AC4-04F5-4A35-A19E-FEBC83ECFD27}"/>
    <cellStyle name="Linked Cell 5" xfId="10085" xr:uid="{41E6F4EA-F95C-4C56-B4D1-FD9DE67E49F9}"/>
    <cellStyle name="Linked Cell 6" xfId="32287" xr:uid="{26F04290-9CE7-4E01-88AA-DA212E9BF088}"/>
    <cellStyle name="Neutral 2" xfId="10172" xr:uid="{B9DEDFE1-FB9E-46CC-8C6F-7F6A1D1BAADD}"/>
    <cellStyle name="Neutral 2 2" xfId="10175" xr:uid="{5F10A41A-EADF-4FA6-8515-C4A4061AB6C4}"/>
    <cellStyle name="Neutral 2 3" xfId="9941" xr:uid="{3D0EFBDD-7231-4A6B-A576-0135BF2D41A8}"/>
    <cellStyle name="Neutral 2 4" xfId="7024" xr:uid="{175FBAE2-82DF-4E00-BCF8-9134DAA334AF}"/>
    <cellStyle name="Neutral 2 5" xfId="7044" xr:uid="{D4FBB959-3120-489A-A745-2DC0F3DD7224}"/>
    <cellStyle name="Neutral 2 6" xfId="9405" xr:uid="{BD829988-9C71-4E08-85A6-D61046B982B0}"/>
    <cellStyle name="Neutral 2 7" xfId="9929" xr:uid="{BFE422CA-BFB1-45E6-A744-171C1298FB52}"/>
    <cellStyle name="Neutral 3" xfId="1938" xr:uid="{BD22CF35-8354-4905-8437-B70D0F514B3F}"/>
    <cellStyle name="Neutral 4" xfId="32288" xr:uid="{F7C821A6-26D4-4D1B-BDF3-B0F12B660297}"/>
    <cellStyle name="Neutral 5" xfId="15159" xr:uid="{6D0C0E53-EAC5-4ADF-945E-1A8D1789DE8E}"/>
    <cellStyle name="Neutral 6" xfId="11271" xr:uid="{E44B3822-ACB6-427E-BE31-F07C8937FC89}"/>
    <cellStyle name="NonPrint_copyright" xfId="18803" xr:uid="{E7B650D1-9896-480B-97FD-4247B4709995}"/>
    <cellStyle name="Normal" xfId="0" builtinId="0"/>
    <cellStyle name="Normal - Style1" xfId="32289" xr:uid="{AF7A3AE2-E0AE-4C5B-B56F-0FF609E57593}"/>
    <cellStyle name="Normal - Style2" xfId="32290" xr:uid="{AA29B9D3-D9CB-4A41-88A0-B4CD6AF16ADA}"/>
    <cellStyle name="Normal - Style3" xfId="32291" xr:uid="{1C0F96CD-234C-48FD-9B77-3D3854B5750F}"/>
    <cellStyle name="Normal - Style4" xfId="22074" xr:uid="{75FF316C-18E8-4A55-803E-5F667EE85604}"/>
    <cellStyle name="Normal - Style5" xfId="23991" xr:uid="{1FA45B50-E510-48E6-9869-747EEE4EEB80}"/>
    <cellStyle name="Normal - Style6" xfId="23995" xr:uid="{68814CF4-E772-4CEA-A35C-6A71A7C71E9E}"/>
    <cellStyle name="Normal - Style7" xfId="2768" xr:uid="{3C13A4E0-B107-4661-BF9E-3FC60AC03172}"/>
    <cellStyle name="Normal - Style8" xfId="2826" xr:uid="{A8A7F1F0-3621-4AA5-BA42-B7479149DD7F}"/>
    <cellStyle name="Normal 10" xfId="3707" xr:uid="{8B2889D8-E9C7-4B8D-826D-182C10591B99}"/>
    <cellStyle name="Normal 10 10" xfId="32292" xr:uid="{B756E837-97B4-49F7-9C97-CBC02CCA8E21}"/>
    <cellStyle name="Normal 10 11" xfId="21150" xr:uid="{9295ACD4-5D95-492B-AFE3-16D5D5590E6C}"/>
    <cellStyle name="Normal 10 11 2" xfId="16444" xr:uid="{8FD78F67-8064-45F5-8F6B-004A34A397E6}"/>
    <cellStyle name="Normal 10 11 2 18 2" xfId="54204" xr:uid="{A9A9FAA1-013B-45B3-829F-997E1941398C}"/>
    <cellStyle name="Normal 10 11 2 2" xfId="16446" xr:uid="{7BDA0576-6218-4E16-8C24-2AA0CFEE3EE5}"/>
    <cellStyle name="Normal 10 11 2 3" xfId="54153" xr:uid="{013ECBC3-E2A9-4C00-819F-2E34D04C9D56}"/>
    <cellStyle name="Normal 10 11 2 3 2" xfId="54163" xr:uid="{7F2BC0B0-B013-4255-BC10-1C7A6FF98796}"/>
    <cellStyle name="Normal 10 11 2 3 3" xfId="54187" xr:uid="{02C188F4-B291-494B-BB4D-5709455D2E67}"/>
    <cellStyle name="Normal 10 11 2 4" xfId="54180" xr:uid="{E7ED4A5C-121E-431C-A9FD-1C9ED035EEE1}"/>
    <cellStyle name="Normal 10 11 2 4 3" xfId="54171" xr:uid="{A4CED5FE-3554-48C6-8C14-1F356408A660}"/>
    <cellStyle name="Normal 10 11 2 4 4" xfId="54185" xr:uid="{B0F4EE09-760E-4685-9F16-66260B7B9C8E}"/>
    <cellStyle name="Normal 10 11 2 5" xfId="54194" xr:uid="{C0A9BA64-6172-4557-9014-0A3AC3F60D32}"/>
    <cellStyle name="Normal 10 11 2 5 2" xfId="54168" xr:uid="{18349E1A-A53D-44BC-9314-1B0B3DA77503}"/>
    <cellStyle name="Normal 10 11 2 6" xfId="54205" xr:uid="{1211D3F9-4DA7-424C-B6D8-A99245E2DC48}"/>
    <cellStyle name="Normal 10 11 2 7" xfId="54217" xr:uid="{728EC049-2687-4CD3-BF9C-CE32A3A14A2B}"/>
    <cellStyle name="Normal 10 11 2 8" xfId="54223" xr:uid="{37E4B4E9-D1D7-4A50-A343-CED0A0C1DF33}"/>
    <cellStyle name="Normal 10 12" xfId="32293" xr:uid="{9414EFF8-A001-4CD2-9E52-EA8DEF51C8B5}"/>
    <cellStyle name="Normal 10 13" xfId="32294" xr:uid="{D4E0BA28-31EB-4D94-BDBB-E8447B222CE7}"/>
    <cellStyle name="Normal 10 14" xfId="11574" xr:uid="{6B756DF3-484F-43EC-A625-E725697EC63D}"/>
    <cellStyle name="Normal 10 15" xfId="3222" xr:uid="{90F1DEFA-4792-4824-AFA1-CC60C485D6DF}"/>
    <cellStyle name="Normal 10 16" xfId="32296" xr:uid="{32DAC638-D155-46E5-8D15-96C7E2C9BEEE}"/>
    <cellStyle name="Normal 10 17" xfId="12558" xr:uid="{E0C5FFFE-6395-446B-8981-6F8CB229667E}"/>
    <cellStyle name="Normal 10 18" xfId="32298" xr:uid="{CCF609C5-8DA4-4145-B468-2E47BFDE7EA1}"/>
    <cellStyle name="Normal 10 19" xfId="32300" xr:uid="{57BC16B8-C8F4-4D57-9F94-671A10967733}"/>
    <cellStyle name="Normal 10 2" xfId="2950" xr:uid="{C244BF25-FC2E-49AA-877B-866E2FF21677}"/>
    <cellStyle name="Normal 10 2 2" xfId="15348" xr:uid="{D8B66432-146C-4E1D-9CEF-41C0894B0856}"/>
    <cellStyle name="Normal 10 2 2 2" xfId="30043" xr:uid="{020FBB12-6A03-4D61-9CC3-AB5CD93396F9}"/>
    <cellStyle name="Normal 10 2 2 2 2" xfId="22576" xr:uid="{D2816FA8-DFBF-44F8-9EC4-AE371EDEA3B5}"/>
    <cellStyle name="Normal 10 2 2 2 2 2" xfId="7405" xr:uid="{0744B095-80EB-4418-94F4-4FE7674E773A}"/>
    <cellStyle name="Normal 10 2 2 2 2 2 2" xfId="32302" xr:uid="{8DA7A13E-6306-419C-89FE-F8646565FFC6}"/>
    <cellStyle name="Normal 10 2 2 2 2 2 2 2" xfId="32263" xr:uid="{B6603A7F-C638-43AA-A0BE-CC1F554CC462}"/>
    <cellStyle name="Normal 10 2 2 2 2 2 3" xfId="15937" xr:uid="{0AF1C71F-0670-40B4-845E-C77BFBED799E}"/>
    <cellStyle name="Normal 10 2 2 2 2 3" xfId="4777" xr:uid="{C3B5EF35-D0A0-41BC-A1A3-488C5D7E5CB9}"/>
    <cellStyle name="Normal 10 2 2 2 2 3 2" xfId="26205" xr:uid="{AA8D4E5D-D825-49FF-8BA8-BA6C2EDA0B48}"/>
    <cellStyle name="Normal 10 2 2 2 2 3 2 2" xfId="32305" xr:uid="{9547B3BA-61A7-414F-AF25-88931FCD3753}"/>
    <cellStyle name="Normal 10 2 2 2 2 3 3" xfId="32307" xr:uid="{9D358533-6B58-4CC9-BE20-77FF47876905}"/>
    <cellStyle name="Normal 10 2 2 2 2 4" xfId="19372" xr:uid="{F8D0CBF1-316B-4187-9E16-C6B73A1874DB}"/>
    <cellStyle name="Normal 10 2 2 2 2 4 2" xfId="32308" xr:uid="{F80B837A-1B18-4734-8107-EE16AD73990C}"/>
    <cellStyle name="Normal 10 2 2 2 2 5" xfId="19377" xr:uid="{F5E08A2B-E4D0-4E3E-AB88-FE51D293AC24}"/>
    <cellStyle name="Normal 10 2 2 2 3" xfId="22579" xr:uid="{1DF6566A-89B9-47C4-A633-9217BAAA7BF5}"/>
    <cellStyle name="Normal 10 2 2 2 3 2" xfId="7456" xr:uid="{6351BDC3-2238-4079-A670-21B2916AF180}"/>
    <cellStyle name="Normal 10 2 2 2 3 2 2" xfId="31383" xr:uid="{AD33BD3E-FCAA-447B-A3AF-B8D456622162}"/>
    <cellStyle name="Normal 10 2 2 2 3 3" xfId="26210" xr:uid="{5AF55FCC-D8E4-4FE3-B895-04707D9162FD}"/>
    <cellStyle name="Normal 10 2 2 2 4" xfId="32309" xr:uid="{C9EB97B2-8146-4778-A35D-DB10C9F346BC}"/>
    <cellStyle name="Normal 10 2 2 2 4 2" xfId="20807" xr:uid="{57D6E587-A5E1-4C14-ABBD-9E62CEB48F94}"/>
    <cellStyle name="Normal 10 2 2 2 4 2 2" xfId="20810" xr:uid="{1ADDDF52-31A4-4485-9F48-7AFB79F73650}"/>
    <cellStyle name="Normal 10 2 2 2 4 3" xfId="7980" xr:uid="{CB73206B-7552-402A-8C15-5CED5EB56707}"/>
    <cellStyle name="Normal 10 2 2 2 5" xfId="32310" xr:uid="{1678D810-657B-4854-B7AF-1B7F1200B80A}"/>
    <cellStyle name="Normal 10 2 2 2 5 2" xfId="21387" xr:uid="{703A692A-19FC-4F6A-9928-EB6D6AFE84D2}"/>
    <cellStyle name="Normal 10 2 2 2 6" xfId="32311" xr:uid="{9474019F-3D5B-4750-BD9A-9DFE7A1F68E8}"/>
    <cellStyle name="Normal 10 2 2 3" xfId="30045" xr:uid="{B9AC0EB2-11C4-4909-ACF9-1D61A45DC7A0}"/>
    <cellStyle name="Normal 10 2 2 3 2" xfId="22584" xr:uid="{78990A70-3836-40F2-960B-2115CB38D85D}"/>
    <cellStyle name="Normal 10 2 2 3 2 2" xfId="7542" xr:uid="{DCC5BA47-F3B1-4009-AAD5-6F2BFB3406BE}"/>
    <cellStyle name="Normal 10 2 2 3 2 2 2" xfId="32312" xr:uid="{054A8CB2-8059-4F99-B389-C6D20E3A7D93}"/>
    <cellStyle name="Normal 10 2 2 3 2 3" xfId="26220" xr:uid="{E28B7035-2DBB-4121-816F-0EA565F168FD}"/>
    <cellStyle name="Normal 10 2 2 3 3" xfId="32313" xr:uid="{6F199B94-2B31-489C-BE90-A2EE3AC6C3C8}"/>
    <cellStyle name="Normal 10 2 2 3 3 2" xfId="32314" xr:uid="{A0700EAE-F944-4E8B-B9E3-734376264B8B}"/>
    <cellStyle name="Normal 10 2 2 3 3 2 2" xfId="32315" xr:uid="{9E7E7962-A2FD-48A3-910A-404D00254DE0}"/>
    <cellStyle name="Normal 10 2 2 3 3 3" xfId="32316" xr:uid="{D1F5FC4F-C968-44DC-B15B-A61A59FDA92C}"/>
    <cellStyle name="Normal 10 2 2 3 4" xfId="32317" xr:uid="{73E3ED5C-216D-4070-BE21-5593BA59AC87}"/>
    <cellStyle name="Normal 10 2 2 3 4 2" xfId="24487" xr:uid="{CB194F3B-811E-4EC4-BF3F-FBF19BA48D65}"/>
    <cellStyle name="Normal 10 2 2 3 5" xfId="32318" xr:uid="{0C502597-C0BD-4470-AD9C-52EF10635F21}"/>
    <cellStyle name="Normal 10 2 2 4" xfId="3585" xr:uid="{BB56BE5D-1AE3-4727-8721-2E33A619D7BB}"/>
    <cellStyle name="Normal 10 2 2 4 2" xfId="27096" xr:uid="{10DF2569-594B-44A2-B1F5-F4D66473A5A9}"/>
    <cellStyle name="Normal 10 2 2 4 2 2" xfId="27411" xr:uid="{C476065D-4829-488B-8CC8-CEC463E964B1}"/>
    <cellStyle name="Normal 10 2 2 4 3" xfId="32319" xr:uid="{E3D66F4F-401A-4590-BCC1-C9BEEBC7C6E1}"/>
    <cellStyle name="Normal 10 2 2 5" xfId="32320" xr:uid="{1E15B0DC-42F9-464C-B5B4-1575FC5E1A22}"/>
    <cellStyle name="Normal 10 2 2 5 2" xfId="32321" xr:uid="{448D7B4C-3019-4682-B474-B61EE0E6CA2F}"/>
    <cellStyle name="Normal 10 2 2 5 2 2" xfId="21161" xr:uid="{96183D99-6368-4998-AAE1-4F15EEB00A16}"/>
    <cellStyle name="Normal 10 2 2 5 3" xfId="32322" xr:uid="{B05A68CF-3100-48EB-A16D-33159EC66AC6}"/>
    <cellStyle name="Normal 10 2 2 6" xfId="26012" xr:uid="{28AD890E-D33E-41B3-B7D1-89D78EDBEC4A}"/>
    <cellStyle name="Normal 10 2 2 6 2" xfId="32323" xr:uid="{D3D0F1CB-3C0C-45C2-8BE3-D81B2FF0C671}"/>
    <cellStyle name="Normal 10 2 2 7" xfId="26014" xr:uid="{D726030C-92C1-4681-996F-BDCAFA5F3918}"/>
    <cellStyle name="Normal 10 2 3" xfId="32326" xr:uid="{20233A34-0F9D-4203-BF46-7DFA0F5E3860}"/>
    <cellStyle name="Normal 10 2 3 2" xfId="30052" xr:uid="{92B28BF0-1587-4A8F-9203-347CEB1E0FEF}"/>
    <cellStyle name="Normal 10 2 3 2 2" xfId="22599" xr:uid="{A269B63E-0C24-45C9-A5E7-1A65D23F1B9C}"/>
    <cellStyle name="Normal 10 2 3 2 2 2" xfId="7667" xr:uid="{3BB1EBE5-0D9A-419F-BEA6-D297901453DE}"/>
    <cellStyle name="Normal 10 2 3 2 3" xfId="10084" xr:uid="{7938A059-5AC0-43FD-99A7-57684BE888DC}"/>
    <cellStyle name="Normal 10 2 3 3" xfId="32327" xr:uid="{D5EB907C-F0F4-48E7-92CF-CCDA1ADD6343}"/>
    <cellStyle name="Normal 10 2 3 3 2" xfId="32328" xr:uid="{4F4A2D6A-1FD0-49AD-9E64-E1DBF7424C57}"/>
    <cellStyle name="Normal 10 2 3 3 2 2" xfId="32329" xr:uid="{A3405F2A-5B00-4FE0-BDB4-F225B7F25E2B}"/>
    <cellStyle name="Normal 10 2 3 3 3" xfId="32330" xr:uid="{7AA2EB73-73F5-4E24-85C1-11AAB275E6D0}"/>
    <cellStyle name="Normal 10 2 3 4" xfId="32331" xr:uid="{0E2AA103-AEF9-49E7-919A-C85EF11E5AAF}"/>
    <cellStyle name="Normal 10 2 3 4 2" xfId="13374" xr:uid="{4504C364-B733-4966-826E-1C2545DA381F}"/>
    <cellStyle name="Normal 10 2 3 5" xfId="32332" xr:uid="{15CE2EEF-2ED8-4F73-B344-025B0A76E93F}"/>
    <cellStyle name="Normal 10 2 4" xfId="32334" xr:uid="{1F2B8527-1A7D-45BF-91C9-90FA5D3D9C25}"/>
    <cellStyle name="Normal 10 2 4 2" xfId="10231" xr:uid="{5A6CFE78-0E87-443F-9113-E7034544085F}"/>
    <cellStyle name="Normal 10 2 4 2 2" xfId="32335" xr:uid="{62079EBC-9357-478D-8BE2-BE280599F034}"/>
    <cellStyle name="Normal 10 2 4 3" xfId="32336" xr:uid="{D7F5212B-2F9D-4CD9-B583-D1737399586C}"/>
    <cellStyle name="Normal 10 2 5" xfId="32337" xr:uid="{0D1879FF-7A19-40B5-AC14-4E315E2FBB0F}"/>
    <cellStyle name="Normal 10 2 5 2" xfId="32340" xr:uid="{13374C52-4182-4BC6-89AF-6BEA3342BCCB}"/>
    <cellStyle name="Normal 10 2 5 2 2" xfId="32341" xr:uid="{4A78382C-8DF8-4640-874D-9ABE0E0D5FEF}"/>
    <cellStyle name="Normal 10 2 5 3" xfId="32344" xr:uid="{F78D20BE-EBA8-4733-81B4-0F5614097761}"/>
    <cellStyle name="Normal 10 2 6" xfId="32345" xr:uid="{B77FC8A8-777D-48CE-AF60-D8D8678DFABD}"/>
    <cellStyle name="Normal 10 2 6 2" xfId="32346" xr:uid="{2872447B-99EB-4F76-BACF-925C9F818A8A}"/>
    <cellStyle name="Normal 10 2 7" xfId="32347" xr:uid="{BDEF7E6B-0699-4E15-A7F6-EAC93B2897AA}"/>
    <cellStyle name="Normal 10 2 8" xfId="32348" xr:uid="{5A99E8C9-9FA0-4127-A383-5E799F5DCC0F}"/>
    <cellStyle name="Normal 10 2 9" xfId="27249" xr:uid="{D6A21566-9AB8-4992-9DB1-093285C80FF7}"/>
    <cellStyle name="Normal 10 20" xfId="3223" xr:uid="{323514E3-94B0-4FCB-A27B-8C98D955D32B}"/>
    <cellStyle name="Normal 10 21" xfId="32297" xr:uid="{2523031F-BC24-422E-A734-C5EA75DA63BC}"/>
    <cellStyle name="Normal 10 22" xfId="12559" xr:uid="{49316DB3-C48F-4CD9-A796-CD43628BEFAD}"/>
    <cellStyle name="Normal 10 23" xfId="32299" xr:uid="{EC1705D3-B635-460C-86F9-97D042FD8654}"/>
    <cellStyle name="Normal 10 24" xfId="32301" xr:uid="{E096A84E-F625-4B6B-8964-46E5B343A0C1}"/>
    <cellStyle name="Normal 10 25" xfId="32351" xr:uid="{DAD8A4CB-17F5-4D19-B36E-5E716922486B}"/>
    <cellStyle name="Normal 10 26" xfId="32353" xr:uid="{78210315-A739-4763-B71B-2928BBB973D8}"/>
    <cellStyle name="Normal 10 27" xfId="22721" xr:uid="{059AE100-60CF-490B-9484-4BDE52F40550}"/>
    <cellStyle name="Normal 10 28" xfId="32355" xr:uid="{BDC9E7F5-21A6-4D19-B682-3A6CD20A51CC}"/>
    <cellStyle name="Normal 10 29" xfId="32357" xr:uid="{55EBF84B-5467-4D9D-8C50-420F88EBC16F}"/>
    <cellStyle name="Normal 10 3" xfId="15353" xr:uid="{A8C8FBC1-1015-4011-81F6-5FB102AF89A1}"/>
    <cellStyle name="Normal 10 3 2" xfId="32359" xr:uid="{595C960D-C917-4D96-BC76-7224924E0694}"/>
    <cellStyle name="Normal 10 3 2 2" xfId="258" xr:uid="{C455D853-26C0-4E71-BE72-773A1FBD2841}"/>
    <cellStyle name="Normal 10 3 2 2 2" xfId="18988" xr:uid="{567CC6D8-ADBF-4BEC-B764-78BC99D82393}"/>
    <cellStyle name="Normal 10 3 2 2 2 2" xfId="8013" xr:uid="{C629C28B-B465-4435-9980-09370485540F}"/>
    <cellStyle name="Normal 10 3 2 2 3" xfId="18992" xr:uid="{3C2D964C-5A57-4E78-BB8D-6760E4969A61}"/>
    <cellStyle name="Normal 10 3 2 3" xfId="265" xr:uid="{01EB2ED7-BCA0-477A-9DF2-09B2ABC94224}"/>
    <cellStyle name="Normal 10 3 2 3 2" xfId="32360" xr:uid="{F873FCEE-5F00-449F-B8B1-2A9533B12E2D}"/>
    <cellStyle name="Normal 10 3 2 3 2 2" xfId="32361" xr:uid="{97DFC952-8CB0-413A-BFB2-A8ECAD19CE04}"/>
    <cellStyle name="Normal 10 3 2 3 3" xfId="32362" xr:uid="{501BAE58-4770-44C3-9D1C-0F628783FC21}"/>
    <cellStyle name="Normal 10 3 2 4" xfId="268" xr:uid="{5FE2218A-BBE5-42C6-861E-ACA43AF8B082}"/>
    <cellStyle name="Normal 10 3 2 4 2" xfId="32363" xr:uid="{CC9B8D88-30A5-496F-908F-7FF9E0E5D29D}"/>
    <cellStyle name="Normal 10 3 2 5" xfId="32364" xr:uid="{63F66770-90B6-42EE-80E6-B691D2B23CFC}"/>
    <cellStyle name="Normal 10 3 3" xfId="32365" xr:uid="{ABDC743A-B3F0-4400-9A0B-6739EBFF83B8}"/>
    <cellStyle name="Normal 10 3 3 2" xfId="32366" xr:uid="{1ACCB908-4B96-4F4F-ABEF-A4F2E1C91764}"/>
    <cellStyle name="Normal 10 3 3 2 2" xfId="8964" xr:uid="{8FF9BD84-9835-4F4C-925E-3C6AADB2BD5E}"/>
    <cellStyle name="Normal 10 3 3 3" xfId="32367" xr:uid="{D9DCB3B9-8A9A-4A72-B45E-4C8AC9CF08CE}"/>
    <cellStyle name="Normal 10 3 4" xfId="32368" xr:uid="{8A6037CD-5501-4E7A-93BC-3C41E743C777}"/>
    <cellStyle name="Normal 10 3 4 2" xfId="32370" xr:uid="{60825326-4E23-4BD1-B027-1CEE1615E014}"/>
    <cellStyle name="Normal 10 3 4 2 2" xfId="32372" xr:uid="{7225A6F2-923F-42C5-8952-51A56823BD1E}"/>
    <cellStyle name="Normal 10 3 4 3" xfId="32374" xr:uid="{E60FEEAA-E3AF-4918-BEC2-107F4D358848}"/>
    <cellStyle name="Normal 10 3 5" xfId="32375" xr:uid="{0B4EF8E8-AA65-4A9C-ACEB-A1C5A79A1950}"/>
    <cellStyle name="Normal 10 3 5 2" xfId="5301" xr:uid="{EDB754D2-9119-478A-B74C-FDD19E07E61C}"/>
    <cellStyle name="Normal 10 3 6" xfId="32376" xr:uid="{16F0BD46-E879-410B-AC2B-796F422C2372}"/>
    <cellStyle name="Normal 10 30" xfId="32352" xr:uid="{A3C087AE-BCA5-48AA-A36D-D359D829B2D5}"/>
    <cellStyle name="Normal 10 31" xfId="32354" xr:uid="{E7FD0A35-CFB3-468C-B3B5-6511EC78D6E8}"/>
    <cellStyle name="Normal 10 32" xfId="22722" xr:uid="{FDE493A7-7C0F-4490-BD6F-5DE02C736DAD}"/>
    <cellStyle name="Normal 10 33" xfId="32356" xr:uid="{EC42B4C9-FB3E-40DD-84A7-63D1A27A97FB}"/>
    <cellStyle name="Normal 10 34" xfId="32358" xr:uid="{84538B8A-20EE-4941-BED1-03C75885C684}"/>
    <cellStyle name="Normal 10 35" xfId="32377" xr:uid="{FEB84F39-CABE-4387-A1EC-698BD3B3D3D6}"/>
    <cellStyle name="Normal 10 36" xfId="32379" xr:uid="{A6FD405B-D0C9-4CB5-8052-9AAF9DE3EAEE}"/>
    <cellStyle name="Normal 10 37" xfId="32381" xr:uid="{B2B22ECC-EC83-4F65-A5B1-836FF3452AD5}"/>
    <cellStyle name="Normal 10 38" xfId="30058" xr:uid="{F2CC7DDD-5E69-4360-B1C0-47F921E5C3BF}"/>
    <cellStyle name="Normal 10 39" xfId="10234" xr:uid="{74FF310B-22D2-4BA1-B211-86A5E5FBC8E5}"/>
    <cellStyle name="Normal 10 4" xfId="27000" xr:uid="{568ECC1B-845F-4B5E-9BDD-D29BEFA11EA5}"/>
    <cellStyle name="Normal 10 4 2" xfId="18702" xr:uid="{225222CF-DC69-4C92-B8C3-29644B18AEA9}"/>
    <cellStyle name="Normal 10 4 2 2" xfId="32383" xr:uid="{1A776FD4-2EC1-408E-8EFA-CB9720109BC4}"/>
    <cellStyle name="Normal 10 4 2 2 2" xfId="32384" xr:uid="{0DC74535-5A93-4CA0-B0DD-090281633718}"/>
    <cellStyle name="Normal 10 4 2 3" xfId="32385" xr:uid="{A686212A-8CA0-4066-A98D-080B71036EB2}"/>
    <cellStyle name="Normal 10 4 3" xfId="18705" xr:uid="{234BA218-6F75-4186-B242-60C4C4383BAE}"/>
    <cellStyle name="Normal 10 4 3 2" xfId="29373" xr:uid="{7C14C3CB-546E-4C75-80D5-1FC42D970DB6}"/>
    <cellStyle name="Normal 10 4 3 2 2" xfId="32386" xr:uid="{A2703D2B-C52C-440A-A242-788D79383D89}"/>
    <cellStyle name="Normal 10 4 3 3" xfId="32387" xr:uid="{44715D73-F11F-495A-9D85-7C38AC3242CB}"/>
    <cellStyle name="Normal 10 4 4" xfId="18708" xr:uid="{FAE99816-6AB8-4D57-94DF-3A14F90997C7}"/>
    <cellStyle name="Normal 10 4 4 2" xfId="32389" xr:uid="{F7A37E7C-BEEB-46FE-8086-CA6F54ED44E8}"/>
    <cellStyle name="Normal 10 4 5" xfId="18711" xr:uid="{67A2D19F-082C-49EB-947C-E035102F3DDA}"/>
    <cellStyle name="Normal 10 40" xfId="32378" xr:uid="{62BD823D-6395-4677-9782-D0B4CC355893}"/>
    <cellStyle name="Normal 10 41" xfId="32380" xr:uid="{81E14332-743B-43E4-9F19-B0BEEAD10B27}"/>
    <cellStyle name="Normal 10 42" xfId="32382" xr:uid="{201BE9DD-D2D5-415E-B010-3335CD019AFA}"/>
    <cellStyle name="Normal 10 43" xfId="30059" xr:uid="{ABB344A6-1292-4422-A5B6-EA8D0AEB3600}"/>
    <cellStyle name="Normal 10 44" xfId="10235" xr:uid="{F24615ED-6164-4B94-831E-F951025A1345}"/>
    <cellStyle name="Normal 10 45" xfId="32338" xr:uid="{53E12CBE-3D0D-49CB-8FB6-336C72083766}"/>
    <cellStyle name="Normal 10 46" xfId="32342" xr:uid="{09B7D465-59B6-416E-B21E-1E269225F209}"/>
    <cellStyle name="Normal 10 47" xfId="31295" xr:uid="{F38EFB4F-6A2C-474D-B9AC-FC3DD8C290AA}"/>
    <cellStyle name="Normal 10 48" xfId="7412" xr:uid="{10E95709-4660-4281-8A9F-4D617EEB2C9B}"/>
    <cellStyle name="Normal 10 49" xfId="7414" xr:uid="{DFEE8B98-CFFD-414F-9AD1-D561810AA13D}"/>
    <cellStyle name="Normal 10 5" xfId="32390" xr:uid="{23B3AB3E-7723-4D7C-9F7A-18C13363490F}"/>
    <cellStyle name="Normal 10 5 2" xfId="18750" xr:uid="{6C0EFE54-5025-424F-9B91-2A1B9B6A99F2}"/>
    <cellStyle name="Normal 10 5 2 2" xfId="32391" xr:uid="{42A324DF-B9D2-4681-BBB9-E8A35D196AD9}"/>
    <cellStyle name="Normal 10 5 3" xfId="18754" xr:uid="{B67BD275-3088-4E22-A718-4CEE2740FB20}"/>
    <cellStyle name="Normal 10 5 4" xfId="18757" xr:uid="{73C25AFE-0499-4349-A0D7-5C072DBB8260}"/>
    <cellStyle name="Normal 10 50" xfId="32339" xr:uid="{029AC133-AC6E-4A52-8BA4-337BE8F71262}"/>
    <cellStyle name="Normal 10 51" xfId="32343" xr:uid="{3D42A262-0B0F-4C85-9220-8F7D6B846DD6}"/>
    <cellStyle name="Normal 10 6" xfId="32392" xr:uid="{47236729-9227-4DD2-A5E4-3684C65250AF}"/>
    <cellStyle name="Normal 10 6 2" xfId="25339" xr:uid="{033DCE87-DA81-4000-9AC2-962FCFEDD6EC}"/>
    <cellStyle name="Normal 10 6 2 2" xfId="32393" xr:uid="{5F58CD0F-7360-4630-B45E-6D0E954066D6}"/>
    <cellStyle name="Normal 10 6 3" xfId="25342" xr:uid="{B92DE5F1-71F6-4CC4-8D02-17FC5DEE47F5}"/>
    <cellStyle name="Normal 10 6 4" xfId="25345" xr:uid="{2940C461-DD46-4CFE-86A1-A32B671040F3}"/>
    <cellStyle name="Normal 10 7" xfId="32394" xr:uid="{205026A6-3A88-445C-AC8C-70477C5E7C40}"/>
    <cellStyle name="Normal 10 7 2" xfId="4051" xr:uid="{18D7EC12-EB16-485E-8886-A727DCD915FC}"/>
    <cellStyle name="Normal 10 8" xfId="32395" xr:uid="{BBE43E32-AACA-494F-8156-86F751C7B1BC}"/>
    <cellStyle name="Normal 10 8 2" xfId="32396" xr:uid="{5C9003D8-7136-4F4C-9BB5-34B9FB5E9E08}"/>
    <cellStyle name="Normal 10 9" xfId="32397" xr:uid="{B5D7309A-85BA-47F6-B061-B670545810D7}"/>
    <cellStyle name="Normal 100" xfId="30368" xr:uid="{59753A8B-8CFB-4E36-A398-F57826139671}"/>
    <cellStyle name="Normal 100 2" xfId="30371" xr:uid="{815A729D-4700-428B-9BB0-C017AEDEE431}"/>
    <cellStyle name="Normal 100 2 2" xfId="30375" xr:uid="{31C3DC9E-3189-415C-8628-E75CE659BB18}"/>
    <cellStyle name="Normal 100 2 3" xfId="32398" xr:uid="{B3AC7BF3-BC1B-4A5E-8BE6-F744F24AF459}"/>
    <cellStyle name="Normal 100 3" xfId="30379" xr:uid="{8DD929F7-61DA-441A-BD95-CD4C2B645E4C}"/>
    <cellStyle name="Normal 101" xfId="30383" xr:uid="{E67DDCAD-BCD0-4DE5-A5FD-6D141E13E73B}"/>
    <cellStyle name="Normal 101 2" xfId="30386" xr:uid="{A2D31CAD-098F-40BC-A0DB-9AC92687AC9F}"/>
    <cellStyle name="Normal 101 2 2" xfId="32400" xr:uid="{15EFB3CE-F14F-4B1B-9707-1C4CC7151A7D}"/>
    <cellStyle name="Normal 101 2 3" xfId="32401" xr:uid="{25389F7E-0532-4C2A-B7F7-873C3DD2631A}"/>
    <cellStyle name="Normal 101 3" xfId="32403" xr:uid="{E3A1843C-34BE-4C85-B190-4789D7110E2E}"/>
    <cellStyle name="Normal 102" xfId="30390" xr:uid="{659394F6-18CF-4B09-89F5-BEC44A81DD11}"/>
    <cellStyle name="Normal 102 2" xfId="31029" xr:uid="{CAD805C1-12F1-4256-AE81-B376606316F4}"/>
    <cellStyle name="Normal 102 2 2" xfId="31032" xr:uid="{533A2FFA-9AE3-4774-992F-BDC97D58F00B}"/>
    <cellStyle name="Normal 102 2 3" xfId="32404" xr:uid="{1B270854-BD9D-4A9B-8C93-BE3F0E0BDAD6}"/>
    <cellStyle name="Normal 102 3" xfId="31035" xr:uid="{C90DC7CF-623F-4A82-B2D2-6BB9C8CF661B}"/>
    <cellStyle name="Normal 103" xfId="30394" xr:uid="{7716A48A-DBC1-4221-BCD7-7724A6313C7B}"/>
    <cellStyle name="Normal 103 2" xfId="31039" xr:uid="{64152EDC-ED15-447D-8847-843A6E1E87AA}"/>
    <cellStyle name="Normal 103 2 2" xfId="32410" xr:uid="{4543E2C1-8CEB-432A-952B-ABB3D39D8D9B}"/>
    <cellStyle name="Normal 103 2 3" xfId="32412" xr:uid="{6B92D143-CE1F-4DDD-BB22-4646901DB1BB}"/>
    <cellStyle name="Normal 103 3" xfId="32415" xr:uid="{8122E1A4-B592-4CA7-82AE-CD1F3FD0B4A5}"/>
    <cellStyle name="Normal 104" xfId="31043" xr:uid="{08AD76F5-E382-4CAF-80A0-96F8204AA4AF}"/>
    <cellStyle name="Normal 104 2" xfId="32419" xr:uid="{EF374D46-26E0-4C30-8813-8F69A54525F2}"/>
    <cellStyle name="Normal 104 2 2" xfId="32422" xr:uid="{EB897C02-F989-4047-AA4B-EC5194A15CDB}"/>
    <cellStyle name="Normal 104 2 3" xfId="32424" xr:uid="{41D15223-6BFA-4B34-9F20-F05C97BD535F}"/>
    <cellStyle name="Normal 104 3" xfId="32427" xr:uid="{F0046073-52AC-4199-9716-4A53BAA32CB3}"/>
    <cellStyle name="Normal 105" xfId="32428" xr:uid="{D7E08336-57F7-4575-ADB0-8A6CD8E18238}"/>
    <cellStyle name="Normal 105 2" xfId="11707" xr:uid="{44917122-8A27-4771-AA9A-254FC8B2D694}"/>
    <cellStyle name="Normal 105 2 2" xfId="11711" xr:uid="{811852D1-AD27-45CF-833D-A35F353E5A26}"/>
    <cellStyle name="Normal 105 2 3" xfId="11716" xr:uid="{E60DCC7D-E9D3-45F8-B9D1-FD98EB9353AE}"/>
    <cellStyle name="Normal 105 3" xfId="2029" xr:uid="{4604D5F2-162A-4CE4-A869-132EE7960FAF}"/>
    <cellStyle name="Normal 106" xfId="32430" xr:uid="{70346441-B8D2-477A-85D8-982550417154}"/>
    <cellStyle name="Normal 106 2" xfId="11780" xr:uid="{338CF523-F168-40CB-86DD-48105F4A7D92}"/>
    <cellStyle name="Normal 106 2 2" xfId="11786" xr:uid="{CB30D9BD-3082-417C-ADE0-5751B83A4524}"/>
    <cellStyle name="Normal 106 2 3" xfId="32432" xr:uid="{EF092545-5B4D-4A23-B366-C51E49FB298E}"/>
    <cellStyle name="Normal 106 3" xfId="2041" xr:uid="{5A52FBDF-FF44-4768-B83F-ED825CFBE669}"/>
    <cellStyle name="Normal 107" xfId="32433" xr:uid="{6A73A663-1C03-4A98-B59A-85B27981EE38}"/>
    <cellStyle name="Normal 107 2" xfId="11819" xr:uid="{9D27E09C-A702-47B9-AB6C-84C9C5E8C0A1}"/>
    <cellStyle name="Normal 107 2 2" xfId="32435" xr:uid="{530A2C48-6B41-4A54-84DE-528F3E010643}"/>
    <cellStyle name="Normal 107 2 3" xfId="13134" xr:uid="{DCBF7DFF-FA44-4774-8B36-16D57A22122F}"/>
    <cellStyle name="Normal 107 3" xfId="32437" xr:uid="{8588889F-7809-4703-AC9F-727CCA0C49F3}"/>
    <cellStyle name="Normal 108" xfId="32439" xr:uid="{55B61B4D-5AA1-475A-BC83-3846C04A11E3}"/>
    <cellStyle name="Normal 108 2" xfId="32441" xr:uid="{7722E003-83E0-4200-BC07-57D0C0D237CC}"/>
    <cellStyle name="Normal 108 2 2" xfId="32443" xr:uid="{02116EE1-552F-4CEC-B073-C0529B0CA50C}"/>
    <cellStyle name="Normal 108 2 3" xfId="32445" xr:uid="{0ED06FA0-551E-4741-AE8F-DC087E7FBFB7}"/>
    <cellStyle name="Normal 108 3" xfId="32446" xr:uid="{A5746B5D-3E02-4F6C-8F1F-E9996FE403E0}"/>
    <cellStyle name="Normal 109" xfId="32448" xr:uid="{D6A65D9B-361C-4CFA-8AB6-7B68137388D0}"/>
    <cellStyle name="Normal 109 2" xfId="32450" xr:uid="{D2F59A34-A1B2-46AA-A008-561C3999AF17}"/>
    <cellStyle name="Normal 109 2 2" xfId="32324" xr:uid="{6BAE004E-B51D-4417-8C05-8AFAA390F289}"/>
    <cellStyle name="Normal 109 2 3" xfId="32333" xr:uid="{208DAD97-0689-412D-8068-B24D6F24E05B}"/>
    <cellStyle name="Normal 109 3" xfId="16826" xr:uid="{5FDCBDB7-0D85-47D9-8B5B-729B416348E0}"/>
    <cellStyle name="Normal 11" xfId="3720" xr:uid="{21895AF5-6EE2-4BB6-B4A9-3D4E53ED7DE2}"/>
    <cellStyle name="Normal 11 10" xfId="32452" xr:uid="{3D7A4599-80DC-4AC8-96B4-7EB3361C56D9}"/>
    <cellStyle name="Normal 11 11" xfId="32453" xr:uid="{7F303B7D-DB3B-4825-B88F-E72F90A70C5D}"/>
    <cellStyle name="Normal 11 12" xfId="23131" xr:uid="{9B6903B5-6309-4CA4-B535-72F3A8DCBACC}"/>
    <cellStyle name="Normal 11 13" xfId="23148" xr:uid="{ED5BB07F-7683-4C6F-97A6-B772ADD24202}"/>
    <cellStyle name="Normal 11 14" xfId="23155" xr:uid="{742B7F3E-5F44-42DE-9921-ED9EF35966A5}"/>
    <cellStyle name="Normal 11 15" xfId="23159" xr:uid="{8A1EA3A4-2096-4D47-8CB4-13B8DFCF6E6B}"/>
    <cellStyle name="Normal 11 16" xfId="32454" xr:uid="{B7704BE3-295A-4540-9D0F-A850A18C7136}"/>
    <cellStyle name="Normal 11 17" xfId="32456" xr:uid="{8D082E71-2567-41F1-A5CF-52CAE2A04628}"/>
    <cellStyle name="Normal 11 18" xfId="19732" xr:uid="{E5C83C05-A2F8-4804-B16E-C6D4C03BEDFD}"/>
    <cellStyle name="Normal 11 19" xfId="19739" xr:uid="{0763225C-8563-45CC-AA74-CF2A4C12B862}"/>
    <cellStyle name="Normal 11 2" xfId="15357" xr:uid="{664B29E0-AF6B-44E0-913F-2014013E9CDD}"/>
    <cellStyle name="Normal 11 2 2" xfId="32460" xr:uid="{E6BAFDC8-461E-4B20-9707-6462BCF66BA3}"/>
    <cellStyle name="Normal 11 2 2 2" xfId="30222" xr:uid="{9CA09F44-B287-43A2-9EDE-17AFFD98F4BC}"/>
    <cellStyle name="Normal 11 2 2 3" xfId="32461" xr:uid="{357A868E-D845-4698-B7AB-27B3F2816CBF}"/>
    <cellStyle name="Normal 11 2 3" xfId="32464" xr:uid="{6690CE03-9DED-4C1E-BEDA-79A6A1A9752E}"/>
    <cellStyle name="Normal 11 2 4" xfId="8926" xr:uid="{3A302832-5B2C-4397-9C76-50FBB0B37E54}"/>
    <cellStyle name="Normal 11 2 5" xfId="8929" xr:uid="{FBFF527E-E22D-4F73-9E43-165726C86538}"/>
    <cellStyle name="Normal 11 20" xfId="23160" xr:uid="{C07A84FB-245E-4322-9B4F-CBCE42CE71D5}"/>
    <cellStyle name="Normal 11 21" xfId="32455" xr:uid="{98F7F561-786E-4454-8A69-DF9FC88A82C3}"/>
    <cellStyle name="Normal 11 22" xfId="32457" xr:uid="{B0FFFDE0-ACDE-476C-8B5E-09F26D1EDD52}"/>
    <cellStyle name="Normal 11 23" xfId="19733" xr:uid="{3E730734-3AD5-47A2-A98C-8911BD2E51EB}"/>
    <cellStyle name="Normal 11 24" xfId="19740" xr:uid="{05D17DD1-EACA-43CD-AC8A-7A4811F0AF6B}"/>
    <cellStyle name="Normal 11 25" xfId="16266" xr:uid="{1F2A16D2-5EC7-46B6-B191-7352C42B9794}"/>
    <cellStyle name="Normal 11 26" xfId="19747" xr:uid="{B74882D5-9377-410D-B16C-CC2D4225FBF8}"/>
    <cellStyle name="Normal 11 27" xfId="19751" xr:uid="{94BEFCCD-32C5-4E0E-8B5E-722B79EBBDD1}"/>
    <cellStyle name="Normal 11 28" xfId="19757" xr:uid="{3CF1AFE1-0BEA-4B6B-8F02-5A42B67CD236}"/>
    <cellStyle name="Normal 11 29" xfId="32466" xr:uid="{05C05A8D-7492-4077-A983-2E2D0073A611}"/>
    <cellStyle name="Normal 11 3" xfId="32470" xr:uid="{21CAFBB4-2E12-4D95-93F0-7832E9E39C9C}"/>
    <cellStyle name="Normal 11 3 2" xfId="32471" xr:uid="{034A227B-3307-48A2-9D25-A4FDE5EC04EF}"/>
    <cellStyle name="Normal 11 3 3" xfId="30064" xr:uid="{2AA27F57-09B8-413E-A7B6-0C9E4427143F}"/>
    <cellStyle name="Normal 11 3 4" xfId="8932" xr:uid="{1DA61B3E-6677-4971-8842-EA86394B55DD}"/>
    <cellStyle name="Normal 11 3 5" xfId="32472" xr:uid="{689234D1-8E1F-44CB-87C0-61549F69D617}"/>
    <cellStyle name="Normal 11 30" xfId="16267" xr:uid="{C48EF17B-95BD-4B0F-9CF6-65848038D5CD}"/>
    <cellStyle name="Normal 11 31" xfId="19748" xr:uid="{A67FBC51-3005-4557-83C9-695C3B22D13A}"/>
    <cellStyle name="Normal 11 32" xfId="19752" xr:uid="{D90B7C33-EB69-45E8-B886-5341A2757D39}"/>
    <cellStyle name="Normal 11 33" xfId="19758" xr:uid="{D6E32BAA-A21A-4B89-B6D1-A2E19F8DBA15}"/>
    <cellStyle name="Normal 11 34" xfId="32467" xr:uid="{6589C414-5EF5-4E12-A9DA-55AFE8C413F7}"/>
    <cellStyle name="Normal 11 35" xfId="14582" xr:uid="{5ECAA157-F260-49A0-A4D6-8A9A3175E9C2}"/>
    <cellStyle name="Normal 11 36" xfId="8514" xr:uid="{9A2052E6-DB8A-4263-9584-1B4F454A4A40}"/>
    <cellStyle name="Normal 11 37" xfId="8523" xr:uid="{77D904C6-9EEA-4735-9E4D-F9707A6A13E1}"/>
    <cellStyle name="Normal 11 38" xfId="22118" xr:uid="{A9E4E514-A0CE-476F-91D9-237BD43D6282}"/>
    <cellStyle name="Normal 11 39" xfId="32475" xr:uid="{118448E6-3996-425B-9FF1-1BB5CD337884}"/>
    <cellStyle name="Normal 11 4" xfId="32477" xr:uid="{72976290-B03E-40FA-A5EC-83C019190FD9}"/>
    <cellStyle name="Normal 11 4 2" xfId="18911" xr:uid="{FE3DC8DE-4F32-433A-8189-F41696F76CEF}"/>
    <cellStyle name="Normal 11 4 3" xfId="18914" xr:uid="{6CE33C7F-158B-4D96-86F2-F432C1725822}"/>
    <cellStyle name="Normal 11 40" xfId="14583" xr:uid="{261B3E9F-D554-49D4-9FB8-EF77C20F3672}"/>
    <cellStyle name="Normal 11 41" xfId="8515" xr:uid="{66674F84-B045-4B41-9006-351D34DC3DE3}"/>
    <cellStyle name="Normal 11 42" xfId="8524" xr:uid="{364F7640-6B71-448E-BBCF-4786E4A35471}"/>
    <cellStyle name="Normal 11 43" xfId="22119" xr:uid="{1A3A144C-D445-4581-A455-41B382D5966D}"/>
    <cellStyle name="Normal 11 44" xfId="32476" xr:uid="{EC93858F-BDB4-4F0F-9480-C701D0B3D561}"/>
    <cellStyle name="Normal 11 5" xfId="22616" xr:uid="{2E44A534-8D8F-46F1-BCCB-0E689693E927}"/>
    <cellStyle name="Normal 11 6" xfId="22620" xr:uid="{1A875847-9340-444B-BC15-9A7849F188A0}"/>
    <cellStyle name="Normal 11 7" xfId="22623" xr:uid="{D850700B-5D89-4749-B0A9-FB222CA2A68F}"/>
    <cellStyle name="Normal 11 8" xfId="27106" xr:uid="{E3BF9380-6147-4A24-B724-01ED7CDA1DEA}"/>
    <cellStyle name="Normal 11 9" xfId="32478" xr:uid="{B4CF6CD3-CB50-4EF8-A74B-644673509CFF}"/>
    <cellStyle name="Normal 110" xfId="32429" xr:uid="{2997204B-F0D6-4189-B07B-99B683BB2861}"/>
    <cellStyle name="Normal 110 2" xfId="11708" xr:uid="{7A8DB381-AF27-48F5-8353-C4304F95C58B}"/>
    <cellStyle name="Normal 110 2 2" xfId="11712" xr:uid="{3E5E4DB4-22CF-42E6-8049-DA5D3DB1C2B2}"/>
    <cellStyle name="Normal 110 3" xfId="2030" xr:uid="{4788C8DA-8E17-4B07-818E-3B52044F4EB8}"/>
    <cellStyle name="Normal 111" xfId="32431" xr:uid="{EC0ACA10-C67E-4281-844C-49981ED7C5BE}"/>
    <cellStyle name="Normal 111 2" xfId="11781" xr:uid="{3F1468AD-28CC-4649-97A9-09D476241FCB}"/>
    <cellStyle name="Normal 111 2 2" xfId="11787" xr:uid="{64E39DCF-D140-4637-A640-0FF2AD313DF5}"/>
    <cellStyle name="Normal 111 3" xfId="2042" xr:uid="{AC8387BF-D97C-416E-8508-1AAAF37B95D7}"/>
    <cellStyle name="Normal 112" xfId="32434" xr:uid="{2B7867E8-904B-4FB5-B6E9-6A6BE45228FA}"/>
    <cellStyle name="Normal 112 2" xfId="11820" xr:uid="{364C376C-A79C-42D6-BC5D-FB00611C1FAA}"/>
    <cellStyle name="Normal 112 2 2" xfId="32436" xr:uid="{83F353BF-7F08-46AD-817E-8D2B7808A38B}"/>
    <cellStyle name="Normal 112 3" xfId="32438" xr:uid="{6096C99A-9578-46E4-B276-2618DF78D7A5}"/>
    <cellStyle name="Normal 113" xfId="32440" xr:uid="{4E23DC5E-73CB-40D3-A54D-F0F4FE0E0BFC}"/>
    <cellStyle name="Normal 113 2" xfId="32442" xr:uid="{0D80DAB5-F527-4302-BF8D-EE09B3D0FF4B}"/>
    <cellStyle name="Normal 113 2 2" xfId="32444" xr:uid="{8A9E8DAE-89F2-4955-9380-C846790DCDE2}"/>
    <cellStyle name="Normal 113 3" xfId="32447" xr:uid="{9CBE6AF3-FE0E-4C17-B84D-250D68C05476}"/>
    <cellStyle name="Normal 114" xfId="32449" xr:uid="{719646E9-89FE-4D6D-BF48-93AC561AB5E4}"/>
    <cellStyle name="Normal 114 2" xfId="32451" xr:uid="{4B5E406A-BA24-4146-95AE-37FBEDECA911}"/>
    <cellStyle name="Normal 114 2 2" xfId="32325" xr:uid="{372B470D-F158-450F-84FA-923D7FED1D96}"/>
    <cellStyle name="Normal 114 3" xfId="16827" xr:uid="{652BC468-5571-46B6-8749-DC4AE5B06C84}"/>
    <cellStyle name="Normal 115" xfId="32479" xr:uid="{6553A392-35FF-46D1-8371-3A001074A5A6}"/>
    <cellStyle name="Normal 115 2" xfId="244" xr:uid="{E06D7BA8-D937-46DB-86EB-6EF0BF7075F0}"/>
    <cellStyle name="Normal 115 2 2" xfId="32462" xr:uid="{2F5EFC7B-E6BB-47E6-95C7-7585A39804CA}"/>
    <cellStyle name="Normal 115 3" xfId="252" xr:uid="{3D3CFF5A-6AC0-4EC6-AE52-9062E614BAB7}"/>
    <cellStyle name="Normal 116" xfId="32481" xr:uid="{6C142A48-4F14-411E-8AB0-D69E60333FCA}"/>
    <cellStyle name="Normal 116 2" xfId="32483" xr:uid="{CFC74525-338A-4682-A1E2-8020917433E5}"/>
    <cellStyle name="Normal 116 2 2" xfId="32485" xr:uid="{1F0A9A5F-DEDB-4849-809E-9F1B47311468}"/>
    <cellStyle name="Normal 116 3" xfId="30068" xr:uid="{669B5C8E-D73F-4E8B-BA55-DF9015AF5AB9}"/>
    <cellStyle name="Normal 117" xfId="32488" xr:uid="{17482B1B-D62E-4743-BE98-804714EC26CF}"/>
    <cellStyle name="Normal 117 2" xfId="32490" xr:uid="{3D8363B0-BFDA-4B90-AD77-42F1C66A78C0}"/>
    <cellStyle name="Normal 117 2 2" xfId="32495" xr:uid="{2344B7CF-D71F-4BB0-8012-590C67135688}"/>
    <cellStyle name="Normal 117 3" xfId="30073" xr:uid="{3152AE83-4CA0-4FA3-84E5-050F8E0C2429}"/>
    <cellStyle name="Normal 118" xfId="32497" xr:uid="{8BA900E5-7EEB-4686-98B1-4333B3A045D9}"/>
    <cellStyle name="Normal 118 2" xfId="19504" xr:uid="{A7DD5358-E2A7-4EDA-98FE-F28B5B5CF393}"/>
    <cellStyle name="Normal 118 2 2" xfId="19508" xr:uid="{B6C53BD1-495D-4EA6-8250-029CC87E1151}"/>
    <cellStyle name="Normal 118 3" xfId="19511" xr:uid="{2B811D33-56A8-41EB-8DAD-5803461C0952}"/>
    <cellStyle name="Normal 119" xfId="32499" xr:uid="{65F51C66-26A9-4576-897B-FEF2F9BF48A5}"/>
    <cellStyle name="Normal 119 2" xfId="32501" xr:uid="{0F280DB6-9A27-45C3-BC3C-B7AB488C971B}"/>
    <cellStyle name="Normal 119 2 2" xfId="32504" xr:uid="{5197DFD0-CFE3-4846-B697-B321E9733EE6}"/>
    <cellStyle name="Normal 119 3" xfId="32506" xr:uid="{8830C95F-CD15-4AD8-9874-23F45A77E768}"/>
    <cellStyle name="Normal 12" xfId="15364" xr:uid="{4AFD3072-CE58-4F47-AD70-1B29A830EC70}"/>
    <cellStyle name="Normal 12 10" xfId="32508" xr:uid="{9F198E38-3F9C-4D61-9B9D-F17E20B92C68}"/>
    <cellStyle name="Normal 12 11" xfId="32511" xr:uid="{8B32833B-BAEC-4995-A2E0-97C9E4997405}"/>
    <cellStyle name="Normal 12 12" xfId="8945" xr:uid="{5B3D9B3C-7D55-4C20-89D9-38CB75B7EC29}"/>
    <cellStyle name="Normal 12 13" xfId="8947" xr:uid="{7F0C552A-FDFB-4C9B-98B4-1E1FD1F45159}"/>
    <cellStyle name="Normal 12 14" xfId="8949" xr:uid="{8B68379B-F014-43C7-9186-F279CEA599F9}"/>
    <cellStyle name="Normal 12 15" xfId="32513" xr:uid="{2DE1747D-3EA9-4BCF-BADC-52CE4123AED7}"/>
    <cellStyle name="Normal 12 16" xfId="32516" xr:uid="{F8B366D3-0813-40F3-8318-B631DDE8DB9A}"/>
    <cellStyle name="Normal 12 17" xfId="32519" xr:uid="{3371D6AE-219C-4572-BD8C-BF0648304AE8}"/>
    <cellStyle name="Normal 12 18" xfId="32522" xr:uid="{29567BE6-FD10-47C5-838C-76178DC1874B}"/>
    <cellStyle name="Normal 12 19" xfId="32524" xr:uid="{6577B826-D4F4-4E15-AF9F-4A6F24855F4B}"/>
    <cellStyle name="Normal 12 2" xfId="32530" xr:uid="{F9C25DE7-9053-4F3F-B8FF-7536EDA3E772}"/>
    <cellStyle name="Normal 12 2 2" xfId="32533" xr:uid="{E3C64512-F10A-48BC-A954-3EACC4A2FB11}"/>
    <cellStyle name="Normal 12 2 2 2" xfId="32534" xr:uid="{C0FF2FDC-B892-4CAF-881A-EBCE8E208BEA}"/>
    <cellStyle name="Normal 12 2 2 2 2" xfId="32535" xr:uid="{CF2BF719-F0A0-42E3-B639-3CC6859528E6}"/>
    <cellStyle name="Normal 12 2 2 2 2 2" xfId="32536" xr:uid="{BC28A01F-3827-40B1-BECF-F2CF4740458A}"/>
    <cellStyle name="Normal 12 2 2 2 3" xfId="32537" xr:uid="{EDBE3BDC-5850-401B-BD85-9A4AB0DF406F}"/>
    <cellStyle name="Normal 12 2 2 3" xfId="2485" xr:uid="{05F1E828-014E-4A06-BED6-0F9029BB1E18}"/>
    <cellStyle name="Normal 12 2 2 3 2" xfId="2487" xr:uid="{501E0F8B-FCAC-4276-8009-3EB0BA1679AE}"/>
    <cellStyle name="Normal 12 2 2 3 2 2" xfId="2873" xr:uid="{8EB39583-0A8D-4BC9-A67D-86FB6CA3B3A6}"/>
    <cellStyle name="Normal 12 2 2 3 3" xfId="2992" xr:uid="{3C0462AE-9C49-40E8-B245-374CA8C62448}"/>
    <cellStyle name="Normal 12 2 2 4" xfId="2494" xr:uid="{673542E5-914A-4CC8-BC33-13100941A4C8}"/>
    <cellStyle name="Normal 12 2 2 4 2" xfId="2503" xr:uid="{D8AFB5AE-8236-4A12-ADD6-EB32ED77BA80}"/>
    <cellStyle name="Normal 12 2 2 5" xfId="2515" xr:uid="{9201CBC4-2EA8-4ABB-815D-5F29C165F576}"/>
    <cellStyle name="Normal 12 2 3" xfId="32487" xr:uid="{BED599A6-55A5-4472-8523-27C661ACBE0C}"/>
    <cellStyle name="Normal 12 2 3 2" xfId="32538" xr:uid="{6E1F7D6A-D777-4150-B7B1-ADC7F2EAA46C}"/>
    <cellStyle name="Normal 12 2 3 2 2" xfId="32539" xr:uid="{A9C21A9F-D513-4EA4-B6A8-8B8F9914A140}"/>
    <cellStyle name="Normal 12 2 3 3" xfId="3287" xr:uid="{9EAFBEAA-9AEE-4131-B2F3-F69ADC7F7118}"/>
    <cellStyle name="Normal 12 2 4" xfId="9158" xr:uid="{005AC9EF-85A5-4E48-9CC9-891C6365C8C7}"/>
    <cellStyle name="Normal 12 2 4 2" xfId="15761" xr:uid="{BAAA1E27-6795-4ED0-84F7-8496B6ABA108}"/>
    <cellStyle name="Normal 12 2 4 2 2" xfId="15763" xr:uid="{BA592F1E-1E8E-44EC-924B-F1D888E0496A}"/>
    <cellStyle name="Normal 12 2 4 3" xfId="3452" xr:uid="{419D8A7C-4F06-450C-9F15-A6B89CA541A3}"/>
    <cellStyle name="Normal 12 2 5" xfId="15770" xr:uid="{DBE334F3-7EF3-4365-9FE7-8917999F1ACD}"/>
    <cellStyle name="Normal 12 2 5 2" xfId="15772" xr:uid="{06B2EEB1-4532-48A0-9694-CA48A7D560F5}"/>
    <cellStyle name="Normal 12 2 6" xfId="15775" xr:uid="{8402635A-282B-436C-BDFB-B900D92660CA}"/>
    <cellStyle name="Normal 12 2 7" xfId="15779" xr:uid="{2FB27450-A159-4C03-994F-7D15CB54C280}"/>
    <cellStyle name="Normal 12 20" xfId="32514" xr:uid="{2C72802B-4D43-4640-90D1-6BFA5FDFA69B}"/>
    <cellStyle name="Normal 12 21" xfId="32517" xr:uid="{AD41D54D-E362-4219-881B-10D49FC2099C}"/>
    <cellStyle name="Normal 12 22" xfId="32520" xr:uid="{032B7FA4-F90A-49E2-9221-5BA4E35D3963}"/>
    <cellStyle name="Normal 12 23" xfId="32523" xr:uid="{8B78E73B-FB24-43DF-AED8-A525136CC388}"/>
    <cellStyle name="Normal 12 24" xfId="32525" xr:uid="{5824E1DE-4B11-40E2-8251-8A645AA2F432}"/>
    <cellStyle name="Normal 12 25" xfId="32540" xr:uid="{DE55CA8B-3DFF-409A-96C6-561124831477}"/>
    <cellStyle name="Normal 12 26" xfId="29204" xr:uid="{94D7F523-E60B-42CE-B378-248E3F6E5AD6}"/>
    <cellStyle name="Normal 12 27" xfId="9412" xr:uid="{4145FF20-4FA6-4FDB-88A8-8184E09CA529}"/>
    <cellStyle name="Normal 12 28" xfId="9458" xr:uid="{9DD378F4-476F-4BFE-AFAE-D344F717DAE5}"/>
    <cellStyle name="Normal 12 29" xfId="9481" xr:uid="{8A0B8227-E37F-4E17-9577-C1DFA1621661}"/>
    <cellStyle name="Normal 12 3" xfId="155" xr:uid="{D1AFCF84-FBA4-4D42-9A50-94A7E94E9121}"/>
    <cellStyle name="Normal 12 3 2" xfId="1750" xr:uid="{AFC5627A-86A9-4730-B9F3-14F5CA7F1101}"/>
    <cellStyle name="Normal 12 3 2 2" xfId="1756" xr:uid="{5EC7A5AF-F4DD-4A53-A6C7-EAC25C86D898}"/>
    <cellStyle name="Normal 12 3 2 2 2" xfId="1763" xr:uid="{7EB335DD-83C5-4955-BCAB-92B6DCC4DA67}"/>
    <cellStyle name="Normal 12 3 2 3" xfId="1772" xr:uid="{1247F389-C5F4-454B-A00E-CBBBA4EB0ACA}"/>
    <cellStyle name="Normal 12 3 3" xfId="1777" xr:uid="{51D70B88-C8B7-4DB0-B421-81E7ADECFD1C}"/>
    <cellStyle name="Normal 12 3 3 2" xfId="32546" xr:uid="{0FA6F699-4F52-4375-9882-E7B931DA2A4B}"/>
    <cellStyle name="Normal 12 3 3 2 2" xfId="28894" xr:uid="{B34BDA56-117D-4869-BAE9-F4A4676B4285}"/>
    <cellStyle name="Normal 12 3 3 3" xfId="3797" xr:uid="{312D2541-CBA5-440C-9FDF-FAC912DE7AE4}"/>
    <cellStyle name="Normal 12 3 4" xfId="1786" xr:uid="{D6169E4A-588A-429D-AA51-90A7CC140EBD}"/>
    <cellStyle name="Normal 12 3 4 2" xfId="15783" xr:uid="{193F9A7E-BF55-4BD5-BFAC-C707322669F0}"/>
    <cellStyle name="Normal 12 3 5" xfId="1789" xr:uid="{8E42929B-93F6-45A5-B9A7-BEC614985B6C}"/>
    <cellStyle name="Normal 12 30" xfId="32541" xr:uid="{A2B0A5A7-582E-4168-9903-8789C8084554}"/>
    <cellStyle name="Normal 12 31" xfId="29205" xr:uid="{D5E50D29-2B20-448B-AB18-3B686D11B257}"/>
    <cellStyle name="Normal 12 32" xfId="9413" xr:uid="{F77EC7BC-48F8-4AEE-B53B-47FE8694CEC1}"/>
    <cellStyle name="Normal 12 33" xfId="9459" xr:uid="{33B5BD29-EBE6-4608-9D43-1B385B46ABA2}"/>
    <cellStyle name="Normal 12 34" xfId="9482" xr:uid="{0BD7684D-39E1-483B-ADC2-756FC17E4114}"/>
    <cellStyle name="Normal 12 35" xfId="9500" xr:uid="{B7292ECC-D241-4694-83B9-A9DDE229BFB9}"/>
    <cellStyle name="Normal 12 36" xfId="9517" xr:uid="{A0208747-BF87-4FFE-BC80-3E9B19381EB9}"/>
    <cellStyle name="Normal 12 37" xfId="9528" xr:uid="{0E9CA51D-0221-419B-BD0E-B7583EE479AE}"/>
    <cellStyle name="Normal 12 38" xfId="9533" xr:uid="{A3F41D05-6634-415E-9D29-82241DE9C521}"/>
    <cellStyle name="Normal 12 39" xfId="20937" xr:uid="{CCA7E190-6F16-4541-8FE5-0CCF79A30C67}"/>
    <cellStyle name="Normal 12 4" xfId="32547" xr:uid="{DE910A98-38EB-4782-AE3B-D36A3565C69B}"/>
    <cellStyle name="Normal 12 4 2" xfId="19174" xr:uid="{D1E364F7-EB20-4501-8997-E1D07598C889}"/>
    <cellStyle name="Normal 12 4 2 2" xfId="32548" xr:uid="{80501D0F-59AF-4ED9-9458-89299DFB0AFD}"/>
    <cellStyle name="Normal 12 4 3" xfId="19177" xr:uid="{1BB637E1-F4EA-48B2-A8D8-EEA5E9442359}"/>
    <cellStyle name="Normal 12 40" xfId="9501" xr:uid="{4D6911ED-F956-4275-90C5-0B13E9C6C843}"/>
    <cellStyle name="Normal 12 41" xfId="9518" xr:uid="{7CEAA0F7-5492-4853-9D7B-40AA130EA601}"/>
    <cellStyle name="Normal 12 42" xfId="9529" xr:uid="{A87B2283-CA7C-4EA4-8429-FCA06E77EE61}"/>
    <cellStyle name="Normal 12 43" xfId="9534" xr:uid="{AC715018-88E4-435B-ACB2-C0F55A914195}"/>
    <cellStyle name="Normal 12 5" xfId="22628" xr:uid="{075EC24E-0F95-4BA4-A3A1-A0853D040F16}"/>
    <cellStyle name="Normal 12 5 2" xfId="8958" xr:uid="{86F0E6EA-80D0-4E7A-9CDA-8CE2B9CE7EDC}"/>
    <cellStyle name="Normal 12 5 2 2" xfId="8961" xr:uid="{6A89ABDE-352F-463D-9945-F896030513E4}"/>
    <cellStyle name="Normal 12 5 3" xfId="8963" xr:uid="{AEF76085-37B8-46D9-9B7A-BA3E95A71BEB}"/>
    <cellStyle name="Normal 12 6" xfId="22630" xr:uid="{ACAA0610-1675-4DEA-AEF1-08DC5F4ABE16}"/>
    <cellStyle name="Normal 12 6 2" xfId="8981" xr:uid="{D9D13329-257C-47A4-9219-4E84D1F0CA11}"/>
    <cellStyle name="Normal 12 7" xfId="13403" xr:uid="{D729DEFC-3066-43F1-8F40-51722836A9D3}"/>
    <cellStyle name="Normal 12 8" xfId="13407" xr:uid="{BE78E17C-6E78-4A91-BECA-9E4AE639D89D}"/>
    <cellStyle name="Normal 12 9" xfId="28978" xr:uid="{8BF8BF39-882D-4E75-BC8E-CB77872A2D2F}"/>
    <cellStyle name="Normal 120" xfId="32480" xr:uid="{E41AC858-C141-4BDF-9E4A-A1E254C186B3}"/>
    <cellStyle name="Normal 120 2" xfId="245" xr:uid="{5FC6CF98-3D03-4C68-96A2-D5E80F17E06E}"/>
    <cellStyle name="Normal 120 2 2" xfId="32463" xr:uid="{E6D93C99-9BE0-48F0-ABE8-D64470EBC259}"/>
    <cellStyle name="Normal 120 3" xfId="253" xr:uid="{C3F23F29-DFDB-4655-9362-9C0D5D844455}"/>
    <cellStyle name="Normal 121" xfId="32482" xr:uid="{BD77447F-4912-48A4-8B77-6B0113B96C4B}"/>
    <cellStyle name="Normal 121 2" xfId="32484" xr:uid="{9EA35C7D-5B58-41A8-A626-854B246203A5}"/>
    <cellStyle name="Normal 121 2 2" xfId="32486" xr:uid="{490D47E9-615A-4765-8006-4D99915BD195}"/>
    <cellStyle name="Normal 121 3" xfId="30069" xr:uid="{56EAB968-2D1B-4D64-A9EB-4299384A883D}"/>
    <cellStyle name="Normal 122" xfId="32489" xr:uid="{B0041686-DE93-4A7D-A422-E802D0C855B4}"/>
    <cellStyle name="Normal 122 2" xfId="32491" xr:uid="{5F1DC433-9458-43F2-B9D3-CF80FCF8855A}"/>
    <cellStyle name="Normal 122 2 2" xfId="32496" xr:uid="{A028A743-E377-4433-9ECC-BD47171F65DA}"/>
    <cellStyle name="Normal 122 3" xfId="30074" xr:uid="{9D472FBC-D223-4151-BC29-7BFB72D3CBB7}"/>
    <cellStyle name="Normal 123" xfId="32498" xr:uid="{7C8DC1B8-F748-458B-8149-13CC2C2EEDA9}"/>
    <cellStyle name="Normal 123 2" xfId="19505" xr:uid="{9CCAD2AD-5DF9-46E6-9159-EBB75FD21263}"/>
    <cellStyle name="Normal 123 2 2" xfId="19509" xr:uid="{022FF8C8-EB78-4BFD-BE76-FD83F7538112}"/>
    <cellStyle name="Normal 123 3" xfId="19512" xr:uid="{FDBC1EA5-BFB0-473A-B12F-772795101BA4}"/>
    <cellStyle name="Normal 124" xfId="32500" xr:uid="{3D0CBDAC-D7CA-4BF0-937A-9C8BAA57C19D}"/>
    <cellStyle name="Normal 124 2" xfId="32502" xr:uid="{AB693E71-48F8-4DE4-8B0D-1E0AB6A794F9}"/>
    <cellStyle name="Normal 124 2 2" xfId="32505" xr:uid="{5DA84B68-2705-4357-9C2C-AC12E98AFBA3}"/>
    <cellStyle name="Normal 124 3" xfId="32507" xr:uid="{277C9793-1162-4A27-BD38-A1830BBC5C3D}"/>
    <cellStyle name="Normal 125" xfId="4058" xr:uid="{A8EEEAF0-B8DE-40B2-9F3A-C254501910FB}"/>
    <cellStyle name="Normal 125 2" xfId="4065" xr:uid="{53E08D9F-AF28-489C-A389-CC6E6AAF49E6}"/>
    <cellStyle name="Normal 125 2 2" xfId="32551" xr:uid="{D9B0184A-7784-4B7A-A9C9-46C4EFDBEDC0}"/>
    <cellStyle name="Normal 125 3" xfId="32553" xr:uid="{79F0B530-07E6-4F06-8EE6-92318DB0BCEC}"/>
    <cellStyle name="Normal 126" xfId="4075" xr:uid="{D20289E5-5D17-456A-951B-168B56FF95F5}"/>
    <cellStyle name="Normal 126 2" xfId="14612" xr:uid="{2EE0DDB9-2482-4D69-99EB-D553CBE7A0AE}"/>
    <cellStyle name="Normal 126 2 2" xfId="32560" xr:uid="{18E76B7F-B51F-4B78-8485-640A448E6B22}"/>
    <cellStyle name="Normal 126 3" xfId="32566" xr:uid="{1A2A4ED8-FADA-4F8A-B2BA-C64EB3D1D71A}"/>
    <cellStyle name="Normal 127" xfId="32572" xr:uid="{EB55A36F-DDB3-4353-8BFA-4DA83A8DB1E5}"/>
    <cellStyle name="Normal 127 2" xfId="8534" xr:uid="{3AF66E53-1396-4BDD-B5EA-093DAB846634}"/>
    <cellStyle name="Normal 127 2 2" xfId="32576" xr:uid="{82DEFB86-0742-45DE-8587-0162DEBA28BE}"/>
    <cellStyle name="Normal 127 3" xfId="12764" xr:uid="{D6568404-AAC9-4E43-9425-2CC92EAD74CF}"/>
    <cellStyle name="Normal 128" xfId="32581" xr:uid="{BE1B6010-B92F-4D27-BDFC-18B54F4B2A12}"/>
    <cellStyle name="Normal 128 2" xfId="32585" xr:uid="{4E85A078-BE0A-4089-8EAA-5F3759744972}"/>
    <cellStyle name="Normal 128 2 2" xfId="32591" xr:uid="{D34DDEAF-320E-4C06-B804-AAF0CDC7A2EC}"/>
    <cellStyle name="Normal 128 3" xfId="32595" xr:uid="{EDA78DF6-3698-49BE-BE46-9A6F5248D462}"/>
    <cellStyle name="Normal 129" xfId="32601" xr:uid="{288B1BB8-A753-4445-B306-694E61B71D8B}"/>
    <cellStyle name="Normal 129 2" xfId="32607" xr:uid="{B1F674B1-60B4-4DD7-A67B-DF9FD2ED5AC5}"/>
    <cellStyle name="Normal 129 2 2" xfId="32612" xr:uid="{0CBD34CB-2691-4C70-B130-C23A092E065E}"/>
    <cellStyle name="Normal 129 3" xfId="32617" xr:uid="{DC97823E-0636-40DF-AD18-9249D5ECA11F}"/>
    <cellStyle name="Normal 13" xfId="8083" xr:uid="{7CB36275-4E90-4181-A232-D418EB8F4189}"/>
    <cellStyle name="Normal 13 10" xfId="32619" xr:uid="{90A9DF77-20FA-4086-87AA-1151101F3C04}"/>
    <cellStyle name="Normal 13 11" xfId="32620" xr:uid="{EE59F0F5-5DF5-41BD-A148-4891D9D3B6E4}"/>
    <cellStyle name="Normal 13 12" xfId="32621" xr:uid="{3C0B9D1D-072C-4203-8E65-0C33FAE27127}"/>
    <cellStyle name="Normal 13 13" xfId="4249" xr:uid="{9EFB362C-625E-445D-A30E-A87683AB291F}"/>
    <cellStyle name="Normal 13 14" xfId="32622" xr:uid="{BA842138-2F0A-4EF4-84C2-C80A699FFFB6}"/>
    <cellStyle name="Normal 13 15" xfId="32624" xr:uid="{CA6D65B8-37AD-4BA6-8559-12CF36D7AC22}"/>
    <cellStyle name="Normal 13 16" xfId="31338" xr:uid="{D87F5E76-AC0F-4E07-A7C9-05203AF862C0}"/>
    <cellStyle name="Normal 13 17" xfId="32629" xr:uid="{8222D0F6-FA66-48EA-9FEF-1597D9C854C4}"/>
    <cellStyle name="Normal 13 18" xfId="11992" xr:uid="{B2D2505E-1AC7-48D5-BA26-06EAE9E7FC18}"/>
    <cellStyle name="Normal 13 19" xfId="32631" xr:uid="{CEF39550-3DE8-4BDE-A09A-4F39AD5729D9}"/>
    <cellStyle name="Normal 13 2" xfId="32637" xr:uid="{3C7D5AF7-E1BF-4A04-A41B-8368A0A04360}"/>
    <cellStyle name="Normal 13 2 2" xfId="32642" xr:uid="{927BBDF0-6EEF-46D9-B88E-E28735AC31C6}"/>
    <cellStyle name="Normal 13 2 2 2" xfId="32646" xr:uid="{FA3848F9-60EE-4391-9B5C-5E707EFC044E}"/>
    <cellStyle name="Normal 13 2 3" xfId="32494" xr:uid="{35E75D39-9DF0-4FC0-AEA0-A429C57F7194}"/>
    <cellStyle name="Normal 13 2 4" xfId="15820" xr:uid="{56C63256-072A-41FD-82EB-6C57159E891A}"/>
    <cellStyle name="Normal 13 2 5" xfId="15825" xr:uid="{A956CE5F-1D8A-4394-8A73-8163AE9BF6A0}"/>
    <cellStyle name="Normal 13 20" xfId="32625" xr:uid="{796ED372-A9F6-469D-A93A-A3D5DB6A1A71}"/>
    <cellStyle name="Normal 13 21" xfId="31339" xr:uid="{9D8D323D-D1D8-4D3B-93C2-006B6E97D33F}"/>
    <cellStyle name="Normal 13 22" xfId="32630" xr:uid="{9E5FFA3A-922E-4E4E-824E-D446C40619B5}"/>
    <cellStyle name="Normal 13 23" xfId="11993" xr:uid="{5C7FF06D-7049-44A2-B187-F6F218031563}"/>
    <cellStyle name="Normal 13 24" xfId="32632" xr:uid="{782B8AE7-A9C3-4D51-8138-AFC81CA15C4C}"/>
    <cellStyle name="Normal 13 25" xfId="32647" xr:uid="{7D3300D8-1B96-4887-A3F0-792CDEEDBAB1}"/>
    <cellStyle name="Normal 13 26" xfId="29252" xr:uid="{34500766-1CDF-4854-A177-49DD22AA5763}"/>
    <cellStyle name="Normal 13 27" xfId="9661" xr:uid="{D9A9D021-4A0E-4605-8C7C-937CB83C40FA}"/>
    <cellStyle name="Normal 13 28" xfId="32650" xr:uid="{A666A05A-BE46-4B2C-A1E2-B5C871A9D8DE}"/>
    <cellStyle name="Normal 13 29" xfId="32652" xr:uid="{2700A338-06D1-4A32-B16A-5C46DE4DB8E5}"/>
    <cellStyle name="Normal 13 3" xfId="32658" xr:uid="{894D8475-BC1E-4D01-B64D-2569F259E1A2}"/>
    <cellStyle name="Normal 13 3 2" xfId="32661" xr:uid="{8B8F03CD-9D5F-4DF9-9167-9E65BF573B87}"/>
    <cellStyle name="Normal 13 3 3" xfId="32664" xr:uid="{6ED2324E-FDCB-436C-9446-29B621171005}"/>
    <cellStyle name="Normal 13 30" xfId="32648" xr:uid="{8E11EC2A-FD5D-4D73-919B-07E437E38615}"/>
    <cellStyle name="Normal 13 31" xfId="29253" xr:uid="{BFD64E37-98AC-45E6-8756-696E03E11C81}"/>
    <cellStyle name="Normal 13 32" xfId="9662" xr:uid="{8E1586A5-5953-4BF7-8571-A31E5AD7AA1A}"/>
    <cellStyle name="Normal 13 33" xfId="32651" xr:uid="{A0A494DB-1B1A-42AF-9D87-25E2A9EDC8F0}"/>
    <cellStyle name="Normal 13 34" xfId="32653" xr:uid="{C2781F8A-417D-4127-B9A9-885D3AC913BE}"/>
    <cellStyle name="Normal 13 35" xfId="31132" xr:uid="{5ED5346F-E7C9-4CC2-AC74-3C48C25CAE98}"/>
    <cellStyle name="Normal 13 36" xfId="24074" xr:uid="{31AC3925-6D7B-4BE2-A6AC-B2077BAE25D6}"/>
    <cellStyle name="Normal 13 37" xfId="31040" xr:uid="{7BB88B3F-08DD-4168-BF2F-8DB266033CD1}"/>
    <cellStyle name="Normal 13 38" xfId="32416" xr:uid="{571001CF-E321-498B-8C67-9CD277C2BC6A}"/>
    <cellStyle name="Normal 13 39" xfId="31691" xr:uid="{ED9D5CE3-46AD-41DC-B626-0EBC08572DF1}"/>
    <cellStyle name="Normal 13 4" xfId="32667" xr:uid="{28EAAE10-8D9F-41E8-9C8C-F493BC2937A2}"/>
    <cellStyle name="Normal 13 4 2" xfId="19331" xr:uid="{56808DF5-DAAA-4A8E-80AC-E4B4B3B4766F}"/>
    <cellStyle name="Normal 13 40" xfId="31133" xr:uid="{8B999ED0-82ED-4734-9634-729844CF1D1A}"/>
    <cellStyle name="Normal 13 5" xfId="22635" xr:uid="{AE4D9A07-0650-43AE-94F8-0D18D22C739C}"/>
    <cellStyle name="Normal 13 6" xfId="32670" xr:uid="{FFAE869A-FAA2-42FA-8C33-53F7B531CE4D}"/>
    <cellStyle name="Normal 13 7" xfId="13413" xr:uid="{528C666E-CCDA-4597-8514-16F109D11FFA}"/>
    <cellStyle name="Normal 13 8" xfId="32673" xr:uid="{C0E44535-A24A-46A6-A9C8-DC6311E7CFB7}"/>
    <cellStyle name="Normal 13 9" xfId="28984" xr:uid="{53C27932-3B70-4818-B104-92F206D813E0}"/>
    <cellStyle name="Normal 130" xfId="4059" xr:uid="{07B913A5-5884-49BA-BC7B-0AF29C7BA3BE}"/>
    <cellStyle name="Normal 130 2" xfId="4066" xr:uid="{00517AFC-B25A-4DE1-ABDA-839C029AEE83}"/>
    <cellStyle name="Normal 130 2 2" xfId="32552" xr:uid="{15899D2F-7E92-4F7C-B1EC-CC7AF4D2D6C5}"/>
    <cellStyle name="Normal 130 3" xfId="32554" xr:uid="{2E1F489F-F772-4443-A8DB-60DFA8F5FB25}"/>
    <cellStyle name="Normal 131" xfId="4076" xr:uid="{6B391D3A-1B2E-4454-95DC-C7E9A0200BA9}"/>
    <cellStyle name="Normal 131 2" xfId="14613" xr:uid="{56192E4D-B63F-41FE-B543-25543FECB8A4}"/>
    <cellStyle name="Normal 131 2 2" xfId="32561" xr:uid="{E0376175-17F9-40DF-8988-A0943198AD41}"/>
    <cellStyle name="Normal 131 3" xfId="32567" xr:uid="{413DBB64-B43C-4321-8330-F41E79E0088D}"/>
    <cellStyle name="Normal 132" xfId="32573" xr:uid="{68F77B54-75AB-4054-915E-4C61380FC6E2}"/>
    <cellStyle name="Normal 132 2" xfId="8535" xr:uid="{F92A054A-7618-4F85-886F-1FB4D2777E1D}"/>
    <cellStyle name="Normal 132 2 2" xfId="32577" xr:uid="{CFC9D06D-82DA-4252-86AE-57076886ED66}"/>
    <cellStyle name="Normal 132 3" xfId="12765" xr:uid="{B4387298-C6B8-4450-B8E9-7651433201B7}"/>
    <cellStyle name="Normal 133" xfId="32582" xr:uid="{5B1407E0-ACAF-449D-8E18-761B3B7E3F10}"/>
    <cellStyle name="Normal 133 2" xfId="32586" xr:uid="{9BEADCD0-180F-4220-ABB1-59D2950722DE}"/>
    <cellStyle name="Normal 133 2 2" xfId="32592" xr:uid="{F987A05B-D787-4EF1-A817-D2C2CCECB7CC}"/>
    <cellStyle name="Normal 133 3" xfId="32596" xr:uid="{17692455-DDC9-4178-BB10-0114E9F6403D}"/>
    <cellStyle name="Normal 134" xfId="32602" xr:uid="{EBE97769-B513-40FB-BFBF-B0ECF46B3CDF}"/>
    <cellStyle name="Normal 134 2" xfId="32608" xr:uid="{A560394D-A622-4414-B579-AC2A53677EDC}"/>
    <cellStyle name="Normal 134 2 2" xfId="32613" xr:uid="{9A8D0342-9789-4F5A-880C-A681279B6965}"/>
    <cellStyle name="Normal 134 3" xfId="32618" xr:uid="{728D076E-4A11-406F-A6BB-169C7A049D74}"/>
    <cellStyle name="Normal 135" xfId="16459" xr:uid="{DDF96050-289C-4BBA-AFAE-F1DC3C360D74}"/>
    <cellStyle name="Normal 135 2" xfId="32677" xr:uid="{F3BFB204-104B-4BC5-B8CF-96E7DC8EE344}"/>
    <cellStyle name="Normal 135 2 2" xfId="32682" xr:uid="{84AFED4E-2503-46BB-9531-C192019CDF38}"/>
    <cellStyle name="Normal 135 3" xfId="32687" xr:uid="{6D379CE1-89CF-4D0D-9D04-3E239FE368CB}"/>
    <cellStyle name="Normal 136" xfId="32691" xr:uid="{4C97E48A-6320-45F6-8C5D-ED0C48C801F9}"/>
    <cellStyle name="Normal 136 2" xfId="29313" xr:uid="{2030CBB5-48EE-4812-A729-52A51431A4C5}"/>
    <cellStyle name="Normal 136 2 2" xfId="889" xr:uid="{60C8E0B3-02FA-46DD-AF7E-613332B88D22}"/>
    <cellStyle name="Normal 136 3" xfId="29317" xr:uid="{D839C490-1496-4B57-8EAB-88F0879587AE}"/>
    <cellStyle name="Normal 137" xfId="32697" xr:uid="{E3F15225-7E27-4464-8085-F508A37B52E8}"/>
    <cellStyle name="Normal 137 2" xfId="29356" xr:uid="{24E17FDA-8D64-4386-BAEE-DD632509DB06}"/>
    <cellStyle name="Normal 137 2 2" xfId="11973" xr:uid="{21457543-14A7-4A05-95E3-DFFD993D22CE}"/>
    <cellStyle name="Normal 137 3" xfId="32700" xr:uid="{BCE21F55-F84D-418A-A744-9775DF742BA7}"/>
    <cellStyle name="Normal 137 4 2 2" xfId="13464" xr:uid="{FD7FDC19-6344-4D94-96EE-602A451882FF}"/>
    <cellStyle name="Normal 138" xfId="30402" xr:uid="{3E490265-E6E1-446B-853A-376B8FC3E1A8}"/>
    <cellStyle name="Normal 138 2" xfId="9751" xr:uid="{A92B9A85-5347-467D-9150-B1354D7BF31E}"/>
    <cellStyle name="Normal 138 2 2" xfId="14804" xr:uid="{EAACBCF1-ABDA-4B3C-99ED-ADD1DAB42259}"/>
    <cellStyle name="Normal 138 3" xfId="30406" xr:uid="{9B267E2A-0E16-4E8D-A5C4-8C705ABA2A77}"/>
    <cellStyle name="Normal 139" xfId="28851" xr:uid="{81B32431-FB1D-479A-93C3-A0147058AD19}"/>
    <cellStyle name="Normal 139 2" xfId="30410" xr:uid="{60676100-50E8-4735-9E5F-E1CAFC9EC2BC}"/>
    <cellStyle name="Normal 139 2 2" xfId="30415" xr:uid="{3C73182A-E512-4D80-9F04-3BA07F0AFA70}"/>
    <cellStyle name="Normal 139 3" xfId="30420" xr:uid="{CB071555-CC99-4052-A198-5AB50A2FFFCA}"/>
    <cellStyle name="Normal 14" xfId="32706" xr:uid="{1163BFBC-6754-446D-97B0-53F1CA03277C}"/>
    <cellStyle name="Normal 14 10" xfId="32707" xr:uid="{594A8BB8-9D00-4DF4-8531-36817FA4D477}"/>
    <cellStyle name="Normal 14 11" xfId="32708" xr:uid="{CC1D15E0-96C3-4449-8AD8-076942231338}"/>
    <cellStyle name="Normal 14 12" xfId="23749" xr:uid="{BD8DACCF-468E-4675-AD3F-8D06F91B30C7}"/>
    <cellStyle name="Normal 14 13" xfId="23754" xr:uid="{E9906112-E64A-434D-8FB2-5D360709CCCB}"/>
    <cellStyle name="Normal 14 14" xfId="23756" xr:uid="{55B596FE-8459-4A6C-ADE0-B2AA24DA70CC}"/>
    <cellStyle name="Normal 14 15" xfId="23758" xr:uid="{FB0CC0A0-FD22-418B-BBD0-2201F6787364}"/>
    <cellStyle name="Normal 14 16" xfId="32709" xr:uid="{66E9AE3B-5AC8-4F4B-A7BC-3B4E7B0F462D}"/>
    <cellStyle name="Normal 14 17" xfId="32711" xr:uid="{9F2B19AC-869D-4936-ABDD-8B5C15AA0F46}"/>
    <cellStyle name="Normal 14 18" xfId="4151" xr:uid="{D9040FC1-9F07-4B0E-B2E8-2C4A0BF6EAEC}"/>
    <cellStyle name="Normal 14 19" xfId="32713" xr:uid="{7DE97BF6-5877-4851-8187-39E97E014C90}"/>
    <cellStyle name="Normal 14 2" xfId="32717" xr:uid="{B3FFC92E-632E-47E9-815F-9784B00E260E}"/>
    <cellStyle name="Normal 14 2 2" xfId="32720" xr:uid="{EEED7F8D-BE07-4F68-B0A4-965D021C6B73}"/>
    <cellStyle name="Normal 14 2 2 2" xfId="32721" xr:uid="{3C89DFB4-113E-4FF8-8DEB-FACA6E376BBE}"/>
    <cellStyle name="Normal 14 2 2 2 2" xfId="21430" xr:uid="{08F1D337-38FE-47D9-83FA-6CDF9F87B82A}"/>
    <cellStyle name="Normal 14 2 2 3" xfId="5500" xr:uid="{151F78B3-56E6-40D2-9F3E-7E7E55C77139}"/>
    <cellStyle name="Normal 14 2 3" xfId="19506" xr:uid="{E486B7F9-2D62-4ED2-8290-7D0FEEF97F11}"/>
    <cellStyle name="Normal 14 2 3 2" xfId="32722" xr:uid="{270EBF32-9FCA-417E-A895-5B54393EE92B}"/>
    <cellStyle name="Normal 14 2 3 2 2" xfId="32723" xr:uid="{123BEB47-E285-4042-8F04-28CF23814564}"/>
    <cellStyle name="Normal 14 2 3 3" xfId="5616" xr:uid="{3AEEDAF0-12E9-4CC9-96B9-8E60677D13D2}"/>
    <cellStyle name="Normal 14 2 4" xfId="15855" xr:uid="{6E821814-4AB2-4BA2-B951-37C117B68F5A}"/>
    <cellStyle name="Normal 14 2 4 2" xfId="15857" xr:uid="{FB72E378-8631-41F2-B0F4-44932E5BFEB1}"/>
    <cellStyle name="Normal 14 2 5" xfId="15859" xr:uid="{C5DFA77E-52D4-4332-B23E-8A8FE2DF1BB2}"/>
    <cellStyle name="Normal 14 2 6" xfId="32724" xr:uid="{1CE5321B-320F-4C6D-B707-DFD44F195D6F}"/>
    <cellStyle name="Normal 14 20" xfId="23759" xr:uid="{7FEF3CFF-1FBF-4505-BC0E-153307C3DEB1}"/>
    <cellStyle name="Normal 14 21" xfId="32710" xr:uid="{CC7715BB-ECBC-4AD6-9BD3-A0168FF70D33}"/>
    <cellStyle name="Normal 14 22" xfId="32712" xr:uid="{22951CB8-E0DF-43BB-9BCE-A05FD51D5BCA}"/>
    <cellStyle name="Normal 14 23" xfId="4152" xr:uid="{FB8ACE42-3821-428E-B074-973A842668B9}"/>
    <cellStyle name="Normal 14 24" xfId="32714" xr:uid="{8F25A09A-088C-47CA-A0A5-BA8957CB862A}"/>
    <cellStyle name="Normal 14 25" xfId="32725" xr:uid="{72C60473-27F9-45EC-B983-3312CEE0B281}"/>
    <cellStyle name="Normal 14 26" xfId="32727" xr:uid="{4D37A30F-035E-4E99-AB89-D634E6E0968E}"/>
    <cellStyle name="Normal 14 27" xfId="32729" xr:uid="{FCBD7779-D6E1-4A91-9FF1-40A8D0BDF09E}"/>
    <cellStyle name="Normal 14 28" xfId="32731" xr:uid="{22C57C33-12AB-4C75-BD01-387F08D6916F}"/>
    <cellStyle name="Normal 14 29" xfId="11823" xr:uid="{356C15BD-39FA-47AF-8BB6-C85F136613A2}"/>
    <cellStyle name="Normal 14 3" xfId="32735" xr:uid="{21043342-33C2-4460-A2A3-E8DA127E4E31}"/>
    <cellStyle name="Normal 14 3 2" xfId="18344" xr:uid="{D2B0D381-B013-43C5-AA5E-6639D010C737}"/>
    <cellStyle name="Normal 14 3 2 2" xfId="32736" xr:uid="{067A3FED-E14B-4FCA-991A-4AA4D2964879}"/>
    <cellStyle name="Normal 14 3 3" xfId="18348" xr:uid="{C2867480-7521-4882-880D-D17AE62FABEF}"/>
    <cellStyle name="Normal 14 30" xfId="32726" xr:uid="{575576A5-FA2F-4378-8CD9-361E90F7FE92}"/>
    <cellStyle name="Normal 14 31" xfId="32728" xr:uid="{35BF7009-41B5-44A0-B2EF-12DFC0092055}"/>
    <cellStyle name="Normal 14 32" xfId="32730" xr:uid="{872C9214-C462-4217-8982-407D79AA0E6F}"/>
    <cellStyle name="Normal 14 33" xfId="32732" xr:uid="{CCDB611F-AC10-4B9B-9807-796D1BEF0D83}"/>
    <cellStyle name="Normal 14 4" xfId="32737" xr:uid="{F6B5CF5E-4E2F-49E9-B8C2-9B71303866C3}"/>
    <cellStyle name="Normal 14 4 2" xfId="18420" xr:uid="{D7EEBEDA-3965-452E-88BD-9AA0DB5598B9}"/>
    <cellStyle name="Normal 14 4 2 2" xfId="32738" xr:uid="{A115DBD5-1D4B-4D2E-9C34-32B63B2F7385}"/>
    <cellStyle name="Normal 14 4 3" xfId="5291" xr:uid="{A9876788-1BFE-46D8-8547-034224EE852F}"/>
    <cellStyle name="Normal 14 5" xfId="32739" xr:uid="{BEFEE1C2-DD1C-4D5E-9C37-4271CECB1687}"/>
    <cellStyle name="Normal 14 5 2" xfId="32740" xr:uid="{469C18FA-1DF2-4B7A-9A17-303E7C5013CC}"/>
    <cellStyle name="Normal 14 6" xfId="22821" xr:uid="{51F24591-4EAD-461B-85D7-7F5F79D7EDA1}"/>
    <cellStyle name="Normal 14 7" xfId="22826" xr:uid="{9F01D6F2-0EDA-4365-91AC-5D7C0C452CE3}"/>
    <cellStyle name="Normal 14 8" xfId="32741" xr:uid="{7BBC9FC0-8C4E-49B2-897F-3BF42C0645C0}"/>
    <cellStyle name="Normal 14 9" xfId="32742" xr:uid="{042875B3-7E3E-4236-BC28-ED71626AB1CA}"/>
    <cellStyle name="Normal 140" xfId="16460" xr:uid="{644431C3-8873-419A-A676-85270E70873F}"/>
    <cellStyle name="Normal 140 2" xfId="32678" xr:uid="{11A70372-1355-4608-A957-2E279D34BC5E}"/>
    <cellStyle name="Normal 140 2 2" xfId="32683" xr:uid="{EC2CDD5F-DA1B-4B91-A1B3-59043988B4DE}"/>
    <cellStyle name="Normal 140 3" xfId="32688" xr:uid="{CAE5AB3D-788F-482D-8F62-D3726A009212}"/>
    <cellStyle name="Normal 141" xfId="32692" xr:uid="{C0C984E9-29ED-4496-A573-A0A030B2D7E2}"/>
    <cellStyle name="Normal 141 2" xfId="29314" xr:uid="{E5C6C406-7CE5-4067-87E4-8C889459CA7A}"/>
    <cellStyle name="Normal 141 2 2" xfId="890" xr:uid="{AA0285CF-4D48-4D74-8345-CA6394379928}"/>
    <cellStyle name="Normal 141 3" xfId="29318" xr:uid="{49CDCC2B-6AC5-4071-A5EF-D1FA9264A0DB}"/>
    <cellStyle name="Normal 142" xfId="32698" xr:uid="{33B7D10D-9E10-4694-9BE2-ACE147D34663}"/>
    <cellStyle name="Normal 142 2" xfId="29357" xr:uid="{A7484DAE-CC21-45E7-984F-F8CF84F63883}"/>
    <cellStyle name="Normal 142 2 2" xfId="11974" xr:uid="{F08FD6A3-4297-4F16-9F23-8F2697D41B1C}"/>
    <cellStyle name="Normal 142 3" xfId="32701" xr:uid="{8611C539-5DC2-4CC1-872C-A6B3D68E5F48}"/>
    <cellStyle name="Normal 143" xfId="30403" xr:uid="{B962951C-5798-4577-A18D-AE8C3219E065}"/>
    <cellStyle name="Normal 143 2" xfId="9752" xr:uid="{0C017F8B-FE72-47EA-B15B-5D6723080EBA}"/>
    <cellStyle name="Normal 143 2 2" xfId="14805" xr:uid="{B45CFC09-689A-4356-A943-637F89B5515C}"/>
    <cellStyle name="Normal 143 3" xfId="30407" xr:uid="{2D2AB2FB-0E70-4032-841D-837D94EED1C6}"/>
    <cellStyle name="Normal 144" xfId="28852" xr:uid="{191C9E7F-9668-4EAB-B414-55027F1D474A}"/>
    <cellStyle name="Normal 144 2" xfId="30411" xr:uid="{E036D7B2-0E63-4B5E-B355-2AF6B7BD8C6E}"/>
    <cellStyle name="Normal 144 2 2" xfId="30416" xr:uid="{72269E7A-3B0A-4316-B6C0-B569B5BB70E7}"/>
    <cellStyle name="Normal 144 3" xfId="30421" xr:uid="{3AE8CD01-60BC-4D1B-949A-7A97761BA369}"/>
    <cellStyle name="Normal 145" xfId="30425" xr:uid="{183EABA8-C29B-45CD-8746-8C0DF82FC9F6}"/>
    <cellStyle name="Normal 145 2" xfId="30430" xr:uid="{ED43FA10-EFFD-445E-BADE-3D7BFDD51729}"/>
    <cellStyle name="Normal 145 2 2" xfId="16017" xr:uid="{EECDCA92-E577-40B1-95DC-25F9B1A6D24F}"/>
    <cellStyle name="Normal 145 3" xfId="32744" xr:uid="{F4BD3ADD-7B17-415B-BF93-226F5FAD51D7}"/>
    <cellStyle name="Normal 146" xfId="29721" xr:uid="{E9EC3D25-4E06-4AD5-9231-32E47C099BF2}"/>
    <cellStyle name="Normal 146 2" xfId="29727" xr:uid="{28EAE32B-0B73-483A-954E-6A1B02CCBEEC}"/>
    <cellStyle name="Normal 146 2 2" xfId="16496" xr:uid="{5330DA4D-79ED-4192-A284-B90073552BF5}"/>
    <cellStyle name="Normal 146 3" xfId="32748" xr:uid="{765BAB08-2517-460C-AFEE-4DACA326F6C2}"/>
    <cellStyle name="Normal 147" xfId="29732" xr:uid="{EA066B48-16AC-48B4-AA5C-DA382A734DA3}"/>
    <cellStyle name="Normal 147 2" xfId="31047" xr:uid="{42BAD59A-64CC-4BF6-A598-64820BC01D03}"/>
    <cellStyle name="Normal 147 2 2" xfId="16856" xr:uid="{0637DC27-1985-4C77-B8BF-B28E865E285E}"/>
    <cellStyle name="Normal 147 3" xfId="32752" xr:uid="{59278D2D-33B4-4B05-8352-6235C9FA2A2D}"/>
    <cellStyle name="Normal 148" xfId="31052" xr:uid="{C5DBDAFF-8387-4EAC-851D-AF84B2305A82}"/>
    <cellStyle name="Normal 148 2" xfId="32757" xr:uid="{CD5D7D52-EDE9-4865-B1CD-2FBD9A2546AD}"/>
    <cellStyle name="Normal 148 2 2" xfId="17022" xr:uid="{CF0864E4-7E99-4344-BD36-6E80E3FDC03E}"/>
    <cellStyle name="Normal 148 3" xfId="32761" xr:uid="{F2B91C7B-5D39-41CA-8FAD-7AE386EA3577}"/>
    <cellStyle name="Normal 149" xfId="32765" xr:uid="{52F4405D-55B9-425F-A954-14495F8ACD09}"/>
    <cellStyle name="Normal 149 2" xfId="32770" xr:uid="{EB69150E-2FB4-47B5-831B-F8D8C874A4A0}"/>
    <cellStyle name="Normal 149 2 2" xfId="30971" xr:uid="{56404991-1F06-4370-ADE1-54F9BD4509F7}"/>
    <cellStyle name="Normal 149 3" xfId="32774" xr:uid="{89CB5364-7EEB-40F1-BA7C-3E239A1430D9}"/>
    <cellStyle name="Normal 15" xfId="32777" xr:uid="{EBBB0B1D-219A-4179-810C-65F0DD253862}"/>
    <cellStyle name="Normal 15 2" xfId="19891" xr:uid="{CAEF8F91-C4F8-4957-852D-FCE0016C7F0E}"/>
    <cellStyle name="Normal 15 2 2" xfId="19897" xr:uid="{96A06F00-5E75-46A9-98F5-76265801BE62}"/>
    <cellStyle name="Normal 15 2 2 2" xfId="32783" xr:uid="{E6F90738-D21A-4954-BC13-56CDB55F47DE}"/>
    <cellStyle name="Normal 15 2 3" xfId="32503" xr:uid="{2CA44FA7-E851-4B19-8E9A-7B4A1004A806}"/>
    <cellStyle name="Normal 15 3" xfId="19903" xr:uid="{EDF994C8-35F3-44C5-A51D-6EF8683C79B7}"/>
    <cellStyle name="Normal 15 3 2" xfId="19362" xr:uid="{8690E4EB-5E24-4F0D-9B72-31E60A431E53}"/>
    <cellStyle name="Normal 15 4" xfId="23632" xr:uid="{29F4BD75-B1E2-4245-A065-3A63A588ED81}"/>
    <cellStyle name="Normal 15 5" xfId="32784" xr:uid="{63136EF1-2999-4A93-AD52-5B2DE138FDBB}"/>
    <cellStyle name="Normal 15 5 2" xfId="32786" xr:uid="{ABEF6BD0-7B7D-4923-A1C6-8E87A1081EAD}"/>
    <cellStyle name="Normal 15 5 2 2" xfId="32787" xr:uid="{B62C0520-5562-440E-B957-F0A9CA87B9C9}"/>
    <cellStyle name="Normal 15 5 2 3" xfId="54144" xr:uid="{A245E1D9-26A7-4DE0-9B48-0030CE4F91AC}"/>
    <cellStyle name="Normal 15 5 2 3 2" xfId="54211" xr:uid="{325A0F49-7CCE-409C-82AF-C06AA80726BC}"/>
    <cellStyle name="Normal 15 5 2 4" xfId="54213" xr:uid="{466E6A99-8D64-49EE-8F7F-FF8A1533A8A1}"/>
    <cellStyle name="Normal 150" xfId="30426" xr:uid="{FB67465B-2CE0-46AF-932A-06151250BDFF}"/>
    <cellStyle name="Normal 150 2" xfId="30431" xr:uid="{B20E287F-E09F-4A96-9D0B-91C8CDE9B2EB}"/>
    <cellStyle name="Normal 150 2 2" xfId="16018" xr:uid="{6159EB30-EC59-49AA-856C-995F07F5F42D}"/>
    <cellStyle name="Normal 150 3" xfId="32745" xr:uid="{5A6DAC73-69E4-4F34-84F8-61B8EE350747}"/>
    <cellStyle name="Normal 151" xfId="29722" xr:uid="{5B721135-45A1-4118-A6AE-8D6BED1AC479}"/>
    <cellStyle name="Normal 151 2" xfId="29728" xr:uid="{DECA5A9F-C9A1-4288-881E-DFEBC51B6251}"/>
    <cellStyle name="Normal 151 2 2" xfId="16497" xr:uid="{B3E519AF-3CA4-4C3D-B49E-6A7B99FFC27A}"/>
    <cellStyle name="Normal 151 3" xfId="32749" xr:uid="{3EB7F2B4-4EB4-4DBB-AD74-FA867696E625}"/>
    <cellStyle name="Normal 152" xfId="29733" xr:uid="{ED9ECA69-C16A-497A-B3BA-A1FC7105F403}"/>
    <cellStyle name="Normal 152 2" xfId="31048" xr:uid="{5173FFD4-9EF7-4B6D-AD80-E7E6DC2FB1B4}"/>
    <cellStyle name="Normal 152 2 2" xfId="16857" xr:uid="{5D388C71-69F6-487E-9F39-F183BBEFACBE}"/>
    <cellStyle name="Normal 152 3" xfId="32753" xr:uid="{F5D71B84-3A01-4940-9F5E-4362BC0B3579}"/>
    <cellStyle name="Normal 153" xfId="31053" xr:uid="{C3C28CF9-9B04-46B7-95EE-21CB836390EF}"/>
    <cellStyle name="Normal 153 2" xfId="32758" xr:uid="{1BA81C91-4030-4D38-8313-8A9D220099AD}"/>
    <cellStyle name="Normal 153 2 2" xfId="17023" xr:uid="{A6603A21-D7C1-4DA1-BC9D-8466AC274AAD}"/>
    <cellStyle name="Normal 153 3" xfId="32762" xr:uid="{EF76DF6C-7CF8-4A6A-B464-D06481DBEF48}"/>
    <cellStyle name="Normal 154" xfId="32766" xr:uid="{A4F168F9-43B5-4812-BCDB-117CEDF84ACA}"/>
    <cellStyle name="Normal 154 2" xfId="32771" xr:uid="{28C1D1C0-F3AB-4BC9-9B00-6366FCD2D601}"/>
    <cellStyle name="Normal 154 2 2" xfId="30972" xr:uid="{27B29FB3-AB59-4D2F-B3E9-C79FE3C012D7}"/>
    <cellStyle name="Normal 154 3" xfId="32775" xr:uid="{C71E684B-8231-4E9C-A8E0-5C1274CC8FF4}"/>
    <cellStyle name="Normal 155" xfId="32789" xr:uid="{F30F9709-B749-429D-A1B9-E25D65B616B1}"/>
    <cellStyle name="Normal 155 2" xfId="11900" xr:uid="{3050C0FE-3863-4C5F-89E1-857AA6263B88}"/>
    <cellStyle name="Normal 155 2 2" xfId="11907" xr:uid="{F9068486-4749-4F63-9849-CBE189906C6E}"/>
    <cellStyle name="Normal 155 3" xfId="2704" xr:uid="{CC9455F4-8D7A-44A9-912A-C00896D7A829}"/>
    <cellStyle name="Normal 156" xfId="32793" xr:uid="{7223C49B-DCD1-4CAC-B9FF-0BC7537B2B11}"/>
    <cellStyle name="Normal 156 2" xfId="11942" xr:uid="{6E3A8E5D-BC10-4CFD-BC82-7A91466B66E1}"/>
    <cellStyle name="Normal 156 2 2" xfId="31230" xr:uid="{D3192F5B-14D7-4BA5-AF32-BC06C1E9370A}"/>
    <cellStyle name="Normal 156 3" xfId="32798" xr:uid="{352CFA0E-EBDE-4C56-B808-D82C60FAAC0F}"/>
    <cellStyle name="Normal 157" xfId="32802" xr:uid="{B30B8CDD-9CAF-467B-B040-319CB74238EE}"/>
    <cellStyle name="Normal 157 2" xfId="1211" xr:uid="{245C12F4-952B-45E2-8216-CA2011695D48}"/>
    <cellStyle name="Normal 157 2 2" xfId="32807" xr:uid="{C7712B36-924B-4025-A500-755BB26FD995}"/>
    <cellStyle name="Normal 157 3" xfId="1226" xr:uid="{74B57E7C-EC06-40B1-A0E3-367D2C08030D}"/>
    <cellStyle name="Normal 158" xfId="32811" xr:uid="{F7B6E2E4-94F0-454C-9F93-9A0990783EA0}"/>
    <cellStyle name="Normal 158 2" xfId="32816" xr:uid="{AB11AF1C-4CC8-4720-8549-3FA3F2F994B8}"/>
    <cellStyle name="Normal 158 2 2" xfId="32821" xr:uid="{AFC51AA5-995C-4A24-8A8E-23498B41FB47}"/>
    <cellStyle name="Normal 158 3" xfId="32827" xr:uid="{09AB49C0-21D4-4EBC-A4C8-AEB0844795FF}"/>
    <cellStyle name="Normal 159" xfId="32831" xr:uid="{9432D1A0-DFE8-469B-926E-57C691C87F81}"/>
    <cellStyle name="Normal 159 2" xfId="32836" xr:uid="{5566E929-524C-4B37-8F8B-D1F1394BA4C9}"/>
    <cellStyle name="Normal 159 2 2" xfId="32841" xr:uid="{52820977-ED9B-4496-9307-531D08F19B03}"/>
    <cellStyle name="Normal 159 3" xfId="32847" xr:uid="{45E301CE-3A2C-4D77-BF65-8BF38BE87AAE}"/>
    <cellStyle name="Normal 16" xfId="32850" xr:uid="{28CEEF81-8584-4179-A6D7-32E2BBA1C931}"/>
    <cellStyle name="Normal 16 10" xfId="32855" xr:uid="{224CB142-5096-4500-BF65-29FEFA5BC866}"/>
    <cellStyle name="Normal 16 11" xfId="32857" xr:uid="{C7ED3174-7AD5-4351-9704-67D13151C86C}"/>
    <cellStyle name="Normal 16 12" xfId="13031" xr:uid="{669AA4FA-880B-4E21-B78E-3B7DABB1F8CE}"/>
    <cellStyle name="Normal 16 13" xfId="23216" xr:uid="{E6543484-6135-40E4-BDA0-CB9B0B141846}"/>
    <cellStyle name="Normal 16 14" xfId="23221" xr:uid="{8BE4116B-A295-45F5-A350-06A7D88761B1}"/>
    <cellStyle name="Normal 16 15" xfId="32859" xr:uid="{FD28CC41-954D-4B5E-85C5-3F3CB13145DD}"/>
    <cellStyle name="Normal 16 16" xfId="32862" xr:uid="{63E6C130-09BD-43BF-93EC-5B5100D24A3D}"/>
    <cellStyle name="Normal 16 17" xfId="32865" xr:uid="{2C7A6C01-9E85-4476-A0E8-17A0DCBCB0A8}"/>
    <cellStyle name="Normal 16 18" xfId="19805" xr:uid="{587BABE0-4C27-4FD5-9D64-879C0A610381}"/>
    <cellStyle name="Normal 16 19" xfId="19814" xr:uid="{7AF60D66-7127-45EF-9A6A-2AC8BE7E7033}"/>
    <cellStyle name="Normal 16 2" xfId="19912" xr:uid="{32950ECB-E93C-40AE-B813-B745614AFAD6}"/>
    <cellStyle name="Normal 16 2 2" xfId="32867" xr:uid="{690C2ABA-C17D-4B5F-A121-1D9EB66B4D0B}"/>
    <cellStyle name="Normal 16 2 2 2" xfId="32871" xr:uid="{8EEC420C-2CF5-4186-8801-DF3783E2E3F9}"/>
    <cellStyle name="Normal 16 2 3" xfId="32549" xr:uid="{04BDB5B0-B245-43A4-B9CC-AC4C0C4D6A77}"/>
    <cellStyle name="Normal 16 2 4" xfId="32872" xr:uid="{F239E115-F4A7-422C-A84B-79E039D23020}"/>
    <cellStyle name="Normal 16 2 5" xfId="32873" xr:uid="{D1B44F57-09E4-455C-96CC-137E925A88E6}"/>
    <cellStyle name="Normal 16 20" xfId="32860" xr:uid="{F4BC7280-D015-4876-8530-00879E092F6D}"/>
    <cellStyle name="Normal 16 21" xfId="32863" xr:uid="{0A2FC1E6-92AB-40C0-B688-B5E1EDCE9C1D}"/>
    <cellStyle name="Normal 16 22" xfId="32866" xr:uid="{8909239B-ED78-4FBB-8FDE-96A8AD845DE4}"/>
    <cellStyle name="Normal 16 23" xfId="19806" xr:uid="{6FF8149D-8353-4A98-8E5C-39A3A7BF02AC}"/>
    <cellStyle name="Normal 16 24" xfId="19815" xr:uid="{713DB462-9C97-4871-8555-E55BD79D5E0E}"/>
    <cellStyle name="Normal 16 25" xfId="19821" xr:uid="{144074BE-B7FB-4AB8-B850-667C12D940D3}"/>
    <cellStyle name="Normal 16 26" xfId="19824" xr:uid="{BB27318F-A77B-4F32-8D4A-B405035DF0F0}"/>
    <cellStyle name="Normal 16 27" xfId="32874" xr:uid="{969500FB-E995-41D6-9F83-C9F6984E99F7}"/>
    <cellStyle name="Normal 16 3" xfId="32875" xr:uid="{69F8B9C0-C482-418A-9791-81E0FEC31FCF}"/>
    <cellStyle name="Normal 16 3 2" xfId="32879" xr:uid="{A7352E1E-5503-4D98-833A-EAAEE71A325B}"/>
    <cellStyle name="Normal 16 3 2 2" xfId="19866" xr:uid="{7AEB91B0-8255-44B4-A85D-AD08696B9CF5}"/>
    <cellStyle name="Normal 16 3 3" xfId="32881" xr:uid="{5FC93206-4142-4B7E-8A9F-597E837A95B7}"/>
    <cellStyle name="Normal 16 4" xfId="32884" xr:uid="{EF15EA3C-8F96-4EE0-8D4C-4A8DFA9863B2}"/>
    <cellStyle name="Normal 16 4 2" xfId="32886" xr:uid="{80A0AFD7-FB98-45CC-BBF2-22FEDB14BABA}"/>
    <cellStyle name="Normal 16 5" xfId="32889" xr:uid="{55471130-1A35-4AA8-851F-9DD16D721D6C}"/>
    <cellStyle name="Normal 16 6" xfId="32891" xr:uid="{89AC1DD2-FEBC-40B7-96DF-5BEF3990FD16}"/>
    <cellStyle name="Normal 16 7" xfId="31665" xr:uid="{38FB39D7-AF7B-405F-98F1-3CDDE400B636}"/>
    <cellStyle name="Normal 16 8" xfId="32893" xr:uid="{76FE334D-7FA8-40BA-B0F8-C58D2A8E5A75}"/>
    <cellStyle name="Normal 16 9" xfId="32895" xr:uid="{1D6BAF69-D693-456F-B8C9-86CFE6099174}"/>
    <cellStyle name="Normal 160" xfId="32790" xr:uid="{991AC4D9-B8BF-4E48-9550-37914934CAA1}"/>
    <cellStyle name="Normal 160 2" xfId="11901" xr:uid="{72D5F1C0-1086-4716-A674-E0DAD0726546}"/>
    <cellStyle name="Normal 160 2 2" xfId="11908" xr:uid="{90D2F039-9E3C-4FE1-B9E1-6403DFD50035}"/>
    <cellStyle name="Normal 160 3" xfId="2705" xr:uid="{9AACA15E-A008-4B75-BB59-720D545A4501}"/>
    <cellStyle name="Normal 161" xfId="32794" xr:uid="{7E6EAABF-C285-4354-AB55-77FFDD4AF391}"/>
    <cellStyle name="Normal 161 2" xfId="11943" xr:uid="{C073B70D-DDD1-4353-9DD0-FAB4A7F29B44}"/>
    <cellStyle name="Normal 161 2 2" xfId="31231" xr:uid="{FC3C784C-64C7-448B-ABE2-5E51216CE99E}"/>
    <cellStyle name="Normal 161 3" xfId="32799" xr:uid="{9B63A7CF-95EC-4C32-9886-36040162D478}"/>
    <cellStyle name="Normal 162" xfId="32803" xr:uid="{FCEE60ED-9E26-4044-84AD-9A991832C212}"/>
    <cellStyle name="Normal 162 2" xfId="1212" xr:uid="{073F758C-2CBB-4A7F-A789-99165637AEDE}"/>
    <cellStyle name="Normal 162 2 2" xfId="32808" xr:uid="{71D7CDE9-EA44-4C89-8660-5D7D96E7DC87}"/>
    <cellStyle name="Normal 162 3" xfId="1227" xr:uid="{9110C5DE-A039-40B1-82CF-963EDC8D1BA5}"/>
    <cellStyle name="Normal 163" xfId="32812" xr:uid="{AEDDEF9C-4262-4498-BDC1-3CAF39FD0CB7}"/>
    <cellStyle name="Normal 163 2" xfId="32817" xr:uid="{7C6E12A9-69F3-43A5-B736-E2D79F3C15C9}"/>
    <cellStyle name="Normal 163 2 2" xfId="32822" xr:uid="{FD88DAEE-1CFD-4385-B1F1-42991EF61BA0}"/>
    <cellStyle name="Normal 163 3" xfId="32828" xr:uid="{EE419F1A-A2C7-471E-A336-7BAA01AE9BB7}"/>
    <cellStyle name="Normal 164" xfId="32832" xr:uid="{37B97D36-6A42-432F-B1CD-FC17C077BB7F}"/>
    <cellStyle name="Normal 164 2" xfId="32837" xr:uid="{02291F47-123B-4F9A-B81D-C442D125E1D3}"/>
    <cellStyle name="Normal 164 2 2" xfId="32842" xr:uid="{14EE3F05-6EB2-4D9E-AF01-C87CF1BFB21F}"/>
    <cellStyle name="Normal 164 3" xfId="32848" xr:uid="{8063760C-6B35-48C6-91DF-7B48F1F2A095}"/>
    <cellStyle name="Normal 165" xfId="32898" xr:uid="{DB1DEDC0-7460-45F0-9C07-F9C60121D61F}"/>
    <cellStyle name="Normal 165 2" xfId="29247" xr:uid="{952AC47C-CE06-4FAA-BFBD-161F73FF6D97}"/>
    <cellStyle name="Normal 165 2 2" xfId="29254" xr:uid="{6CF0469F-5413-409B-B086-9A3C18DB9AFC}"/>
    <cellStyle name="Normal 165 3" xfId="30080" xr:uid="{2AB7EBCD-7D7C-499B-8CA8-0D6E3C4CE536}"/>
    <cellStyle name="Normal 166" xfId="32902" xr:uid="{35BD79E8-EDB5-496F-ADA8-EDE882B13B3B}"/>
    <cellStyle name="Normal 166 2" xfId="29387" xr:uid="{61F83BDC-7B0E-49CC-B68D-0AC98A35A3E4}"/>
    <cellStyle name="Normal 166 2 2" xfId="32906" xr:uid="{F38ED9D4-1330-400C-B9B0-274453294406}"/>
    <cellStyle name="Normal 166 3" xfId="30089" xr:uid="{21E2EAA9-DC2C-4D30-8A73-E9CAFA91CA23}"/>
    <cellStyle name="Normal 167" xfId="32912" xr:uid="{C957C6FC-66C5-4547-BB6A-0123C8C4E958}"/>
    <cellStyle name="Normal 167 2" xfId="29465" xr:uid="{13415725-195B-4512-871F-955ADE434549}"/>
    <cellStyle name="Normal 167 2 2" xfId="32916" xr:uid="{83FA769D-0D44-4BC5-A620-34543B2C24A3}"/>
    <cellStyle name="Normal 167 3" xfId="32921" xr:uid="{CCE5BA63-A62F-439A-944A-2E30019FB3E1}"/>
    <cellStyle name="Normal 168" xfId="32925" xr:uid="{E688DB1C-F64C-497B-8EC6-8564CD854F0A}"/>
    <cellStyle name="Normal 168 2" xfId="18227" xr:uid="{8D656F7B-F336-4A27-A50E-9D9AFB874498}"/>
    <cellStyle name="Normal 168 2 2" xfId="3619" xr:uid="{BACB769A-9588-499B-A5EB-8DD502276990}"/>
    <cellStyle name="Normal 168 3" xfId="32929" xr:uid="{6423BED7-4A9D-43B8-B009-51ABF7218909}"/>
    <cellStyle name="Normal 169" xfId="32933" xr:uid="{F57CBB7B-D9F9-4979-AF31-BBEE9D7EEE8F}"/>
    <cellStyle name="Normal 169 2" xfId="32937" xr:uid="{6138E7C8-AFC9-4702-926D-D9386FC4369B}"/>
    <cellStyle name="Normal 169 2 2" xfId="32941" xr:uid="{462046C6-8C46-48F6-9886-E9A55576D3A4}"/>
    <cellStyle name="Normal 169 3" xfId="32945" xr:uid="{F7C44B91-6BAB-4718-AE2F-CDC250AF35A4}"/>
    <cellStyle name="Normal 17" xfId="32951" xr:uid="{4D16400F-0620-4C2C-9BF9-CF47E7B53753}"/>
    <cellStyle name="Normal 17 10" xfId="32953" xr:uid="{6C59BE9A-AFB1-4332-B7BA-A46CCA13393F}"/>
    <cellStyle name="Normal 17 11" xfId="32956" xr:uid="{584FEF26-AA6A-47B8-8665-F1396AA0495A}"/>
    <cellStyle name="Normal 17 12" xfId="8969" xr:uid="{400A95D2-34BE-426B-BC4D-EAC4B5CDB8EE}"/>
    <cellStyle name="Normal 17 13" xfId="8973" xr:uid="{2BCF6A6A-C6FF-4497-8C4B-371BAD751A77}"/>
    <cellStyle name="Normal 17 14" xfId="32958" xr:uid="{E35B6D79-B066-410E-8CD8-E425B9FCD5CE}"/>
    <cellStyle name="Normal 17 15" xfId="32961" xr:uid="{541A72FA-C60B-4BCA-A2A6-389753515BD7}"/>
    <cellStyle name="Normal 17 16" xfId="30114" xr:uid="{2F8B9ADA-6499-4F5A-9478-75724C9AF09C}"/>
    <cellStyle name="Normal 17 17" xfId="30120" xr:uid="{50B8BFE8-9745-4E71-AAFF-378A0051BE5C}"/>
    <cellStyle name="Normal 17 18" xfId="30124" xr:uid="{CF8A282F-81A5-4A27-98B9-E3ADE6F0E925}"/>
    <cellStyle name="Normal 17 19" xfId="32963" xr:uid="{F599127E-C487-49E8-866E-CEA21679E1B4}"/>
    <cellStyle name="Normal 17 2" xfId="32968" xr:uid="{F723E07E-E672-4D84-A5C1-9B07C20C170E}"/>
    <cellStyle name="Normal 17 2 2" xfId="32972" xr:uid="{E33DF0EC-F8D1-45D1-B51B-895AEF916AE0}"/>
    <cellStyle name="Normal 17 2 3" xfId="32559" xr:uid="{1EC97572-0062-4064-95A4-B49D9894FBB5}"/>
    <cellStyle name="Normal 17 2 3 2" xfId="32975" xr:uid="{C7BC25F2-582B-4CF0-A1EF-297C9F4AF7AD}"/>
    <cellStyle name="Normal 17 2 4" xfId="32978" xr:uid="{288E161C-066B-430B-992D-1493A3228999}"/>
    <cellStyle name="Normal 17 20" xfId="32962" xr:uid="{AD88D0A6-EFF1-4872-9006-45752F3268AE}"/>
    <cellStyle name="Normal 17 21" xfId="30115" xr:uid="{4C8B2B8D-611A-4008-8F60-881702CA4F27}"/>
    <cellStyle name="Normal 17 22" xfId="30121" xr:uid="{1155CF0F-3B49-4368-B3EE-1E856E50678B}"/>
    <cellStyle name="Normal 17 23" xfId="30125" xr:uid="{639AB559-3183-4731-B29C-00657391EE66}"/>
    <cellStyle name="Normal 17 24" xfId="32964" xr:uid="{BC5B1B5E-C54E-4054-A579-45742D983989}"/>
    <cellStyle name="Normal 17 25" xfId="32979" xr:uid="{7AAE806E-48C3-4655-8A73-03FA1675A1A1}"/>
    <cellStyle name="Normal 17 26" xfId="29360" xr:uid="{27DAA8FF-A241-4010-B22F-D6E60331A8B5}"/>
    <cellStyle name="Normal 17 27" xfId="9672" xr:uid="{6907CC12-1938-4F00-8C4E-F13CBBDEF3FE}"/>
    <cellStyle name="Normal 17 3" xfId="32983" xr:uid="{6C4BCF06-EB3A-4228-B2F3-E6BA50206583}"/>
    <cellStyle name="Normal 17 3 10" xfId="15685" xr:uid="{73E0552D-5B7E-4535-B9B2-FB7655221265}"/>
    <cellStyle name="Normal 17 3 10 2" xfId="15688" xr:uid="{067F4B3C-7201-4DD2-8BCF-5E302E11AF70}"/>
    <cellStyle name="Normal 17 3 10 2 2" xfId="9691" xr:uid="{9BD4A5A4-44E1-4465-A240-87B51F187B77}"/>
    <cellStyle name="Normal 17 3 10 3" xfId="32984" xr:uid="{8A064D52-6F48-4CD3-A17B-B9FA1AACE3D7}"/>
    <cellStyle name="Normal 17 3 11" xfId="15692" xr:uid="{D7E05A38-C637-40FF-9456-E594F561E2C6}"/>
    <cellStyle name="Normal 17 3 11 2" xfId="32986" xr:uid="{9C5CB896-422F-45DD-8D0F-8B5066AC50DA}"/>
    <cellStyle name="Normal 17 3 12" xfId="24270" xr:uid="{A55E8FDE-421A-4EC4-9FBF-58B49E354C9F}"/>
    <cellStyle name="Normal 17 3 13" xfId="27605" xr:uid="{92DEFBAD-1368-4718-893A-6EAA0E8B24E0}"/>
    <cellStyle name="Normal 17 3 14" xfId="32987" xr:uid="{7C7E8690-5A17-4E87-B0F4-A275E3CE1C6D}"/>
    <cellStyle name="Normal 17 3 2" xfId="32989" xr:uid="{69CAE8AC-BF27-47FD-B08E-93F1DFB15F05}"/>
    <cellStyle name="Normal 17 3 2 10" xfId="29408" xr:uid="{B2108E71-D83F-4BD9-A402-E7F287D7710A}"/>
    <cellStyle name="Normal 17 3 2 11" xfId="29413" xr:uid="{F9CBC521-CAE0-430A-8D37-B0162B2EE3E1}"/>
    <cellStyle name="Normal 17 3 2 12" xfId="32259" xr:uid="{229F606F-A0FA-4D2C-98F7-2D10EB6A5072}"/>
    <cellStyle name="Normal 17 3 2 2" xfId="32991" xr:uid="{B20EFB76-17D1-43DE-8364-F6AFE19200C1}"/>
    <cellStyle name="Normal 17 3 2 2 10" xfId="16409" xr:uid="{E20642D6-E452-4E2E-9D21-C77AE58ABC4E}"/>
    <cellStyle name="Normal 17 3 2 2 2" xfId="14468" xr:uid="{5585A4EF-A7B0-48E5-A8ED-76B5301A5302}"/>
    <cellStyle name="Normal 17 3 2 2 2 2" xfId="14472" xr:uid="{DE5F682B-CD44-46C8-BA9B-7C66F425A2AF}"/>
    <cellStyle name="Normal 17 3 2 2 2 2 2" xfId="14475" xr:uid="{D31A19DD-ACEC-4AFD-BA38-3B30892E6C08}"/>
    <cellStyle name="Normal 17 3 2 2 2 2 2 2" xfId="7686" xr:uid="{87389436-8C03-4BC2-A3A4-2F9E1C3BAD56}"/>
    <cellStyle name="Normal 17 3 2 2 2 2 2 2 2" xfId="7691" xr:uid="{82701228-D51C-437F-8789-4B5BB1649F7E}"/>
    <cellStyle name="Normal 17 3 2 2 2 2 2 2 2 2" xfId="7449" xr:uid="{51502EF1-1608-4502-94D0-ED359BC4971F}"/>
    <cellStyle name="Normal 17 3 2 2 2 2 2 2 2 2 2" xfId="7420" xr:uid="{40A5CB43-0490-45A9-905A-6EF7F75FA987}"/>
    <cellStyle name="Normal 17 3 2 2 2 2 2 2 2 2 2 2" xfId="32993" xr:uid="{680DCDF2-6DCF-46B8-8D4F-207C47419909}"/>
    <cellStyle name="Normal 17 3 2 2 2 2 2 2 2 2 3" xfId="32995" xr:uid="{0F7CE376-32C7-4F23-B5E2-35949813D166}"/>
    <cellStyle name="Normal 17 3 2 2 2 2 2 2 2 3" xfId="7454" xr:uid="{B064B1D1-18CC-4FDB-94E0-BD5400DD0BAA}"/>
    <cellStyle name="Normal 17 3 2 2 2 2 2 2 2 3 2" xfId="32997" xr:uid="{2A37A934-1D1E-4608-BF32-A6E5CF9765A9}"/>
    <cellStyle name="Normal 17 3 2 2 2 2 2 2 2 4" xfId="11755" xr:uid="{0B18B55D-3363-4BF3-8408-110BD715BF9D}"/>
    <cellStyle name="Normal 17 3 2 2 2 2 2 2 3" xfId="5194" xr:uid="{2A4DE126-A051-4BCB-BA3C-19E31E43524D}"/>
    <cellStyle name="Normal 17 3 2 2 2 2 2 2 3 2" xfId="7698" xr:uid="{A49FBAB1-1ECD-45C9-84E9-3619304E5575}"/>
    <cellStyle name="Normal 17 3 2 2 2 2 2 2 3 2 2" xfId="11171" xr:uid="{B71098BF-692C-42C6-B4F2-BDDEAD9B6E38}"/>
    <cellStyle name="Normal 17 3 2 2 2 2 2 2 3 3" xfId="33001" xr:uid="{55F4FC00-044E-40AC-BC52-B11EEBD48A23}"/>
    <cellStyle name="Normal 17 3 2 2 2 2 2 2 4" xfId="7700" xr:uid="{F6A16792-BB82-4FAF-8143-06F07F459113}"/>
    <cellStyle name="Normal 17 3 2 2 2 2 2 2 4 2" xfId="12674" xr:uid="{2EE9B642-0CB9-4A4A-8DB2-76CCD4DC9569}"/>
    <cellStyle name="Normal 17 3 2 2 2 2 2 2 5" xfId="12679" xr:uid="{B1E2183A-F953-44D4-8EB3-BD5BDB0F15FC}"/>
    <cellStyle name="Normal 17 3 2 2 2 2 2 3" xfId="7704" xr:uid="{907FD635-85BB-44A7-BCFA-1FC15659352E}"/>
    <cellStyle name="Normal 17 3 2 2 2 2 2 3 2" xfId="7709" xr:uid="{109EE967-D5F0-45EA-A91B-DC4D80A6E3B7}"/>
    <cellStyle name="Normal 17 3 2 2 2 2 2 3 2 2" xfId="7712" xr:uid="{6F1AFEE6-8544-44F5-A26B-937FFF7A3120}"/>
    <cellStyle name="Normal 17 3 2 2 2 2 2 3 2 2 2" xfId="11216" xr:uid="{01619603-90BC-48FA-98E4-E06929B3724A}"/>
    <cellStyle name="Normal 17 3 2 2 2 2 2 3 2 3" xfId="33003" xr:uid="{F439D047-E1BD-4667-8A4A-DB2BAE31AF0D}"/>
    <cellStyle name="Normal 17 3 2 2 2 2 2 3 3" xfId="7716" xr:uid="{FC87BDCA-A38E-4A72-BB0B-3497668EA1F7}"/>
    <cellStyle name="Normal 17 3 2 2 2 2 2 3 3 2" xfId="20440" xr:uid="{7170BCA3-14A1-401D-938B-05906162F5FC}"/>
    <cellStyle name="Normal 17 3 2 2 2 2 2 3 4" xfId="10445" xr:uid="{C03B1A99-EBA4-4AE7-B49E-916C14574E54}"/>
    <cellStyle name="Normal 17 3 2 2 2 2 2 4" xfId="7719" xr:uid="{CDF42310-1B3A-4D71-B23D-2C821C58351C}"/>
    <cellStyle name="Normal 17 3 2 2 2 2 2 4 2" xfId="7726" xr:uid="{34C4A87A-AE10-461B-8BCA-BA676861FF70}"/>
    <cellStyle name="Normal 17 3 2 2 2 2 2 4 2 2" xfId="14695" xr:uid="{774CBE7C-EC66-45B5-AD40-995065CA8A8E}"/>
    <cellStyle name="Normal 17 3 2 2 2 2 2 4 3" xfId="14699" xr:uid="{407AF4E6-72A8-4D39-8183-3D4FD9C99244}"/>
    <cellStyle name="Normal 17 3 2 2 2 2 2 5" xfId="42" xr:uid="{27540EA0-100B-411B-A0A4-63785EB9F549}"/>
    <cellStyle name="Normal 17 3 2 2 2 2 2 5 2" xfId="14703" xr:uid="{49462175-3730-4332-89DD-7884DEBA601A}"/>
    <cellStyle name="Normal 17 3 2 2 2 2 2 6" xfId="7738" xr:uid="{DBE12217-F121-4C7B-912A-485CD43E604E}"/>
    <cellStyle name="Normal 17 3 2 2 2 2 2 7" xfId="18063" xr:uid="{BE90AF72-145A-436C-B6C6-2F83E952325D}"/>
    <cellStyle name="Normal 17 3 2 2 2 2 3" xfId="33005" xr:uid="{960B5130-0689-4E4A-842B-433CF3F6515A}"/>
    <cellStyle name="Normal 17 3 2 2 2 2 3 2" xfId="6519" xr:uid="{2A03F472-82A4-40D7-83CE-0C2AA1B47228}"/>
    <cellStyle name="Normal 17 3 2 2 2 2 3 2 2" xfId="6530" xr:uid="{609C3608-C563-4DA5-A971-C1BAF0C3D939}"/>
    <cellStyle name="Normal 17 3 2 2 2 2 3 2 2 2" xfId="7777" xr:uid="{2CDDAD58-BE32-4DC6-9501-1A2CDEB66050}"/>
    <cellStyle name="Normal 17 3 2 2 2 2 3 2 2 2 2" xfId="10836" xr:uid="{54F0C257-92CA-4D47-9269-953DA4C29F2C}"/>
    <cellStyle name="Normal 17 3 2 2 2 2 3 2 2 3" xfId="10839" xr:uid="{33E64C8E-6ECC-44B5-956A-D732289AA9E9}"/>
    <cellStyle name="Normal 17 3 2 2 2 2 3 2 3" xfId="7781" xr:uid="{95C9E42A-AA65-4B91-8815-6D9B3C5943EC}"/>
    <cellStyle name="Normal 17 3 2 2 2 2 3 2 3 2" xfId="10853" xr:uid="{C71EDC68-CA29-48B7-A761-1C6F7339FB8E}"/>
    <cellStyle name="Normal 17 3 2 2 2 2 3 2 4" xfId="12684" xr:uid="{1C7C9021-CE5C-4AAA-BF34-558608205708}"/>
    <cellStyle name="Normal 17 3 2 2 2 2 3 3" xfId="6539" xr:uid="{95F2E0CB-0252-40F1-8D2E-C7A7EEEAB98F}"/>
    <cellStyle name="Normal 17 3 2 2 2 2 3 3 2" xfId="7784" xr:uid="{CEE64B7B-2673-47AD-AFC3-8C5DF5D81EBA}"/>
    <cellStyle name="Normal 17 3 2 2 2 2 3 3 2 2" xfId="10878" xr:uid="{AE071411-2965-4515-A1AF-6CB3408E4D00}"/>
    <cellStyle name="Normal 17 3 2 2 2 2 3 3 3" xfId="33007" xr:uid="{382DF812-44D2-4852-A792-965CF4B6AD9A}"/>
    <cellStyle name="Normal 17 3 2 2 2 2 3 4" xfId="7787" xr:uid="{D13DA701-42DE-4F18-9CBE-ACE81231A873}"/>
    <cellStyle name="Normal 17 3 2 2 2 2 3 4 2" xfId="14708" xr:uid="{7CF4D43A-6879-4517-99E1-CC4F38DED3CA}"/>
    <cellStyle name="Normal 17 3 2 2 2 2 3 5" xfId="7796" xr:uid="{C082C055-FF7B-408D-9565-C4F732461C4F}"/>
    <cellStyle name="Normal 17 3 2 2 2 2 4" xfId="33009" xr:uid="{6A59AB15-E8CD-4181-A071-6066F448AEA8}"/>
    <cellStyle name="Normal 17 3 2 2 2 2 4 2" xfId="6551" xr:uid="{40D0A177-C342-4B4B-9C80-B4DA7FD2564E}"/>
    <cellStyle name="Normal 17 3 2 2 2 2 4 2 2" xfId="7815" xr:uid="{AFD89896-D52A-43BE-AE56-2E255A7AEE17}"/>
    <cellStyle name="Normal 17 3 2 2 2 2 4 2 2 2" xfId="10961" xr:uid="{129E8B1F-F313-4042-A233-254030A76C2A}"/>
    <cellStyle name="Normal 17 3 2 2 2 2 4 2 3" xfId="4388" xr:uid="{5EB8589F-DE17-43ED-8BC7-DFE987975DA5}"/>
    <cellStyle name="Normal 17 3 2 2 2 2 4 3" xfId="6745" xr:uid="{94AB8CC2-11DC-4177-9966-1CF7970A5783}"/>
    <cellStyle name="Normal 17 3 2 2 2 2 4 3 2" xfId="33011" xr:uid="{3AD874D4-FFB9-426F-AE0F-E73BC62661B8}"/>
    <cellStyle name="Normal 17 3 2 2 2 2 4 4" xfId="14717" xr:uid="{BA14679B-7B9B-45F1-99CE-C060057122B0}"/>
    <cellStyle name="Normal 17 3 2 2 2 2 5" xfId="33014" xr:uid="{06B6BB47-AC26-49AB-915A-321EC211ED75}"/>
    <cellStyle name="Normal 17 3 2 2 2 2 5 2" xfId="7823" xr:uid="{FFEEF335-8245-4F86-AA78-0D13A5F5D7F1}"/>
    <cellStyle name="Normal 17 3 2 2 2 2 5 2 2" xfId="21570" xr:uid="{7BD06697-AD40-4A4E-A875-F037E3F5F41A}"/>
    <cellStyle name="Normal 17 3 2 2 2 2 5 3" xfId="21576" xr:uid="{95A1120D-C8C4-4B49-8C80-FA249D5C14C2}"/>
    <cellStyle name="Normal 17 3 2 2 2 2 6" xfId="33016" xr:uid="{52EA3417-6920-4201-8508-F8648A7C3F37}"/>
    <cellStyle name="Normal 17 3 2 2 2 2 6 2" xfId="21644" xr:uid="{07EBF24C-6EFC-4C95-95F7-37AE949ED174}"/>
    <cellStyle name="Normal 17 3 2 2 2 2 7" xfId="33018" xr:uid="{304218A0-22DA-45CE-A17C-DDE2F3265717}"/>
    <cellStyle name="Normal 17 3 2 2 2 2 8" xfId="11832" xr:uid="{0C1225A3-5625-43B5-91D2-C3F79CE38BDB}"/>
    <cellStyle name="Normal 17 3 2 2 2 3" xfId="14478" xr:uid="{3E1FC78C-E743-4381-96F6-B5D3D6199595}"/>
    <cellStyle name="Normal 17 3 2 2 2 3 2" xfId="33020" xr:uid="{1DB72EFF-9E28-4565-90A5-3961399E36BF}"/>
    <cellStyle name="Normal 17 3 2 2 2 3 2 2" xfId="1428" xr:uid="{6840E618-11E6-49C3-925A-094DD0D501D7}"/>
    <cellStyle name="Normal 17 3 2 2 2 3 2 2 2" xfId="176" xr:uid="{4449021F-88C3-422B-851A-E441E291A81D}"/>
    <cellStyle name="Normal 17 3 2 2 2 3 2 2 2 2" xfId="1659" xr:uid="{202EB36F-D094-4FB1-9C1E-61F9C427DF02}"/>
    <cellStyle name="Normal 17 3 2 2 2 3 2 2 2 2 2" xfId="33022" xr:uid="{B7434ED4-D30E-4E11-9431-6B9325979050}"/>
    <cellStyle name="Normal 17 3 2 2 2 3 2 2 2 3" xfId="33024" xr:uid="{0B17DAB8-7B66-49A1-B1E1-FBC709C8F2AD}"/>
    <cellStyle name="Normal 17 3 2 2 2 3 2 2 3" xfId="191" xr:uid="{75AC2A67-7170-4D79-BCB8-C90607BC7735}"/>
    <cellStyle name="Normal 17 3 2 2 2 3 2 2 3 2" xfId="33026" xr:uid="{AB9A93C9-EFA7-4DCA-82A5-CFA3A50081B2}"/>
    <cellStyle name="Normal 17 3 2 2 2 3 2 2 4" xfId="12700" xr:uid="{B3622765-550D-4070-B6DA-1BF12C18E825}"/>
    <cellStyle name="Normal 17 3 2 2 2 3 2 3" xfId="1328" xr:uid="{4206A08E-3393-4A78-8B53-6CB557A2392C}"/>
    <cellStyle name="Normal 17 3 2 2 2 3 2 3 2" xfId="1438" xr:uid="{85C57B10-6B96-4B27-8CD9-3C386D837A40}"/>
    <cellStyle name="Normal 17 3 2 2 2 3 2 3 2 2" xfId="33028" xr:uid="{DC48F6A1-E72D-4CAE-BD82-E5E85AC3035E}"/>
    <cellStyle name="Normal 17 3 2 2 2 3 2 3 3" xfId="33030" xr:uid="{1B50B86C-1FF1-40C0-BBA6-E8169AD7FC8A}"/>
    <cellStyle name="Normal 17 3 2 2 2 3 2 4" xfId="1453" xr:uid="{9F01BBB0-B038-4BCE-AE18-1DEBDAA1450B}"/>
    <cellStyle name="Normal 17 3 2 2 2 3 2 4 2" xfId="14727" xr:uid="{E15CFC54-BA6C-43F5-9C6F-8CB9AD953709}"/>
    <cellStyle name="Normal 17 3 2 2 2 3 2 5" xfId="1464" xr:uid="{FD7AF224-BD51-4E78-8D5E-6FF1CC54A9AC}"/>
    <cellStyle name="Normal 17 3 2 2 2 3 3" xfId="33032" xr:uid="{7BC3E4F5-F9CD-4C3E-A112-36B8311CE311}"/>
    <cellStyle name="Normal 17 3 2 2 2 3 3 2" xfId="6561" xr:uid="{5754DD05-42B8-4E6A-8389-1A4773C05127}"/>
    <cellStyle name="Normal 17 3 2 2 2 3 3 2 2" xfId="7561" xr:uid="{A0C70DA3-6AE1-4DD4-B1D1-AC8C24A392CB}"/>
    <cellStyle name="Normal 17 3 2 2 2 3 3 2 2 2" xfId="11051" xr:uid="{E8462236-8CD7-4236-8544-9E16D32BE967}"/>
    <cellStyle name="Normal 17 3 2 2 2 3 3 2 3" xfId="33034" xr:uid="{01E7047F-6E3C-4CD3-A8A2-F2DB3C3BB291}"/>
    <cellStyle name="Normal 17 3 2 2 2 3 3 3" xfId="3204" xr:uid="{0A67EE23-B73B-41C2-B30F-A84E51E409DC}"/>
    <cellStyle name="Normal 17 3 2 2 2 3 3 3 2" xfId="12136" xr:uid="{D10033EB-152A-407E-B285-010445CA042B}"/>
    <cellStyle name="Normal 17 3 2 2 2 3 3 4" xfId="12148" xr:uid="{1682DA4D-AD39-4D8A-AD0B-20F0EAF16CE9}"/>
    <cellStyle name="Normal 17 3 2 2 2 3 4" xfId="33036" xr:uid="{C9590080-03CE-4961-8D6F-D118DD2EA81D}"/>
    <cellStyle name="Normal 17 3 2 2 2 3 4 2" xfId="7869" xr:uid="{CE093DBA-6AF7-4631-AD2C-F39DAA6BCE22}"/>
    <cellStyle name="Normal 17 3 2 2 2 3 4 2 2" xfId="33039" xr:uid="{F47B2258-D180-4F08-B815-BB4263749A7F}"/>
    <cellStyle name="Normal 17 3 2 2 2 3 4 3" xfId="12164" xr:uid="{CAAEF9DE-31B8-43E4-B7B3-5E7FA9AED389}"/>
    <cellStyle name="Normal 17 3 2 2 2 3 5" xfId="33042" xr:uid="{AC35F637-EAEC-4C9C-9853-0FFE609F233A}"/>
    <cellStyle name="Normal 17 3 2 2 2 3 5 2" xfId="16997" xr:uid="{E6782031-16FB-4FB6-A4FB-EEF6528983B3}"/>
    <cellStyle name="Normal 17 3 2 2 2 3 6" xfId="33044" xr:uid="{57D9C9DD-4AEB-4645-AD81-562A0C238A1A}"/>
    <cellStyle name="Normal 17 3 2 2 2 3 7" xfId="33046" xr:uid="{9A63E587-8B82-43B9-847A-E11BC202D046}"/>
    <cellStyle name="Normal 17 3 2 2 2 4" xfId="7439" xr:uid="{AE071F93-41D4-41D2-9D47-7DE05F99FD56}"/>
    <cellStyle name="Normal 17 3 2 2 2 4 2" xfId="33048" xr:uid="{858101D2-F7AB-4058-9AA0-10BA46831B48}"/>
    <cellStyle name="Normal 17 3 2 2 2 4 2 2" xfId="6180" xr:uid="{65675636-BA26-4A0A-AA65-7D95224573A8}"/>
    <cellStyle name="Normal 17 3 2 2 2 4 2 2 2" xfId="6188" xr:uid="{BF7AC163-2F8B-4863-81E4-6E5A8E8555B6}"/>
    <cellStyle name="Normal 17 3 2 2 2 4 2 2 2 2" xfId="33051" xr:uid="{EB1FE1A7-9C2B-4A8F-8D8B-11111C36B0FA}"/>
    <cellStyle name="Normal 17 3 2 2 2 4 2 2 3" xfId="33054" xr:uid="{69540B4F-471D-4266-AC41-F66E4891639B}"/>
    <cellStyle name="Normal 17 3 2 2 2 4 2 3" xfId="6192" xr:uid="{5EFCAA2D-1C59-43AA-8B35-E48586A9EA7E}"/>
    <cellStyle name="Normal 17 3 2 2 2 4 2 3 2" xfId="33057" xr:uid="{AAF91840-501E-46B3-8470-F822C4A301F9}"/>
    <cellStyle name="Normal 17 3 2 2 2 4 2 4" xfId="14739" xr:uid="{40020457-8CAD-4987-BA9A-778F194D85CF}"/>
    <cellStyle name="Normal 17 3 2 2 2 4 3" xfId="33059" xr:uid="{B31F4735-CAC7-4173-A60A-7DEE835102B7}"/>
    <cellStyle name="Normal 17 3 2 2 2 4 3 2" xfId="6219" xr:uid="{6549A3F8-25E8-4C27-8072-6A5488F29F92}"/>
    <cellStyle name="Normal 17 3 2 2 2 4 3 2 2" xfId="33062" xr:uid="{0ED0658E-79E3-4ECA-BC00-50A664EC0FFE}"/>
    <cellStyle name="Normal 17 3 2 2 2 4 3 3" xfId="12186" xr:uid="{2ADD04D9-EE81-4340-9A31-EABB3124A995}"/>
    <cellStyle name="Normal 17 3 2 2 2 4 4" xfId="33064" xr:uid="{8EF95B91-5ABE-48BE-964B-F7C60C446952}"/>
    <cellStyle name="Normal 17 3 2 2 2 4 4 2" xfId="33066" xr:uid="{49322EDF-C833-4EF7-BD00-9C1768F3F29E}"/>
    <cellStyle name="Normal 17 3 2 2 2 4 5" xfId="33068" xr:uid="{089D8618-B4C9-4AC2-9AB8-71575F0F10F6}"/>
    <cellStyle name="Normal 17 3 2 2 2 5" xfId="33070" xr:uid="{0091AE74-AD7C-410B-A2B9-8BA3C7B14F0E}"/>
    <cellStyle name="Normal 17 3 2 2 2 5 2" xfId="33072" xr:uid="{86A06613-4603-4E44-B45C-1B34177E40EC}"/>
    <cellStyle name="Normal 17 3 2 2 2 5 2 2" xfId="6245" xr:uid="{1F0BDF87-1008-4B7A-85A0-E4198BDDA1E3}"/>
    <cellStyle name="Normal 17 3 2 2 2 5 2 2 2" xfId="17825" xr:uid="{C8D8D465-C581-4E8E-B610-28D3F46FF8E8}"/>
    <cellStyle name="Normal 17 3 2 2 2 5 2 3" xfId="18938" xr:uid="{80862674-C3BD-4589-BD38-197D9D0109EC}"/>
    <cellStyle name="Normal 17 3 2 2 2 5 3" xfId="33074" xr:uid="{EB7690D4-4849-4CB0-8CC3-FD403A3E0A10}"/>
    <cellStyle name="Normal 17 3 2 2 2 5 3 2" xfId="19022" xr:uid="{F27C5136-7A3E-482E-A710-CBCF678EF22C}"/>
    <cellStyle name="Normal 17 3 2 2 2 5 4" xfId="16512" xr:uid="{56721049-1346-4A93-8491-467FF09CB5BA}"/>
    <cellStyle name="Normal 17 3 2 2 2 6" xfId="33076" xr:uid="{BF73614B-F6F3-4113-97DB-F5AD9AD5F490}"/>
    <cellStyle name="Normal 17 3 2 2 2 6 2" xfId="18469" xr:uid="{2EFB2543-0353-436D-826E-88688EAAC75A}"/>
    <cellStyle name="Normal 17 3 2 2 2 6 2 2" xfId="19194" xr:uid="{B563395A-E3F2-460A-A325-96E5C21DC370}"/>
    <cellStyle name="Normal 17 3 2 2 2 6 3" xfId="18472" xr:uid="{57FEF20C-4B5C-4B10-BB3B-CE17946E0CCF}"/>
    <cellStyle name="Normal 17 3 2 2 2 7" xfId="33078" xr:uid="{09F065A7-C9E1-40CD-B155-71BFA9625D90}"/>
    <cellStyle name="Normal 17 3 2 2 2 7 2" xfId="18532" xr:uid="{087BC772-4BCF-4F80-BF48-3D9F3116E70B}"/>
    <cellStyle name="Normal 17 3 2 2 2 8" xfId="33080" xr:uid="{6F044B34-4B60-49DC-9228-79734E50F886}"/>
    <cellStyle name="Normal 17 3 2 2 2 9" xfId="33082" xr:uid="{180318AE-83DF-4829-9E39-2F490FB979E5}"/>
    <cellStyle name="Normal 17 3 2 2 3" xfId="14482" xr:uid="{8BFB69E0-4F34-4EE4-9F23-827DB97D3365}"/>
    <cellStyle name="Normal 17 3 2 2 3 2" xfId="14485" xr:uid="{0A981F4A-ABCA-47EC-8438-CA3FD59264A1}"/>
    <cellStyle name="Normal 17 3 2 2 3 2 2" xfId="33084" xr:uid="{6BC5385F-FE41-4E97-95FF-0DC4C2A6468B}"/>
    <cellStyle name="Normal 17 3 2 2 3 2 2 2" xfId="6157" xr:uid="{21975D89-DD56-4565-A562-02DBA11BE3FF}"/>
    <cellStyle name="Normal 17 3 2 2 3 2 2 2 2" xfId="8086" xr:uid="{014485B6-8287-4052-A871-DA8062C0ADEC}"/>
    <cellStyle name="Normal 17 3 2 2 3 2 2 2 2 2" xfId="8089" xr:uid="{5100D5B4-F6C8-47C9-905B-771726749B0F}"/>
    <cellStyle name="Normal 17 3 2 2 3 2 2 2 2 2 2" xfId="33086" xr:uid="{48E309BA-A5DC-441F-B0DC-86466498E2C8}"/>
    <cellStyle name="Normal 17 3 2 2 3 2 2 2 2 3" xfId="33088" xr:uid="{C47A7031-AC24-4B48-A757-2C270C3E7914}"/>
    <cellStyle name="Normal 17 3 2 2 3 2 2 2 3" xfId="8093" xr:uid="{8F74E08F-7188-4DC0-B79F-BE84EB88BD16}"/>
    <cellStyle name="Normal 17 3 2 2 3 2 2 2 3 2" xfId="33092" xr:uid="{23245349-6F72-476F-8BA6-6C1ADBF8F1A8}"/>
    <cellStyle name="Normal 17 3 2 2 3 2 2 2 4" xfId="12818" xr:uid="{BF47147B-612B-4D22-A0F4-4E1C906EC127}"/>
    <cellStyle name="Normal 17 3 2 2 3 2 2 3" xfId="6162" xr:uid="{66BB19D5-C4A4-435A-AE8D-BDD595E03F36}"/>
    <cellStyle name="Normal 17 3 2 2 3 2 2 3 2" xfId="8096" xr:uid="{82449401-C5D7-4114-BF6D-C96C307D7900}"/>
    <cellStyle name="Normal 17 3 2 2 3 2 2 3 2 2" xfId="33095" xr:uid="{3977CB7D-138A-4E86-854A-12094BF182E4}"/>
    <cellStyle name="Normal 17 3 2 2 3 2 2 3 3" xfId="33097" xr:uid="{8DE231D4-0E16-41B8-AD1A-D7CDDEFEE2A9}"/>
    <cellStyle name="Normal 17 3 2 2 3 2 2 4" xfId="8099" xr:uid="{3A6133C2-0E4A-44BC-AE3C-4ADD8149E05B}"/>
    <cellStyle name="Normal 17 3 2 2 3 2 2 4 2" xfId="14779" xr:uid="{30A084F6-AE8D-4A9B-B0C6-B66D733A7B57}"/>
    <cellStyle name="Normal 17 3 2 2 3 2 2 5" xfId="8104" xr:uid="{68E6BCFC-BC63-4DA7-8C09-6D93E2633443}"/>
    <cellStyle name="Normal 17 3 2 2 3 2 3" xfId="33099" xr:uid="{AE524794-034C-453B-AAAB-234183E3BDB0}"/>
    <cellStyle name="Normal 17 3 2 2 3 2 3 2" xfId="6280" xr:uid="{D4097402-42B6-4D95-9209-F9827F502F35}"/>
    <cellStyle name="Normal 17 3 2 2 3 2 3 2 2" xfId="4788" xr:uid="{A4C47C64-1A78-49D7-B506-9003004A2A6B}"/>
    <cellStyle name="Normal 17 3 2 2 3 2 3 2 2 2" xfId="11404" xr:uid="{CDED21E7-011A-4841-837B-DF97047BB165}"/>
    <cellStyle name="Normal 17 3 2 2 3 2 3 2 3" xfId="33101" xr:uid="{B3125A47-27D2-4586-9B86-C35C4C09C25C}"/>
    <cellStyle name="Normal 17 3 2 2 3 2 3 3" xfId="8108" xr:uid="{AD1A01AF-CDB1-47BC-BF88-594E95098CC1}"/>
    <cellStyle name="Normal 17 3 2 2 3 2 3 3 2" xfId="33103" xr:uid="{4432C740-21CE-4C91-B659-51283FFE043A}"/>
    <cellStyle name="Normal 17 3 2 2 3 2 3 4" xfId="14784" xr:uid="{CFA72757-3EAF-47FF-9762-63E5A841F69A}"/>
    <cellStyle name="Normal 17 3 2 2 3 2 4" xfId="33105" xr:uid="{3EAD5834-E32B-427F-A3A3-28A4FB025E16}"/>
    <cellStyle name="Normal 17 3 2 2 3 2 4 2" xfId="8112" xr:uid="{D9304BC7-C954-4454-BC9C-C7889F200BA3}"/>
    <cellStyle name="Normal 17 3 2 2 3 2 4 2 2" xfId="33107" xr:uid="{EA015622-E23F-4EB0-8C49-BC8F42BB2F1C}"/>
    <cellStyle name="Normal 17 3 2 2 3 2 4 3" xfId="33109" xr:uid="{8C56EFB9-BD17-4371-832E-E2FA06ED4F01}"/>
    <cellStyle name="Normal 17 3 2 2 3 2 5" xfId="33111" xr:uid="{B5461272-C6FF-4B51-BC5D-DA6A5220A47C}"/>
    <cellStyle name="Normal 17 3 2 2 3 2 5 2" xfId="33113" xr:uid="{E833BD44-B38F-4C35-932F-A62318446CDF}"/>
    <cellStyle name="Normal 17 3 2 2 3 2 6" xfId="2046" xr:uid="{30896194-9377-40FE-9C96-3F7E248FA0E8}"/>
    <cellStyle name="Normal 17 3 2 2 3 2 7" xfId="2936" xr:uid="{415346E2-0C38-4561-812B-6FB13BA7881B}"/>
    <cellStyle name="Normal 17 3 2 2 3 3" xfId="33115" xr:uid="{5EB596CC-9EC4-4D24-A220-245C1CEFFBC7}"/>
    <cellStyle name="Normal 17 3 2 2 3 3 2" xfId="33117" xr:uid="{B1941923-B82E-44DC-940B-3036937DB137}"/>
    <cellStyle name="Normal 17 3 2 2 3 3 2 2" xfId="6408" xr:uid="{74AF6576-72B4-4089-9809-72C1B1A33465}"/>
    <cellStyle name="Normal 17 3 2 2 3 3 2 2 2" xfId="8132" xr:uid="{A11B2318-8E76-4649-BEA6-080C061F4A1B}"/>
    <cellStyle name="Normal 17 3 2 2 3 3 2 2 2 2" xfId="33119" xr:uid="{D6958BF0-CD57-4728-A145-11567F4CB35B}"/>
    <cellStyle name="Normal 17 3 2 2 3 3 2 2 3" xfId="33121" xr:uid="{48541DDB-12A0-44DE-B0A2-7CACE42462BA}"/>
    <cellStyle name="Normal 17 3 2 2 3 3 2 3" xfId="8137" xr:uid="{FBB9E56F-3D89-46A8-9862-357641BC8E3D}"/>
    <cellStyle name="Normal 17 3 2 2 3 3 2 3 2" xfId="33124" xr:uid="{F13ECA69-B39B-447B-B7D7-961DFD055A7D}"/>
    <cellStyle name="Normal 17 3 2 2 3 3 2 4" xfId="14795" xr:uid="{7ADD84D1-749A-46B4-863C-CACFE439CFF5}"/>
    <cellStyle name="Normal 17 3 2 2 3 3 3" xfId="33126" xr:uid="{5E444444-E201-43D3-A5F2-11C1E128F1B4}"/>
    <cellStyle name="Normal 17 3 2 2 3 3 3 2" xfId="8146" xr:uid="{0C3EB377-F770-4558-B705-D11391B3C1C9}"/>
    <cellStyle name="Normal 17 3 2 2 3 3 3 2 2" xfId="22302" xr:uid="{BCF07383-F2B8-4A11-85E2-1E5D36283BDA}"/>
    <cellStyle name="Normal 17 3 2 2 3 3 3 3" xfId="11039" xr:uid="{BBBD4733-2C9A-4E66-985C-70581E3AB3D1}"/>
    <cellStyle name="Normal 17 3 2 2 3 3 4" xfId="33128" xr:uid="{3A957F5E-24E2-41F5-973F-B43C53BD43AA}"/>
    <cellStyle name="Normal 17 3 2 2 3 3 4 2" xfId="11116" xr:uid="{186BB82F-88CC-4446-BFAC-8710C31B662D}"/>
    <cellStyle name="Normal 17 3 2 2 3 3 5" xfId="33130" xr:uid="{82A79097-E44D-43BA-BF58-E4E973F3F8F4}"/>
    <cellStyle name="Normal 17 3 2 2 3 4" xfId="33132" xr:uid="{088C5E12-8AEF-4B6E-A923-C36FE56963B9}"/>
    <cellStyle name="Normal 17 3 2 2 3 4 2" xfId="33134" xr:uid="{CF8B02FF-0BC4-4F9F-9FBF-C9BF3B83B330}"/>
    <cellStyle name="Normal 17 3 2 2 3 4 2 2" xfId="6296" xr:uid="{6C1F2D22-C855-40B7-8A4C-EBADA324AD0D}"/>
    <cellStyle name="Normal 17 3 2 2 3 4 2 2 2" xfId="33137" xr:uid="{26C208E3-F292-454B-90A0-4EC8AD51C66D}"/>
    <cellStyle name="Normal 17 3 2 2 3 4 2 3" xfId="11392" xr:uid="{02209D0A-1781-4637-A53A-734212B3A7F8}"/>
    <cellStyle name="Normal 17 3 2 2 3 4 3" xfId="33139" xr:uid="{B55C0E78-0FB9-4A88-A9DD-F99132ADA187}"/>
    <cellStyle name="Normal 17 3 2 2 3 4 3 2" xfId="11539" xr:uid="{EA29E467-3716-4447-B741-08B464D2919C}"/>
    <cellStyle name="Normal 17 3 2 2 3 4 4" xfId="33141" xr:uid="{C56170F8-02A1-49A5-ACAC-D617C5C49D97}"/>
    <cellStyle name="Normal 17 3 2 2 3 5" xfId="33143" xr:uid="{F3EB3A66-C246-4D5A-83CC-EB509DABF908}"/>
    <cellStyle name="Normal 17 3 2 2 3 5 2" xfId="33145" xr:uid="{06D827E6-DFCE-46B2-8AB9-59BD643AC405}"/>
    <cellStyle name="Normal 17 3 2 2 3 5 2 2" xfId="11719" xr:uid="{4802711F-A63C-4FD8-9E9E-EBF7B435AF64}"/>
    <cellStyle name="Normal 17 3 2 2 3 5 3" xfId="33147" xr:uid="{6D88556E-0D3A-4001-9E09-989E22CB962B}"/>
    <cellStyle name="Normal 17 3 2 2 3 6" xfId="33149" xr:uid="{C3DEA6E1-4DEB-4C6B-8322-091E63CE5D4C}"/>
    <cellStyle name="Normal 17 3 2 2 3 6 2" xfId="18698" xr:uid="{F296894D-342F-4EED-B77D-48DA1AE65AA5}"/>
    <cellStyle name="Normal 17 3 2 2 3 7" xfId="33151" xr:uid="{CF4A5AAF-F30C-4787-8779-7A41FCC560AC}"/>
    <cellStyle name="Normal 17 3 2 2 3 8" xfId="9488" xr:uid="{EA1FAD7C-C9EA-4CF8-B250-A881D52ACA7C}"/>
    <cellStyle name="Normal 17 3 2 2 4" xfId="14488" xr:uid="{D0DAD13C-B61F-4E44-9E3C-7897D6B1E670}"/>
    <cellStyle name="Normal 17 3 2 2 4 2" xfId="16001" xr:uid="{7292364A-DFA7-49EE-966C-7B9305DAC241}"/>
    <cellStyle name="Normal 17 3 2 2 4 2 2" xfId="33153" xr:uid="{EE58866A-5757-4DD4-AFF9-1EB06F55E286}"/>
    <cellStyle name="Normal 17 3 2 2 4 2 2 2" xfId="7946" xr:uid="{D005A577-6805-49E6-AFC4-09A8FFA245B4}"/>
    <cellStyle name="Normal 17 3 2 2 4 2 2 2 2" xfId="8277" xr:uid="{99E3FF67-B5C9-4B84-8872-6EDE568F5F2F}"/>
    <cellStyle name="Normal 17 3 2 2 4 2 2 2 2 2" xfId="20598" xr:uid="{D76556A9-2CA0-4738-B3CB-6C2DDA145821}"/>
    <cellStyle name="Normal 17 3 2 2 4 2 2 2 3" xfId="33155" xr:uid="{93415D17-BE0A-4D08-92A2-61010FECF693}"/>
    <cellStyle name="Normal 17 3 2 2 4 2 2 3" xfId="7203" xr:uid="{9BF7D5CC-A3F2-424E-ACF0-5F8B66D5A953}"/>
    <cellStyle name="Normal 17 3 2 2 4 2 2 3 2" xfId="33157" xr:uid="{E85B22A5-837C-46ED-881D-1BEEAC41A8FB}"/>
    <cellStyle name="Normal 17 3 2 2 4 2 2 4" xfId="14837" xr:uid="{A304263A-5D09-4768-9217-61F87D8632DA}"/>
    <cellStyle name="Normal 17 3 2 2 4 2 3" xfId="33159" xr:uid="{31BBD3D4-2008-46F4-BDE6-9B29551FC17D}"/>
    <cellStyle name="Normal 17 3 2 2 4 2 3 2" xfId="8281" xr:uid="{33389D46-8388-47B2-A207-3A8A0F7B0C3D}"/>
    <cellStyle name="Normal 17 3 2 2 4 2 3 2 2" xfId="33161" xr:uid="{54B84700-D9B1-4360-A944-3E66C4CAD0F6}"/>
    <cellStyle name="Normal 17 3 2 2 4 2 3 3" xfId="33163" xr:uid="{FF22BE41-970E-4D07-8224-14BF4F0ACB6C}"/>
    <cellStyle name="Normal 17 3 2 2 4 2 4" xfId="33165" xr:uid="{332CDCD4-C5D5-4D96-A732-7E41933A8A27}"/>
    <cellStyle name="Normal 17 3 2 2 4 2 4 2" xfId="33167" xr:uid="{3B900232-252C-459E-BF46-823001C8E4B8}"/>
    <cellStyle name="Normal 17 3 2 2 4 2 5" xfId="33169" xr:uid="{C961C7E0-4FBA-4AED-9109-62BAB7647E09}"/>
    <cellStyle name="Normal 17 3 2 2 4 3" xfId="33171" xr:uid="{A5DB3B1A-DF1E-4B45-B7E3-816D149118C4}"/>
    <cellStyle name="Normal 17 3 2 2 4 3 2" xfId="17209" xr:uid="{9C3B3DEF-3C75-48EB-A412-4FD16C505017}"/>
    <cellStyle name="Normal 17 3 2 2 4 3 2 2" xfId="2733" xr:uid="{9CDC2C6C-CF27-450B-BFC6-AA927DC15972}"/>
    <cellStyle name="Normal 17 3 2 2 4 3 2 2 2" xfId="33173" xr:uid="{B049E821-BB08-4131-966B-4FDDF5738B55}"/>
    <cellStyle name="Normal 17 3 2 2 4 3 2 3" xfId="12303" xr:uid="{6B1D0945-83F9-4411-9CD6-9F938C5CF61F}"/>
    <cellStyle name="Normal 17 3 2 2 4 3 3" xfId="17215" xr:uid="{CC2BC9E9-9F8F-4248-B54B-E81BCD8F670C}"/>
    <cellStyle name="Normal 17 3 2 2 4 3 3 2" xfId="12394" xr:uid="{521CAD36-AFA2-443A-B68C-05E24296286D}"/>
    <cellStyle name="Normal 17 3 2 2 4 3 4" xfId="17223" xr:uid="{48F5F74A-AB55-40D2-B657-2B12D07D5028}"/>
    <cellStyle name="Normal 17 3 2 2 4 4" xfId="33175" xr:uid="{C5C6499F-4EA8-43E6-B11C-259820785672}"/>
    <cellStyle name="Normal 17 3 2 2 4 4 2" xfId="33177" xr:uid="{C347A348-48C7-4B28-B0A5-0000F0DB2D24}"/>
    <cellStyle name="Normal 17 3 2 2 4 4 2 2" xfId="12596" xr:uid="{AC84D7AA-577D-4E16-94C3-A46655F5C580}"/>
    <cellStyle name="Normal 17 3 2 2 4 4 3" xfId="33179" xr:uid="{CA9FFA68-BAE5-417E-99F4-A43192923AB9}"/>
    <cellStyle name="Normal 17 3 2 2 4 5" xfId="33181" xr:uid="{835FB81F-57DC-42E8-9E19-207A60C68C02}"/>
    <cellStyle name="Normal 17 3 2 2 4 5 2" xfId="33183" xr:uid="{F2846A81-539E-4F3E-9474-0AB90F2A0CCD}"/>
    <cellStyle name="Normal 17 3 2 2 4 6" xfId="33187" xr:uid="{791A523E-A560-40AF-A29E-704029F9AE84}"/>
    <cellStyle name="Normal 17 3 2 2 4 7" xfId="33189" xr:uid="{23E60A03-A48B-4BAB-861D-6F1AD772159D}"/>
    <cellStyle name="Normal 17 3 2 2 5" xfId="14492" xr:uid="{BD3234B4-0DCA-4F7E-BDB0-BBC371A7B6A0}"/>
    <cellStyle name="Normal 17 3 2 2 5 2" xfId="33191" xr:uid="{938F9305-630F-496E-BFB7-17B98F217D85}"/>
    <cellStyle name="Normal 17 3 2 2 5 2 2" xfId="33193" xr:uid="{FB452E9E-12EE-4F1D-AC9A-2594614E4D10}"/>
    <cellStyle name="Normal 17 3 2 2 5 2 2 2" xfId="5035" xr:uid="{2B565B9E-EAD9-46DA-91F8-86A8CD29D7C6}"/>
    <cellStyle name="Normal 17 3 2 2 5 2 2 2 2" xfId="33195" xr:uid="{AADE3A82-AD32-4C31-B08A-2E04AC81E2CF}"/>
    <cellStyle name="Normal 17 3 2 2 5 2 2 3" xfId="33197" xr:uid="{474D03F6-83BE-47A5-89FB-83E8A70753D4}"/>
    <cellStyle name="Normal 17 3 2 2 5 2 3" xfId="3942" xr:uid="{78E98E7B-DD4F-4259-9362-30C20406400D}"/>
    <cellStyle name="Normal 17 3 2 2 5 2 3 2" xfId="3947" xr:uid="{4FAFA8EC-B39C-4ADA-B31B-C3136073AF57}"/>
    <cellStyle name="Normal 17 3 2 2 5 2 4" xfId="3955" xr:uid="{248E6AF3-81B5-4F73-BF8E-5C10200B7270}"/>
    <cellStyle name="Normal 17 3 2 2 5 3" xfId="33199" xr:uid="{F09E72C8-01A6-4988-80B7-166033A526C6}"/>
    <cellStyle name="Normal 17 3 2 2 5 3 2" xfId="33201" xr:uid="{FC2810DA-6ACD-4555-8EDD-F1FFEDFD89FB}"/>
    <cellStyle name="Normal 17 3 2 2 5 3 2 2" xfId="13093" xr:uid="{7C51B613-D55D-4CEA-A890-926593C3A923}"/>
    <cellStyle name="Normal 17 3 2 2 5 3 3" xfId="3963" xr:uid="{0BD4508E-8D40-4BD2-9DB2-39B48C045487}"/>
    <cellStyle name="Normal 17 3 2 2 5 4" xfId="33203" xr:uid="{C83E9488-6782-489D-A0F9-64E0AA30FAC4}"/>
    <cellStyle name="Normal 17 3 2 2 5 4 2" xfId="33205" xr:uid="{FEA66463-A396-4E8A-80DE-0E68010028E2}"/>
    <cellStyle name="Normal 17 3 2 2 5 5" xfId="20029" xr:uid="{3B5766A3-A433-4C01-8460-EEDE4DFDB10E}"/>
    <cellStyle name="Normal 17 3 2 2 6" xfId="33207" xr:uid="{6C088896-D13A-4079-9DFC-E6303427B118}"/>
    <cellStyle name="Normal 17 3 2 2 6 2" xfId="33209" xr:uid="{68A0C49C-4192-4F58-9D36-E9C1ABB23432}"/>
    <cellStyle name="Normal 17 3 2 2 6 2 2" xfId="33211" xr:uid="{07AFCA96-CC18-4C72-A3FB-BEB0112234E3}"/>
    <cellStyle name="Normal 17 3 2 2 6 2 2 2" xfId="15382" xr:uid="{F8DF8BF3-8592-408D-A9EB-5769A9244B4B}"/>
    <cellStyle name="Normal 17 3 2 2 6 2 3" xfId="3981" xr:uid="{65069C90-510C-4BFB-9176-BDC213E43666}"/>
    <cellStyle name="Normal 17 3 2 2 6 3" xfId="33213" xr:uid="{83529A95-D7C2-41AF-AB86-74DF3814A28A}"/>
    <cellStyle name="Normal 17 3 2 2 6 3 2" xfId="33215" xr:uid="{BAB7D02B-475A-4921-9A43-23F62D2106AD}"/>
    <cellStyle name="Normal 17 3 2 2 6 4" xfId="33217" xr:uid="{18A43AAC-0A26-4FEC-915F-DD6AB1B9B604}"/>
    <cellStyle name="Normal 17 3 2 2 7" xfId="33219" xr:uid="{8B33C7A9-693E-4D19-AE12-7B51FD0B4645}"/>
    <cellStyle name="Normal 17 3 2 2 7 2" xfId="33221" xr:uid="{292ACE2D-4064-412E-AC7A-30A888FC3446}"/>
    <cellStyle name="Normal 17 3 2 2 7 2 2" xfId="11407" xr:uid="{DFC3B7CD-03BB-4722-AD57-6F722DFAB827}"/>
    <cellStyle name="Normal 17 3 2 2 7 3" xfId="20380" xr:uid="{6594BC96-51A7-4A33-99C2-93D29F4E3D83}"/>
    <cellStyle name="Normal 17 3 2 2 8" xfId="33223" xr:uid="{C3B222F9-DB42-4AD5-8A17-1295A273ABDA}"/>
    <cellStyle name="Normal 17 3 2 2 8 2" xfId="33225" xr:uid="{13EE648D-33EA-44E1-AD29-864995E60D28}"/>
    <cellStyle name="Normal 17 3 2 2 9" xfId="25898" xr:uid="{60128B95-0F17-4FAA-98EC-207BF36503F5}"/>
    <cellStyle name="Normal 17 3 2 3" xfId="6527" xr:uid="{0139E9E1-BE74-4DB7-9310-999B8612CA95}"/>
    <cellStyle name="Normal 17 3 2 3 2" xfId="6534" xr:uid="{2384BD36-903E-439F-BDC4-7C2713841094}"/>
    <cellStyle name="Normal 17 3 2 3 2 2" xfId="8437" xr:uid="{9C3F7620-C187-4728-9288-7B27137D335B}"/>
    <cellStyle name="Normal 17 3 2 3 2 2 2" xfId="3876" xr:uid="{E451E550-CF38-48AC-B767-D1A96837E03C}"/>
    <cellStyle name="Normal 17 3 2 3 2 2 2 2" xfId="419" xr:uid="{EC050E5F-8CFE-47F0-8699-0989C18D4102}"/>
    <cellStyle name="Normal 17 3 2 3 2 2 2 2 2" xfId="3892" xr:uid="{0A1D44D4-5542-4BAB-A3D8-ED302449948D}"/>
    <cellStyle name="Normal 17 3 2 3 2 2 2 2 2 2" xfId="8710" xr:uid="{326E786E-0B6F-4A0C-A6DD-AAD6095EA773}"/>
    <cellStyle name="Normal 17 3 2 3 2 2 2 2 2 2 2" xfId="11242" xr:uid="{7E7EE19A-CB61-43CA-882B-83FFF32E421D}"/>
    <cellStyle name="Normal 17 3 2 3 2 2 2 2 2 3" xfId="11247" xr:uid="{7ED17DCF-C3A8-4C55-B8DF-F01A868B9AB9}"/>
    <cellStyle name="Normal 17 3 2 3 2 2 2 2 3" xfId="8716" xr:uid="{30D8176B-9847-4FCC-B0C9-DB277735FA86}"/>
    <cellStyle name="Normal 17 3 2 3 2 2 2 2 3 2" xfId="11251" xr:uid="{FF8DC921-1C24-44A9-815E-E92F60E74B02}"/>
    <cellStyle name="Normal 17 3 2 3 2 2 2 2 4" xfId="11255" xr:uid="{6B6FA29F-0D8A-47AE-8A52-C8126AFBB0ED}"/>
    <cellStyle name="Normal 17 3 2 3 2 2 2 3" xfId="437" xr:uid="{E6788C9A-1FB2-49E8-AEE8-D3857B306719}"/>
    <cellStyle name="Normal 17 3 2 3 2 2 2 3 2" xfId="8721" xr:uid="{034B4C49-6AEA-495C-BD6C-3C3355D3C1A5}"/>
    <cellStyle name="Normal 17 3 2 3 2 2 2 3 2 2" xfId="11277" xr:uid="{F1D5CBF3-2C0D-4CE3-942A-A46C53E4A224}"/>
    <cellStyle name="Normal 17 3 2 3 2 2 2 3 3" xfId="11282" xr:uid="{FD7C434E-759F-4CA7-AD99-6E27247306CB}"/>
    <cellStyle name="Normal 17 3 2 3 2 2 2 4" xfId="8725" xr:uid="{10F29876-C49A-47CB-94C1-9368829A4DF4}"/>
    <cellStyle name="Normal 17 3 2 3 2 2 2 4 2" xfId="11299" xr:uid="{C2699DC0-88B4-4933-8736-9A8132466D41}"/>
    <cellStyle name="Normal 17 3 2 3 2 2 2 5" xfId="8730" xr:uid="{EDE01885-353B-435F-9187-C965903ED6EC}"/>
    <cellStyle name="Normal 17 3 2 3 2 2 3" xfId="3900" xr:uid="{5647143F-A1C7-41E1-BE93-C54B8784D5B0}"/>
    <cellStyle name="Normal 17 3 2 3 2 2 3 2" xfId="1561" xr:uid="{04CDFB27-0B02-4E77-ACED-7098A2309E4D}"/>
    <cellStyle name="Normal 17 3 2 3 2 2 3 2 2" xfId="8751" xr:uid="{7AB66FA8-AB2B-46D8-931B-F2010DDD3CA8}"/>
    <cellStyle name="Normal 17 3 2 3 2 2 3 2 2 2" xfId="11334" xr:uid="{64322E23-E4A5-462D-BB7B-3080C78CEC68}"/>
    <cellStyle name="Normal 17 3 2 3 2 2 3 2 3" xfId="11338" xr:uid="{7AC4F66A-29AD-4F2B-A59B-C2CEABF1DF15}"/>
    <cellStyle name="Normal 17 3 2 3 2 2 3 3" xfId="8755" xr:uid="{E6E43B10-62E1-49B4-8DAD-BE3582298532}"/>
    <cellStyle name="Normal 17 3 2 3 2 2 3 3 2" xfId="11349" xr:uid="{DD784657-035B-4417-A8A5-88634D92D574}"/>
    <cellStyle name="Normal 17 3 2 3 2 2 3 4" xfId="15211" xr:uid="{BCDA3ACF-0ECE-4D69-A629-A2BA6B949C64}"/>
    <cellStyle name="Normal 17 3 2 3 2 2 4" xfId="3908" xr:uid="{3B2B76E3-F8AC-413E-AB48-1FD5B7E05762}"/>
    <cellStyle name="Normal 17 3 2 3 2 2 4 2" xfId="8773" xr:uid="{CD51988B-B21E-4F50-867B-9F67A0D09651}"/>
    <cellStyle name="Normal 17 3 2 3 2 2 4 2 2" xfId="11369" xr:uid="{9965A864-EDBD-4837-A447-B81CBDADC401}"/>
    <cellStyle name="Normal 17 3 2 3 2 2 4 3" xfId="31789" xr:uid="{C17F3E2A-FC63-4B63-84D4-FAC63E488301}"/>
    <cellStyle name="Normal 17 3 2 3 2 2 5" xfId="3915" xr:uid="{388A49B2-19F8-44D0-BE12-A4F549594621}"/>
    <cellStyle name="Normal 17 3 2 3 2 2 5 2" xfId="30885" xr:uid="{052F9B4B-AC98-4909-AE6E-029F2C0DF470}"/>
    <cellStyle name="Normal 17 3 2 3 2 2 6" xfId="33227" xr:uid="{0CB45D55-00FC-4244-9062-B749AC048678}"/>
    <cellStyle name="Normal 17 3 2 3 2 2 7" xfId="33233" xr:uid="{034BD8FA-DC1D-4B27-89C0-FDF05BB55AC5}"/>
    <cellStyle name="Normal 17 3 2 3 2 3" xfId="8441" xr:uid="{6024C6DE-358C-4FC6-A153-D95459A2DB5A}"/>
    <cellStyle name="Normal 17 3 2 3 2 3 2" xfId="3989" xr:uid="{4EE365BE-A463-4EF9-A48D-E7FEA069148A}"/>
    <cellStyle name="Normal 17 3 2 3 2 3 2 2" xfId="3994" xr:uid="{3A239231-E5C5-48E6-A607-5FF9B80F8A27}"/>
    <cellStyle name="Normal 17 3 2 3 2 3 2 2 2" xfId="8835" xr:uid="{773E5BFB-6DDF-4C59-8A2E-7B0F2E5CD765}"/>
    <cellStyle name="Normal 17 3 2 3 2 3 2 2 2 2" xfId="11418" xr:uid="{4040332D-6502-4932-BDA1-32C08EB558A5}"/>
    <cellStyle name="Normal 17 3 2 3 2 3 2 2 3" xfId="11424" xr:uid="{C0B6863A-4642-4C83-BB36-85271AAFD5C4}"/>
    <cellStyle name="Normal 17 3 2 3 2 3 2 3" xfId="8839" xr:uid="{304DF7D8-3C82-4977-A776-7F7D2D0F2016}"/>
    <cellStyle name="Normal 17 3 2 3 2 3 2 3 2" xfId="11437" xr:uid="{9193C883-8E02-40E7-BA60-D8EABEA802C0}"/>
    <cellStyle name="Normal 17 3 2 3 2 3 2 4" xfId="15221" xr:uid="{B49A50B9-B0B4-4076-A284-89C01C07202B}"/>
    <cellStyle name="Normal 17 3 2 3 2 3 3" xfId="3999" xr:uid="{501B91F3-DF3F-4C30-8D15-40427BA77E87}"/>
    <cellStyle name="Normal 17 3 2 3 2 3 3 2" xfId="8856" xr:uid="{2D21DADC-76C1-4C07-B5A8-B4BB156CE6DB}"/>
    <cellStyle name="Normal 17 3 2 3 2 3 3 2 2" xfId="11485" xr:uid="{A36B7C9A-4BB0-4D23-A20B-0198BF6ED53F}"/>
    <cellStyle name="Normal 17 3 2 3 2 3 3 3" xfId="12311" xr:uid="{01CAE240-1414-4157-B217-B319B42822E9}"/>
    <cellStyle name="Normal 17 3 2 3 2 3 4" xfId="33239" xr:uid="{C90C8473-2CA9-49F3-A451-2FA6F81B1630}"/>
    <cellStyle name="Normal 17 3 2 3 2 3 4 2" xfId="33241" xr:uid="{AE9039DA-C44A-4F77-81B9-8B8E3A76DF74}"/>
    <cellStyle name="Normal 17 3 2 3 2 3 5" xfId="33243" xr:uid="{0C9E8FB4-5EE7-44F6-85A6-D610D4FBCA61}"/>
    <cellStyle name="Normal 17 3 2 3 2 4" xfId="33245" xr:uid="{622EC0BC-B706-472F-8D0A-5611A1620BEB}"/>
    <cellStyle name="Normal 17 3 2 3 2 4 2" xfId="4030" xr:uid="{B5F4679B-049D-4D7E-85F8-E5CA87844AD9}"/>
    <cellStyle name="Normal 17 3 2 3 2 4 2 2" xfId="8883" xr:uid="{0B2469FA-6F47-4F71-8B4B-6346F69FA177}"/>
    <cellStyle name="Normal 17 3 2 3 2 4 2 2 2" xfId="11551" xr:uid="{5480B350-CDA5-4903-BA6C-BB4D7AFB15EC}"/>
    <cellStyle name="Normal 17 3 2 3 2 4 2 3" xfId="33247" xr:uid="{013DEB02-3EA2-4004-87F9-D81D0AA2F482}"/>
    <cellStyle name="Normal 17 3 2 3 2 4 3" xfId="31306" xr:uid="{3F57BF51-999C-42B5-97EE-583685C23C6B}"/>
    <cellStyle name="Normal 17 3 2 3 2 4 3 2" xfId="31309" xr:uid="{2689AC09-1856-4149-AB22-BF4DC0C58185}"/>
    <cellStyle name="Normal 17 3 2 3 2 4 4" xfId="31313" xr:uid="{4A26DEE6-6321-442B-AD91-51D06A360927}"/>
    <cellStyle name="Normal 17 3 2 3 2 5" xfId="33249" xr:uid="{F4F1E46F-AE1D-4279-96B3-1F76DF238D8B}"/>
    <cellStyle name="Normal 17 3 2 3 2 5 2" xfId="33251" xr:uid="{26A699E5-CF69-4B63-BEB8-0445A3FFDBA6}"/>
    <cellStyle name="Normal 17 3 2 3 2 5 2 2" xfId="33253" xr:uid="{2327CBA9-946D-4EB0-8173-35D64322369B}"/>
    <cellStyle name="Normal 17 3 2 3 2 5 3" xfId="31319" xr:uid="{12D32854-CC5F-471F-958F-1F126EE6A559}"/>
    <cellStyle name="Normal 17 3 2 3 2 6" xfId="33255" xr:uid="{7EAB5EE0-ED4C-4084-A487-2D3C1A2CD820}"/>
    <cellStyle name="Normal 17 3 2 3 2 6 2" xfId="33257" xr:uid="{3D5C48F6-DC2D-4243-B98A-087CF9AF2710}"/>
    <cellStyle name="Normal 17 3 2 3 2 7" xfId="33259" xr:uid="{D0F4FBA2-B484-4C52-9E2B-098F7ABCCA07}"/>
    <cellStyle name="Normal 17 3 2 3 2 8" xfId="26373" xr:uid="{C0D063D7-72B1-4C7C-81EB-B903D042936C}"/>
    <cellStyle name="Normal 17 3 2 3 3" xfId="8444" xr:uid="{ED1D7FA1-B6EC-4B4D-8785-67A7C2314DCB}"/>
    <cellStyle name="Normal 17 3 2 3 3 2" xfId="8448" xr:uid="{908F55AE-6E0A-4971-9086-728A2E6AB7AC}"/>
    <cellStyle name="Normal 17 3 2 3 3 2 2" xfId="4158" xr:uid="{1DF77F7E-0410-4347-9761-845D40AA30AA}"/>
    <cellStyle name="Normal 17 3 2 3 3 2 2 2" xfId="4161" xr:uid="{05AD5329-3025-43D5-B9C8-78F52228B3B8}"/>
    <cellStyle name="Normal 17 3 2 3 3 2 2 2 2" xfId="9069" xr:uid="{9D985CC7-D16A-42A2-89B6-7D7967CD54A3}"/>
    <cellStyle name="Normal 17 3 2 3 3 2 2 2 2 2" xfId="11655" xr:uid="{927E210C-1276-4996-8E84-06B4FF05E2C6}"/>
    <cellStyle name="Normal 17 3 2 3 3 2 2 2 3" xfId="11660" xr:uid="{839AE86B-62DD-4AFD-9C14-650031BCC731}"/>
    <cellStyle name="Normal 17 3 2 3 3 2 2 3" xfId="9073" xr:uid="{3717C1EA-77EE-4F38-8353-96845F7E0018}"/>
    <cellStyle name="Normal 17 3 2 3 3 2 2 3 2" xfId="11671" xr:uid="{56B235D8-3C31-4CF6-A5DC-D77E626E1CE4}"/>
    <cellStyle name="Normal 17 3 2 3 3 2 2 4" xfId="15253" xr:uid="{C7B903B4-0257-4047-8C34-2AD742702FCF}"/>
    <cellStyle name="Normal 17 3 2 3 3 2 3" xfId="4166" xr:uid="{860507F2-3D4A-465B-99C3-CD6899EB3D30}"/>
    <cellStyle name="Normal 17 3 2 3 3 2 3 2" xfId="9082" xr:uid="{0FA752CC-A52C-42E1-ACE1-DA3341C9CEF3}"/>
    <cellStyle name="Normal 17 3 2 3 3 2 3 2 2" xfId="11694" xr:uid="{4FEDF6F3-BFE9-4AC2-874C-625888A54D6C}"/>
    <cellStyle name="Normal 17 3 2 3 3 2 3 3" xfId="33261" xr:uid="{01D38123-65FE-4131-A005-80D95061F23D}"/>
    <cellStyle name="Normal 17 3 2 3 3 2 4" xfId="33263" xr:uid="{735DE006-D6C6-4B74-B0B8-FB017936A67A}"/>
    <cellStyle name="Normal 17 3 2 3 3 2 4 2" xfId="33265" xr:uid="{0C96C35A-DA06-4DA6-96FC-2051A7885A9A}"/>
    <cellStyle name="Normal 17 3 2 3 3 2 5" xfId="33267" xr:uid="{441DDCF1-1140-4017-8D71-D84C9016439E}"/>
    <cellStyle name="Normal 17 3 2 3 3 3" xfId="33269" xr:uid="{B88220F3-8E29-436E-A7CC-FB29C73DB9F4}"/>
    <cellStyle name="Normal 17 3 2 3 3 3 2" xfId="4182" xr:uid="{DA67AFB9-9B0D-4858-B703-B80E98230569}"/>
    <cellStyle name="Normal 17 3 2 3 3 3 2 2" xfId="9116" xr:uid="{E6BE1C48-1407-4087-9B37-0EED7A6AF37C}"/>
    <cellStyle name="Normal 17 3 2 3 3 3 2 2 2" xfId="11733" xr:uid="{296A863C-F915-44D4-81DB-B72ECBFF0B8A}"/>
    <cellStyle name="Normal 17 3 2 3 3 3 2 3" xfId="14253" xr:uid="{C4BD6A8F-D3FE-4982-A519-089EBA82EEC2}"/>
    <cellStyle name="Normal 17 3 2 3 3 3 3" xfId="33271" xr:uid="{8BBE016D-EBEC-4A54-A990-73CF5B2BE770}"/>
    <cellStyle name="Normal 17 3 2 3 3 3 3 2" xfId="14341" xr:uid="{A1C72D8B-3AC7-4EAD-9F4C-388CEA4EC7D7}"/>
    <cellStyle name="Normal 17 3 2 3 3 3 4" xfId="33273" xr:uid="{D01D0D1C-D691-46EA-BB4F-8B0A0B578469}"/>
    <cellStyle name="Normal 17 3 2 3 3 4" xfId="33275" xr:uid="{D84A3C07-2810-4529-AFB7-FD6941E6515C}"/>
    <cellStyle name="Normal 17 3 2 3 3 4 2" xfId="33277" xr:uid="{B2429CAB-DFF7-41BC-95DE-81AFB77434A6}"/>
    <cellStyle name="Normal 17 3 2 3 3 4 2 2" xfId="14522" xr:uid="{C5F5D160-1079-48F0-874E-29BF3A71824D}"/>
    <cellStyle name="Normal 17 3 2 3 3 4 3" xfId="31329" xr:uid="{EF08FA86-BA68-4C22-9BE9-31B8E089B1DC}"/>
    <cellStyle name="Normal 17 3 2 3 3 5" xfId="33279" xr:uid="{013A98FD-AD3B-4F90-A4E2-FE4123BCB597}"/>
    <cellStyle name="Normal 17 3 2 3 3 5 2" xfId="33281" xr:uid="{C033D52D-C6C6-4652-A3FA-A861FF0B959E}"/>
    <cellStyle name="Normal 17 3 2 3 3 6" xfId="33283" xr:uid="{83F16FFB-B14D-4F1C-AB02-EB1F2A75F079}"/>
    <cellStyle name="Normal 17 3 2 3 3 7" xfId="33285" xr:uid="{51DEBF1E-4E5E-4D4F-897A-74B37B419DE7}"/>
    <cellStyle name="Normal 17 3 2 3 4" xfId="8451" xr:uid="{EF5BC338-5EF2-4C21-A5C6-05A06E74261D}"/>
    <cellStyle name="Normal 17 3 2 3 4 2" xfId="33288" xr:uid="{3351C4B5-03E6-465D-B95E-22303F31B3B5}"/>
    <cellStyle name="Normal 17 3 2 3 4 2 2" xfId="4236" xr:uid="{30FCC9A4-D6A2-4A09-BFF7-A33402711734}"/>
    <cellStyle name="Normal 17 3 2 3 4 2 2 2" xfId="9239" xr:uid="{BC5F26FC-5F1A-49D4-BB38-A1E45C28DABC}"/>
    <cellStyle name="Normal 17 3 2 3 4 2 2 2 2" xfId="11870" xr:uid="{8E3C7742-7F2B-41D5-9B36-CF091EC83260}"/>
    <cellStyle name="Normal 17 3 2 3 4 2 2 3" xfId="33290" xr:uid="{15ECFC2A-F00F-4BB8-BC8F-941AF0D97290}"/>
    <cellStyle name="Normal 17 3 2 3 4 2 3" xfId="33292" xr:uid="{8FE821E1-F4E6-46F4-8C58-5AA731C7FCC8}"/>
    <cellStyle name="Normal 17 3 2 3 4 2 3 2" xfId="33295" xr:uid="{973A6070-0294-4814-B530-DE675A6C6C95}"/>
    <cellStyle name="Normal 17 3 2 3 4 2 4" xfId="33297" xr:uid="{27D64A43-35C9-439E-85D9-6E75D1C82109}"/>
    <cellStyle name="Normal 17 3 2 3 4 3" xfId="33300" xr:uid="{3CBF69B3-2F8B-4458-A945-0899B581767D}"/>
    <cellStyle name="Normal 17 3 2 3 4 3 2" xfId="33302" xr:uid="{794A75B3-19F6-4633-BFDF-B92EF505E6BA}"/>
    <cellStyle name="Normal 17 3 2 3 4 3 2 2" xfId="14955" xr:uid="{8957ABA7-B6F7-44CC-A28F-48CED1A16C09}"/>
    <cellStyle name="Normal 17 3 2 3 4 3 3" xfId="33304" xr:uid="{34385CF9-E742-479B-A850-8BFF509EC93E}"/>
    <cellStyle name="Normal 17 3 2 3 4 4" xfId="33307" xr:uid="{F11B5FCD-ACFD-42BF-9A6E-FA4071D6F0AB}"/>
    <cellStyle name="Normal 17 3 2 3 4 4 2" xfId="32626" xr:uid="{902B5FA4-7F84-4AEA-A81D-DB03BD6BC23E}"/>
    <cellStyle name="Normal 17 3 2 3 4 5" xfId="33309" xr:uid="{9C29E6B2-D568-4F4D-9EEE-B188C1359B9B}"/>
    <cellStyle name="Normal 17 3 2 3 5" xfId="27120" xr:uid="{3A1E8B49-01F5-4F94-A52A-F6A2F377D4BA}"/>
    <cellStyle name="Normal 17 3 2 3 5 2" xfId="27125" xr:uid="{3C225934-DB2E-426A-A4CD-375C167DE0A6}"/>
    <cellStyle name="Normal 17 3 2 3 5 2 2" xfId="27131" xr:uid="{72EFAAC1-D069-4393-B413-2915A0CD4BBC}"/>
    <cellStyle name="Normal 17 3 2 3 5 2 2 2" xfId="27137" xr:uid="{50FF9FA9-9F95-4FC1-85E8-1597E2A43F22}"/>
    <cellStyle name="Normal 17 3 2 3 5 2 3" xfId="4017" xr:uid="{BF099272-6AB1-4C4E-A6D7-88287D4682E7}"/>
    <cellStyle name="Normal 17 3 2 3 5 3" xfId="27147" xr:uid="{B4939CE7-8C2D-4F61-8F01-2887550D1016}"/>
    <cellStyle name="Normal 17 3 2 3 5 3 2" xfId="19525" xr:uid="{7BE716A2-860D-4327-85EE-27C070E17CB4}"/>
    <cellStyle name="Normal 17 3 2 3 5 4" xfId="27156" xr:uid="{BE623491-3DFD-444E-827C-E7391A043C52}"/>
    <cellStyle name="Normal 17 3 2 3 6" xfId="27165" xr:uid="{1A1C26DD-15EC-46A7-B5FD-64E2DFE865C7}"/>
    <cellStyle name="Normal 17 3 2 3 6 2" xfId="27169" xr:uid="{FF9C74F9-94F4-4037-803A-E4B8EFBF6A75}"/>
    <cellStyle name="Normal 17 3 2 3 6 2 2" xfId="27175" xr:uid="{613D9CF9-0D43-47DB-8F32-4C232E4346B2}"/>
    <cellStyle name="Normal 17 3 2 3 6 3" xfId="27181" xr:uid="{80DEFE84-5E9B-4905-82A5-1C4FDE9FBECA}"/>
    <cellStyle name="Normal 17 3 2 3 7" xfId="27187" xr:uid="{05B054DE-6C73-4370-8221-1E14BE5B9665}"/>
    <cellStyle name="Normal 17 3 2 3 7 2" xfId="27191" xr:uid="{C67C9F40-94EB-4E90-9F5B-67C7910B3640}"/>
    <cellStyle name="Normal 17 3 2 3 8" xfId="27198" xr:uid="{1658F29B-1870-4590-B7AF-7E5396DF874B}"/>
    <cellStyle name="Normal 17 3 2 3 9" xfId="25911" xr:uid="{84205A8D-62E1-4412-86C1-3C69016920F4}"/>
    <cellStyle name="Normal 17 3 2 4" xfId="6546" xr:uid="{98F24D6E-5660-497E-84F5-4BDC834BA6B9}"/>
    <cellStyle name="Normal 17 3 2 4 2" xfId="8462" xr:uid="{A235703C-1902-4284-8AD0-584B6BF1185E}"/>
    <cellStyle name="Normal 17 3 2 4 2 2" xfId="8466" xr:uid="{A4DE3E1A-D63B-4777-8059-61F6A46A36A9}"/>
    <cellStyle name="Normal 17 3 2 4 2 2 2" xfId="5113" xr:uid="{A652F511-EE73-47CA-A5F0-AF846ABBB700}"/>
    <cellStyle name="Normal 17 3 2 4 2 2 2 2" xfId="5118" xr:uid="{EA5680AC-B94F-4E22-9742-43B217B5737C}"/>
    <cellStyle name="Normal 17 3 2 4 2 2 2 2 2" xfId="5123" xr:uid="{707CD1A0-4AA8-4A16-8EC3-8AD1161876C4}"/>
    <cellStyle name="Normal 17 3 2 4 2 2 2 2 2 2" xfId="12522" xr:uid="{EBA49E75-7AD6-4908-B95A-49297405DA7F}"/>
    <cellStyle name="Normal 17 3 2 4 2 2 2 2 3" xfId="12525" xr:uid="{496BC634-BE34-45D5-8931-D103B29988B8}"/>
    <cellStyle name="Normal 17 3 2 4 2 2 2 3" xfId="3975" xr:uid="{A57068D6-D377-4D36-AF76-0F9F5A0CD2F2}"/>
    <cellStyle name="Normal 17 3 2 4 2 2 2 3 2" xfId="12538" xr:uid="{532D98FD-F17E-4DC0-B02B-B3C64B5A2757}"/>
    <cellStyle name="Normal 17 3 2 4 2 2 2 4" xfId="15466" xr:uid="{17DF7A0F-04AF-424C-AD94-CC33C5073263}"/>
    <cellStyle name="Normal 17 3 2 4 2 2 3" xfId="5128" xr:uid="{16F2CC2C-31C4-4833-BBD6-EED1DF6FFF13}"/>
    <cellStyle name="Normal 17 3 2 4 2 2 3 2" xfId="5132" xr:uid="{B434481C-F50E-43B8-B570-1668B75B36F2}"/>
    <cellStyle name="Normal 17 3 2 4 2 2 3 2 2" xfId="12562" xr:uid="{C07B0ED2-FEB9-49CE-A898-42F25E11DB44}"/>
    <cellStyle name="Normal 17 3 2 4 2 2 3 3" xfId="33311" xr:uid="{D586E941-9128-4EA3-8514-40E12F3AE117}"/>
    <cellStyle name="Normal 17 3 2 4 2 2 4" xfId="5136" xr:uid="{1F9A1D46-C530-4D0E-8114-9401D33347AA}"/>
    <cellStyle name="Normal 17 3 2 4 2 2 4 2" xfId="29637" xr:uid="{CEAE3AB1-CDA0-4265-9F1C-5EF8D64C90D6}"/>
    <cellStyle name="Normal 17 3 2 4 2 2 5" xfId="5141" xr:uid="{6D01BFF5-1372-414A-B482-81F0EFC1C856}"/>
    <cellStyle name="Normal 17 3 2 4 2 3" xfId="33313" xr:uid="{9FBDD3E0-2816-40A6-A1C4-8F823348AC6A}"/>
    <cellStyle name="Normal 17 3 2 4 2 3 2" xfId="5190" xr:uid="{B647F697-5C86-41EC-AA5B-0B70C60A3025}"/>
    <cellStyle name="Normal 17 3 2 4 2 3 2 2" xfId="5198" xr:uid="{A2FF4621-B268-4F49-AD75-3A197F4B29CC}"/>
    <cellStyle name="Normal 17 3 2 4 2 3 2 2 2" xfId="12613" xr:uid="{CCE1B99D-72C6-45AC-8B2D-4AFD1984CF91}"/>
    <cellStyle name="Normal 17 3 2 4 2 3 2 3" xfId="33315" xr:uid="{3BECCC74-8983-43E6-84A8-EFB561A53BF8}"/>
    <cellStyle name="Normal 17 3 2 4 2 3 3" xfId="5202" xr:uid="{306D1744-78DA-4C45-AB73-1DDA10E6E607}"/>
    <cellStyle name="Normal 17 3 2 4 2 3 3 2" xfId="33317" xr:uid="{2A56B796-538A-471F-B5E9-2706352125B9}"/>
    <cellStyle name="Normal 17 3 2 4 2 3 4" xfId="33319" xr:uid="{0FB9DE31-A648-4C80-A5B9-9B988E09A1F6}"/>
    <cellStyle name="Normal 17 3 2 4 2 4" xfId="33321" xr:uid="{B13FA46F-4020-4C7A-AF64-B3ABF2ECC889}"/>
    <cellStyle name="Normal 17 3 2 4 2 4 2" xfId="5236" xr:uid="{0D3C5114-D5F2-4767-9E47-88C37A1F0A89}"/>
    <cellStyle name="Normal 17 3 2 4 2 4 2 2" xfId="33323" xr:uid="{9633C2E8-6BC3-4800-BC3C-F9AB3B520669}"/>
    <cellStyle name="Normal 17 3 2 4 2 4 3" xfId="8188" xr:uid="{4520FC17-DE40-4753-8AEC-E771BCCB43AE}"/>
    <cellStyle name="Normal 17 3 2 4 2 5" xfId="33325" xr:uid="{4530B3A1-BE14-4593-8838-CACBC1EC3ACF}"/>
    <cellStyle name="Normal 17 3 2 4 2 5 2" xfId="31564" xr:uid="{BDF20DBB-5955-443A-9234-E72B5DBBCA91}"/>
    <cellStyle name="Normal 17 3 2 4 2 6" xfId="33327" xr:uid="{DF9535FD-D6B5-4673-883E-2275A4B921AA}"/>
    <cellStyle name="Normal 17 3 2 4 2 7" xfId="33329" xr:uid="{B920ADCE-93E5-43B8-B081-C78C33A04CE1}"/>
    <cellStyle name="Normal 17 3 2 4 3" xfId="8469" xr:uid="{2A3DC291-EC1A-46A0-90A7-74C2C1BB8D9A}"/>
    <cellStyle name="Normal 17 3 2 4 3 2" xfId="33331" xr:uid="{3EE8F357-4600-475D-A7A5-C9B269C3F7D2}"/>
    <cellStyle name="Normal 17 3 2 4 3 2 2" xfId="5314" xr:uid="{C47086C2-E5C0-4936-939B-77207E723F7B}"/>
    <cellStyle name="Normal 17 3 2 4 3 2 2 2" xfId="5319" xr:uid="{77FA76E7-8B8D-4C46-9F52-BCD65B239E0B}"/>
    <cellStyle name="Normal 17 3 2 4 3 2 2 2 2" xfId="12746" xr:uid="{7C5104CE-583B-482A-A95E-D444D359140D}"/>
    <cellStyle name="Normal 17 3 2 4 3 2 2 3" xfId="33333" xr:uid="{BF08620E-8F4C-4EE6-9634-3447CC78CE5A}"/>
    <cellStyle name="Normal 17 3 2 4 3 2 3" xfId="5323" xr:uid="{4BD15CE2-3920-49CE-9798-70A741C7E675}"/>
    <cellStyle name="Normal 17 3 2 4 3 2 3 2" xfId="33335" xr:uid="{EE44E5E1-C81F-4C05-B22E-299208EFA559}"/>
    <cellStyle name="Normal 17 3 2 4 3 2 4" xfId="33337" xr:uid="{26D9877E-62B9-4527-8C9C-FE9464321097}"/>
    <cellStyle name="Normal 17 3 2 4 3 3" xfId="33339" xr:uid="{A8C6D5ED-36CC-4419-8279-DBEC0F6FA38C}"/>
    <cellStyle name="Normal 17 3 2 4 3 3 2" xfId="1057" xr:uid="{94E6CB81-F5AB-4585-A077-E7F2E4328A35}"/>
    <cellStyle name="Normal 17 3 2 4 3 3 2 2" xfId="17878" xr:uid="{76243557-4702-4B6B-B605-2B11860C1385}"/>
    <cellStyle name="Normal 17 3 2 4 3 3 3" xfId="19154" xr:uid="{567D7149-8D41-4E22-B8D1-942C7B1EC123}"/>
    <cellStyle name="Normal 17 3 2 4 3 4" xfId="33341" xr:uid="{F1BDF1A7-9DA1-4EBA-9E45-EE6736A60CD6}"/>
    <cellStyle name="Normal 17 3 2 4 3 4 2" xfId="24671" xr:uid="{89DC699E-687D-4A6E-BA85-88AB277272EB}"/>
    <cellStyle name="Normal 17 3 2 4 3 5" xfId="33345" xr:uid="{EE714AA2-A197-48F9-9FA4-11A0E6B312B9}"/>
    <cellStyle name="Normal 17 3 2 4 4" xfId="33347" xr:uid="{8FBC0446-1DFD-4E12-B4E9-36C1B3ADD23B}"/>
    <cellStyle name="Normal 17 3 2 4 4 2" xfId="33350" xr:uid="{F435F90F-7BE4-4622-A345-68D263E18A0D}"/>
    <cellStyle name="Normal 17 3 2 4 4 2 2" xfId="5417" xr:uid="{C949E464-0571-47B7-B4A0-4A4927791FE1}"/>
    <cellStyle name="Normal 17 3 2 4 4 2 2 2" xfId="33352" xr:uid="{ADA1E99C-7599-4C9B-A5BD-99259B3F1CA5}"/>
    <cellStyle name="Normal 17 3 2 4 4 2 3" xfId="33354" xr:uid="{D93135D2-54C0-4973-B72E-45EA03D7CC37}"/>
    <cellStyle name="Normal 17 3 2 4 4 3" xfId="33357" xr:uid="{481CC2B0-09F7-402C-A63F-837FEA3FE158}"/>
    <cellStyle name="Normal 17 3 2 4 4 3 2" xfId="25729" xr:uid="{36E5A220-9FA2-4342-B705-D34F813332CA}"/>
    <cellStyle name="Normal 17 3 2 4 4 4" xfId="33359" xr:uid="{4666EBEB-7F66-4E1E-8C12-22C1DF9439DF}"/>
    <cellStyle name="Normal 17 3 2 4 5" xfId="27205" xr:uid="{FF5369A8-C932-4308-8BA2-BCECC8573E23}"/>
    <cellStyle name="Normal 17 3 2 4 5 2" xfId="22670" xr:uid="{D50C71AC-00A9-46A6-ABF0-B0996F5516D6}"/>
    <cellStyle name="Normal 17 3 2 4 5 2 2" xfId="22677" xr:uid="{0E04D2AA-A388-4339-846C-CBE8C3F333A0}"/>
    <cellStyle name="Normal 17 3 2 4 5 3" xfId="21101" xr:uid="{5D5038F1-7BDA-4D34-8D02-9A819AC09BC5}"/>
    <cellStyle name="Normal 17 3 2 4 6" xfId="27213" xr:uid="{36C5CD9D-2E53-47D6-BDED-331BCF160189}"/>
    <cellStyle name="Normal 17 3 2 4 6 2" xfId="22690" xr:uid="{255C8086-F0FA-4B02-B9BE-5291BB95B58D}"/>
    <cellStyle name="Normal 17 3 2 4 7" xfId="27219" xr:uid="{6A00BC20-07D8-4C02-BFFE-08AA1DF93C6E}"/>
    <cellStyle name="Normal 17 3 2 4 8" xfId="27226" xr:uid="{E9EF738F-2ECE-43DF-BF55-ED9E1919E6A6}"/>
    <cellStyle name="Normal 17 3 2 5" xfId="33361" xr:uid="{8F0B4815-CCEC-4C7B-BE6C-83B45D0594DD}"/>
    <cellStyle name="Normal 17 3 2 5 2" xfId="8478" xr:uid="{22864C8B-EB1E-4C65-AF47-BC6CB72342E8}"/>
    <cellStyle name="Normal 17 3 2 5 2 2" xfId="33363" xr:uid="{2345E90D-3DD4-431B-BCD9-CE425A6384C5}"/>
    <cellStyle name="Normal 17 3 2 5 2 2 2" xfId="5851" xr:uid="{36D34CE2-E334-41AB-B6BB-46E09BEEAD37}"/>
    <cellStyle name="Normal 17 3 2 5 2 2 2 2" xfId="5855" xr:uid="{FA428A87-2B1B-4358-A605-5259ACECFDD2}"/>
    <cellStyle name="Normal 17 3 2 5 2 2 2 2 2" xfId="13246" xr:uid="{ED3339B5-BB9B-4758-8F7C-314A33C58774}"/>
    <cellStyle name="Normal 17 3 2 5 2 2 2 3" xfId="29296" xr:uid="{277F6D24-AC20-44EA-A4F2-46A0B1611DCE}"/>
    <cellStyle name="Normal 17 3 2 5 2 2 3" xfId="5861" xr:uid="{AA2B8936-3939-49B6-9594-2D6A2EBF4B75}"/>
    <cellStyle name="Normal 17 3 2 5 2 2 3 2" xfId="33365" xr:uid="{547C4235-EC7C-49A0-BCF4-2248C85FFB5C}"/>
    <cellStyle name="Normal 17 3 2 5 2 2 4" xfId="33367" xr:uid="{2BDF588C-F7CA-423E-AE02-1416969C0181}"/>
    <cellStyle name="Normal 17 3 2 5 2 3" xfId="33369" xr:uid="{3B861218-E66F-463D-B63D-B7C993CC6BFF}"/>
    <cellStyle name="Normal 17 3 2 5 2 3 2" xfId="781" xr:uid="{04116F50-2920-4BC9-93C1-0C3E2D558659}"/>
    <cellStyle name="Normal 17 3 2 5 2 3 2 2" xfId="26814" xr:uid="{84F3BD80-3E5F-410F-AAC6-5D7462AB6EDE}"/>
    <cellStyle name="Normal 17 3 2 5 2 3 3" xfId="792" xr:uid="{E2CC9545-92D1-42C7-A546-AC5B8BE5528D}"/>
    <cellStyle name="Normal 17 3 2 5 2 4" xfId="33371" xr:uid="{B1332EF4-1D15-4842-B4E9-FEB60D7C12B8}"/>
    <cellStyle name="Normal 17 3 2 5 2 4 2" xfId="33373" xr:uid="{572E5E75-88F3-47D2-8A60-B49D9AE27561}"/>
    <cellStyle name="Normal 17 3 2 5 2 5" xfId="33375" xr:uid="{D0635392-4156-4606-9B9F-F1B43DE812F0}"/>
    <cellStyle name="Normal 17 3 2 5 3" xfId="33377" xr:uid="{4C36A9C5-86C6-4D0D-9CAE-D70C4AF3A7D0}"/>
    <cellStyle name="Normal 17 3 2 5 3 2" xfId="33379" xr:uid="{AE80192E-49EB-4EF6-AFAB-266727EC7292}"/>
    <cellStyle name="Normal 17 3 2 5 3 2 2" xfId="5938" xr:uid="{5DA7FF09-3E69-4B80-9C68-0F616A4C10F3}"/>
    <cellStyle name="Normal 17 3 2 5 3 2 2 2" xfId="33381" xr:uid="{B2DEDD97-182E-4C8F-9F31-540F501ADAC2}"/>
    <cellStyle name="Normal 17 3 2 5 3 2 3" xfId="33383" xr:uid="{41B62410-3071-4CB6-9B9D-3B2A44895868}"/>
    <cellStyle name="Normal 17 3 2 5 3 3" xfId="33385" xr:uid="{1CA9E964-3664-4C2B-A05B-D46C36E5BCE0}"/>
    <cellStyle name="Normal 17 3 2 5 3 3 2" xfId="33387" xr:uid="{4987148B-0F18-4344-89CA-94A80A8A741F}"/>
    <cellStyle name="Normal 17 3 2 5 3 4" xfId="33389" xr:uid="{D74850F2-CD5D-4EFA-A352-37997ED3F5DD}"/>
    <cellStyle name="Normal 17 3 2 5 4" xfId="33391" xr:uid="{8B6305EC-08D4-47C0-B8E4-82A464F8B766}"/>
    <cellStyle name="Normal 17 3 2 5 4 2" xfId="33393" xr:uid="{B949B21A-4FC0-49AD-AE43-B27BA60FED61}"/>
    <cellStyle name="Normal 17 3 2 5 4 2 2" xfId="33395" xr:uid="{596731C6-D9B8-41EA-9D13-306F9B9204AA}"/>
    <cellStyle name="Normal 17 3 2 5 4 3" xfId="33397" xr:uid="{34689678-C92E-47AB-91C0-648AFBD08B08}"/>
    <cellStyle name="Normal 17 3 2 5 5" xfId="27231" xr:uid="{6E16FDAB-DB09-4AC3-AF50-A10017ABFF21}"/>
    <cellStyle name="Normal 17 3 2 5 5 2" xfId="22714" xr:uid="{E7D56184-4B94-4277-9511-FA6A59A08673}"/>
    <cellStyle name="Normal 17 3 2 5 6" xfId="13438" xr:uid="{F00A0F63-A1BA-420C-A0E8-1DE6AE831B02}"/>
    <cellStyle name="Normal 17 3 2 5 7" xfId="13448" xr:uid="{15B14287-8557-47DA-91B4-9CADC7EAADE9}"/>
    <cellStyle name="Normal 17 3 2 6" xfId="33399" xr:uid="{5A829A22-0E3D-4683-8A51-93434F14ABAF}"/>
    <cellStyle name="Normal 17 3 2 6 2" xfId="33401" xr:uid="{4569A612-2F06-48D9-9AAC-3BD200BB0712}"/>
    <cellStyle name="Normal 17 3 2 6 2 2" xfId="33403" xr:uid="{04AD893F-EE9F-419C-84A7-9A11EF8007D6}"/>
    <cellStyle name="Normal 17 3 2 6 2 2 2" xfId="6268" xr:uid="{C4386E29-63B7-4DCC-9295-469C0E4C9EEA}"/>
    <cellStyle name="Normal 17 3 2 6 2 2 2 2" xfId="22266" xr:uid="{2A58B866-23F2-47B1-8614-36D30E6F1C75}"/>
    <cellStyle name="Normal 17 3 2 6 2 2 3" xfId="31853" xr:uid="{2AFA9569-C50B-45A8-A5EF-13697EA935FE}"/>
    <cellStyle name="Normal 17 3 2 6 2 3" xfId="33405" xr:uid="{FB520E6B-D2A4-4D87-B2D2-4DC3F0208047}"/>
    <cellStyle name="Normal 17 3 2 6 2 3 2" xfId="33407" xr:uid="{25D1CCC6-2813-47CF-A6E6-3016D7FC88A7}"/>
    <cellStyle name="Normal 17 3 2 6 2 4" xfId="33409" xr:uid="{EEC51E07-480C-4FB3-A5DE-1FF599C1B1C7}"/>
    <cellStyle name="Normal 17 3 2 6 3" xfId="33411" xr:uid="{B8EE6902-E5FD-4CA7-9113-973FC9EAEDF6}"/>
    <cellStyle name="Normal 17 3 2 6 3 2" xfId="33413" xr:uid="{B5D999E8-C40D-4396-80BD-EC9C629E22B1}"/>
    <cellStyle name="Normal 17 3 2 6 3 2 2" xfId="33415" xr:uid="{C545CCE4-5A38-49E2-BF38-617168EE65DC}"/>
    <cellStyle name="Normal 17 3 2 6 3 3" xfId="33417" xr:uid="{D1120070-34D7-4F49-9553-F1FFF2F90A61}"/>
    <cellStyle name="Normal 17 3 2 6 4" xfId="33419" xr:uid="{0F9CFB98-6CEC-4B75-ACA9-837A33A7BECF}"/>
    <cellStyle name="Normal 17 3 2 6 4 2" xfId="33421" xr:uid="{A63A28AD-E922-455D-87AE-F8E53539F4B9}"/>
    <cellStyle name="Normal 17 3 2 6 5" xfId="27239" xr:uid="{255BB119-1731-4DEB-9248-4005848333FC}"/>
    <cellStyle name="Normal 17 3 2 7" xfId="14271" xr:uid="{6DF2DEC2-3059-4B94-BAEE-B56ED9485516}"/>
    <cellStyle name="Normal 17 3 2 7 2" xfId="14274" xr:uid="{D5150916-AB0F-47FD-A132-DDD80A9EB987}"/>
    <cellStyle name="Normal 17 3 2 7 2 2" xfId="33423" xr:uid="{E1D13675-CE46-437B-B5BF-D9632B3949B9}"/>
    <cellStyle name="Normal 17 3 2 7 2 2 2" xfId="25223" xr:uid="{3EA53AB9-2530-492F-9745-E2E659CEA621}"/>
    <cellStyle name="Normal 17 3 2 7 2 3" xfId="33425" xr:uid="{520CECF5-6F7F-42E7-A972-BA5BF7E1603F}"/>
    <cellStyle name="Normal 17 3 2 7 3" xfId="33427" xr:uid="{670CC3AC-0268-458C-B1BA-546C049F5314}"/>
    <cellStyle name="Normal 17 3 2 7 3 2" xfId="33429" xr:uid="{F96A7CA5-72D2-4CF4-88D8-7CA6DED8F8A0}"/>
    <cellStyle name="Normal 17 3 2 7 4" xfId="33431" xr:uid="{FCAEB78C-6C40-4FBA-AA67-DA719F639706}"/>
    <cellStyle name="Normal 17 3 2 8" xfId="14278" xr:uid="{4A1D9CBE-8549-4254-83CE-1D461D3765F4}"/>
    <cellStyle name="Normal 17 3 2 8 2" xfId="33434" xr:uid="{C710800E-7401-4509-8E65-01513BDB8DCB}"/>
    <cellStyle name="Normal 17 3 2 8 2 2" xfId="33437" xr:uid="{10C2C738-E240-41EF-9698-CBA461169690}"/>
    <cellStyle name="Normal 17 3 2 8 3" xfId="33441" xr:uid="{9EFBBF44-9352-4997-AD69-45AA963B60DB}"/>
    <cellStyle name="Normal 17 3 2 9" xfId="33445" xr:uid="{1B26A7C6-1999-48AE-AA84-A83BA9995883}"/>
    <cellStyle name="Normal 17 3 2 9 2" xfId="33448" xr:uid="{4D6EDAA4-A446-40CC-8189-DE0CC97566A3}"/>
    <cellStyle name="Normal 17 3 3" xfId="33452" xr:uid="{F6EA4725-83BE-468E-8E4C-46541ADEAD6F}"/>
    <cellStyle name="Normal 17 3 3 10" xfId="22615" xr:uid="{CA623D45-820D-43BF-B095-2D4C884BC106}"/>
    <cellStyle name="Normal 17 3 3 11" xfId="22619" xr:uid="{A9C2EBCD-E9A8-47FB-B349-C9F665DFD75D}"/>
    <cellStyle name="Normal 17 3 3 2" xfId="33456" xr:uid="{1296136B-366D-4025-B58D-8AAC5A593974}"/>
    <cellStyle name="Normal 17 3 3 2 10" xfId="8662" xr:uid="{7B8D61C3-3BDE-4418-84DF-FFE112B0D1B4}"/>
    <cellStyle name="Normal 17 3 3 2 2" xfId="14551" xr:uid="{12987FFE-A1E0-4502-AA8C-A8EECE280F79}"/>
    <cellStyle name="Normal 17 3 3 2 2 2" xfId="14556" xr:uid="{CB98B14E-E2B1-4C5D-8A82-D21190214FA6}"/>
    <cellStyle name="Normal 17 3 3 2 2 2 2" xfId="33459" xr:uid="{4BB21E38-CD3F-4981-A4D0-4936766BCEA6}"/>
    <cellStyle name="Normal 17 3 3 2 2 2 2 2" xfId="10891" xr:uid="{22185D9B-676C-41F7-8BFB-88016A2F54C6}"/>
    <cellStyle name="Normal 17 3 3 2 2 2 2 2 2" xfId="10894" xr:uid="{2EE2D767-96F4-456D-9FF4-E6D6C42FCEB8}"/>
    <cellStyle name="Normal 17 3 3 2 2 2 2 2 2 2" xfId="10897" xr:uid="{07AC9DDC-2BBE-45B5-ABD6-BD55BC757E3F}"/>
    <cellStyle name="Normal 17 3 3 2 2 2 2 2 2 2 2" xfId="10900" xr:uid="{327D5EBC-C850-4B47-92B4-66A951078418}"/>
    <cellStyle name="Normal 17 3 3 2 2 2 2 2 2 2 2 2" xfId="33460" xr:uid="{95B3FA68-A192-4D2D-8974-143EA020B4D6}"/>
    <cellStyle name="Normal 17 3 3 2 2 2 2 2 2 2 3" xfId="33461" xr:uid="{0B209CBD-1454-4353-A2A3-12A1975B481A}"/>
    <cellStyle name="Normal 17 3 3 2 2 2 2 2 2 3" xfId="10904" xr:uid="{09920C0D-26E5-4002-AD12-E27FBAC80B8B}"/>
    <cellStyle name="Normal 17 3 3 2 2 2 2 2 2 3 2" xfId="33462" xr:uid="{03025009-86F4-4DA4-9E09-3D3B24BF7B3B}"/>
    <cellStyle name="Normal 17 3 3 2 2 2 2 2 2 4" xfId="24713" xr:uid="{CA1F3E4E-42C4-4E18-8606-37F3F0180062}"/>
    <cellStyle name="Normal 17 3 3 2 2 2 2 2 3" xfId="10909" xr:uid="{6D512495-6877-4FC5-AC5B-FBD5DD800805}"/>
    <cellStyle name="Normal 17 3 3 2 2 2 2 2 3 2" xfId="10913" xr:uid="{0561F927-4D7A-4F43-95B7-C6E800158FAD}"/>
    <cellStyle name="Normal 17 3 3 2 2 2 2 2 3 2 2" xfId="33464" xr:uid="{AAD98A24-64C0-4657-BB61-0035265B069E}"/>
    <cellStyle name="Normal 17 3 3 2 2 2 2 2 3 3" xfId="20547" xr:uid="{9A21414C-3629-4FD0-922C-2B4558F580BA}"/>
    <cellStyle name="Normal 17 3 3 2 2 2 2 2 4" xfId="10917" xr:uid="{ED27D24C-1252-45CE-B86D-B5FDC6CF41E3}"/>
    <cellStyle name="Normal 17 3 3 2 2 2 2 2 4 2" xfId="25234" xr:uid="{AACF1008-F6B3-4265-9941-6CF8C76DE3AA}"/>
    <cellStyle name="Normal 17 3 3 2 2 2 2 2 5" xfId="33465" xr:uid="{E2D5326E-B752-4F34-BC47-8269567C7942}"/>
    <cellStyle name="Normal 17 3 3 2 2 2 2 3" xfId="10921" xr:uid="{4A7C3C4A-0E19-41D5-905D-366759582EBB}"/>
    <cellStyle name="Normal 17 3 3 2 2 2 2 3 2" xfId="10924" xr:uid="{8234D47D-3551-4BCB-853C-5C45738C08C9}"/>
    <cellStyle name="Normal 17 3 3 2 2 2 2 3 2 2" xfId="10928" xr:uid="{D81E1E82-6592-4348-A868-5990E7A06A1D}"/>
    <cellStyle name="Normal 17 3 3 2 2 2 2 3 2 2 2" xfId="14255" xr:uid="{EDC459B1-BF32-422C-A737-761D2AF441F2}"/>
    <cellStyle name="Normal 17 3 3 2 2 2 2 3 2 3" xfId="14298" xr:uid="{CAD07C6D-54F1-49EE-AFA8-6FF828942027}"/>
    <cellStyle name="Normal 17 3 3 2 2 2 2 3 3" xfId="10932" xr:uid="{CA0A02F7-5B72-457E-9655-A7588A2EC486}"/>
    <cellStyle name="Normal 17 3 3 2 2 2 2 3 3 2" xfId="14343" xr:uid="{9A43D14A-0DC4-4D0E-8008-D48F1343DC1E}"/>
    <cellStyle name="Normal 17 3 3 2 2 2 2 3 4" xfId="11227" xr:uid="{F5519BC1-66B3-429B-81FE-FE4BDD0873FE}"/>
    <cellStyle name="Normal 17 3 3 2 2 2 2 4" xfId="10936" xr:uid="{2C2F29AB-23A2-4EDF-B9DF-2445F3398EDA}"/>
    <cellStyle name="Normal 17 3 3 2 2 2 2 4 2" xfId="10942" xr:uid="{0306DDBE-7127-477D-9DED-4FF6AE3632D4}"/>
    <cellStyle name="Normal 17 3 3 2 2 2 2 4 2 2" xfId="14525" xr:uid="{6F8711A2-5B95-4441-A5C4-7665398AB74A}"/>
    <cellStyle name="Normal 17 3 3 2 2 2 2 4 3" xfId="14593" xr:uid="{23B597BD-01DA-4325-AC20-2048F6A871DE}"/>
    <cellStyle name="Normal 17 3 3 2 2 2 2 5" xfId="10946" xr:uid="{E4DB5152-0AEE-470F-9DF8-7FAE7B244320}"/>
    <cellStyle name="Normal 17 3 3 2 2 2 2 5 2" xfId="14690" xr:uid="{CCAAF172-8B45-49E7-B059-92BD0BBA855E}"/>
    <cellStyle name="Normal 17 3 3 2 2 2 2 6" xfId="10949" xr:uid="{8B3BF314-2A2E-4D01-94D7-E468CC1ACA36}"/>
    <cellStyle name="Normal 17 3 3 2 2 2 2 7" xfId="33466" xr:uid="{E187056F-D8C8-435A-87F9-59069B57D2D4}"/>
    <cellStyle name="Normal 17 3 3 2 2 2 3" xfId="33468" xr:uid="{77EE2CE1-F6C0-4FDA-9F1C-63D26C7C571C}"/>
    <cellStyle name="Normal 17 3 3 2 2 2 3 2" xfId="10983" xr:uid="{EDE957A5-1041-487E-8E8E-90DE4EE47570}"/>
    <cellStyle name="Normal 17 3 3 2 2 2 3 2 2" xfId="10986" xr:uid="{A2B55332-0B29-443B-9EA0-7590E1F18087}"/>
    <cellStyle name="Normal 17 3 3 2 2 2 3 2 2 2" xfId="10990" xr:uid="{67BE23D9-2E89-4D37-BCD6-E5A69721F098}"/>
    <cellStyle name="Normal 17 3 3 2 2 2 3 2 2 2 2" xfId="33470" xr:uid="{E83BE0EF-19E4-4553-A082-58964CC23123}"/>
    <cellStyle name="Normal 17 3 3 2 2 2 3 2 2 3" xfId="33472" xr:uid="{91C7F660-3893-4402-8E39-B29F420A61A3}"/>
    <cellStyle name="Normal 17 3 3 2 2 2 3 2 3" xfId="10994" xr:uid="{6153C517-A98A-4914-9304-AFF59E6FE0CE}"/>
    <cellStyle name="Normal 17 3 3 2 2 2 3 2 3 2" xfId="33443" xr:uid="{1A882207-4C7D-40B2-831F-3264B011AE06}"/>
    <cellStyle name="Normal 17 3 3 2 2 2 3 2 4" xfId="30352" xr:uid="{3562C926-B986-44AC-A459-DE6EC0E0FDBE}"/>
    <cellStyle name="Normal 17 3 3 2 2 2 3 3" xfId="10997" xr:uid="{88670331-C5B8-4084-B84B-2F3B7A055566}"/>
    <cellStyle name="Normal 17 3 3 2 2 2 3 3 2" xfId="11000" xr:uid="{7D002579-BD1B-4243-9BD9-71BF9E61385A}"/>
    <cellStyle name="Normal 17 3 3 2 2 2 3 3 2 2" xfId="14959" xr:uid="{4595E18F-22E4-45AE-A1FD-48C27607FFFE}"/>
    <cellStyle name="Normal 17 3 3 2 2 2 3 3 3" xfId="15000" xr:uid="{26B445DA-C15A-4C92-BDCD-D3A1C5F215FB}"/>
    <cellStyle name="Normal 17 3 3 2 2 2 3 4" xfId="11004" xr:uid="{3DBEC688-E5B7-4EC5-99FC-7739FABD36BD}"/>
    <cellStyle name="Normal 17 3 3 2 2 2 3 4 2" xfId="15110" xr:uid="{FE0480A1-6070-4B0E-A133-B98C41EAA8D1}"/>
    <cellStyle name="Normal 17 3 3 2 2 2 3 5" xfId="9016" xr:uid="{8D7EE62A-96B2-41F9-A53F-3FBA4D7C8ED5}"/>
    <cellStyle name="Normal 17 3 3 2 2 2 4" xfId="23508" xr:uid="{4CF79E2E-2112-413C-AD90-3394C6B8679E}"/>
    <cellStyle name="Normal 17 3 3 2 2 2 4 2" xfId="11018" xr:uid="{63B4D2B5-ED9C-48C8-9B93-FE9EC9246881}"/>
    <cellStyle name="Normal 17 3 3 2 2 2 4 2 2" xfId="11021" xr:uid="{382456D2-269F-4907-BB50-A30573E33344}"/>
    <cellStyle name="Normal 17 3 3 2 2 2 4 2 2 2" xfId="33473" xr:uid="{3877752C-DA86-4DF5-B20A-6BFE05C636BD}"/>
    <cellStyle name="Normal 17 3 3 2 2 2 4 2 3" xfId="33474" xr:uid="{EEB42D3F-AC24-44C0-960A-3B167DF9E7F0}"/>
    <cellStyle name="Normal 17 3 3 2 2 2 4 3" xfId="11024" xr:uid="{73CDD852-2B9A-47E2-A494-066C5A8E159D}"/>
    <cellStyle name="Normal 17 3 3 2 2 2 4 3 2" xfId="15342" xr:uid="{E97FA512-D88F-4118-8CB9-B84C3F3A7F06}"/>
    <cellStyle name="Normal 17 3 3 2 2 2 4 4" xfId="33475" xr:uid="{F38C75E3-778E-4125-ABA5-3AF1B12AA43F}"/>
    <cellStyle name="Normal 17 3 3 2 2 2 5" xfId="33477" xr:uid="{D81402B7-C8F5-4250-98C5-A391A6CA04D8}"/>
    <cellStyle name="Normal 17 3 3 2 2 2 5 2" xfId="11034" xr:uid="{E0D74FE7-1566-4B29-AC61-5B8A9A8DC1F8}"/>
    <cellStyle name="Normal 17 3 3 2 2 2 5 2 2" xfId="33478" xr:uid="{9D06F28B-538C-47D7-B054-4044BAB70FEB}"/>
    <cellStyle name="Normal 17 3 3 2 2 2 5 3" xfId="9562" xr:uid="{8E52B169-617A-4037-AB4F-20D83E6A3CCC}"/>
    <cellStyle name="Normal 17 3 3 2 2 2 6" xfId="33480" xr:uid="{729CFA48-C1AE-4110-B863-B2B4DBC93180}"/>
    <cellStyle name="Normal 17 3 3 2 2 2 6 2" xfId="33481" xr:uid="{93A16965-02D0-45FF-A8D7-AB2E6E656933}"/>
    <cellStyle name="Normal 17 3 3 2 2 2 7" xfId="33483" xr:uid="{3B0C5CC9-F9EB-4FCC-B547-1A655B33ECF5}"/>
    <cellStyle name="Normal 17 3 3 2 2 2 8" xfId="33485" xr:uid="{C7DF5EB5-36D4-4FC2-856A-214F1C0F13E7}"/>
    <cellStyle name="Normal 17 3 3 2 2 3" xfId="33488" xr:uid="{DD7FB83A-E447-4FBE-829E-8B2808217C89}"/>
    <cellStyle name="Normal 17 3 3 2 2 3 2" xfId="33490" xr:uid="{A06CEEF8-E3D6-4E4D-8977-6806747794C5}"/>
    <cellStyle name="Normal 17 3 3 2 2 3 2 2" xfId="11071" xr:uid="{C2EEA621-7D6D-4C1E-970C-8069F7583033}"/>
    <cellStyle name="Normal 17 3 3 2 2 3 2 2 2" xfId="11074" xr:uid="{A5D75E0E-AEEC-49DF-B21D-617EB696DCBB}"/>
    <cellStyle name="Normal 17 3 3 2 2 3 2 2 2 2" xfId="7994" xr:uid="{2764DD4E-2B6F-4C4A-90A1-59585B62D2D0}"/>
    <cellStyle name="Normal 17 3 3 2 2 3 2 2 2 2 2" xfId="33491" xr:uid="{13023C4A-0820-4CBF-9300-F76B1A1B6199}"/>
    <cellStyle name="Normal 17 3 3 2 2 3 2 2 2 3" xfId="33492" xr:uid="{D375C2D4-0E85-4C1E-BDC9-57B17E382636}"/>
    <cellStyle name="Normal 17 3 3 2 2 3 2 2 3" xfId="11077" xr:uid="{5E17B67A-9519-4DD3-92A4-21BD9FFF2C0D}"/>
    <cellStyle name="Normal 17 3 3 2 2 3 2 2 3 2" xfId="33493" xr:uid="{EA3CD5D1-FEA2-4CB4-ABD1-C32E41ABFF88}"/>
    <cellStyle name="Normal 17 3 3 2 2 3 2 2 4" xfId="30504" xr:uid="{9FF9FF0E-5612-4933-8F25-0F6A17C3F2BD}"/>
    <cellStyle name="Normal 17 3 3 2 2 3 2 3" xfId="11080" xr:uid="{EBEFA94C-2867-4DBD-867C-CBF369A86FAA}"/>
    <cellStyle name="Normal 17 3 3 2 2 3 2 3 2" xfId="11083" xr:uid="{78E8A62F-F244-4505-89BA-9ECBAD2D9838}"/>
    <cellStyle name="Normal 17 3 3 2 2 3 2 3 2 2" xfId="17963" xr:uid="{FF3636F8-E5A4-44FA-9E08-D0DC034803D6}"/>
    <cellStyle name="Normal 17 3 3 2 2 3 2 3 3" xfId="33494" xr:uid="{F54328E3-3378-4B61-A04E-D33079ADF334}"/>
    <cellStyle name="Normal 17 3 3 2 2 3 2 4" xfId="11086" xr:uid="{31D142B8-A8A0-4EDD-B99D-1F0A08161782}"/>
    <cellStyle name="Normal 17 3 3 2 2 3 2 4 2" xfId="33496" xr:uid="{26A7BAB5-AE2A-4CDB-9426-FD457742B0FC}"/>
    <cellStyle name="Normal 17 3 3 2 2 3 2 5" xfId="2380" xr:uid="{88D1A426-14C7-4ABE-BEA2-2387117C2DF4}"/>
    <cellStyle name="Normal 17 3 3 2 2 3 3" xfId="33498" xr:uid="{7A24A276-5F07-4D18-A980-9C14C6C2E0AB}"/>
    <cellStyle name="Normal 17 3 3 2 2 3 3 2" xfId="3099" xr:uid="{5442C2F7-5FDB-4B80-B338-4EF7B260396B}"/>
    <cellStyle name="Normal 17 3 3 2 2 3 3 2 2" xfId="3105" xr:uid="{BB2D407E-14F8-40F2-9C0F-81CCAC60B1E0}"/>
    <cellStyle name="Normal 17 3 3 2 2 3 3 2 2 2" xfId="101" xr:uid="{ADE7E8BF-FD0D-4186-8C10-16020C3AA887}"/>
    <cellStyle name="Normal 17 3 3 2 2 3 3 2 3" xfId="33499" xr:uid="{9A718B38-E406-44CB-89FC-B85CD24B8E13}"/>
    <cellStyle name="Normal 17 3 3 2 2 3 3 3" xfId="3115" xr:uid="{35D48E7A-A3DF-4AB7-B5EF-999C80C057C0}"/>
    <cellStyle name="Normal 17 3 3 2 2 3 3 3 2" xfId="12507" xr:uid="{4A1F3535-FEF7-49F7-BA40-C1263D161764}"/>
    <cellStyle name="Normal 17 3 3 2 2 3 3 4" xfId="12510" xr:uid="{FA6B9F7C-9E53-44E8-826D-E11966B60CA7}"/>
    <cellStyle name="Normal 17 3 3 2 2 3 4" xfId="33501" xr:uid="{6129869B-7D3A-4B7E-9214-5F3CA731085F}"/>
    <cellStyle name="Normal 17 3 3 2 2 3 4 2" xfId="3130" xr:uid="{B08D3BDB-80F3-4DC0-BF0C-09C67B35A011}"/>
    <cellStyle name="Normal 17 3 3 2 2 3 4 2 2" xfId="33502" xr:uid="{FAD548C6-2C7E-4887-B36D-587BE1446A17}"/>
    <cellStyle name="Normal 17 3 3 2 2 3 4 3" xfId="12517" xr:uid="{EF12DB33-4991-41AF-A7AD-6E1E5C75820C}"/>
    <cellStyle name="Normal 17 3 3 2 2 3 5" xfId="33504" xr:uid="{54004C6E-3366-4823-BEA2-0FF393294CF6}"/>
    <cellStyle name="Normal 17 3 3 2 2 3 5 2" xfId="26672" xr:uid="{11663B5E-AD0A-45DE-BAEB-218747676B35}"/>
    <cellStyle name="Normal 17 3 3 2 2 3 6" xfId="33505" xr:uid="{2A963163-258C-4B87-92D1-65900BFCA741}"/>
    <cellStyle name="Normal 17 3 3 2 2 3 7" xfId="33506" xr:uid="{93445817-071D-4C12-96BD-BFC505134C52}"/>
    <cellStyle name="Normal 17 3 3 2 2 4" xfId="33508" xr:uid="{202D21EA-D53D-4BB7-A03A-DFFFB772FFBC}"/>
    <cellStyle name="Normal 17 3 3 2 2 4 2" xfId="33510" xr:uid="{1EECD950-775D-4353-ADB8-4CB69B45A12A}"/>
    <cellStyle name="Normal 17 3 3 2 2 4 2 2" xfId="11132" xr:uid="{2C1C6600-B2F9-41FD-A41C-9BBAF7B2D316}"/>
    <cellStyle name="Normal 17 3 3 2 2 4 2 2 2" xfId="11135" xr:uid="{13CA845F-3B2C-45E8-893B-89A3CE3EB451}"/>
    <cellStyle name="Normal 17 3 3 2 2 4 2 2 2 2" xfId="7968" xr:uid="{F7DDBDC0-11CA-4CE0-AA6B-4E4DFB1BDF91}"/>
    <cellStyle name="Normal 17 3 3 2 2 4 2 2 3" xfId="33511" xr:uid="{F050D510-C777-44ED-9744-4635859733DB}"/>
    <cellStyle name="Normal 17 3 3 2 2 4 2 3" xfId="11138" xr:uid="{61A0BF5D-ADFA-4CAA-8DB0-522C18AD9BBF}"/>
    <cellStyle name="Normal 17 3 3 2 2 4 2 3 2" xfId="15800" xr:uid="{23B7FB94-A7BB-4D3A-B609-495856347A07}"/>
    <cellStyle name="Normal 17 3 3 2 2 4 2 4" xfId="33512" xr:uid="{6EBF1561-D188-4AC3-A815-A36F1B6ED95A}"/>
    <cellStyle name="Normal 17 3 3 2 2 4 3" xfId="33514" xr:uid="{BF376D1F-75AE-42A6-B622-0A9BB8E94C8A}"/>
    <cellStyle name="Normal 17 3 3 2 2 4 3 2" xfId="3162" xr:uid="{92C9F7A4-1DD9-412E-B9BB-9179CBC87359}"/>
    <cellStyle name="Normal 17 3 3 2 2 4 3 2 2" xfId="33515" xr:uid="{6A5FE7F4-F2B9-41AC-A2A7-CCA3011CB210}"/>
    <cellStyle name="Normal 17 3 3 2 2 4 3 3" xfId="12530" xr:uid="{491DD009-8F67-4CAC-A785-721F871F0F76}"/>
    <cellStyle name="Normal 17 3 3 2 2 4 4" xfId="33517" xr:uid="{9B5A9368-CAEA-4528-B9C2-1A968191E778}"/>
    <cellStyle name="Normal 17 3 3 2 2 4 4 2" xfId="33518" xr:uid="{D0A9B2C7-8718-4D9A-B5DB-1EB93EB02AE9}"/>
    <cellStyle name="Normal 17 3 3 2 2 4 5" xfId="33519" xr:uid="{97B35CCD-EC21-4B2C-943D-C63D80AF1EB2}"/>
    <cellStyle name="Normal 17 3 3 2 2 5" xfId="33521" xr:uid="{C881AFF7-2455-4366-88EE-8ABB160BC6B1}"/>
    <cellStyle name="Normal 17 3 3 2 2 5 2" xfId="33523" xr:uid="{83697347-2E5A-45DD-8F73-ACB66B60DE8F}"/>
    <cellStyle name="Normal 17 3 3 2 2 5 2 2" xfId="11163" xr:uid="{14C19FDF-ED3E-4714-9268-073A7B8D3A21}"/>
    <cellStyle name="Normal 17 3 3 2 2 5 2 2 2" xfId="33524" xr:uid="{29BF86A6-BC66-4CC3-96F6-7A43C083D028}"/>
    <cellStyle name="Normal 17 3 3 2 2 5 2 3" xfId="33526" xr:uid="{3DA60874-D1AC-40D2-AEE9-10F71F39D963}"/>
    <cellStyle name="Normal 17 3 3 2 2 5 3" xfId="33529" xr:uid="{69159FF2-37E7-469B-BE6F-844BC968A5F7}"/>
    <cellStyle name="Normal 17 3 3 2 2 5 3 2" xfId="33530" xr:uid="{B6B93349-B5C8-4A62-BC3E-36A97AC58F3A}"/>
    <cellStyle name="Normal 17 3 3 2 2 5 4" xfId="16597" xr:uid="{2AE0DA4E-FC1A-4FC8-B23D-F98E85A63FAE}"/>
    <cellStyle name="Normal 17 3 3 2 2 6" xfId="21290" xr:uid="{92D04280-4963-4E10-9D74-0BECB0E0CDB3}"/>
    <cellStyle name="Normal 17 3 3 2 2 6 2" xfId="33532" xr:uid="{35602E5A-FE94-4DAC-BB38-56DC8409CDF7}"/>
    <cellStyle name="Normal 17 3 3 2 2 6 2 2" xfId="28835" xr:uid="{FDB42C45-C61B-433A-A4FF-536D2A9A03CE}"/>
    <cellStyle name="Normal 17 3 3 2 2 6 3" xfId="33533" xr:uid="{497FFDF8-3BA6-4BAD-8F30-4355C37B89C3}"/>
    <cellStyle name="Normal 17 3 3 2 2 7" xfId="33535" xr:uid="{8CF79C41-E9C8-4407-AA8D-9836880BE22A}"/>
    <cellStyle name="Normal 17 3 3 2 2 7 2" xfId="33536" xr:uid="{77391558-20F7-495A-90EF-AA8E667DD55D}"/>
    <cellStyle name="Normal 17 3 3 2 2 8" xfId="33538" xr:uid="{69C6D625-AB4F-48AE-A34A-75D22304887F}"/>
    <cellStyle name="Normal 17 3 3 2 2 9" xfId="33539" xr:uid="{75930D38-17C0-48EF-A5EA-008A2C5A8C17}"/>
    <cellStyle name="Normal 17 3 3 2 3" xfId="14561" xr:uid="{6F2E8512-D34E-4A9E-ADC1-23618052FB92}"/>
    <cellStyle name="Normal 17 3 3 2 3 2" xfId="33542" xr:uid="{915386FF-CAA5-4B4D-B5C3-BA956F9E3D88}"/>
    <cellStyle name="Normal 17 3 3 2 3 2 2" xfId="33544" xr:uid="{0D8016E1-4E50-4EA9-A5A3-ED2A79A616A0}"/>
    <cellStyle name="Normal 17 3 3 2 3 2 2 2" xfId="11440" xr:uid="{D1F9BD7B-A21C-4904-AAA2-F682A5B26672}"/>
    <cellStyle name="Normal 17 3 3 2 3 2 2 2 2" xfId="11445" xr:uid="{6D1FA691-CB78-40AE-AAB8-879B63219251}"/>
    <cellStyle name="Normal 17 3 3 2 3 2 2 2 2 2" xfId="11448" xr:uid="{26E9EEE6-B336-4814-9224-09612F9D23B1}"/>
    <cellStyle name="Normal 17 3 3 2 3 2 2 2 2 2 2" xfId="33545" xr:uid="{AD987924-14EF-4FF5-A13E-5FFCB8870EE5}"/>
    <cellStyle name="Normal 17 3 3 2 3 2 2 2 2 3" xfId="166" xr:uid="{07A96FFB-0919-47E1-9A5F-5E02087DE2F5}"/>
    <cellStyle name="Normal 17 3 3 2 3 2 2 2 3" xfId="11451" xr:uid="{026C227C-FF88-4089-80F3-AA29FBCBF5E7}"/>
    <cellStyle name="Normal 17 3 3 2 3 2 2 2 3 2" xfId="33546" xr:uid="{D67179BB-34CC-4F75-B801-27244FB1A4AD}"/>
    <cellStyle name="Normal 17 3 3 2 3 2 2 2 4" xfId="33547" xr:uid="{072D0E5E-9859-4285-AF5A-AD561B7DD12B}"/>
    <cellStyle name="Normal 17 3 3 2 3 2 2 3" xfId="11454" xr:uid="{26760752-F69B-4105-8108-2D5173ED317E}"/>
    <cellStyle name="Normal 17 3 3 2 3 2 2 3 2" xfId="11459" xr:uid="{0BC7F56A-2528-4FC7-93BA-7B0B19A6C7FB}"/>
    <cellStyle name="Normal 17 3 3 2 3 2 2 3 2 2" xfId="33548" xr:uid="{25805130-30A9-476B-A632-D76B7B43EBB7}"/>
    <cellStyle name="Normal 17 3 3 2 3 2 2 3 3" xfId="18331" xr:uid="{0DCC341C-8438-4792-8102-0AAD887E4C8E}"/>
    <cellStyle name="Normal 17 3 3 2 3 2 2 4" xfId="11464" xr:uid="{4D1984CE-715F-4140-9FDD-6976AA07EE21}"/>
    <cellStyle name="Normal 17 3 3 2 3 2 2 4 2" xfId="18398" xr:uid="{6033CC96-F7F3-4A5B-9D5D-331C368E0D38}"/>
    <cellStyle name="Normal 17 3 3 2 3 2 2 5" xfId="11468" xr:uid="{292C8511-AE3E-4C26-BE36-E8F83FD6BF89}"/>
    <cellStyle name="Normal 17 3 3 2 3 2 3" xfId="33550" xr:uid="{C653EEF7-6DFB-43DE-B640-30D0CAE0068B}"/>
    <cellStyle name="Normal 17 3 3 2 3 2 3 2" xfId="11492" xr:uid="{7E444252-DDA8-4677-8203-9670DBC2037F}"/>
    <cellStyle name="Normal 17 3 3 2 3 2 3 2 2" xfId="11495" xr:uid="{13A73A18-9141-4449-86F5-7780949B88C2}"/>
    <cellStyle name="Normal 17 3 3 2 3 2 3 2 2 2" xfId="33551" xr:uid="{EF6D7133-03FC-41E8-A588-FA73C1680879}"/>
    <cellStyle name="Normal 17 3 3 2 3 2 3 2 3" xfId="33552" xr:uid="{F0465A96-B10E-4C31-8823-9EDBF0F4AB6B}"/>
    <cellStyle name="Normal 17 3 3 2 3 2 3 3" xfId="11498" xr:uid="{53433663-A537-412E-B408-B3AF09D5D454}"/>
    <cellStyle name="Normal 17 3 3 2 3 2 3 3 2" xfId="19352" xr:uid="{9AF2A6A5-36C4-4A3B-9887-3D9A1648A155}"/>
    <cellStyle name="Normal 17 3 3 2 3 2 3 4" xfId="33553" xr:uid="{F73BB466-38C8-4F03-8334-66391CE32B61}"/>
    <cellStyle name="Normal 17 3 3 2 3 2 4" xfId="33555" xr:uid="{22AF7625-13D4-49AE-8D26-51439E1444C7}"/>
    <cellStyle name="Normal 17 3 3 2 3 2 4 2" xfId="11523" xr:uid="{27144A03-096C-4C7E-A129-029AB0CA9232}"/>
    <cellStyle name="Normal 17 3 3 2 3 2 4 2 2" xfId="33556" xr:uid="{2FC60559-4DD5-461F-83A1-7772DA1FEF33}"/>
    <cellStyle name="Normal 17 3 3 2 3 2 4 3" xfId="33557" xr:uid="{1D1CA3F8-7C28-42F9-B435-58D32463F44F}"/>
    <cellStyle name="Normal 17 3 3 2 3 2 5" xfId="33560" xr:uid="{2F5AF653-0596-403D-BA42-718DC84E5115}"/>
    <cellStyle name="Normal 17 3 3 2 3 2 5 2" xfId="33562" xr:uid="{8A03316F-34EB-4E66-A428-BA31FF8C3CA2}"/>
    <cellStyle name="Normal 17 3 3 2 3 2 6" xfId="33564" xr:uid="{DEDB6EE5-B9E1-41C5-B82B-F4A580C6BDBF}"/>
    <cellStyle name="Normal 17 3 3 2 3 2 7" xfId="14123" xr:uid="{0775FD18-2CFD-432F-A708-98531B6D22C7}"/>
    <cellStyle name="Normal 17 3 3 2 3 3" xfId="33566" xr:uid="{D903A306-B626-4738-B3FC-70752DAA10FE}"/>
    <cellStyle name="Normal 17 3 3 2 3 3 2" xfId="33568" xr:uid="{2D7C2DF6-C12B-47C8-AE14-10988A6CB918}"/>
    <cellStyle name="Normal 17 3 3 2 3 3 2 2" xfId="11557" xr:uid="{CBDAE024-B466-4C5A-94F0-A32D6146ED54}"/>
    <cellStyle name="Normal 17 3 3 2 3 3 2 2 2" xfId="11560" xr:uid="{CA64D244-6468-4846-9E17-E19EDC2F1B2B}"/>
    <cellStyle name="Normal 17 3 3 2 3 3 2 2 2 2" xfId="33569" xr:uid="{FA1E1BC8-E4E1-45ED-8ECB-B5E6BA853F7E}"/>
    <cellStyle name="Normal 17 3 3 2 3 3 2 2 3" xfId="33570" xr:uid="{D8B8F178-3786-4667-A1B4-D0AE9DD5911F}"/>
    <cellStyle name="Normal 17 3 3 2 3 3 2 3" xfId="11563" xr:uid="{DCCE78AA-1E53-4017-996F-6233FB57F441}"/>
    <cellStyle name="Normal 17 3 3 2 3 3 2 3 2" xfId="33571" xr:uid="{39F94B9B-E05F-4D81-9345-1592076AA17C}"/>
    <cellStyle name="Normal 17 3 3 2 3 3 2 4" xfId="33572" xr:uid="{983040D1-6D1E-479B-9B91-B2F919511B36}"/>
    <cellStyle name="Normal 17 3 3 2 3 3 3" xfId="33574" xr:uid="{DC2905BF-0E33-4D33-A506-6EDE8AF15A4F}"/>
    <cellStyle name="Normal 17 3 3 2 3 3 3 2" xfId="3215" xr:uid="{9378995D-C66E-4B40-AD33-2394D25A1B40}"/>
    <cellStyle name="Normal 17 3 3 2 3 3 3 2 2" xfId="33575" xr:uid="{CAFD0016-88E1-4126-8420-926F21584458}"/>
    <cellStyle name="Normal 17 3 3 2 3 3 3 3" xfId="12553" xr:uid="{33AA635B-213F-403D-A8B4-BA7EB883B453}"/>
    <cellStyle name="Normal 17 3 3 2 3 3 4" xfId="33577" xr:uid="{F51A9356-5288-4861-9589-46741E5C6525}"/>
    <cellStyle name="Normal 17 3 3 2 3 3 4 2" xfId="32295" xr:uid="{D5769D37-653A-4E8D-AA03-971771A02E1D}"/>
    <cellStyle name="Normal 17 3 3 2 3 3 5" xfId="33579" xr:uid="{D2792ED1-CC0C-4897-874D-ED0B0E2F45BE}"/>
    <cellStyle name="Normal 17 3 3 2 3 4" xfId="33581" xr:uid="{0DEC5978-28CC-48C0-BD51-D46D695830C5}"/>
    <cellStyle name="Normal 17 3 3 2 3 4 2" xfId="33583" xr:uid="{6D515661-B66D-4AEC-A206-2FD80609177C}"/>
    <cellStyle name="Normal 17 3 3 2 3 4 2 2" xfId="11596" xr:uid="{289A3AF7-C545-457B-B1A9-02791CE85B6F}"/>
    <cellStyle name="Normal 17 3 3 2 3 4 2 2 2" xfId="33584" xr:uid="{02D49C82-F7C5-4027-977E-F49E3338D5F5}"/>
    <cellStyle name="Normal 17 3 3 2 3 4 2 3" xfId="33585" xr:uid="{8A86DDC8-AF28-4B28-8C34-4A1EE0CC5B59}"/>
    <cellStyle name="Normal 17 3 3 2 3 4 3" xfId="33587" xr:uid="{23040ECD-4B70-4B72-8B05-72EA095A9F9E}"/>
    <cellStyle name="Normal 17 3 3 2 3 4 3 2" xfId="33588" xr:uid="{91D0782B-2A3F-4027-BE6B-C9D0F8CE5339}"/>
    <cellStyle name="Normal 17 3 3 2 3 4 4" xfId="33589" xr:uid="{2CF924C7-FC04-4781-8ADE-C029617D5BFE}"/>
    <cellStyle name="Normal 17 3 3 2 3 5" xfId="33591" xr:uid="{ED1F2764-04F0-49A9-968A-3538FA5D89B1}"/>
    <cellStyle name="Normal 17 3 3 2 3 5 2" xfId="11680" xr:uid="{6DEEE78C-6D5B-49C6-9525-5353B68BDFE2}"/>
    <cellStyle name="Normal 17 3 3 2 3 5 2 2" xfId="11682" xr:uid="{68278F10-7819-49AC-80A9-F5A5450B4EE7}"/>
    <cellStyle name="Normal 17 3 3 2 3 5 3" xfId="11684" xr:uid="{D3B73C77-5F2E-461F-AD12-4072A65C96EF}"/>
    <cellStyle name="Normal 17 3 3 2 3 6" xfId="33593" xr:uid="{5C2EA4A0-E5E6-4362-8998-22207272B4DB}"/>
    <cellStyle name="Normal 17 3 3 2 3 6 2" xfId="11699" xr:uid="{64E8D54F-BDCF-463C-9C66-62F76C61BCEB}"/>
    <cellStyle name="Normal 17 3 3 2 3 7" xfId="33595" xr:uid="{9D63CFD6-6DF5-4F12-B330-F8B1DC6A331D}"/>
    <cellStyle name="Normal 17 3 3 2 3 8" xfId="9581" xr:uid="{B4BD816C-0A02-4B1F-9D5F-8237B2F1132A}"/>
    <cellStyle name="Normal 17 3 3 2 4" xfId="16010" xr:uid="{A5193061-4DCA-4A80-A85B-2A84EC14227C}"/>
    <cellStyle name="Normal 17 3 3 2 4 2" xfId="33597" xr:uid="{14C9AE4B-98A6-4636-AC53-5E70461AE067}"/>
    <cellStyle name="Normal 17 3 3 2 4 2 2" xfId="33599" xr:uid="{4D29B6A0-A8D5-4A84-953C-2E2CB9FF3911}"/>
    <cellStyle name="Normal 17 3 3 2 4 2 2 2" xfId="11740" xr:uid="{998F7897-DA2E-42B9-8E1F-A65B7D034DEF}"/>
    <cellStyle name="Normal 17 3 3 2 4 2 2 2 2" xfId="11743" xr:uid="{5E6BC8E9-D9CC-4075-BBF1-AB81892A87F4}"/>
    <cellStyle name="Normal 17 3 3 2 4 2 2 2 2 2" xfId="33600" xr:uid="{0173F61F-B671-46CA-A099-1E148C66FF74}"/>
    <cellStyle name="Normal 17 3 3 2 4 2 2 2 3" xfId="33601" xr:uid="{6EEF1FB8-AAE5-4993-BC2F-C404E85657F0}"/>
    <cellStyle name="Normal 17 3 3 2 4 2 2 3" xfId="11748" xr:uid="{19A7A0E8-6A6F-45C0-9A8E-2A7A88F8BF34}"/>
    <cellStyle name="Normal 17 3 3 2 4 2 2 3 2" xfId="33602" xr:uid="{988F4B89-192A-4B24-9281-E8CDD612669F}"/>
    <cellStyle name="Normal 17 3 3 2 4 2 2 4" xfId="33603" xr:uid="{2E5C7A87-A33E-482E-BA3A-E531733DB822}"/>
    <cellStyle name="Normal 17 3 3 2 4 2 3" xfId="33605" xr:uid="{07AF8FCE-06AF-4D1A-8568-845D0935C338}"/>
    <cellStyle name="Normal 17 3 3 2 4 2 3 2" xfId="11761" xr:uid="{AB78EC17-6407-4C7C-9FC9-C96934D06395}"/>
    <cellStyle name="Normal 17 3 3 2 4 2 3 2 2" xfId="8733" xr:uid="{290B5753-4179-474B-9275-E4C86806F719}"/>
    <cellStyle name="Normal 17 3 3 2 4 2 3 3" xfId="33606" xr:uid="{C5346E4E-D6BF-44C6-BA67-C218A67513AB}"/>
    <cellStyle name="Normal 17 3 3 2 4 2 4" xfId="33608" xr:uid="{3C374955-2021-47D1-9EF3-5E92CF7ECCF0}"/>
    <cellStyle name="Normal 17 3 3 2 4 2 4 2" xfId="33609" xr:uid="{BB0F976D-797E-4093-90C7-FF54275B155C}"/>
    <cellStyle name="Normal 17 3 3 2 4 2 5" xfId="33611" xr:uid="{1CE30A0E-B5B7-430E-B746-4B3B54FE1CC0}"/>
    <cellStyle name="Normal 17 3 3 2 4 3" xfId="33613" xr:uid="{AF750E28-8480-4872-83E8-0E05089674F9}"/>
    <cellStyle name="Normal 17 3 3 2 4 3 2" xfId="33615" xr:uid="{D7388CCB-A1A9-460A-A65C-33B84E503EC4}"/>
    <cellStyle name="Normal 17 3 3 2 4 3 2 2" xfId="11803" xr:uid="{4BC73F23-26D2-41E4-A304-43D3A52DBE19}"/>
    <cellStyle name="Normal 17 3 3 2 4 3 2 2 2" xfId="33616" xr:uid="{F6E4393C-7F97-48C1-ABBC-C1793D830BC9}"/>
    <cellStyle name="Normal 17 3 3 2 4 3 2 3" xfId="33617" xr:uid="{5890FAB3-60BF-4769-A085-FD1BE56EB13D}"/>
    <cellStyle name="Normal 17 3 3 2 4 3 3" xfId="33619" xr:uid="{07480F82-6A7C-4992-9D34-69CCFCE93753}"/>
    <cellStyle name="Normal 17 3 3 2 4 3 3 2" xfId="33620" xr:uid="{DE50CDA8-26F1-4B83-8CAD-6B792BF2DF41}"/>
    <cellStyle name="Normal 17 3 3 2 4 3 4" xfId="33621" xr:uid="{3AEA990C-A859-47A6-AB45-480A1F3A269C}"/>
    <cellStyle name="Normal 17 3 3 2 4 4" xfId="33623" xr:uid="{5AE4B128-A81E-4818-91FB-D5486BA09A6A}"/>
    <cellStyle name="Normal 17 3 3 2 4 4 2" xfId="33625" xr:uid="{3B008CFF-14EB-4989-BA80-5C18A5B79E79}"/>
    <cellStyle name="Normal 17 3 3 2 4 4 2 2" xfId="33626" xr:uid="{1ECEFA65-7E93-4866-8C10-FF3D5B4C1AE3}"/>
    <cellStyle name="Normal 17 3 3 2 4 4 3" xfId="33627" xr:uid="{573F0F1D-4337-4978-8EF2-A94D985467E3}"/>
    <cellStyle name="Normal 17 3 3 2 4 5" xfId="33629" xr:uid="{27ACD0A9-A1C0-4862-BD4E-AC2960D64F7B}"/>
    <cellStyle name="Normal 17 3 3 2 4 5 2" xfId="11746" xr:uid="{F04BA8B1-7FE0-499D-A970-36C95123843B}"/>
    <cellStyle name="Normal 17 3 3 2 4 6" xfId="33630" xr:uid="{DF9F4D33-8EA6-4098-94DB-10C1B944FD5A}"/>
    <cellStyle name="Normal 17 3 3 2 4 7" xfId="33631" xr:uid="{F7506D0E-5742-4275-8FB6-FF2F1B979FF1}"/>
    <cellStyle name="Normal 17 3 3 2 5" xfId="33633" xr:uid="{0B677B39-EEBA-41A3-8B7D-1AB2419F509F}"/>
    <cellStyle name="Normal 17 3 3 2 5 2" xfId="33635" xr:uid="{AEDE353A-5E33-43B1-870F-98817C69C64D}"/>
    <cellStyle name="Normal 17 3 3 2 5 2 2" xfId="33637" xr:uid="{FB0CC41D-6508-42F3-B6F9-419FF4EA20A7}"/>
    <cellStyle name="Normal 17 3 3 2 5 2 2 2" xfId="11926" xr:uid="{B497C944-8D44-4361-A9DC-ACCB93BC51CD}"/>
    <cellStyle name="Normal 17 3 3 2 5 2 2 2 2" xfId="10719" xr:uid="{9EB41F8C-DF03-4AAB-9FA4-206680DC13A1}"/>
    <cellStyle name="Normal 17 3 3 2 5 2 2 3" xfId="20217" xr:uid="{044E15B9-A9B7-4537-8B15-2D1351B36E35}"/>
    <cellStyle name="Normal 17 3 3 2 5 2 3" xfId="4176" xr:uid="{9CE8B103-2E45-4B82-BB27-76E5417576CB}"/>
    <cellStyle name="Normal 17 3 3 2 5 2 3 2" xfId="33638" xr:uid="{A5FA5991-63A3-4202-8EBE-6FA5B7B60893}"/>
    <cellStyle name="Normal 17 3 3 2 5 2 4" xfId="33639" xr:uid="{51673455-6811-41FC-9177-D07CAEF3A998}"/>
    <cellStyle name="Normal 17 3 3 2 5 3" xfId="33641" xr:uid="{9D5A5559-B448-43D4-A2BC-32F6CCC339FB}"/>
    <cellStyle name="Normal 17 3 3 2 5 3 2" xfId="33643" xr:uid="{380B4830-9070-4CAC-A847-0353605F1FE8}"/>
    <cellStyle name="Normal 17 3 3 2 5 3 2 2" xfId="30683" xr:uid="{F3756D65-0388-474D-BBFF-54CE4CD5D58E}"/>
    <cellStyle name="Normal 17 3 3 2 5 3 3" xfId="33644" xr:uid="{5C25BEE3-0F13-4F63-B2B5-FB459480DC56}"/>
    <cellStyle name="Normal 17 3 3 2 5 4" xfId="33646" xr:uid="{6EF47505-80B3-440F-9C24-8BFF6E6AD910}"/>
    <cellStyle name="Normal 17 3 3 2 5 4 2" xfId="33647" xr:uid="{976064B0-EC4A-4AFF-88BC-5839438D1B58}"/>
    <cellStyle name="Normal 17 3 3 2 5 5" xfId="33648" xr:uid="{5044E099-69B5-4276-99B2-9568EE07B609}"/>
    <cellStyle name="Normal 17 3 3 2 6" xfId="33652" xr:uid="{BD884C03-04E9-4CAC-9577-1B3D8373A532}"/>
    <cellStyle name="Normal 17 3 3 2 6 2" xfId="33654" xr:uid="{A2D3B85E-6591-498D-AC60-8C9B12C15E9B}"/>
    <cellStyle name="Normal 17 3 3 2 6 2 2" xfId="33656" xr:uid="{710DB56F-1573-464B-AED9-5334C25245C2}"/>
    <cellStyle name="Normal 17 3 3 2 6 2 2 2" xfId="33657" xr:uid="{9C97B914-7E85-424A-9645-0831CBBB6892}"/>
    <cellStyle name="Normal 17 3 3 2 6 2 3" xfId="33658" xr:uid="{2018E156-DD60-42C8-ACC0-2DF4EB6716CA}"/>
    <cellStyle name="Normal 17 3 3 2 6 3" xfId="33660" xr:uid="{A51A7B56-53A8-4173-A568-660B0F55A84C}"/>
    <cellStyle name="Normal 17 3 3 2 6 3 2" xfId="33661" xr:uid="{8FA55D73-AC2D-47EE-967A-2C82D0B7D6B3}"/>
    <cellStyle name="Normal 17 3 3 2 6 4" xfId="33662" xr:uid="{A840420B-8DF5-4DD6-B3FC-806F38FB6C2E}"/>
    <cellStyle name="Normal 17 3 3 2 7" xfId="33664" xr:uid="{F76180AB-7B74-42B5-80B1-9BB90D3A2C59}"/>
    <cellStyle name="Normal 17 3 3 2 7 2" xfId="785" xr:uid="{0ABE60E3-A475-4BF8-A9D0-158A4DDCF782}"/>
    <cellStyle name="Normal 17 3 3 2 7 2 2" xfId="11728" xr:uid="{5B6504D1-AE27-4FDC-A437-888D879DECEF}"/>
    <cellStyle name="Normal 17 3 3 2 7 3" xfId="794" xr:uid="{D945D341-9EFE-472E-A542-524631873A65}"/>
    <cellStyle name="Normal 17 3 3 2 8" xfId="33666" xr:uid="{34031EDF-9401-4E6D-8956-305A131156FC}"/>
    <cellStyle name="Normal 17 3 3 2 8 2" xfId="33667" xr:uid="{B4C22250-4413-47E4-AA4F-5EAB651F9CD9}"/>
    <cellStyle name="Normal 17 3 3 2 9" xfId="28594" xr:uid="{7B2F08FB-1D5D-4475-A7E8-CE5AB1ED307F}"/>
    <cellStyle name="Normal 17 3 3 3" xfId="6556" xr:uid="{538F58F1-DD26-4CA9-A545-5D9CF7DAB458}"/>
    <cellStyle name="Normal 17 3 3 3 2" xfId="8498" xr:uid="{9C155A80-7D2A-4216-88A8-3F76D4BD2C5D}"/>
    <cellStyle name="Normal 17 3 3 3 2 2" xfId="8503" xr:uid="{502E1734-8E09-440F-9D30-9D1799591126}"/>
    <cellStyle name="Normal 17 3 3 3 2 2 2" xfId="6841" xr:uid="{4302CBC9-AAC2-408E-BDC7-E80C09E899C3}"/>
    <cellStyle name="Normal 17 3 3 3 2 2 2 2" xfId="3379" xr:uid="{29376EC0-1B23-4F84-A97E-3B77C7F9F01C}"/>
    <cellStyle name="Normal 17 3 3 3 2 2 2 2 2" xfId="12338" xr:uid="{AE149940-0D20-4761-AF6C-0EA34D85FD2E}"/>
    <cellStyle name="Normal 17 3 3 3 2 2 2 2 2 2" xfId="12342" xr:uid="{524219C7-EBA9-49B6-935C-2585382F3622}"/>
    <cellStyle name="Normal 17 3 3 3 2 2 2 2 2 2 2" xfId="33668" xr:uid="{304A19A4-33BC-421D-84D4-A959D50D35E6}"/>
    <cellStyle name="Normal 17 3 3 3 2 2 2 2 2 3" xfId="33669" xr:uid="{E57B91B7-7441-4A2C-8C14-145FF4761912}"/>
    <cellStyle name="Normal 17 3 3 3 2 2 2 2 3" xfId="12346" xr:uid="{9598DBD9-FEE6-4867-9E5F-A1CB7E6B5BA1}"/>
    <cellStyle name="Normal 17 3 3 3 2 2 2 2 3 2" xfId="33670" xr:uid="{5E37C300-7CCB-4CC4-9D22-B5E47D2BAA60}"/>
    <cellStyle name="Normal 17 3 3 3 2 2 2 2 4" xfId="33671" xr:uid="{F5FDBD67-7F4A-4CC2-AA73-01A214C26A56}"/>
    <cellStyle name="Normal 17 3 3 3 2 2 2 3" xfId="3389" xr:uid="{D65CD3FC-AF05-4C1F-BB42-6BE968066168}"/>
    <cellStyle name="Normal 17 3 3 3 2 2 2 3 2" xfId="4819" xr:uid="{F7869394-4017-4F54-BEC8-295AF89AB3A6}"/>
    <cellStyle name="Normal 17 3 3 3 2 2 2 3 2 2" xfId="7432" xr:uid="{B97E444C-5994-4C6D-9B91-813CD42B4260}"/>
    <cellStyle name="Normal 17 3 3 3 2 2 2 3 3" xfId="7435" xr:uid="{3EAEFE1D-F2EE-49BC-A3A6-444A5114C635}"/>
    <cellStyle name="Normal 17 3 3 3 2 2 2 4" xfId="4826" xr:uid="{33F87FF9-A8A0-4D9E-A4F0-1CDC4454C909}"/>
    <cellStyle name="Normal 17 3 3 3 2 2 2 4 2" xfId="7437" xr:uid="{1D716BCD-C309-4428-A1CF-3EA1E696AFA9}"/>
    <cellStyle name="Normal 17 3 3 3 2 2 2 5" xfId="4660" xr:uid="{C1C84DDE-B0A0-466F-9690-C2B3278B246C}"/>
    <cellStyle name="Normal 17 3 3 3 2 2 3" xfId="6848" xr:uid="{5AFB26FE-28DF-4799-A679-B102DE721D26}"/>
    <cellStyle name="Normal 17 3 3 3 2 2 3 2" xfId="12363" xr:uid="{957AC451-B8A9-4B8E-8BD9-36BE8E2F4972}"/>
    <cellStyle name="Normal 17 3 3 3 2 2 3 2 2" xfId="12366" xr:uid="{9D15A26F-6602-48E4-99AF-AEE589EC7754}"/>
    <cellStyle name="Normal 17 3 3 3 2 2 3 2 2 2" xfId="33672" xr:uid="{98FE472C-2F60-41C6-92D7-F6A1BC9BCDF0}"/>
    <cellStyle name="Normal 17 3 3 3 2 2 3 2 3" xfId="33673" xr:uid="{66B94FBD-B66E-4A9A-A569-884EAAB2E26A}"/>
    <cellStyle name="Normal 17 3 3 3 2 2 3 3" xfId="4838" xr:uid="{A4227122-697A-4606-95B9-4C085AA6CC2F}"/>
    <cellStyle name="Normal 17 3 3 3 2 2 3 3 2" xfId="7442" xr:uid="{C19B5DDF-F459-4DB6-B1CE-F02CFAEB5E4D}"/>
    <cellStyle name="Normal 17 3 3 3 2 2 3 4" xfId="7445" xr:uid="{DCAE660B-736A-4BEA-9EDC-8E358A54C3E1}"/>
    <cellStyle name="Normal 17 3 3 3 2 2 4" xfId="25092" xr:uid="{08F247D9-4341-4C2D-9C56-C9190CC27106}"/>
    <cellStyle name="Normal 17 3 3 3 2 2 4 2" xfId="12379" xr:uid="{0333045F-2F0B-4FC2-8CC3-9252206C8E96}"/>
    <cellStyle name="Normal 17 3 3 3 2 2 4 2 2" xfId="33674" xr:uid="{73ADB1FC-BF3A-4F8C-B698-B2CB6843326C}"/>
    <cellStyle name="Normal 17 3 3 3 2 2 4 3" xfId="7447" xr:uid="{6AA70685-E532-45FE-97C9-BDEA05AF2044}"/>
    <cellStyle name="Normal 17 3 3 3 2 2 5" xfId="25095" xr:uid="{E17D44B4-FA18-49EF-B835-083DC95BB3D8}"/>
    <cellStyle name="Normal 17 3 3 3 2 2 5 2" xfId="31370" xr:uid="{3D0C5DDA-67B5-4FF9-A786-A231E6646520}"/>
    <cellStyle name="Normal 17 3 3 3 2 2 6" xfId="25097" xr:uid="{0D1031E1-7686-46DA-903C-894749D0A325}"/>
    <cellStyle name="Normal 17 3 3 3 2 2 7" xfId="25099" xr:uid="{CC1786C5-86F6-4E69-8C64-78821DC88F3F}"/>
    <cellStyle name="Normal 17 3 3 3 2 3" xfId="33676" xr:uid="{CF0A284D-291E-4549-A962-357EF4C2BC65}"/>
    <cellStyle name="Normal 17 3 3 3 2 3 2" xfId="6862" xr:uid="{0830495A-DAF1-48D3-9F4A-43A995636CC6}"/>
    <cellStyle name="Normal 17 3 3 3 2 3 2 2" xfId="12414" xr:uid="{2A979210-1C08-4933-9AA4-B86765A1856E}"/>
    <cellStyle name="Normal 17 3 3 3 2 3 2 2 2" xfId="12418" xr:uid="{12A35031-26C9-4EC4-BEC5-BF48CF58DE7E}"/>
    <cellStyle name="Normal 17 3 3 3 2 3 2 2 2 2" xfId="33679" xr:uid="{86C5012C-6A29-4DA0-BAE0-93C12EE1C890}"/>
    <cellStyle name="Normal 17 3 3 3 2 3 2 2 3" xfId="33680" xr:uid="{F280452A-532D-4051-A657-FAB947A824A7}"/>
    <cellStyle name="Normal 17 3 3 3 2 3 2 3" xfId="4850" xr:uid="{2F6C2C13-9BE0-4D30-AE8F-AE71C45A9424}"/>
    <cellStyle name="Normal 17 3 3 3 2 3 2 3 2" xfId="7465" xr:uid="{AEBB4CAA-A858-418A-A0B6-243EE29A609E}"/>
    <cellStyle name="Normal 17 3 3 3 2 3 2 4" xfId="7467" xr:uid="{3C072EA0-2D8E-4B8C-8C0D-3A700C294F07}"/>
    <cellStyle name="Normal 17 3 3 3 2 3 3" xfId="33682" xr:uid="{9AEDC0A6-95E4-43F0-8618-0DFABEB17B6E}"/>
    <cellStyle name="Normal 17 3 3 3 2 3 3 2" xfId="3371" xr:uid="{2FE62E9F-7271-4325-8999-FA0D9D45A100}"/>
    <cellStyle name="Normal 17 3 3 3 2 3 3 2 2" xfId="33683" xr:uid="{9170E72B-909E-4E76-B970-AEAC4D08DD0D}"/>
    <cellStyle name="Normal 17 3 3 3 2 3 3 3" xfId="7471" xr:uid="{6079FC93-26B0-4D63-B133-78C2D09C77F0}"/>
    <cellStyle name="Normal 17 3 3 3 2 3 4" xfId="33685" xr:uid="{C2DDA846-B918-4E84-B50A-711CCECBB082}"/>
    <cellStyle name="Normal 17 3 3 3 2 3 4 2" xfId="33686" xr:uid="{5737CB1C-5F37-4DB8-9F01-8ED30BB9E1F4}"/>
    <cellStyle name="Normal 17 3 3 3 2 3 5" xfId="33687" xr:uid="{66BD1C03-606A-478F-91E5-2D4AE09C1428}"/>
    <cellStyle name="Normal 17 3 3 3 2 4" xfId="19877" xr:uid="{48799713-C4EA-4092-A2FB-3782D0221DB2}"/>
    <cellStyle name="Normal 17 3 3 3 2 4 2" xfId="19881" xr:uid="{B9FEFE62-4701-476D-BE3D-16D3E91A300F}"/>
    <cellStyle name="Normal 17 3 3 3 2 4 2 2" xfId="12456" xr:uid="{E0D451F8-4611-44E3-945F-4D50B6A08BE5}"/>
    <cellStyle name="Normal 17 3 3 3 2 4 2 2 2" xfId="19884" xr:uid="{D39A9AD1-00AD-43C5-8B22-C49F39F14179}"/>
    <cellStyle name="Normal 17 3 3 3 2 4 2 3" xfId="2410" xr:uid="{AB8D429A-C559-4903-81B1-F176B45893CB}"/>
    <cellStyle name="Normal 17 3 3 3 2 4 3" xfId="19941" xr:uid="{8E39EDF3-766F-41EE-897F-E72DB5AE7000}"/>
    <cellStyle name="Normal 17 3 3 3 2 4 3 2" xfId="19943" xr:uid="{9A228460-AF6D-4048-9EA8-93E669AEB8BC}"/>
    <cellStyle name="Normal 17 3 3 3 2 4 4" xfId="19969" xr:uid="{75221747-D96C-4DE9-944B-5291D782AF30}"/>
    <cellStyle name="Normal 17 3 3 3 2 5" xfId="19997" xr:uid="{A52BE6BB-0392-47A8-A0ED-BC8C8EC7CDC9}"/>
    <cellStyle name="Normal 17 3 3 3 2 5 2" xfId="20001" xr:uid="{FA747976-F3E9-49FD-AC00-5974B7C524D9}"/>
    <cellStyle name="Normal 17 3 3 3 2 5 2 2" xfId="20003" xr:uid="{740FBB4D-2727-4FAB-87B6-5C7DEB4FE947}"/>
    <cellStyle name="Normal 17 3 3 3 2 5 3" xfId="20023" xr:uid="{89599132-FDE9-4859-A007-992991FB77A9}"/>
    <cellStyle name="Normal 17 3 3 3 2 6" xfId="20051" xr:uid="{E8C1043C-C167-47D7-8961-29EF6287B090}"/>
    <cellStyle name="Normal 17 3 3 3 2 6 2" xfId="20053" xr:uid="{AE3A83AB-3AA6-4ABE-A244-50473C5192DB}"/>
    <cellStyle name="Normal 17 3 3 3 2 7" xfId="20074" xr:uid="{AB814B14-C3CC-4410-AD21-AF3519CFCDE6}"/>
    <cellStyle name="Normal 17 3 3 3 2 8" xfId="20087" xr:uid="{E0F9C05D-07AF-46FC-9002-5E9E7EF48000}"/>
    <cellStyle name="Normal 17 3 3 3 3" xfId="8507" xr:uid="{4609FECF-3880-450D-A6AF-89F917204BC2}"/>
    <cellStyle name="Normal 17 3 3 3 3 2" xfId="33689" xr:uid="{9E0B5AF2-A85B-4B45-9674-7F18E4A6428D}"/>
    <cellStyle name="Normal 17 3 3 3 3 2 2" xfId="1686" xr:uid="{C6F7A863-2ECF-4356-8BCB-C5BA8C66CA13}"/>
    <cellStyle name="Normal 17 3 3 3 3 2 2 2" xfId="12625" xr:uid="{E30BE2C6-3845-4F3F-AD78-6EA6C7A10FA7}"/>
    <cellStyle name="Normal 17 3 3 3 3 2 2 2 2" xfId="12630" xr:uid="{D350A976-D7A0-4CE7-A8C9-0C82E67787C3}"/>
    <cellStyle name="Normal 17 3 3 3 3 2 2 2 2 2" xfId="20031" xr:uid="{AF00E2FB-42CA-49BE-BF16-3DFAC1250560}"/>
    <cellStyle name="Normal 17 3 3 3 3 2 2 2 3" xfId="21581" xr:uid="{4406F649-3F51-4F05-AC52-816200394B83}"/>
    <cellStyle name="Normal 17 3 3 3 3 2 2 3" xfId="833" xr:uid="{771BC33B-C886-42B1-9024-C7D7BBD14651}"/>
    <cellStyle name="Normal 17 3 3 3 3 2 2 3 2" xfId="4105" xr:uid="{E86200E1-1EB6-46F0-9B9F-32310C6BE6CB}"/>
    <cellStyle name="Normal 17 3 3 3 3 2 2 4" xfId="1694" xr:uid="{1AE664AE-AFAA-4B9B-A550-BF5BCF26F1A9}"/>
    <cellStyle name="Normal 17 3 3 3 3 2 3" xfId="33691" xr:uid="{D24C7E82-A1F2-45EC-B95C-49B0A49CCF53}"/>
    <cellStyle name="Normal 17 3 3 3 3 2 3 2" xfId="12644" xr:uid="{A13FF4EF-98DF-46B6-94D3-B09BDE6896B0}"/>
    <cellStyle name="Normal 17 3 3 3 3 2 3 2 2" xfId="24491" xr:uid="{C07A2444-EF3C-4EED-8324-43CCAA9EA512}"/>
    <cellStyle name="Normal 17 3 3 3 3 2 3 3" xfId="4217" xr:uid="{96253B08-F915-47B7-A48E-E61EF2299F89}"/>
    <cellStyle name="Normal 17 3 3 3 3 2 4" xfId="25203" xr:uid="{A654CAF9-EF0A-4E4B-B825-31AC00C4CDDE}"/>
    <cellStyle name="Normal 17 3 3 3 3 2 4 2" xfId="24506" xr:uid="{F5EAF431-74A8-4DE0-8B6A-B773C6BAF225}"/>
    <cellStyle name="Normal 17 3 3 3 3 2 5" xfId="25207" xr:uid="{24C63997-4EA0-4E2B-B5E5-34959FD66792}"/>
    <cellStyle name="Normal 17 3 3 3 3 3" xfId="33693" xr:uid="{7566122F-4C5E-4B2F-8529-A0D7287A5B5B}"/>
    <cellStyle name="Normal 17 3 3 3 3 3 2" xfId="33695" xr:uid="{8B99D200-3B62-4887-AB77-B11F9BDF7430}"/>
    <cellStyle name="Normal 17 3 3 3 3 3 2 2" xfId="10462" xr:uid="{9D329203-AFDB-4284-9452-564CF9BDD2C2}"/>
    <cellStyle name="Normal 17 3 3 3 3 3 2 2 2" xfId="10465" xr:uid="{663DE6F5-85B4-4AC6-9928-5B12FB6E9C44}"/>
    <cellStyle name="Normal 17 3 3 3 3 3 2 3" xfId="517" xr:uid="{D0FCE6F1-390B-41E2-A195-36AB3D5D4B8D}"/>
    <cellStyle name="Normal 17 3 3 3 3 3 3" xfId="33697" xr:uid="{26648C3F-7146-4B55-8866-F90579CD1535}"/>
    <cellStyle name="Normal 17 3 3 3 3 3 3 2" xfId="10481" xr:uid="{91F22466-58B3-4AB8-AC9C-9DEE8A7F4ECF}"/>
    <cellStyle name="Normal 17 3 3 3 3 3 4" xfId="33698" xr:uid="{A149B6DF-70AD-4497-9B51-DF26A75A4496}"/>
    <cellStyle name="Normal 17 3 3 3 3 4" xfId="20108" xr:uid="{322F1A68-7798-40BB-9793-5C60DDDA769C}"/>
    <cellStyle name="Normal 17 3 3 3 3 4 2" xfId="20112" xr:uid="{0D5A9ACA-9B6F-4CE2-A9FD-432B7406D237}"/>
    <cellStyle name="Normal 17 3 3 3 3 4 2 2" xfId="10535" xr:uid="{9D68C391-8356-4F96-9366-5946E808831F}"/>
    <cellStyle name="Normal 17 3 3 3 3 4 3" xfId="20130" xr:uid="{00A93FD6-6FEF-4DCB-96D4-63B44A59595A}"/>
    <cellStyle name="Normal 17 3 3 3 3 5" xfId="20155" xr:uid="{6CD1EC9D-04EE-44F7-8A8D-5F8C6D9625E3}"/>
    <cellStyle name="Normal 17 3 3 3 3 5 2" xfId="11880" xr:uid="{AC74A26A-3E15-47E0-8AD1-857D2D5C95E6}"/>
    <cellStyle name="Normal 17 3 3 3 3 6" xfId="2073" xr:uid="{35348097-847C-4124-B0E4-F9A684384372}"/>
    <cellStyle name="Normal 17 3 3 3 3 7" xfId="2089" xr:uid="{9FD31E09-38BA-4E11-AD6B-7DF6881FE676}"/>
    <cellStyle name="Normal 17 3 3 3 4" xfId="33700" xr:uid="{C1797BCA-A58E-4AFA-968E-AC017B0CB58F}"/>
    <cellStyle name="Normal 17 3 3 3 4 2" xfId="33703" xr:uid="{A6A61755-9401-4F4B-8008-EFB9E84A89F4}"/>
    <cellStyle name="Normal 17 3 3 3 4 2 2" xfId="33705" xr:uid="{9AFDE638-5B93-4527-954F-0C61EAE9A984}"/>
    <cellStyle name="Normal 17 3 3 3 4 2 2 2" xfId="12795" xr:uid="{77435063-EC77-4CD4-9788-BB1C62A4402F}"/>
    <cellStyle name="Normal 17 3 3 3 4 2 2 2 2" xfId="33706" xr:uid="{92020751-8645-48BE-BB25-3496B4B9D584}"/>
    <cellStyle name="Normal 17 3 3 3 4 2 2 3" xfId="2848" xr:uid="{DD763B44-2896-4FF3-AEB3-2F2780F7C074}"/>
    <cellStyle name="Normal 17 3 3 3 4 2 3" xfId="33708" xr:uid="{6F49E184-81C9-43AB-8EAC-556F20E0EF03}"/>
    <cellStyle name="Normal 17 3 3 3 4 2 3 2" xfId="33709" xr:uid="{3248D97B-33BD-473B-8BA2-9F1A63A0B9BB}"/>
    <cellStyle name="Normal 17 3 3 3 4 2 4" xfId="33710" xr:uid="{DAE2882D-FDBE-4F60-A031-A9DF317C3583}"/>
    <cellStyle name="Normal 17 3 3 3 4 3" xfId="33713" xr:uid="{A50C0839-CB27-4112-A3E1-371F26FF3696}"/>
    <cellStyle name="Normal 17 3 3 3 4 3 2" xfId="33715" xr:uid="{575CBAC6-D000-4D04-96E3-C72B5DA7D6D1}"/>
    <cellStyle name="Normal 17 3 3 3 4 3 2 2" xfId="1951" xr:uid="{98DD0187-6FF1-49C2-96C5-88B87174DC26}"/>
    <cellStyle name="Normal 17 3 3 3 4 3 3" xfId="33716" xr:uid="{EEAE746E-32EC-4BDD-8058-F2FF53B74A76}"/>
    <cellStyle name="Normal 17 3 3 3 4 4" xfId="20176" xr:uid="{891C3D9C-45AA-4818-80CC-468B5D450D5D}"/>
    <cellStyle name="Normal 17 3 3 3 4 4 2" xfId="20178" xr:uid="{02659A68-5FF5-41EB-8103-D86C6499536A}"/>
    <cellStyle name="Normal 17 3 3 3 4 5" xfId="20214" xr:uid="{51D7F452-0872-4EA8-AFC8-2B8E184893FA}"/>
    <cellStyle name="Normal 17 3 3 3 5" xfId="27253" xr:uid="{F69EC093-FEF0-419D-9DFD-8F05B9222703}"/>
    <cellStyle name="Normal 17 3 3 3 5 2" xfId="27257" xr:uid="{4ED1E5F1-3AB0-4803-A68D-9335D777C0E3}"/>
    <cellStyle name="Normal 17 3 3 3 5 2 2" xfId="27261" xr:uid="{DEB0115E-038E-401F-A65F-911E52393D8B}"/>
    <cellStyle name="Normal 17 3 3 3 5 2 2 2" xfId="27264" xr:uid="{05C6816B-12E9-48C3-8739-12A3DE265BEC}"/>
    <cellStyle name="Normal 17 3 3 3 5 2 3" xfId="27266" xr:uid="{CC3899A9-6C29-449C-94BF-401369C77A2F}"/>
    <cellStyle name="Normal 17 3 3 3 5 3" xfId="27269" xr:uid="{0B904572-2735-43A7-969A-28D6A45827A4}"/>
    <cellStyle name="Normal 17 3 3 3 5 3 2" xfId="27272" xr:uid="{2BE9D274-77F9-4D2A-8185-001F8A684AD5}"/>
    <cellStyle name="Normal 17 3 3 3 5 4" xfId="20231" xr:uid="{893C7D85-E2EE-4D29-910B-BC4C094D5BA2}"/>
    <cellStyle name="Normal 17 3 3 3 6" xfId="27275" xr:uid="{F3CE6C5F-EE99-4813-9F1E-B02AFA39E262}"/>
    <cellStyle name="Normal 17 3 3 3 6 2" xfId="27279" xr:uid="{423574CD-B9E0-4059-AF0A-9D7D2A244208}"/>
    <cellStyle name="Normal 17 3 3 3 6 2 2" xfId="27282" xr:uid="{01D4A553-C729-4DC2-832B-56F9F345A3F1}"/>
    <cellStyle name="Normal 17 3 3 3 6 3" xfId="27284" xr:uid="{2EC7A08B-904E-494C-9A21-60DB6EE00D8F}"/>
    <cellStyle name="Normal 17 3 3 3 7" xfId="27287" xr:uid="{E33A0DC7-AF7B-436B-B8C2-30A3B27CA0B2}"/>
    <cellStyle name="Normal 17 3 3 3 7 2" xfId="853" xr:uid="{F34E2D62-8C42-4484-8544-1A81240A95C8}"/>
    <cellStyle name="Normal 17 3 3 3 8" xfId="27291" xr:uid="{055C99BC-B652-4459-B245-C34E7537A037}"/>
    <cellStyle name="Normal 17 3 3 3 9" xfId="28603" xr:uid="{2859DECB-8D7B-44C1-94B5-1D742028AC79}"/>
    <cellStyle name="Normal 17 3 3 4" xfId="33720" xr:uid="{F100359D-2573-4DC6-A94B-89AD490EEA9E}"/>
    <cellStyle name="Normal 17 3 3 4 2" xfId="8521" xr:uid="{F4572244-DABF-4A12-96E7-C5E5243DB861}"/>
    <cellStyle name="Normal 17 3 3 4 2 2" xfId="33722" xr:uid="{B5AD9BD6-FDCC-4938-960E-76823F6E107B}"/>
    <cellStyle name="Normal 17 3 3 4 2 2 2" xfId="7040" xr:uid="{2E14594B-2160-424C-BBAC-20A4DECE59D4}"/>
    <cellStyle name="Normal 17 3 3 4 2 2 2 2" xfId="13118" xr:uid="{555AA2D4-7DF2-40BC-8496-1B98554C214E}"/>
    <cellStyle name="Normal 17 3 3 4 2 2 2 2 2" xfId="13121" xr:uid="{F451DAF9-CC45-446E-B17B-4E5BD9CD2BAA}"/>
    <cellStyle name="Normal 17 3 3 4 2 2 2 2 2 2" xfId="33723" xr:uid="{E778B4BA-E592-4FFE-A9E9-404917490153}"/>
    <cellStyle name="Normal 17 3 3 4 2 2 2 2 3" xfId="32274" xr:uid="{EBF4435B-E1E8-499A-907A-1C590876C453}"/>
    <cellStyle name="Normal 17 3 3 4 2 2 2 3" xfId="5181" xr:uid="{A79FF47F-7AA0-415E-86FD-F179AB767022}"/>
    <cellStyle name="Normal 17 3 3 4 2 2 2 3 2" xfId="7372" xr:uid="{C593C41A-9A5B-4DAE-81A0-FECEBE1EEE39}"/>
    <cellStyle name="Normal 17 3 3 4 2 2 2 4" xfId="7676" xr:uid="{B0EE5BDF-14E9-477D-940A-C2BA96702456}"/>
    <cellStyle name="Normal 17 3 3 4 2 2 3" xfId="33725" xr:uid="{0951DEB6-8BDE-411F-B9DE-AD164F869A4B}"/>
    <cellStyle name="Normal 17 3 3 4 2 2 3 2" xfId="13142" xr:uid="{FB99C3D3-A7F3-41DD-B1F6-1D923BE3FF4A}"/>
    <cellStyle name="Normal 17 3 3 4 2 2 3 2 2" xfId="33726" xr:uid="{10AFC508-094D-4C47-91CF-E7DAB45479D7}"/>
    <cellStyle name="Normal 17 3 3 4 2 2 3 3" xfId="7681" xr:uid="{AA9E4B8A-3664-4883-A84A-1FCEA4015A4C}"/>
    <cellStyle name="Normal 17 3 3 4 2 2 4" xfId="33728" xr:uid="{CE13EACD-9E21-4A0F-A8DD-0CB5BB0C0CFF}"/>
    <cellStyle name="Normal 17 3 3 4 2 2 4 2" xfId="33729" xr:uid="{02576EDC-4836-4C2E-B4F1-6B95E8D6FDBA}"/>
    <cellStyle name="Normal 17 3 3 4 2 2 5" xfId="33731" xr:uid="{BCC17EAC-77DB-4138-8AD2-C429E9C7D1BB}"/>
    <cellStyle name="Normal 17 3 3 4 2 3" xfId="33733" xr:uid="{FCE75C14-6DFB-4890-BF8B-2692E818B45F}"/>
    <cellStyle name="Normal 17 3 3 4 2 3 2" xfId="33735" xr:uid="{C313EAD7-1223-49EB-96D2-0EE5A4F70294}"/>
    <cellStyle name="Normal 17 3 3 4 2 3 2 2" xfId="13180" xr:uid="{5D6C1AA0-B644-443C-80B9-C70809C221F0}"/>
    <cellStyle name="Normal 17 3 3 4 2 3 2 2 2" xfId="33738" xr:uid="{AB7782DB-00C5-4B9D-8AB7-859A9BDEEC4D}"/>
    <cellStyle name="Normal 17 3 3 4 2 3 2 3" xfId="7696" xr:uid="{62163703-BBE2-471F-BE6E-1045B797590D}"/>
    <cellStyle name="Normal 17 3 3 4 2 3 3" xfId="33740" xr:uid="{C6B8A36E-AFC1-4ADB-9A11-33C9D1F57205}"/>
    <cellStyle name="Normal 17 3 3 4 2 3 3 2" xfId="33745" xr:uid="{74797C05-03C5-4C31-A089-062C3793B4D5}"/>
    <cellStyle name="Normal 17 3 3 4 2 3 4" xfId="33746" xr:uid="{8C5CD3F3-B292-4358-ADD5-B4CD13932038}"/>
    <cellStyle name="Normal 17 3 3 4 2 4" xfId="20414" xr:uid="{95BE5416-0E21-40F8-ABDE-D4EFA5B4E5CB}"/>
    <cellStyle name="Normal 17 3 3 4 2 4 2" xfId="20420" xr:uid="{F65EF64E-4BE3-46C6-B1F8-B8FCBE3FC36C}"/>
    <cellStyle name="Normal 17 3 3 4 2 4 2 2" xfId="20424" xr:uid="{36F71B1A-6423-4AB3-85EE-ED73FA0E7D61}"/>
    <cellStyle name="Normal 17 3 3 4 2 4 3" xfId="7930" xr:uid="{25E5A00C-65AA-457B-A37E-384A2990A629}"/>
    <cellStyle name="Normal 17 3 3 4 2 5" xfId="20471" xr:uid="{C3DF336F-19D6-4789-A3E2-70EC6F0CE01B}"/>
    <cellStyle name="Normal 17 3 3 4 2 5 2" xfId="20477" xr:uid="{C0EE1374-DB83-4E96-A806-7DDC53C5BB39}"/>
    <cellStyle name="Normal 17 3 3 4 2 6" xfId="20492" xr:uid="{5A7A53DC-9621-4ABC-8DFF-57C8E8C5DD5A}"/>
    <cellStyle name="Normal 17 3 3 4 2 7" xfId="20500" xr:uid="{2E0CB36C-0C94-4B86-AFA8-098567A2488D}"/>
    <cellStyle name="Normal 17 3 3 4 3" xfId="22116" xr:uid="{BB982BD4-9932-452C-A66C-738F65AF9C89}"/>
    <cellStyle name="Normal 17 3 3 4 3 2" xfId="33748" xr:uid="{5C53C9B3-60A5-48CD-9D6C-C94F0D666CE0}"/>
    <cellStyle name="Normal 17 3 3 4 3 2 2" xfId="33750" xr:uid="{875E3424-B6CD-41E9-9726-D8D95E785FBD}"/>
    <cellStyle name="Normal 17 3 3 4 3 2 2 2" xfId="13311" xr:uid="{A4FBC14C-8C0D-4ACC-A1AE-A4DD2912179E}"/>
    <cellStyle name="Normal 17 3 3 4 3 2 2 2 2" xfId="33751" xr:uid="{54B17416-1C8F-45CB-A312-AEC87FFCE3AF}"/>
    <cellStyle name="Normal 17 3 3 4 3 2 2 3" xfId="7774" xr:uid="{E279BA3B-4DC7-48B5-8EFD-265632C6C65B}"/>
    <cellStyle name="Normal 17 3 3 4 3 2 3" xfId="33753" xr:uid="{6C98127A-C936-4A48-ABAB-67FD057DC46F}"/>
    <cellStyle name="Normal 17 3 3 4 3 2 3 2" xfId="33754" xr:uid="{AC2C8EA4-BAEF-408F-8F8A-AE868321B4DD}"/>
    <cellStyle name="Normal 17 3 3 4 3 2 4" xfId="33755" xr:uid="{883816C4-BA30-4232-A46F-54210D8783A0}"/>
    <cellStyle name="Normal 17 3 3 4 3 3" xfId="33757" xr:uid="{5B3CFFCA-AB91-4748-B72B-E6B1A631FE7A}"/>
    <cellStyle name="Normal 17 3 3 4 3 3 2" xfId="33759" xr:uid="{569353F1-3D54-41BC-A3E5-17F34F2BEBDC}"/>
    <cellStyle name="Normal 17 3 3 4 3 3 2 2" xfId="10850" xr:uid="{33B5D441-5107-479F-8E81-2E2CBE16295A}"/>
    <cellStyle name="Normal 17 3 3 4 3 3 3" xfId="33760" xr:uid="{DA648B1E-012B-4D21-939F-7DF1BCAABF48}"/>
    <cellStyle name="Normal 17 3 3 4 3 4" xfId="20513" xr:uid="{89445510-A359-4C7B-B878-CFB95B0C5FEB}"/>
    <cellStyle name="Normal 17 3 3 4 3 4 2" xfId="20516" xr:uid="{F15B34DC-2040-4D82-81EA-281B29EB060F}"/>
    <cellStyle name="Normal 17 3 3 4 3 5" xfId="20536" xr:uid="{DF0330CB-A9DD-45CC-9AB8-84CB200F0A12}"/>
    <cellStyle name="Normal 17 3 3 4 4" xfId="32474" xr:uid="{EBD465F2-7728-4DD2-82DC-7013DBCA8D93}"/>
    <cellStyle name="Normal 17 3 3 4 4 2" xfId="26031" xr:uid="{C8A825E4-7543-473D-A81C-C7543342967B}"/>
    <cellStyle name="Normal 17 3 3 4 4 2 2" xfId="26035" xr:uid="{14708F8F-E90A-4BA0-B59F-96638D50C74D}"/>
    <cellStyle name="Normal 17 3 3 4 4 2 2 2" xfId="28976" xr:uid="{B3DFAEEE-2444-4AC9-B0CA-2A26034734F3}"/>
    <cellStyle name="Normal 17 3 3 4 4 2 3" xfId="28979" xr:uid="{D420A69A-B177-48E8-8E09-2F8B4C2718A2}"/>
    <cellStyle name="Normal 17 3 3 4 4 3" xfId="26067" xr:uid="{E8499A26-20E6-43AF-9A38-81A648118274}"/>
    <cellStyle name="Normal 17 3 3 4 4 3 2" xfId="26070" xr:uid="{41624700-D2D1-40AA-81AB-BB39B910EB39}"/>
    <cellStyle name="Normal 17 3 3 4 4 4" xfId="20578" xr:uid="{5DFB96BA-FE48-465A-BAAC-C796A29CE42C}"/>
    <cellStyle name="Normal 17 3 3 4 5" xfId="27296" xr:uid="{36408467-D5E5-403F-A200-423EB8317A15}"/>
    <cellStyle name="Normal 17 3 3 4 5 2" xfId="22761" xr:uid="{0CDAE962-87DD-4DDC-A0FE-E77206B1328C}"/>
    <cellStyle name="Normal 17 3 3 4 5 2 2" xfId="27299" xr:uid="{E7DC15C9-D442-4E45-9A58-D4EE731E1651}"/>
    <cellStyle name="Normal 17 3 3 4 5 3" xfId="27303" xr:uid="{87317A8C-D507-436B-B638-940C32CE56C3}"/>
    <cellStyle name="Normal 17 3 3 4 6" xfId="27308" xr:uid="{8B29C5FF-72BD-468A-B58F-FC174238F4D5}"/>
    <cellStyle name="Normal 17 3 3 4 6 2" xfId="27312" xr:uid="{69C6D097-B611-4F77-9750-BBFE7B75CC8F}"/>
    <cellStyle name="Normal 17 3 3 4 7" xfId="27316" xr:uid="{7366750F-F251-4690-9754-3F758791D226}"/>
    <cellStyle name="Normal 17 3 3 4 8" xfId="23211" xr:uid="{5D8749E3-D4E3-426D-B496-4DE92AFE8B92}"/>
    <cellStyle name="Normal 17 3 3 5" xfId="33765" xr:uid="{F7332752-BE58-4939-A820-181616CD3FFF}"/>
    <cellStyle name="Normal 17 3 3 5 2" xfId="33769" xr:uid="{F72A2B45-2200-42B1-B474-9C13C59A5BA5}"/>
    <cellStyle name="Normal 17 3 3 5 2 2" xfId="33772" xr:uid="{307DE74A-B015-49DA-88C1-FB39D28E57D7}"/>
    <cellStyle name="Normal 17 3 3 5 2 2 2" xfId="33775" xr:uid="{939A0309-C4E1-449F-9E6A-5801821A4BDE}"/>
    <cellStyle name="Normal 17 3 3 5 2 2 2 2" xfId="13637" xr:uid="{865E2AF3-318A-4ACD-88B7-C4C1E3E347D9}"/>
    <cellStyle name="Normal 17 3 3 5 2 2 2 2 2" xfId="33777" xr:uid="{EA08B0F5-0758-4486-B759-5E518F999E89}"/>
    <cellStyle name="Normal 17 3 3 5 2 2 2 3" xfId="7846" xr:uid="{8DE0AB37-C3BA-460E-A050-9C498D0D9951}"/>
    <cellStyle name="Normal 17 3 3 5 2 2 3" xfId="33780" xr:uid="{6E83E4BA-B63A-437E-9819-59E2285BCD2D}"/>
    <cellStyle name="Normal 17 3 3 5 2 2 3 2" xfId="33782" xr:uid="{7AB386AA-C97A-422D-A678-9B46B5236A2F}"/>
    <cellStyle name="Normal 17 3 3 5 2 2 4" xfId="33784" xr:uid="{3B2EA213-F696-4CD2-9DCD-7CC1673E4866}"/>
    <cellStyle name="Normal 17 3 3 5 2 3" xfId="33787" xr:uid="{0C883BC2-1555-4D68-B7B5-02FA2E99DCD4}"/>
    <cellStyle name="Normal 17 3 3 5 2 3 2" xfId="33790" xr:uid="{F0497976-C4F0-43BC-AC8F-E35999D1BDC6}"/>
    <cellStyle name="Normal 17 3 3 5 2 3 2 2" xfId="27038" xr:uid="{55FBC1B1-94BC-48A7-9E90-737A081E80AB}"/>
    <cellStyle name="Normal 17 3 3 5 2 3 3" xfId="33792" xr:uid="{DBD89DC3-A9CA-49B2-8AAA-63BB875F2A9E}"/>
    <cellStyle name="Normal 17 3 3 5 2 4" xfId="20727" xr:uid="{9C5DE53B-31A2-4316-98FD-96568312F91F}"/>
    <cellStyle name="Normal 17 3 3 5 2 4 2" xfId="20729" xr:uid="{87924272-D236-4CD2-BCEC-D9C7F2DBA25B}"/>
    <cellStyle name="Normal 17 3 3 5 2 5" xfId="20749" xr:uid="{BA71FC13-2B2E-43F3-A1F8-B58D2EE5B62B}"/>
    <cellStyle name="Normal 17 3 3 5 3" xfId="33795" xr:uid="{2AFE376B-4990-4853-90BE-011A6F8CE3FD}"/>
    <cellStyle name="Normal 17 3 3 5 3 2" xfId="33797" xr:uid="{470B481D-9221-48E3-BA22-3300F54E1B07}"/>
    <cellStyle name="Normal 17 3 3 5 3 2 2" xfId="33799" xr:uid="{FCD376CB-1165-40CE-B1A3-0A3FFF810363}"/>
    <cellStyle name="Normal 17 3 3 5 3 2 2 2" xfId="33800" xr:uid="{10C92569-8DC1-43A0-96D0-8113A7D3CCFC}"/>
    <cellStyle name="Normal 17 3 3 5 3 2 3" xfId="33801" xr:uid="{11812C5A-6C9F-4760-92E1-B07FAB721926}"/>
    <cellStyle name="Normal 17 3 3 5 3 3" xfId="33803" xr:uid="{CBB9A333-CB88-4357-99D3-8ABD273EED0B}"/>
    <cellStyle name="Normal 17 3 3 5 3 3 2" xfId="33804" xr:uid="{FDE4EB36-0283-430B-B6CB-DB0FCB8FDFE0}"/>
    <cellStyle name="Normal 17 3 3 5 3 4" xfId="20769" xr:uid="{ABCCE555-F76B-4CED-A355-E37CD988646F}"/>
    <cellStyle name="Normal 17 3 3 5 4" xfId="33807" xr:uid="{09D0A5A6-F024-4A08-AB19-39B176E3D9B0}"/>
    <cellStyle name="Normal 17 3 3 5 4 2" xfId="33810" xr:uid="{7C0DE093-7006-40F6-A17B-D5C19CD364B8}"/>
    <cellStyle name="Normal 17 3 3 5 4 2 2" xfId="33812" xr:uid="{0CB79FA6-BF9C-4033-AECF-FE9BC7DF7160}"/>
    <cellStyle name="Normal 17 3 3 5 4 3" xfId="33814" xr:uid="{1D2C205D-AD0E-47CE-BEE7-7F49D0E299A4}"/>
    <cellStyle name="Normal 17 3 3 5 5" xfId="27323" xr:uid="{73AF4A1E-19DD-4A33-9851-CD02C467AE40}"/>
    <cellStyle name="Normal 17 3 3 5 5 2" xfId="27327" xr:uid="{463FCF0F-B527-46B4-B20E-3F7F9AF160CB}"/>
    <cellStyle name="Normal 17 3 3 5 6" xfId="13469" xr:uid="{ABB62410-B976-421C-BDE3-401A61343DE2}"/>
    <cellStyle name="Normal 17 3 3 5 7" xfId="13477" xr:uid="{CD1F7A92-02F5-42A3-89B2-1111D6364EDA}"/>
    <cellStyle name="Normal 17 3 3 6" xfId="33818" xr:uid="{E66BD5B2-0E60-4AD7-B109-D2693AAED0AE}"/>
    <cellStyle name="Normal 17 3 3 6 2" xfId="33821" xr:uid="{C2F51F2F-A701-4C61-AE6F-4A310EB2ADA0}"/>
    <cellStyle name="Normal 17 3 3 6 2 2" xfId="33824" xr:uid="{08084511-AF80-40B8-B555-A168D70BB7A2}"/>
    <cellStyle name="Normal 17 3 3 6 2 2 2" xfId="33827" xr:uid="{0188ACDA-0E7A-45FD-81C5-9B8509245C18}"/>
    <cellStyle name="Normal 17 3 3 6 2 2 2 2" xfId="33829" xr:uid="{E21A5B99-2331-4948-B7F6-B8060B5C4F02}"/>
    <cellStyle name="Normal 17 3 3 6 2 2 3" xfId="33831" xr:uid="{0CCA60B0-E5F2-4324-8EBE-E4BEA3BC6160}"/>
    <cellStyle name="Normal 17 3 3 6 2 3" xfId="33834" xr:uid="{AB6FBBF3-999D-4515-975A-9AC12DEDEF9C}"/>
    <cellStyle name="Normal 17 3 3 6 2 3 2" xfId="33836" xr:uid="{E3789262-DFAC-4E12-B4DC-CEBD293F3DE9}"/>
    <cellStyle name="Normal 17 3 3 6 2 4" xfId="20834" xr:uid="{49BA5118-5DCB-44C7-AD06-8020D8DB73BD}"/>
    <cellStyle name="Normal 17 3 3 6 3" xfId="33839" xr:uid="{AAC9B038-B465-46CC-8EB0-055C5D3CD478}"/>
    <cellStyle name="Normal 17 3 3 6 3 2" xfId="10369" xr:uid="{DDEEF56E-9F6A-4B90-A703-63DFDB774956}"/>
    <cellStyle name="Normal 17 3 3 6 3 2 2" xfId="10372" xr:uid="{C72548DE-B389-4B0F-B45B-4B0F3EB17C49}"/>
    <cellStyle name="Normal 17 3 3 6 3 3" xfId="10375" xr:uid="{C88DEB95-4CD4-4B4C-91DD-5621B4D7F55C}"/>
    <cellStyle name="Normal 17 3 3 6 4" xfId="33842" xr:uid="{D9260F66-B9C3-4907-81C6-9F424876F283}"/>
    <cellStyle name="Normal 17 3 3 6 4 2" xfId="33844" xr:uid="{813517E3-CB3B-4852-8818-7CBAD2C0098C}"/>
    <cellStyle name="Normal 17 3 3 6 5" xfId="27332" xr:uid="{32E42A50-B23E-41BF-893C-54613C3E9D09}"/>
    <cellStyle name="Normal 17 3 3 7" xfId="14284" xr:uid="{73A3A891-9291-453B-9011-45A1629BA15A}"/>
    <cellStyle name="Normal 17 3 3 7 2" xfId="29128" xr:uid="{5EFE9476-BACA-45FA-8041-C69EA13F72AA}"/>
    <cellStyle name="Normal 17 3 3 7 2 2" xfId="26245" xr:uid="{F2F2FC36-DE0B-40B3-B558-418CAE764420}"/>
    <cellStyle name="Normal 17 3 3 7 2 2 2" xfId="26250" xr:uid="{FDE131F5-9B40-46CF-8110-096068410DAB}"/>
    <cellStyle name="Normal 17 3 3 7 2 3" xfId="23814" xr:uid="{90D1AD19-7EBA-475A-BFB5-4DB11D5AF21D}"/>
    <cellStyle name="Normal 17 3 3 7 3" xfId="29132" xr:uid="{BC37DAAF-FED3-423D-915F-609A685D0B37}"/>
    <cellStyle name="Normal 17 3 3 7 3 2" xfId="26266" xr:uid="{3F604CAD-00C1-442A-8A0E-0AE592F313A1}"/>
    <cellStyle name="Normal 17 3 3 7 4" xfId="33846" xr:uid="{B57045C8-8A00-4A8A-9E82-AF8ED6F598CF}"/>
    <cellStyle name="Normal 17 3 3 8" xfId="33850" xr:uid="{1A4FFFF5-C181-481F-AA35-74DEDFC39BFF}"/>
    <cellStyle name="Normal 17 3 3 8 2" xfId="29198" xr:uid="{8D244BEA-3B58-4F99-82DC-FBA3F7FEB911}"/>
    <cellStyle name="Normal 17 3 3 8 2 2" xfId="1713" xr:uid="{11BDFAF0-BBE5-4E91-887D-3099A9D5C6EE}"/>
    <cellStyle name="Normal 17 3 3 8 3" xfId="29201" xr:uid="{C2E304CF-379C-49B4-8715-D4C20685397E}"/>
    <cellStyle name="Normal 17 3 3 9" xfId="30357" xr:uid="{0D3CE937-60A1-4AD7-80E7-576CB2C513E8}"/>
    <cellStyle name="Normal 17 3 3 9 2" xfId="9525" xr:uid="{B99C64EA-E945-42D8-9855-A6E79E5C367E}"/>
    <cellStyle name="Normal 17 3 4" xfId="33854" xr:uid="{F17F4D51-FAD2-4CEE-90F2-FEB7FDEA2832}"/>
    <cellStyle name="Normal 17 3 4 10" xfId="32887" xr:uid="{53652AAB-F03F-4014-9BDC-4231E2004DA1}"/>
    <cellStyle name="Normal 17 3 4 2" xfId="4074" xr:uid="{4D868501-26D0-41A4-9969-74CFCDC4E59C}"/>
    <cellStyle name="Normal 17 3 4 2 2" xfId="14611" xr:uid="{CBAAC7BC-E16F-44A7-842F-563BACDF0155}"/>
    <cellStyle name="Normal 17 3 4 2 2 2" xfId="32557" xr:uid="{590EA14E-8573-453D-818C-3D9E87F53E5C}"/>
    <cellStyle name="Normal 17 3 4 2 2 2 2" xfId="32974" xr:uid="{C916C3ED-F048-486D-9204-86B0E1214677}"/>
    <cellStyle name="Normal 17 3 4 2 2 2 2 2" xfId="2764" xr:uid="{E0F047B9-596A-4CAC-83A0-20211193A03E}"/>
    <cellStyle name="Normal 17 3 4 2 2 2 2 2 2" xfId="2776" xr:uid="{6CE43585-8854-4507-9E54-AF9EE267E114}"/>
    <cellStyle name="Normal 17 3 4 2 2 2 2 2 2 2" xfId="2788" xr:uid="{9D148B37-966C-419B-BFA2-0608F85445DB}"/>
    <cellStyle name="Normal 17 3 4 2 2 2 2 2 2 2 2" xfId="3337" xr:uid="{88B555E5-E527-4ECA-977F-1F5EA064EDF9}"/>
    <cellStyle name="Normal 17 3 4 2 2 2 2 2 2 3" xfId="6829" xr:uid="{95F5CC20-2FB8-4E29-826C-9262825080ED}"/>
    <cellStyle name="Normal 17 3 4 2 2 2 2 2 3" xfId="2798" xr:uid="{16F7B26D-0620-498E-8BE0-6AC12DDDD467}"/>
    <cellStyle name="Normal 17 3 4 2 2 2 2 2 3 2" xfId="2804" xr:uid="{08109D10-8805-4F23-B434-407C29F4BB84}"/>
    <cellStyle name="Normal 17 3 4 2 2 2 2 2 4" xfId="2810" xr:uid="{C3F221C1-A916-4941-B756-58152F04D504}"/>
    <cellStyle name="Normal 17 3 4 2 2 2 2 3" xfId="2820" xr:uid="{EA1DB2E4-4CC7-416B-B4FF-31716AF31BD6}"/>
    <cellStyle name="Normal 17 3 4 2 2 2 2 3 2" xfId="2851" xr:uid="{C139C517-D845-4834-B082-4FEE16E9FCB8}"/>
    <cellStyle name="Normal 17 3 4 2 2 2 2 3 2 2" xfId="2856" xr:uid="{AD75452B-709B-40DF-BA6C-A8E568F6C4E0}"/>
    <cellStyle name="Normal 17 3 4 2 2 2 2 3 3" xfId="2899" xr:uid="{47D47DED-9E5D-47F1-B8F2-CDBC4B970BCA}"/>
    <cellStyle name="Normal 17 3 4 2 2 2 2 4" xfId="6618" xr:uid="{5090586F-C16C-4CB2-860A-A171855A972B}"/>
    <cellStyle name="Normal 17 3 4 2 2 2 2 4 2" xfId="6625" xr:uid="{7627CCDE-0A0F-4D37-A063-7EC9BB0AC33B}"/>
    <cellStyle name="Normal 17 3 4 2 2 2 2 5" xfId="4964" xr:uid="{6394F19B-F23E-4C8D-9116-2BC6CF34CE92}"/>
    <cellStyle name="Normal 17 3 4 2 2 2 3" xfId="6486" xr:uid="{92DAFA77-B13C-4343-B65E-38A13EB3EA68}"/>
    <cellStyle name="Normal 17 3 4 2 2 2 3 2" xfId="6493" xr:uid="{D2BACE3F-8C91-4EF3-88A8-1088850DE405}"/>
    <cellStyle name="Normal 17 3 4 2 2 2 3 2 2" xfId="14318" xr:uid="{0F49412E-5CE7-47DB-9D92-4C82AC04CE7D}"/>
    <cellStyle name="Normal 17 3 4 2 2 2 3 2 2 2" xfId="33855" xr:uid="{87B0DC8F-814F-45EC-9694-4EBE94190C06}"/>
    <cellStyle name="Normal 17 3 4 2 2 2 3 2 3" xfId="33856" xr:uid="{37E032BF-085A-416F-8DBC-389DCBD6BCBF}"/>
    <cellStyle name="Normal 17 3 4 2 2 2 3 3" xfId="14321" xr:uid="{8E9FB81D-434F-41CF-B6A4-924B6DBCBA79}"/>
    <cellStyle name="Normal 17 3 4 2 2 2 3 3 2" xfId="33857" xr:uid="{D6C24ED4-14F4-42EC-A2F5-0BD14CAD6277}"/>
    <cellStyle name="Normal 17 3 4 2 2 2 3 4" xfId="15983" xr:uid="{5F87E14A-104C-4314-BC5F-37C91B785CA8}"/>
    <cellStyle name="Normal 17 3 4 2 2 2 4" xfId="6501" xr:uid="{5E500A57-2978-48B7-950F-BF9344C7D18F}"/>
    <cellStyle name="Normal 17 3 4 2 2 2 4 2" xfId="14333" xr:uid="{17F7BB0B-D9F7-45EA-8BE1-0F70FC3B535C}"/>
    <cellStyle name="Normal 17 3 4 2 2 2 4 2 2" xfId="33858" xr:uid="{E9906DA7-C49F-4A96-90E4-F36543F2DC74}"/>
    <cellStyle name="Normal 17 3 4 2 2 2 4 3" xfId="33859" xr:uid="{3CC5A793-5EDE-464F-84FB-052386911D26}"/>
    <cellStyle name="Normal 17 3 4 2 2 2 5" xfId="33861" xr:uid="{CD7E6E92-4749-4417-8F23-D1D49FFF568C}"/>
    <cellStyle name="Normal 17 3 4 2 2 2 5 2" xfId="33862" xr:uid="{65E76979-5E52-47B0-8A88-6F4D704F6CE4}"/>
    <cellStyle name="Normal 17 3 4 2 2 2 6" xfId="33863" xr:uid="{7AD5ADE8-52E8-4EEC-B252-098B8A147E73}"/>
    <cellStyle name="Normal 17 3 4 2 2 2 7" xfId="33864" xr:uid="{7434CA40-D742-4FAC-AF77-48F9328F6643}"/>
    <cellStyle name="Normal 17 3 4 2 2 3" xfId="32977" xr:uid="{098990FD-D08E-4BA9-9A5B-8AAE2702121D}"/>
    <cellStyle name="Normal 17 3 4 2 2 3 2" xfId="33866" xr:uid="{9F26846A-984B-4653-A083-1D7EF2025225}"/>
    <cellStyle name="Normal 17 3 4 2 2 3 2 2" xfId="14354" xr:uid="{2C10527F-6C50-4F46-8B7F-F22CE8268112}"/>
    <cellStyle name="Normal 17 3 4 2 2 3 2 2 2" xfId="14357" xr:uid="{85054672-7809-457A-9958-72581E2384E4}"/>
    <cellStyle name="Normal 17 3 4 2 2 3 2 2 2 2" xfId="142" xr:uid="{C93C83A4-307A-4E0C-B1E5-5AC6B0E8FA9F}"/>
    <cellStyle name="Normal 17 3 4 2 2 3 2 2 3" xfId="33867" xr:uid="{C58A9CE1-5330-4F4E-A9F8-74074229DF49}"/>
    <cellStyle name="Normal 17 3 4 2 2 3 2 3" xfId="14360" xr:uid="{9C13F7B7-C581-498F-84EE-360DB68D364D}"/>
    <cellStyle name="Normal 17 3 4 2 2 3 2 3 2" xfId="33868" xr:uid="{8739CD1E-7155-4D5F-9BF3-F86394C6F602}"/>
    <cellStyle name="Normal 17 3 4 2 2 3 2 4" xfId="15988" xr:uid="{169DA1E6-F1C2-45EE-AACC-57C81056BA65}"/>
    <cellStyle name="Normal 17 3 4 2 2 3 3" xfId="6508" xr:uid="{8AA529A1-0A8F-4435-8E7B-EFF6C5070A6B}"/>
    <cellStyle name="Normal 17 3 4 2 2 3 3 2" xfId="2927" xr:uid="{6EBFBF91-E38D-4353-AFAE-A46CDBC4326B}"/>
    <cellStyle name="Normal 17 3 4 2 2 3 3 2 2" xfId="33869" xr:uid="{B23011BA-F0A9-4027-9D51-56895BF3CFF3}"/>
    <cellStyle name="Normal 17 3 4 2 2 3 3 3" xfId="12737" xr:uid="{C5E0869C-3C21-4081-AAD2-27D60A7069D2}"/>
    <cellStyle name="Normal 17 3 4 2 2 3 4" xfId="33871" xr:uid="{82293C95-B4AC-4786-953B-81E728F33B9D}"/>
    <cellStyle name="Normal 17 3 4 2 2 3 4 2" xfId="33872" xr:uid="{E3F0835C-466A-432A-88DD-E40C6BD68C2D}"/>
    <cellStyle name="Normal 17 3 4 2 2 3 5" xfId="33873" xr:uid="{B3AFAA0E-A5E1-42A3-B117-47510E4205E9}"/>
    <cellStyle name="Normal 17 3 4 2 2 4" xfId="19931" xr:uid="{87E0C3F0-4336-4962-8282-C3B9C885BE70}"/>
    <cellStyle name="Normal 17 3 4 2 2 4 2" xfId="19934" xr:uid="{EEAC4171-8957-49F1-9566-9694F0C5AE60}"/>
    <cellStyle name="Normal 17 3 4 2 2 4 2 2" xfId="14383" xr:uid="{9BBE5AEB-1AFC-4C3E-B007-DBEA501E8DF4}"/>
    <cellStyle name="Normal 17 3 4 2 2 4 2 2 2" xfId="26093" xr:uid="{8C967796-FD21-4C28-8411-019006DE25A5}"/>
    <cellStyle name="Normal 17 3 4 2 2 4 2 3" xfId="26097" xr:uid="{24049864-A19D-4D0E-AB4E-2418F26915F8}"/>
    <cellStyle name="Normal 17 3 4 2 2 4 3" xfId="33875" xr:uid="{C97411AC-7078-4201-A7D5-FFA8D5116620}"/>
    <cellStyle name="Normal 17 3 4 2 2 4 3 2" xfId="33876" xr:uid="{C315A39F-85F5-4025-B2B6-53D2B6B0F380}"/>
    <cellStyle name="Normal 17 3 4 2 2 4 4" xfId="33877" xr:uid="{2071F818-78CF-4282-A63D-A69A3441F493}"/>
    <cellStyle name="Normal 17 3 4 2 2 5" xfId="19937" xr:uid="{B7A90D96-B241-44A1-8380-0AC51B054F97}"/>
    <cellStyle name="Normal 17 3 4 2 2 5 2" xfId="33879" xr:uid="{75ABE1A8-012F-4B36-A084-D025EA8675BC}"/>
    <cellStyle name="Normal 17 3 4 2 2 5 2 2" xfId="30852" xr:uid="{40D82C24-EFEB-4823-B597-698C3428EBFA}"/>
    <cellStyle name="Normal 17 3 4 2 2 5 3" xfId="29533" xr:uid="{CAA8D9EA-A46C-4129-805F-FB160222C47B}"/>
    <cellStyle name="Normal 17 3 4 2 2 6" xfId="1577" xr:uid="{2079F207-84BA-4488-B909-9AB0E56ED995}"/>
    <cellStyle name="Normal 17 3 4 2 2 6 2" xfId="33880" xr:uid="{6EBF8F3F-11AC-49AC-BE0C-FC6E4B23984E}"/>
    <cellStyle name="Normal 17 3 4 2 2 7" xfId="1581" xr:uid="{E9601733-432B-47B6-88F4-E963C00D3036}"/>
    <cellStyle name="Normal 17 3 4 2 2 8" xfId="1585" xr:uid="{93E54E96-1E5A-4588-8CAD-8526EA5E4016}"/>
    <cellStyle name="Normal 17 3 4 2 3" xfId="32565" xr:uid="{38C06A81-1BDD-4E65-B3A7-1E00E44F5BF3}"/>
    <cellStyle name="Normal 17 3 4 2 3 2" xfId="33450" xr:uid="{9720BA3E-27B4-4A93-8DB7-B325F2E204FE}"/>
    <cellStyle name="Normal 17 3 4 2 3 2 2" xfId="33454" xr:uid="{555462DA-3BCC-4486-930F-6E0263FE92F3}"/>
    <cellStyle name="Normal 17 3 4 2 3 2 2 2" xfId="14549" xr:uid="{BE14E6DF-09DD-419E-9844-F8B7218C6D8B}"/>
    <cellStyle name="Normal 17 3 4 2 3 2 2 2 2" xfId="14554" xr:uid="{C335E570-6705-4A02-A23E-32EC3B20AE6E}"/>
    <cellStyle name="Normal 17 3 4 2 3 2 2 2 2 2" xfId="33457" xr:uid="{E8205466-23AF-41C8-8D75-54E5BC68B225}"/>
    <cellStyle name="Normal 17 3 4 2 3 2 2 2 3" xfId="33486" xr:uid="{3E021638-C00F-4EAD-A894-3F58525BA018}"/>
    <cellStyle name="Normal 17 3 4 2 3 2 2 3" xfId="14559" xr:uid="{4C41159D-E19A-46D5-86BB-85D23402B9C7}"/>
    <cellStyle name="Normal 17 3 4 2 3 2 2 3 2" xfId="33540" xr:uid="{BE850BB0-67B5-4FFC-B47A-DC4506148B62}"/>
    <cellStyle name="Normal 17 3 4 2 3 2 2 4" xfId="16008" xr:uid="{A1A2C20B-32A2-43E8-8144-4FC1433CEAA2}"/>
    <cellStyle name="Normal 17 3 4 2 3 2 3" xfId="6554" xr:uid="{5425A74F-BA85-4B8F-9500-CD4CBEFC2617}"/>
    <cellStyle name="Normal 17 3 4 2 3 2 3 2" xfId="8496" xr:uid="{7137E341-BD2B-4941-B98A-F5713C2FB736}"/>
    <cellStyle name="Normal 17 3 4 2 3 2 3 2 2" xfId="8501" xr:uid="{A981A66A-FFB3-45AE-8259-E061222BB7EB}"/>
    <cellStyle name="Normal 17 3 4 2 3 2 3 3" xfId="8505" xr:uid="{FDE5BD87-0FF0-4115-9B1E-E1EFD8FCB91F}"/>
    <cellStyle name="Normal 17 3 4 2 3 2 4" xfId="33718" xr:uid="{491F00CB-BED4-4952-A43D-ADB21E547775}"/>
    <cellStyle name="Normal 17 3 4 2 3 2 4 2" xfId="8519" xr:uid="{7F9C0688-C6CF-4EDA-804C-7B72E21D3B78}"/>
    <cellStyle name="Normal 17 3 4 2 3 2 5" xfId="33761" xr:uid="{75900016-D174-4F48-A94D-3BDEB4025E10}"/>
    <cellStyle name="Normal 17 3 4 2 3 3" xfId="33852" xr:uid="{0B08A72E-85B4-4B5E-B36D-4BBCC887D4B4}"/>
    <cellStyle name="Normal 17 3 4 2 3 3 2" xfId="4072" xr:uid="{14A42DD5-A482-4142-BE12-6328C4861C46}"/>
    <cellStyle name="Normal 17 3 4 2 3 3 2 2" xfId="14609" xr:uid="{827E3596-976C-4592-A2D3-3DE686231E45}"/>
    <cellStyle name="Normal 17 3 4 2 3 3 2 2 2" xfId="32555" xr:uid="{5A519D55-B347-40CF-8624-AFC8B1B05515}"/>
    <cellStyle name="Normal 17 3 4 2 3 3 2 3" xfId="32563" xr:uid="{D76BCB5E-E99A-459D-B686-29E2CF42775B}"/>
    <cellStyle name="Normal 17 3 4 2 3 3 3" xfId="32571" xr:uid="{F1608D05-5357-41CC-81A4-5B019F396700}"/>
    <cellStyle name="Normal 17 3 4 2 3 3 3 2" xfId="8533" xr:uid="{8B8914FD-8898-4F7D-81D3-E843DC3B2812}"/>
    <cellStyle name="Normal 17 3 4 2 3 3 4" xfId="32580" xr:uid="{AA95D0F8-857C-4BDB-A762-F7067AF30BDB}"/>
    <cellStyle name="Normal 17 3 4 2 3 4" xfId="2567" xr:uid="{9BFFE6F9-B50A-4DE8-8920-8FA5869ACF39}"/>
    <cellStyle name="Normal 17 3 4 2 3 4 2" xfId="2581" xr:uid="{F91C52C2-EAD1-4BA3-B758-CF1E45B75D85}"/>
    <cellStyle name="Normal 17 3 4 2 3 4 2 2" xfId="2591" xr:uid="{D088D6CB-F850-4C15-AA7D-B03331E3B219}"/>
    <cellStyle name="Normal 17 3 4 2 3 4 3" xfId="2614" xr:uid="{B1296AB9-C49C-45E0-A6E2-A28C6FBFF62E}"/>
    <cellStyle name="Normal 17 3 4 2 3 5" xfId="2630" xr:uid="{B4311991-E36A-4C83-9F6B-87E8D9215C4B}"/>
    <cellStyle name="Normal 17 3 4 2 3 5 2" xfId="2640" xr:uid="{94E0CD1C-E538-4431-BC8E-B301989F8259}"/>
    <cellStyle name="Normal 17 3 4 2 3 6" xfId="2660" xr:uid="{180FD63B-1F7E-434D-8C47-4906EF64DA33}"/>
    <cellStyle name="Normal 17 3 4 2 3 7" xfId="2674" xr:uid="{96371043-369F-4CDF-BE85-BA229B826A1C}"/>
    <cellStyle name="Normal 17 3 4 2 4" xfId="33882" xr:uid="{E27A762D-081B-41BC-BDDE-8A7AD50858E7}"/>
    <cellStyle name="Normal 17 3 4 2 4 2" xfId="33886" xr:uid="{8558195D-6B89-4A26-950F-A2B66A4C9885}"/>
    <cellStyle name="Normal 17 3 4 2 4 2 2" xfId="33892" xr:uid="{D3E93040-4033-4568-8021-62373BD8D336}"/>
    <cellStyle name="Normal 17 3 4 2 4 2 2 2" xfId="7736" xr:uid="{3467FA70-8D7F-4970-BA8E-A1DAE67C0B97}"/>
    <cellStyle name="Normal 17 3 4 2 4 2 2 2 2" xfId="30156" xr:uid="{7BBD6C52-B27B-41CD-83FD-0C81AD5B1BA2}"/>
    <cellStyle name="Normal 17 3 4 2 4 2 2 3" xfId="18061" xr:uid="{433ECC66-2F8D-4E48-B7EA-52F200097938}"/>
    <cellStyle name="Normal 17 3 4 2 4 2 3" xfId="33898" xr:uid="{BF77D0B5-6EFA-46E7-9A1F-4D01196B6510}"/>
    <cellStyle name="Normal 17 3 4 2 4 2 3 2" xfId="8581" xr:uid="{E2D59097-9947-46F1-8B0A-2CD426D6D06E}"/>
    <cellStyle name="Normal 17 3 4 2 4 2 4" xfId="33903" xr:uid="{55DE1F15-1B23-4AAB-B144-A2F290D25995}"/>
    <cellStyle name="Normal 17 3 4 2 4 3" xfId="33907" xr:uid="{CFE6738B-8BEE-4718-88BD-471605F71ADE}"/>
    <cellStyle name="Normal 17 3 4 2 4 3 2" xfId="33912" xr:uid="{6C159091-1187-49ED-81C0-195735229326}"/>
    <cellStyle name="Normal 17 3 4 2 4 3 2 2" xfId="18503" xr:uid="{09A7F23A-900D-422E-B093-2D11DF360F85}"/>
    <cellStyle name="Normal 17 3 4 2 4 3 3" xfId="33916" xr:uid="{E2A96793-4484-45FD-866F-6D29F0198299}"/>
    <cellStyle name="Normal 17 3 4 2 4 4" xfId="2762" xr:uid="{94815260-8441-4EF9-A4EC-37B35D99DD3A}"/>
    <cellStyle name="Normal 17 3 4 2 4 4 2" xfId="2774" xr:uid="{2B9575E1-1759-4D45-A8BF-E5559B335CED}"/>
    <cellStyle name="Normal 17 3 4 2 4 5" xfId="2818" xr:uid="{B5D0F8DC-187F-4A0E-93B4-B44FCF0ECD64}"/>
    <cellStyle name="Normal 17 3 4 2 5" xfId="33918" xr:uid="{0010173D-4D90-4FF1-A64B-017B77E1B871}"/>
    <cellStyle name="Normal 17 3 4 2 5 2" xfId="33920" xr:uid="{4A54F85C-11C8-4EC9-A6BF-2593A8E81BA1}"/>
    <cellStyle name="Normal 17 3 4 2 5 2 2" xfId="33922" xr:uid="{181ED50A-A3ED-4919-A294-5286DDCB7222}"/>
    <cellStyle name="Normal 17 3 4 2 5 2 2 2" xfId="33923" xr:uid="{18E3C14A-D4B5-49FD-A046-9E4BDC2AA3FA}"/>
    <cellStyle name="Normal 17 3 4 2 5 2 3" xfId="33924" xr:uid="{44E60974-35C2-4FF5-9EEA-792F13B65952}"/>
    <cellStyle name="Normal 17 3 4 2 5 3" xfId="33926" xr:uid="{2AEED0FB-063C-4350-996F-FF0B974F3860}"/>
    <cellStyle name="Normal 17 3 4 2 5 3 2" xfId="25818" xr:uid="{F8EFE455-317D-4C64-BB1D-4314CA6BD45C}"/>
    <cellStyle name="Normal 17 3 4 2 5 4" xfId="6488" xr:uid="{C502CD2D-9617-4136-B649-B10609EAA1D8}"/>
    <cellStyle name="Normal 17 3 4 2 6" xfId="33928" xr:uid="{C018E973-0DD9-4045-8C99-67EF31027D16}"/>
    <cellStyle name="Normal 17 3 4 2 6 2" xfId="33930" xr:uid="{69CCF18E-87E1-4113-863C-6429DC805709}"/>
    <cellStyle name="Normal 17 3 4 2 6 2 2" xfId="31201" xr:uid="{0E094CD1-807C-4EB3-AC9C-5F94E81295AC}"/>
    <cellStyle name="Normal 17 3 4 2 6 3" xfId="33931" xr:uid="{5DA7F547-5ECE-4349-8F7B-9390C12D5AD9}"/>
    <cellStyle name="Normal 17 3 4 2 7" xfId="23461" xr:uid="{8BE12958-76B3-43F9-9351-9D3CC8197C6B}"/>
    <cellStyle name="Normal 17 3 4 2 7 2" xfId="23463" xr:uid="{ADDA2612-A53E-47EF-92AE-3525E0A22869}"/>
    <cellStyle name="Normal 17 3 4 2 8" xfId="23467" xr:uid="{569B923E-07C5-4382-85DC-E690DA633541}"/>
    <cellStyle name="Normal 17 3 4 2 9" xfId="28613" xr:uid="{5C5B81FB-705F-4CEF-A21B-F709FB4A1BFE}"/>
    <cellStyle name="Normal 17 3 4 3" xfId="32569" xr:uid="{7663514C-CE2B-4A30-A058-252EF07C565C}"/>
    <cellStyle name="Normal 17 3 4 3 2" xfId="8532" xr:uid="{E55BF564-918D-4E50-A717-3BDE9D3FFBE3}"/>
    <cellStyle name="Normal 17 3 4 3 2 2" xfId="32575" xr:uid="{4E40901A-5205-430B-8CA3-F1971272AB9F}"/>
    <cellStyle name="Normal 17 3 4 3 2 2 2" xfId="33933" xr:uid="{CD6F783F-01D6-4E5E-ABB6-6DA7278C9161}"/>
    <cellStyle name="Normal 17 3 4 3 2 2 2 2" xfId="14976" xr:uid="{F90A8AF7-CA5D-4A91-91D9-8A9A65D16E8D}"/>
    <cellStyle name="Normal 17 3 4 3 2 2 2 2 2" xfId="4008" xr:uid="{AA108653-3329-409C-8A37-4C2AF5FBD8F6}"/>
    <cellStyle name="Normal 17 3 4 3 2 2 2 2 2 2" xfId="4011" xr:uid="{3FEEF5F6-89A7-4269-8AC0-DAFC973B12A4}"/>
    <cellStyle name="Normal 17 3 4 3 2 2 2 2 3" xfId="4033" xr:uid="{B0DD35BE-CDCA-461C-A90B-E1F81E4AD1F3}"/>
    <cellStyle name="Normal 17 3 4 3 2 2 2 3" xfId="4697" xr:uid="{66B6DB11-4DA9-431B-BE9A-F3DAEA7EF5B6}"/>
    <cellStyle name="Normal 17 3 4 3 2 2 2 3 2" xfId="1702" xr:uid="{A858D568-6BCE-4955-A7CF-AF113637F890}"/>
    <cellStyle name="Normal 17 3 4 3 2 2 2 4" xfId="8020" xr:uid="{8D91A1A7-1F1E-4F47-8F38-F9F237D2D180}"/>
    <cellStyle name="Normal 17 3 4 3 2 2 3" xfId="1133" xr:uid="{BFE1EC1A-E8DF-4803-B56A-ACD487A5D503}"/>
    <cellStyle name="Normal 17 3 4 3 2 2 3 2" xfId="14986" xr:uid="{C6C7F690-A8B4-4740-BB8B-B0302A7FE857}"/>
    <cellStyle name="Normal 17 3 4 3 2 2 3 2 2" xfId="5205" xr:uid="{ABB96221-60BC-4CCF-837B-703EB78E2FDE}"/>
    <cellStyle name="Normal 17 3 4 3 2 2 3 3" xfId="8023" xr:uid="{16F3B96E-3B0C-46AA-B040-7B9922CEA79B}"/>
    <cellStyle name="Normal 17 3 4 3 2 2 4" xfId="33935" xr:uid="{03958C60-AF0E-44BC-AE00-7D71C3E3CB5A}"/>
    <cellStyle name="Normal 17 3 4 3 2 2 4 2" xfId="33936" xr:uid="{B695D487-4CE3-45CA-A6E5-F835C995CFBB}"/>
    <cellStyle name="Normal 17 3 4 3 2 2 5" xfId="33937" xr:uid="{03E44CCB-82F5-45C0-8E58-9B834E33D789}"/>
    <cellStyle name="Normal 17 3 4 3 2 3" xfId="33939" xr:uid="{7638548B-1B58-44F3-A788-4B9A4E998718}"/>
    <cellStyle name="Normal 17 3 4 3 2 3 2" xfId="33941" xr:uid="{4DDEE896-AC4A-49EE-A25C-F96E1C4A7D53}"/>
    <cellStyle name="Normal 17 3 4 3 2 3 2 2" xfId="15024" xr:uid="{21679F61-E054-4D2B-A1A1-F4D9D45EE4CD}"/>
    <cellStyle name="Normal 17 3 4 3 2 3 2 2 2" xfId="2813" xr:uid="{C41D22A9-A218-44BE-9AD3-9EA71901A4D3}"/>
    <cellStyle name="Normal 17 3 4 3 2 3 2 3" xfId="8033" xr:uid="{B53C38B9-F1A7-4370-A2D5-67ABC99FF2B2}"/>
    <cellStyle name="Normal 17 3 4 3 2 3 3" xfId="33943" xr:uid="{48D6D5B8-6BED-4750-8D75-68935D4EA9EE}"/>
    <cellStyle name="Normal 17 3 4 3 2 3 3 2" xfId="33944" xr:uid="{AD8BC021-C9AB-4387-B4DA-A4300D9241D3}"/>
    <cellStyle name="Normal 17 3 4 3 2 3 4" xfId="33945" xr:uid="{06E91202-D705-4B76-AB15-1772E72FA383}"/>
    <cellStyle name="Normal 17 3 4 3 2 4" xfId="19965" xr:uid="{7F037917-203E-43A6-9D0E-F41AED9D6550}"/>
    <cellStyle name="Normal 17 3 4 3 2 4 2" xfId="21056" xr:uid="{7ABCFF5F-852D-4C68-8999-F1EDD2B8AD6B}"/>
    <cellStyle name="Normal 17 3 4 3 2 4 2 2" xfId="21059" xr:uid="{3B1525E0-E951-4A40-9623-172D90137ACE}"/>
    <cellStyle name="Normal 17 3 4 3 2 4 3" xfId="21074" xr:uid="{8E451E10-B1AE-4F9D-83D9-0E98BF6A89A5}"/>
    <cellStyle name="Normal 17 3 4 3 2 5" xfId="21093" xr:uid="{030B3CB3-D4F3-4912-B635-F556D1AFFDA6}"/>
    <cellStyle name="Normal 17 3 4 3 2 5 2" xfId="21095" xr:uid="{FBA0D27B-D422-49F3-BA84-07CA45D8EE6D}"/>
    <cellStyle name="Normal 17 3 4 3 2 6" xfId="1604" xr:uid="{E4B1CF43-ABB1-48D0-AE5A-3F332F361082}"/>
    <cellStyle name="Normal 17 3 4 3 2 7" xfId="1609" xr:uid="{7A89B247-6D2B-4E59-8C97-8D9D4924363B}"/>
    <cellStyle name="Normal 17 3 4 3 3" xfId="12762" xr:uid="{26A92CDA-4EBC-40EE-9CD1-9F3558183D7B}"/>
    <cellStyle name="Normal 17 3 4 3 3 2" xfId="33947" xr:uid="{C37C08D5-3833-43AF-890E-CB682C8182B8}"/>
    <cellStyle name="Normal 17 3 4 3 3 2 2" xfId="33949" xr:uid="{82C185AE-0BA2-47BB-BFBE-0F231A9EC0A1}"/>
    <cellStyle name="Normal 17 3 4 3 3 2 2 2" xfId="15116" xr:uid="{4BFE99DB-6AE0-4E3D-ADE9-4EEE89446DD1}"/>
    <cellStyle name="Normal 17 3 4 3 3 2 2 2 2" xfId="11587" xr:uid="{E32CB022-B20F-4778-BE6C-78919BE64D10}"/>
    <cellStyle name="Normal 17 3 4 3 3 2 2 3" xfId="4656" xr:uid="{3F0FDCC9-9CDA-4335-AD5D-EF2D90E8BA39}"/>
    <cellStyle name="Normal 17 3 4 3 3 2 3" xfId="33951" xr:uid="{B9A71272-E97C-4ABB-80F4-9F0246253D0B}"/>
    <cellStyle name="Normal 17 3 4 3 3 2 3 2" xfId="8704" xr:uid="{71CF4CC8-535B-4670-9409-BAA4E29BAC1B}"/>
    <cellStyle name="Normal 17 3 4 3 3 2 4" xfId="33952" xr:uid="{7D514389-7D1C-421D-BA65-3CE83FE333F3}"/>
    <cellStyle name="Normal 17 3 4 3 3 3" xfId="33954" xr:uid="{621CD01D-A9E2-4F97-B327-A19631BAD185}"/>
    <cellStyle name="Normal 17 3 4 3 3 3 2" xfId="33956" xr:uid="{571D57FD-56A4-4F60-BD70-1A1A3DE60EA5}"/>
    <cellStyle name="Normal 17 3 4 3 3 3 2 2" xfId="11235" xr:uid="{0DA6161D-EF00-4070-8228-5533D2344977}"/>
    <cellStyle name="Normal 17 3 4 3 3 3 3" xfId="33957" xr:uid="{6D643270-C192-4C6A-B7F9-888E1088E212}"/>
    <cellStyle name="Normal 17 3 4 3 3 4" xfId="7596" xr:uid="{639D14A7-8363-4A2E-B3E7-61020E947D79}"/>
    <cellStyle name="Normal 17 3 4 3 3 4 2" xfId="7599" xr:uid="{78599CEA-CC93-4147-89FC-DF58AB5381E8}"/>
    <cellStyle name="Normal 17 3 4 3 3 5" xfId="4930" xr:uid="{576F0FD7-B14E-44EB-9D91-110E64F73815}"/>
    <cellStyle name="Normal 17 3 4 3 4" xfId="33959" xr:uid="{3D1AAF19-4561-4B0D-AF4B-9841AFDDD981}"/>
    <cellStyle name="Normal 17 3 4 3 4 2" xfId="33961" xr:uid="{6C6D5A5F-4F99-4CEF-A8A1-496C31AA1CC8}"/>
    <cellStyle name="Normal 17 3 4 3 4 2 2" xfId="33963" xr:uid="{9C31B0DA-9A42-4F2E-8B06-8339AA0B75E4}"/>
    <cellStyle name="Normal 17 3 4 3 4 2 2 2" xfId="33964" xr:uid="{F04FF6AA-B52B-423C-8866-18B754B58954}"/>
    <cellStyle name="Normal 17 3 4 3 4 2 3" xfId="33965" xr:uid="{18B8BD94-8F75-4234-A073-6CB8DC7DC22C}"/>
    <cellStyle name="Normal 17 3 4 3 4 3" xfId="33967" xr:uid="{CBC33299-02A8-4602-BFAE-F7BACB2D5E46}"/>
    <cellStyle name="Normal 17 3 4 3 4 3 2" xfId="33968" xr:uid="{629E2640-98A5-4ED2-9AC1-E163005C4585}"/>
    <cellStyle name="Normal 17 3 4 3 4 4" xfId="7609" xr:uid="{EA7D25F9-3DBD-4138-A0B3-80385AE08DF9}"/>
    <cellStyle name="Normal 17 3 4 3 5" xfId="27341" xr:uid="{EFF1BA8A-621E-4ADA-B1BA-E11B542EAD4C}"/>
    <cellStyle name="Normal 17 3 4 3 5 2" xfId="24304" xr:uid="{40652D0B-7D52-4AA8-8170-629B23BABC8F}"/>
    <cellStyle name="Normal 17 3 4 3 5 2 2" xfId="27344" xr:uid="{6EACDF4D-5688-4449-BB2C-28F6C3A94141}"/>
    <cellStyle name="Normal 17 3 4 3 5 3" xfId="27346" xr:uid="{AA2B7E54-19DA-4635-8692-2F4CB31C4FA8}"/>
    <cellStyle name="Normal 17 3 4 3 6" xfId="27349" xr:uid="{FFBFD27C-A589-4DD1-A626-D792A28E9354}"/>
    <cellStyle name="Normal 17 3 4 3 6 2" xfId="27352" xr:uid="{788F1EBE-980A-4560-A5A1-4853291B39B6}"/>
    <cellStyle name="Normal 17 3 4 3 7" xfId="23472" xr:uid="{9B99F729-2273-40BF-8E56-FF7FCF96DF25}"/>
    <cellStyle name="Normal 17 3 4 3 8" xfId="33969" xr:uid="{0C37EBF4-14BF-44EE-8AEE-AC1727B1F280}"/>
    <cellStyle name="Normal 17 3 4 4" xfId="32579" xr:uid="{4C2EC359-32D6-4068-9ABA-E31EDE6F6028}"/>
    <cellStyle name="Normal 17 3 4 4 2" xfId="32584" xr:uid="{DFFCEF73-1AA9-4130-9D61-89CEE998C3DC}"/>
    <cellStyle name="Normal 17 3 4 4 2 2" xfId="32590" xr:uid="{6C6A1F84-BA49-41D4-B1AE-2D762E9EEDEB}"/>
    <cellStyle name="Normal 17 3 4 4 2 2 2" xfId="33971" xr:uid="{386ACFBB-BFE5-4E78-A245-8BACBECE9AAE}"/>
    <cellStyle name="Normal 17 3 4 4 2 2 2 2" xfId="15362" xr:uid="{B7707122-EF9E-49E5-B164-AE5942A974A6}"/>
    <cellStyle name="Normal 17 3 4 4 2 2 2 2 2" xfId="32529" xr:uid="{8A6E23F9-48BE-4A77-8363-3056A51D93F3}"/>
    <cellStyle name="Normal 17 3 4 4 2 2 2 3" xfId="8082" xr:uid="{35A5D599-81DE-4B6F-8FE5-B90BF116B3EC}"/>
    <cellStyle name="Normal 17 3 4 4 2 2 3" xfId="33973" xr:uid="{B02E48D1-671F-4BF2-915B-2E91BAAFE109}"/>
    <cellStyle name="Normal 17 3 4 4 2 2 3 2" xfId="33976" xr:uid="{E1F2A9A7-6585-4603-83E6-FD51F279C659}"/>
    <cellStyle name="Normal 17 3 4 4 2 2 4" xfId="6459" xr:uid="{0D9E84C2-B3DE-4017-9B07-7EDD3FF26C56}"/>
    <cellStyle name="Normal 17 3 4 4 2 3" xfId="33979" xr:uid="{ABB24767-95A5-446A-9947-763D80DC30BD}"/>
    <cellStyle name="Normal 17 3 4 4 2 3 2" xfId="33983" xr:uid="{287F3D09-844E-4AB4-9B22-23A34DD6C72D}"/>
    <cellStyle name="Normal 17 3 4 4 2 3 2 2" xfId="33989" xr:uid="{FA6BF4A5-A248-477D-B30B-012F305D7E27}"/>
    <cellStyle name="Normal 17 3 4 4 2 3 3" xfId="29910" xr:uid="{09014F49-0526-43EA-9C18-A2B77296BD39}"/>
    <cellStyle name="Normal 17 3 4 4 2 4" xfId="21252" xr:uid="{54D15193-319F-4327-9EB6-805027F21C1F}"/>
    <cellStyle name="Normal 17 3 4 4 2 4 2" xfId="21255" xr:uid="{E9054B31-C591-466F-BE78-9D34EFA66D65}"/>
    <cellStyle name="Normal 17 3 4 4 2 5" xfId="21271" xr:uid="{DFE1FED7-844E-4150-A672-EDD8E43C0948}"/>
    <cellStyle name="Normal 17 3 4 4 3" xfId="32594" xr:uid="{CD69CB95-D07F-4AC0-98FE-C6D9F5A4210B}"/>
    <cellStyle name="Normal 17 3 4 4 3 2" xfId="33991" xr:uid="{4FA69DF5-FAF7-443D-A4B8-76772B28512B}"/>
    <cellStyle name="Normal 17 3 4 4 3 2 2" xfId="33993" xr:uid="{36B4226E-D022-41F5-B21E-1773093EC5C1}"/>
    <cellStyle name="Normal 17 3 4 4 3 2 2 2" xfId="33995" xr:uid="{E5E78470-C1E9-4FE3-972F-124C5DFCBBEA}"/>
    <cellStyle name="Normal 17 3 4 4 3 2 3" xfId="33996" xr:uid="{10E3BD0E-9294-4F2F-B7FF-28D9110CE5E9}"/>
    <cellStyle name="Normal 17 3 4 4 3 3" xfId="33998" xr:uid="{FF43B2E0-5A87-41C6-9786-86083B0D3CF1}"/>
    <cellStyle name="Normal 17 3 4 4 3 3 2" xfId="33999" xr:uid="{D5FBF165-335E-46F9-ABEF-6A989B888378}"/>
    <cellStyle name="Normal 17 3 4 4 3 4" xfId="7620" xr:uid="{CF3251EB-5321-4F24-894C-DF633FB0F78E}"/>
    <cellStyle name="Normal 17 3 4 4 4" xfId="34001" xr:uid="{C718094C-9A12-4DF7-9FDE-DB6C6BAE52FC}"/>
    <cellStyle name="Normal 17 3 4 4 4 2" xfId="7218" xr:uid="{9047570D-1D4D-4687-A928-44E67FC79149}"/>
    <cellStyle name="Normal 17 3 4 4 4 2 2" xfId="34002" xr:uid="{017C6390-14D4-4BAC-BAB8-6909B8206FFF}"/>
    <cellStyle name="Normal 17 3 4 4 4 3" xfId="34003" xr:uid="{4C40AF71-C06F-46E4-BA5C-3CE5985BB03D}"/>
    <cellStyle name="Normal 17 3 4 4 5" xfId="27358" xr:uid="{F227B4D0-05C0-4B59-BEB3-0872C38C41F4}"/>
    <cellStyle name="Normal 17 3 4 4 5 2" xfId="27361" xr:uid="{331D69FC-7477-4923-84AD-CC39A3B52952}"/>
    <cellStyle name="Normal 17 3 4 4 6" xfId="27363" xr:uid="{E156F2F6-B770-481B-8994-361831DE9551}"/>
    <cellStyle name="Normal 17 3 4 4 7" xfId="29441" xr:uid="{172092F4-AD87-4C23-852C-E90D3527F3C1}"/>
    <cellStyle name="Normal 17 3 4 5" xfId="32600" xr:uid="{4E6602B5-79D2-45A9-9E01-E74405CEC16A}"/>
    <cellStyle name="Normal 17 3 4 5 2" xfId="32606" xr:uid="{4735244D-D08F-4148-A47E-B8C77A08402B}"/>
    <cellStyle name="Normal 17 3 4 5 2 2" xfId="32611" xr:uid="{01A82F4B-2F09-4950-81EE-E8291DFD5321}"/>
    <cellStyle name="Normal 17 3 4 5 2 2 2" xfId="34006" xr:uid="{4AC7164E-351F-4D67-AC4F-BB8036CF9A28}"/>
    <cellStyle name="Normal 17 3 4 5 2 2 2 2" xfId="34008" xr:uid="{5C1B6F00-72F0-41A6-89D8-78EEA2E70967}"/>
    <cellStyle name="Normal 17 3 4 5 2 2 3" xfId="34010" xr:uid="{21F79D1D-CBD1-4500-83BA-E9EE51DB68E2}"/>
    <cellStyle name="Normal 17 3 4 5 2 3" xfId="34013" xr:uid="{35C95785-E880-4784-AC69-26A405DC3BCE}"/>
    <cellStyle name="Normal 17 3 4 5 2 3 2" xfId="34015" xr:uid="{3C5D0EB1-8806-4B95-A8A1-252E208C3DEC}"/>
    <cellStyle name="Normal 17 3 4 5 2 4" xfId="21357" xr:uid="{69AADA82-ABC1-40F2-B079-51BFC1FBE3DF}"/>
    <cellStyle name="Normal 17 3 4 5 3" xfId="32616" xr:uid="{2C72EA5E-B609-4CAC-ACEF-49C28F2EF822}"/>
    <cellStyle name="Normal 17 3 4 5 3 2" xfId="34018" xr:uid="{722BCB7C-4045-4541-B997-44639696CE94}"/>
    <cellStyle name="Normal 17 3 4 5 3 2 2" xfId="34020" xr:uid="{E62BBBAF-1B9F-4655-BD7D-14F2FE4158A8}"/>
    <cellStyle name="Normal 17 3 4 5 3 3" xfId="34022" xr:uid="{8350F1C1-E475-4040-96F8-2D59F34F5931}"/>
    <cellStyle name="Normal 17 3 4 5 4" xfId="34025" xr:uid="{40C9D513-D349-4663-A242-AF1B6DC381A3}"/>
    <cellStyle name="Normal 17 3 4 5 4 2" xfId="34027" xr:uid="{3D296CC1-056F-4488-8BAB-F9266E5ECF74}"/>
    <cellStyle name="Normal 17 3 4 5 5" xfId="27369" xr:uid="{93B896FD-DF1A-4B7D-B2A8-B8FDF0D4E08F}"/>
    <cellStyle name="Normal 17 3 4 6" xfId="16458" xr:uid="{BB55E28C-C01B-4C0F-B3C7-0F3FC21CE69A}"/>
    <cellStyle name="Normal 17 3 4 6 2" xfId="32676" xr:uid="{6A83DA2F-D69D-44EE-BC34-BB15D3AFC92A}"/>
    <cellStyle name="Normal 17 3 4 6 2 2" xfId="32681" xr:uid="{D03B22E8-3D10-410B-AF93-E30DA3D025FE}"/>
    <cellStyle name="Normal 17 3 4 6 2 2 2" xfId="8419" xr:uid="{252F16FF-7400-4F51-B465-766F41D4CA36}"/>
    <cellStyle name="Normal 17 3 4 6 2 3" xfId="5545" xr:uid="{A993DC65-0E1C-4748-A08A-F0FEA5D11F14}"/>
    <cellStyle name="Normal 17 3 4 6 3" xfId="32686" xr:uid="{012741DB-D497-4C96-974B-26A9118CA997}"/>
    <cellStyle name="Normal 17 3 4 6 3 2" xfId="34029" xr:uid="{21262410-0715-4BF5-B2FC-F031682CDCF7}"/>
    <cellStyle name="Normal 17 3 4 6 4" xfId="34031" xr:uid="{45DF4615-21AE-4392-B3E8-EEF65DAA569D}"/>
    <cellStyle name="Normal 17 3 4 7" xfId="32690" xr:uid="{AFAE8EF5-8925-48CE-886C-BE8A66916C7C}"/>
    <cellStyle name="Normal 17 3 4 7 2" xfId="29312" xr:uid="{1000747A-A67F-4ABA-992A-15D88C3EBAE4}"/>
    <cellStyle name="Normal 17 3 4 7 2 2" xfId="888" xr:uid="{B8F46B16-B103-44AF-A026-3FBD139F37DA}"/>
    <cellStyle name="Normal 17 3 4 7 3" xfId="29316" xr:uid="{7E6E42DA-83AF-490A-B3D3-868491691E35}"/>
    <cellStyle name="Normal 17 3 4 8" xfId="32695" xr:uid="{1846A396-570F-4C3B-875B-B4739EE895ED}"/>
    <cellStyle name="Normal 17 3 4 8 2" xfId="29354" xr:uid="{7C229668-3790-46C1-941E-B3DA0915CD22}"/>
    <cellStyle name="Normal 17 3 4 9" xfId="30400" xr:uid="{51E5470A-B97F-4C46-8245-F7ACA6F84C22}"/>
    <cellStyle name="Normal 17 3 5" xfId="2565" xr:uid="{84E2C4B8-4588-472F-8B3A-C5E10DA6F054}"/>
    <cellStyle name="Normal 17 3 5 2" xfId="2579" xr:uid="{C3E1E8A2-B4D1-4C7A-AD32-86A8AD2C9FD9}"/>
    <cellStyle name="Normal 17 3 5 2 2" xfId="2590" xr:uid="{96BE9214-014B-4060-869E-6EED015BA4D5}"/>
    <cellStyle name="Normal 17 3 5 2 2 2" xfId="7577" xr:uid="{3128C0C4-A586-4473-8651-FB02933EBC3A}"/>
    <cellStyle name="Normal 17 3 5 2 2 2 2" xfId="34033" xr:uid="{DFE4D9AE-F01A-4949-924A-DF85CFFF4D71}"/>
    <cellStyle name="Normal 17 3 5 2 2 2 2 2" xfId="34035" xr:uid="{76EDE49A-0418-4335-A61D-7C2D3A4597BA}"/>
    <cellStyle name="Normal 17 3 5 2 2 2 2 2 2" xfId="34037" xr:uid="{B099B401-BB2F-4171-9289-41ABA331D24A}"/>
    <cellStyle name="Normal 17 3 5 2 2 2 2 2 2 2" xfId="34038" xr:uid="{6BE2A2CB-7F75-409E-ADC5-56F197151A5F}"/>
    <cellStyle name="Normal 17 3 5 2 2 2 2 2 3" xfId="14310" xr:uid="{60C711C3-098E-4BB2-96DF-F0713BCEE4A8}"/>
    <cellStyle name="Normal 17 3 5 2 2 2 2 3" xfId="34041" xr:uid="{4ACCE453-9E4B-4BA7-985C-9E3452557FFD}"/>
    <cellStyle name="Normal 17 3 5 2 2 2 2 3 2" xfId="34043" xr:uid="{3CD4C26B-11F2-45A3-BD9C-C6014E7D5430}"/>
    <cellStyle name="Normal 17 3 5 2 2 2 2 4" xfId="16476" xr:uid="{09592204-22F3-45D2-8AEB-A7FDE81A7560}"/>
    <cellStyle name="Normal 17 3 5 2 2 2 3" xfId="34045" xr:uid="{391DBA04-06C7-4331-9153-8B53DD7745AA}"/>
    <cellStyle name="Normal 17 3 5 2 2 2 3 2" xfId="34047" xr:uid="{7C8D84A6-B353-485A-812D-C6F66B78388D}"/>
    <cellStyle name="Normal 17 3 5 2 2 2 3 2 2" xfId="34048" xr:uid="{6B6DE9F0-A349-4206-8279-A449FC80D516}"/>
    <cellStyle name="Normal 17 3 5 2 2 2 3 3" xfId="34050" xr:uid="{EA64E816-FA58-4626-AB57-399223028FA3}"/>
    <cellStyle name="Normal 17 3 5 2 2 2 4" xfId="34052" xr:uid="{0247EEC5-87D2-432A-B2F0-068621DBA5F2}"/>
    <cellStyle name="Normal 17 3 5 2 2 2 4 2" xfId="34053" xr:uid="{D6BDD979-63F1-41CD-8757-36759682B70C}"/>
    <cellStyle name="Normal 17 3 5 2 2 2 5" xfId="26349" xr:uid="{72CDFB73-868E-4543-8836-6E2246E06753}"/>
    <cellStyle name="Normal 17 3 5 2 2 3" xfId="34055" xr:uid="{9BF35F6A-0DEC-41EC-AB6F-49A62E94EB0B}"/>
    <cellStyle name="Normal 17 3 5 2 2 3 2" xfId="34057" xr:uid="{04F75DFD-22CC-4964-846C-9737F9DA2E7A}"/>
    <cellStyle name="Normal 17 3 5 2 2 3 2 2" xfId="34059" xr:uid="{5927AAA3-37EB-4A56-A771-610976BCAC0D}"/>
    <cellStyle name="Normal 17 3 5 2 2 3 2 2 2" xfId="2136" xr:uid="{344F747E-EF95-4FF8-AE9D-85F9D66FA0F4}"/>
    <cellStyle name="Normal 17 3 5 2 2 3 2 3" xfId="34060" xr:uid="{6EF43166-9861-4DA5-8792-1AE03A6A0685}"/>
    <cellStyle name="Normal 17 3 5 2 2 3 3" xfId="34062" xr:uid="{EF42B6E5-2D19-4AD7-B96F-B0E924173FCF}"/>
    <cellStyle name="Normal 17 3 5 2 2 3 3 2" xfId="34063" xr:uid="{0B511796-61EB-4660-A997-8E06BACB44A5}"/>
    <cellStyle name="Normal 17 3 5 2 2 3 4" xfId="34064" xr:uid="{91FBDB9B-1A5E-4EF6-B59D-FA8A32E4AE22}"/>
    <cellStyle name="Normal 17 3 5 2 2 4" xfId="20021" xr:uid="{8B562E92-F261-440C-8FE9-FED076DEAB88}"/>
    <cellStyle name="Normal 17 3 5 2 2 4 2" xfId="22519" xr:uid="{99DD607D-304C-4600-A1E7-EEFBA2378DED}"/>
    <cellStyle name="Normal 17 3 5 2 2 4 2 2" xfId="34065" xr:uid="{F58B8446-6BE6-4796-A964-C127249018B0}"/>
    <cellStyle name="Normal 17 3 5 2 2 4 3" xfId="34066" xr:uid="{A2C4DD90-F08D-4E2E-896D-226388D32541}"/>
    <cellStyle name="Normal 17 3 5 2 2 5" xfId="34068" xr:uid="{22870A21-2C88-41B7-8146-7272F0BFF87A}"/>
    <cellStyle name="Normal 17 3 5 2 2 5 2" xfId="34069" xr:uid="{6F272358-1962-4525-9C15-5DDB8C93F7DD}"/>
    <cellStyle name="Normal 17 3 5 2 2 6" xfId="34070" xr:uid="{DFB752E3-05F9-4AAD-BA01-C4FDA0B2EEC0}"/>
    <cellStyle name="Normal 17 3 5 2 2 7" xfId="4333" xr:uid="{C5C84079-A27C-42EA-8C0A-F18100C87165}"/>
    <cellStyle name="Normal 17 3 5 2 3" xfId="2599" xr:uid="{AB8D18DE-92A0-4927-AE2C-411FE4A72AC6}"/>
    <cellStyle name="Normal 17 3 5 2 3 2" xfId="34072" xr:uid="{668B1C13-667C-4B48-BA2F-8DD9E1D8C7D4}"/>
    <cellStyle name="Normal 17 3 5 2 3 2 2" xfId="34074" xr:uid="{DAFC59B8-3023-4F87-B69C-F79E0F92E9C4}"/>
    <cellStyle name="Normal 17 3 5 2 3 2 2 2" xfId="34076" xr:uid="{D9411892-55EF-42ED-8008-6A8BE148AD5F}"/>
    <cellStyle name="Normal 17 3 5 2 3 2 2 2 2" xfId="6628" xr:uid="{BA44DE3F-90DB-4C10-B912-D1D6F7977666}"/>
    <cellStyle name="Normal 17 3 5 2 3 2 2 3" xfId="34077" xr:uid="{9AF3B6BE-5282-46E8-A4D6-A3A87AE04D24}"/>
    <cellStyle name="Normal 17 3 5 2 3 2 3" xfId="34079" xr:uid="{1333C884-2EBB-476E-8C63-FCC52924E852}"/>
    <cellStyle name="Normal 17 3 5 2 3 2 3 2" xfId="8971" xr:uid="{5EA95AB4-3BD0-4A64-8AB9-1A00016359FA}"/>
    <cellStyle name="Normal 17 3 5 2 3 2 4" xfId="34080" xr:uid="{9F42613D-F01C-4365-99F0-B52B2B309082}"/>
    <cellStyle name="Normal 17 3 5 2 3 3" xfId="34082" xr:uid="{8EAFA041-6348-4493-9B9A-2727D58F1D5D}"/>
    <cellStyle name="Normal 17 3 5 2 3 3 2" xfId="34084" xr:uid="{6F60DF87-E252-4EF1-9475-0C8654F2C603}"/>
    <cellStyle name="Normal 17 3 5 2 3 3 2 2" xfId="34085" xr:uid="{F6FD2161-7212-48A0-A0A4-0D3CA1A750BF}"/>
    <cellStyle name="Normal 17 3 5 2 3 3 3" xfId="24246" xr:uid="{B93AF5A4-25F0-4E85-B4CD-39F0298949D1}"/>
    <cellStyle name="Normal 17 3 5 2 3 4" xfId="7808" xr:uid="{4E871623-069C-43F6-8A53-B72105CAD527}"/>
    <cellStyle name="Normal 17 3 5 2 3 4 2" xfId="1288" xr:uid="{DE1ADDBA-E6E3-487A-8EAB-E219FE8A0AED}"/>
    <cellStyle name="Normal 17 3 5 2 3 5" xfId="4355" xr:uid="{469387E3-2804-4AA9-A69B-04E1DC2E938C}"/>
    <cellStyle name="Normal 17 3 5 2 4" xfId="34087" xr:uid="{2C5D7471-809C-40AC-90A3-8B1AEE18560F}"/>
    <cellStyle name="Normal 17 3 5 2 4 2" xfId="34089" xr:uid="{BA488EF1-580B-42C3-837D-E015D066AA4C}"/>
    <cellStyle name="Normal 17 3 5 2 4 2 2" xfId="34091" xr:uid="{0DAEFB9E-F31D-4536-A669-9C6693DB08DC}"/>
    <cellStyle name="Normal 17 3 5 2 4 2 2 2" xfId="10948" xr:uid="{B803BB90-09E1-4FD7-9E6D-53C7B3797A8F}"/>
    <cellStyle name="Normal 17 3 5 2 4 2 3" xfId="34092" xr:uid="{1FAE0FC1-90F8-4E71-9A1E-DE216FA875B2}"/>
    <cellStyle name="Normal 17 3 5 2 4 3" xfId="34094" xr:uid="{9B2C1630-6FEF-44E5-9260-386B51FBD237}"/>
    <cellStyle name="Normal 17 3 5 2 4 3 2" xfId="34095" xr:uid="{88B0A63D-548A-4E30-BE32-F971602380DC}"/>
    <cellStyle name="Normal 17 3 5 2 4 4" xfId="7812" xr:uid="{3864C88B-8A84-4CD5-B75F-C3925C55DED9}"/>
    <cellStyle name="Normal 17 3 5 2 5" xfId="34097" xr:uid="{FCDE00C4-B576-4AD5-8ED8-AD20DD6918B8}"/>
    <cellStyle name="Normal 17 3 5 2 5 2" xfId="28007" xr:uid="{BA7B182E-CAB8-4F0E-8877-0874B9664C56}"/>
    <cellStyle name="Normal 17 3 5 2 5 2 2" xfId="28010" xr:uid="{D920C223-7C45-4D2D-85B2-268DB3519EB1}"/>
    <cellStyle name="Normal 17 3 5 2 5 3" xfId="28012" xr:uid="{F331069F-791A-4EF6-A123-ED57B24F311C}"/>
    <cellStyle name="Normal 17 3 5 2 6" xfId="34099" xr:uid="{3CE43012-BCEB-4834-B218-6D9D4C931EC5}"/>
    <cellStyle name="Normal 17 3 5 2 6 2" xfId="28042" xr:uid="{81322174-3159-48CD-9A8C-AC92C9C5B75B}"/>
    <cellStyle name="Normal 17 3 5 2 7" xfId="23478" xr:uid="{FAB70435-21BE-43D5-AC0F-F8D28A3EBEDF}"/>
    <cellStyle name="Normal 17 3 5 2 8" xfId="34100" xr:uid="{74672DAD-7F09-4946-894D-A551D2BDDB11}"/>
    <cellStyle name="Normal 17 3 5 3" xfId="2613" xr:uid="{1ADA41CB-5B25-4704-B35D-7CA60718E2B6}"/>
    <cellStyle name="Normal 17 3 5 3 2" xfId="7584" xr:uid="{C7581856-E5A6-4EDC-AA6C-EB529E16E971}"/>
    <cellStyle name="Normal 17 3 5 3 2 2" xfId="34106" xr:uid="{C80C59C8-4135-47F5-9BFA-B549D0C53BDD}"/>
    <cellStyle name="Normal 17 3 5 3 2 2 2" xfId="33343" xr:uid="{A13E2DD4-5774-4B42-BCC4-2B867C3EBF0C}"/>
    <cellStyle name="Normal 17 3 5 3 2 2 2 2" xfId="17315" xr:uid="{D195A757-D5F3-44F3-AA50-386D360C3652}"/>
    <cellStyle name="Normal 17 3 5 3 2 2 2 2 2" xfId="15903" xr:uid="{80C4920C-0402-4102-8A88-2AC4BB2C9947}"/>
    <cellStyle name="Normal 17 3 5 3 2 2 2 3" xfId="6647" xr:uid="{956BA342-ADC7-4BEF-AAB4-D0EE398F994D}"/>
    <cellStyle name="Normal 17 3 5 3 2 2 3" xfId="34108" xr:uid="{899611A8-8085-49FA-A964-A45B92029D17}"/>
    <cellStyle name="Normal 17 3 5 3 2 2 3 2" xfId="17556" xr:uid="{756F76F0-4F42-4583-A673-088752B5C15B}"/>
    <cellStyle name="Normal 17 3 5 3 2 2 4" xfId="34109" xr:uid="{C6A96B81-D9D8-46ED-BB92-44EB4485297C}"/>
    <cellStyle name="Normal 17 3 5 3 2 3" xfId="34111" xr:uid="{119A9712-6E63-4AAC-A52B-37190CA6B473}"/>
    <cellStyle name="Normal 17 3 5 3 2 3 2" xfId="34113" xr:uid="{1DC20CD1-773A-414C-AAD7-6EA43A86B89B}"/>
    <cellStyle name="Normal 17 3 5 3 2 3 2 2" xfId="25576" xr:uid="{AFAF4D6D-E6FF-4A45-A6F1-4866587769E2}"/>
    <cellStyle name="Normal 17 3 5 3 2 3 3" xfId="34114" xr:uid="{0875DFBF-314B-4469-9B6C-14A9CBDA9146}"/>
    <cellStyle name="Normal 17 3 5 3 2 4" xfId="21519" xr:uid="{BF5473CB-5747-4767-A106-23162965968C}"/>
    <cellStyle name="Normal 17 3 5 3 2 4 2" xfId="21521" xr:uid="{A5C184F7-E82D-4232-B683-E440ED133CF5}"/>
    <cellStyle name="Normal 17 3 5 3 2 5" xfId="21538" xr:uid="{31383399-5F2B-4206-B0BB-6DBE45B89386}"/>
    <cellStyle name="Normal 17 3 5 3 3" xfId="34120" xr:uid="{E5B34EFE-AE9E-4406-8A9F-9760D32B095F}"/>
    <cellStyle name="Normal 17 3 5 3 3 2" xfId="34122" xr:uid="{C10AB561-6FDA-41B0-B2D4-5390BAD10802}"/>
    <cellStyle name="Normal 17 3 5 3 3 2 2" xfId="34124" xr:uid="{1A8A68BE-66A7-4B6F-A4B4-5D68C825C953}"/>
    <cellStyle name="Normal 17 3 5 3 3 2 2 2" xfId="34125" xr:uid="{70CCCCBA-6A3B-4E1C-9B66-332689F1E3FF}"/>
    <cellStyle name="Normal 17 3 5 3 3 2 3" xfId="34126" xr:uid="{FE381173-49C7-4B12-A791-611C038043F5}"/>
    <cellStyle name="Normal 17 3 5 3 3 3" xfId="34128" xr:uid="{751EF0E6-6BF4-4B23-9FC8-881B622508A1}"/>
    <cellStyle name="Normal 17 3 5 3 3 3 2" xfId="34129" xr:uid="{173F2C03-118D-4115-B6AF-AC4138AA7DCE}"/>
    <cellStyle name="Normal 17 3 5 3 3 4" xfId="4062" xr:uid="{A0E56927-5906-4C5D-80DC-ED65E5090C90}"/>
    <cellStyle name="Normal 17 3 5 3 4" xfId="34131" xr:uid="{CEAD3CF8-68B9-4A07-8A32-E297DEE1523C}"/>
    <cellStyle name="Normal 17 3 5 3 4 2" xfId="34133" xr:uid="{08474042-B7F6-40C2-9510-44DF70FF80AB}"/>
    <cellStyle name="Normal 17 3 5 3 4 2 2" xfId="34134" xr:uid="{3C9CFC30-F0E4-48D9-AFAF-D1A083815639}"/>
    <cellStyle name="Normal 17 3 5 3 4 3" xfId="34135" xr:uid="{8913153C-5C77-4C0A-8CA7-6EB2079CD414}"/>
    <cellStyle name="Normal 17 3 5 3 5" xfId="27375" xr:uid="{AAD9D13E-8557-46E5-894B-C0C015FF61B5}"/>
    <cellStyle name="Normal 17 3 5 3 5 2" xfId="27378" xr:uid="{41663F86-1BAD-46E4-8428-F309195E808F}"/>
    <cellStyle name="Normal 17 3 5 3 6" xfId="27381" xr:uid="{E56D4F3D-F34A-4DC2-A0AA-F52699B69D33}"/>
    <cellStyle name="Normal 17 3 5 3 7" xfId="34136" xr:uid="{EDBA9161-0F70-4DF5-AE28-083CA8314A0B}"/>
    <cellStyle name="Normal 17 3 5 4" xfId="2623" xr:uid="{3C7B7A27-3C88-48E9-B167-1B9E2FFD7883}"/>
    <cellStyle name="Normal 17 3 5 4 2" xfId="34142" xr:uid="{071CDBBA-3AC1-441F-BE81-1940A9E8B267}"/>
    <cellStyle name="Normal 17 3 5 4 2 2" xfId="34148" xr:uid="{F9D2EE4B-0B0D-458E-A963-B22A398EF850}"/>
    <cellStyle name="Normal 17 3 5 4 2 2 2" xfId="20535" xr:uid="{9F9EA372-E42D-4D28-942E-0F3D2D572E8F}"/>
    <cellStyle name="Normal 17 3 5 4 2 2 2 2" xfId="20543" xr:uid="{A53BE8B5-60CA-464D-BD3B-9998E20B1E87}"/>
    <cellStyle name="Normal 17 3 5 4 2 2 3" xfId="2165" xr:uid="{9B66F831-B0B7-42A6-81E9-331020B51B57}"/>
    <cellStyle name="Normal 17 3 5 4 2 3" xfId="34150" xr:uid="{654EE457-CB19-44E5-85EF-DC252CDE252D}"/>
    <cellStyle name="Normal 17 3 5 4 2 3 2" xfId="20608" xr:uid="{6A38399C-9B36-48B4-B50C-945956DF8E25}"/>
    <cellStyle name="Normal 17 3 5 4 2 4" xfId="21617" xr:uid="{8DAFBF51-91A5-4275-BBE2-056381592B2E}"/>
    <cellStyle name="Normal 17 3 5 4 3" xfId="34156" xr:uid="{C4FB947C-583D-44E3-B7F7-48E011443DE2}"/>
    <cellStyle name="Normal 17 3 5 4 3 2" xfId="34158" xr:uid="{6BC34C83-2647-4BE4-82D8-50E579332670}"/>
    <cellStyle name="Normal 17 3 5 4 3 2 2" xfId="20778" xr:uid="{83565395-7761-40CE-9103-1491D92BF5B5}"/>
    <cellStyle name="Normal 17 3 5 4 3 3" xfId="34159" xr:uid="{2BCDC3D4-49D2-427B-91BE-ADB152962BCC}"/>
    <cellStyle name="Normal 17 3 5 4 4" xfId="34161" xr:uid="{2A7FF09C-4A9F-430A-B728-C3FD043354D7}"/>
    <cellStyle name="Normal 17 3 5 4 4 2" xfId="34162" xr:uid="{78D072C6-2FB5-43A5-B57F-A838EB9CB947}"/>
    <cellStyle name="Normal 17 3 5 4 5" xfId="7871" xr:uid="{5A0E2FB1-6555-4840-9D5F-BD2A7945B5EF}"/>
    <cellStyle name="Normal 17 3 5 5" xfId="34169" xr:uid="{832FFE23-AA77-447D-BD18-33B8F7E92283}"/>
    <cellStyle name="Normal 17 3 5 5 2" xfId="34175" xr:uid="{AF9B1D3F-ED0F-4E7E-A4CE-C6B51441C4BA}"/>
    <cellStyle name="Normal 17 3 5 5 2 2" xfId="34181" xr:uid="{3D3E5326-04DE-4BB7-8847-15EB0F3441CC}"/>
    <cellStyle name="Normal 17 3 5 5 2 2 2" xfId="7625" xr:uid="{5F9FB44B-40A2-492E-8AF1-F8D70441DB08}"/>
    <cellStyle name="Normal 17 3 5 5 2 3" xfId="34182" xr:uid="{3C36C113-28AD-4466-9BE0-BB5558FB68E5}"/>
    <cellStyle name="Normal 17 3 5 5 3" xfId="34188" xr:uid="{BDAB8BFD-F18A-4A8C-A22E-378FCE23374C}"/>
    <cellStyle name="Normal 17 3 5 5 3 2" xfId="34189" xr:uid="{959DA4BF-8395-4DC6-B1BF-5E78BA4E825B}"/>
    <cellStyle name="Normal 17 3 5 5 4" xfId="34190" xr:uid="{A540F132-34EF-422A-845E-B834BB33440F}"/>
    <cellStyle name="Normal 17 3 5 6" xfId="34196" xr:uid="{E5672574-9F4E-4D7F-9B41-030684692C5C}"/>
    <cellStyle name="Normal 17 3 5 6 2" xfId="34202" xr:uid="{098EF549-6A15-4521-A601-E778360B03F6}"/>
    <cellStyle name="Normal 17 3 5 6 2 2" xfId="4439" xr:uid="{724DBD2A-2694-4370-97F4-22F5F5FB86B0}"/>
    <cellStyle name="Normal 17 3 5 6 3" xfId="34207" xr:uid="{02E4740C-5DDF-412A-8EAC-502E5924A74D}"/>
    <cellStyle name="Normal 17 3 5 7" xfId="34213" xr:uid="{F68A365A-92D6-469F-BFD8-379F377FCE19}"/>
    <cellStyle name="Normal 17 3 5 7 2" xfId="29432" xr:uid="{4B17B83A-FDAF-4F7C-A9E8-14C150B9AC8F}"/>
    <cellStyle name="Normal 17 3 5 8" xfId="34222" xr:uid="{7538391A-5E14-487E-9E05-688676665CE1}"/>
    <cellStyle name="Normal 17 3 5 9" xfId="20453" xr:uid="{302DA832-4910-4FA7-B109-7D15BF1854D5}"/>
    <cellStyle name="Normal 17 3 6" xfId="2628" xr:uid="{3521BE96-1D8E-467E-A517-4DF4D76D0DEB}"/>
    <cellStyle name="Normal 17 3 6 2" xfId="2638" xr:uid="{CB48D371-2595-40B4-83DE-5077F0F638DF}"/>
    <cellStyle name="Normal 17 3 6 2 2" xfId="2650" xr:uid="{ED9EED18-5E46-4B0C-B7DF-AF75282354DC}"/>
    <cellStyle name="Normal 17 3 6 2 2 2" xfId="34224" xr:uid="{CF9023DD-D789-4A92-8CA2-A919AF64134E}"/>
    <cellStyle name="Normal 17 3 6 2 2 2 2" xfId="34226" xr:uid="{5D6DD5E2-D88D-466B-B851-8075A9C0D66D}"/>
    <cellStyle name="Normal 17 3 6 2 2 2 2 2" xfId="15813" xr:uid="{3B017560-3FE1-4C5F-AA21-2DDD5A31D765}"/>
    <cellStyle name="Normal 17 3 6 2 2 2 2 2 2" xfId="15815" xr:uid="{49B4199D-338E-4796-872B-3DD2E9423F65}"/>
    <cellStyle name="Normal 17 3 6 2 2 2 2 3" xfId="15818" xr:uid="{C92ECBC5-D29E-4B41-86C1-1E79D5D0F097}"/>
    <cellStyle name="Normal 17 3 6 2 2 2 3" xfId="34228" xr:uid="{BCD469E3-7227-471B-99B2-44DFF84B1B6A}"/>
    <cellStyle name="Normal 17 3 6 2 2 2 3 2" xfId="15828" xr:uid="{C668ED87-603A-4EE3-9AE6-A91527CA5A3A}"/>
    <cellStyle name="Normal 17 3 6 2 2 2 4" xfId="34229" xr:uid="{E92E5F37-7A7C-421A-9D5E-17F2B3D07C7B}"/>
    <cellStyle name="Normal 17 3 6 2 2 3" xfId="34231" xr:uid="{3FCF54D5-1F8A-4AC2-A222-228D20965B12}"/>
    <cellStyle name="Normal 17 3 6 2 2 3 2" xfId="34233" xr:uid="{10FB0F48-4D58-46A2-9D0C-33399222C922}"/>
    <cellStyle name="Normal 17 3 6 2 2 3 2 2" xfId="15853" xr:uid="{D10E463F-FB88-42E8-A975-E1DD13CA1D70}"/>
    <cellStyle name="Normal 17 3 6 2 2 3 3" xfId="34234" xr:uid="{28812C7C-F93D-48C1-89BA-243113CE5D15}"/>
    <cellStyle name="Normal 17 3 6 2 2 4" xfId="30862" xr:uid="{0AEF62F6-3872-425A-88D1-89C388CD54C5}"/>
    <cellStyle name="Normal 17 3 6 2 2 4 2" xfId="34235" xr:uid="{578B86BA-2588-4157-9F1F-668089215997}"/>
    <cellStyle name="Normal 17 3 6 2 2 5" xfId="26641" xr:uid="{F980044D-FC75-4EE6-90E6-108E4CF89A85}"/>
    <cellStyle name="Normal 17 3 6 2 3" xfId="34237" xr:uid="{45AC420A-348E-4680-A155-CAED3C5452D2}"/>
    <cellStyle name="Normal 17 3 6 2 3 2" xfId="18934" xr:uid="{BBE6D918-9589-4C19-90E0-624641ADE39E}"/>
    <cellStyle name="Normal 17 3 6 2 3 2 2" xfId="34239" xr:uid="{FD99E2D7-8966-43C7-A0FD-984B6C390012}"/>
    <cellStyle name="Normal 17 3 6 2 3 2 2 2" xfId="15942" xr:uid="{D7A002EC-0FF7-4458-8608-09D886B7C053}"/>
    <cellStyle name="Normal 17 3 6 2 3 2 3" xfId="34240" xr:uid="{EC0A0D27-567F-4C2D-A17A-57CF65A075B8}"/>
    <cellStyle name="Normal 17 3 6 2 3 3" xfId="18944" xr:uid="{ECDC9B5F-BD84-4E66-BFA4-167A539CA81B}"/>
    <cellStyle name="Normal 17 3 6 2 3 3 2" xfId="34241" xr:uid="{0B0D724A-5679-481D-9E69-ACE8A558ECC4}"/>
    <cellStyle name="Normal 17 3 6 2 3 4" xfId="7863" xr:uid="{7AA26211-8DDC-4146-988F-672082EE2D05}"/>
    <cellStyle name="Normal 17 3 6 2 4" xfId="34243" xr:uid="{84761433-AC8C-415C-9CD7-686755239ED4}"/>
    <cellStyle name="Normal 17 3 6 2 4 2" xfId="19105" xr:uid="{1B6AC3A2-CF82-4EDE-85A5-6B70FBDAC91B}"/>
    <cellStyle name="Normal 17 3 6 2 4 2 2" xfId="34244" xr:uid="{422D871E-8F76-4F2D-8ED3-13FB28CB3AFA}"/>
    <cellStyle name="Normal 17 3 6 2 4 3" xfId="19108" xr:uid="{38DD37AC-7D78-438C-8E6E-67647765F618}"/>
    <cellStyle name="Normal 17 3 6 2 5" xfId="34248" xr:uid="{AD7360F9-5DB2-4E90-8391-7EB70E923EFA}"/>
    <cellStyle name="Normal 17 3 6 2 5 2" xfId="28167" xr:uid="{B87BEE74-977A-4941-8BDF-B1B8429EA2CD}"/>
    <cellStyle name="Normal 17 3 6 2 6" xfId="34251" xr:uid="{9A5740A5-23C3-4572-94F9-8DE10B44F2DE}"/>
    <cellStyle name="Normal 17 3 6 2 7" xfId="34255" xr:uid="{15FE9ABE-6B28-449C-A98F-A19C65163D66}"/>
    <cellStyle name="Normal 17 3 6 3" xfId="2654" xr:uid="{A21BC00E-05C3-45F5-919A-C189B0256453}"/>
    <cellStyle name="Normal 17 3 6 3 2" xfId="34257" xr:uid="{C4B94375-E168-4712-9EA8-2E8A71117D35}"/>
    <cellStyle name="Normal 17 3 6 3 2 2" xfId="34259" xr:uid="{FA2DD542-47A4-4C3B-9335-D49C5B26DEB8}"/>
    <cellStyle name="Normal 17 3 6 3 2 2 2" xfId="34261" xr:uid="{0437B46F-F215-4318-81ED-139699C88BC8}"/>
    <cellStyle name="Normal 17 3 6 3 2 2 2 2" xfId="16067" xr:uid="{CC332977-4870-4341-B6BA-7F663E180FB9}"/>
    <cellStyle name="Normal 17 3 6 3 2 2 3" xfId="34263" xr:uid="{CD993738-82AC-48AE-B53C-B92614AA7CCA}"/>
    <cellStyle name="Normal 17 3 6 3 2 3" xfId="34265" xr:uid="{4F0938C9-B519-472D-AFFE-E7463335F932}"/>
    <cellStyle name="Normal 17 3 6 3 2 3 2" xfId="34266" xr:uid="{7655ABAD-4870-4946-86F9-7D6D7879E5C2}"/>
    <cellStyle name="Normal 17 3 6 3 2 4" xfId="21787" xr:uid="{D56B4E28-DD42-429C-AFE3-C868EED421D4}"/>
    <cellStyle name="Normal 17 3 6 3 3" xfId="34268" xr:uid="{1AED627D-F193-45BA-AF5C-A1BB3F084DC7}"/>
    <cellStyle name="Normal 17 3 6 3 3 2" xfId="34270" xr:uid="{A4265E5A-B31C-4051-A2A5-ABD7BCE7391A}"/>
    <cellStyle name="Normal 17 3 6 3 3 2 2" xfId="34271" xr:uid="{77E02568-0BD1-49E7-8E32-200D084F2C76}"/>
    <cellStyle name="Normal 17 3 6 3 3 3" xfId="34272" xr:uid="{0B3C7365-C2F0-464A-930D-BC526348AE3E}"/>
    <cellStyle name="Normal 17 3 6 3 4" xfId="34274" xr:uid="{53F50355-E50C-4910-9EB4-ECE930C4F3EF}"/>
    <cellStyle name="Normal 17 3 6 3 4 2" xfId="34275" xr:uid="{E45F6CCA-5EC6-4E97-925F-240C3A13B571}"/>
    <cellStyle name="Normal 17 3 6 3 5" xfId="27387" xr:uid="{3FA69681-18C4-4260-90FB-44189744CFA5}"/>
    <cellStyle name="Normal 17 3 6 4" xfId="34277" xr:uid="{9853626F-B72F-46E1-9149-E8CF591744E1}"/>
    <cellStyle name="Normal 17 3 6 4 2" xfId="34279" xr:uid="{10392E7E-2DAA-4011-9D02-47BC0067837F}"/>
    <cellStyle name="Normal 17 3 6 4 2 2" xfId="34281" xr:uid="{C1F0831D-0AF1-4717-AEDC-6BD60C4CF54A}"/>
    <cellStyle name="Normal 17 3 6 4 2 2 2" xfId="34282" xr:uid="{F3D4EDF6-6AB9-461D-85CD-BA34649D3158}"/>
    <cellStyle name="Normal 17 3 6 4 2 3" xfId="34283" xr:uid="{40367F11-65EA-4BA8-8599-4320E183314D}"/>
    <cellStyle name="Normal 17 3 6 4 3" xfId="34285" xr:uid="{3694D971-3BAF-4B59-B0CB-8644281869D5}"/>
    <cellStyle name="Normal 17 3 6 4 3 2" xfId="34286" xr:uid="{70104064-6A21-4BD8-8D12-48E3F4ACC5BB}"/>
    <cellStyle name="Normal 17 3 6 4 4" xfId="34287" xr:uid="{8F1C4BDD-F811-410E-956A-EB46130670F7}"/>
    <cellStyle name="Normal 17 3 6 5" xfId="34290" xr:uid="{692BC66F-CF73-4CDD-953E-F2B7EDE7D5A4}"/>
    <cellStyle name="Normal 17 3 6 5 2" xfId="34293" xr:uid="{A48C470A-17DB-45D8-A95D-4C5C49F6CE39}"/>
    <cellStyle name="Normal 17 3 6 5 2 2" xfId="34295" xr:uid="{AF42C2C1-2A0D-4735-A211-13889EAEE5CF}"/>
    <cellStyle name="Normal 17 3 6 5 3" xfId="34297" xr:uid="{A9BB7921-83E1-4392-AD3A-B1F7AADD85A9}"/>
    <cellStyle name="Normal 17 3 6 6" xfId="34300" xr:uid="{35CEC986-2AD6-4242-803E-9998740951D1}"/>
    <cellStyle name="Normal 17 3 6 6 2" xfId="34302" xr:uid="{B55E3595-1782-45B4-9A59-43D4F2AB7A93}"/>
    <cellStyle name="Normal 17 3 6 7" xfId="34305" xr:uid="{A5ABFEB1-630E-40B8-B77D-993636141961}"/>
    <cellStyle name="Normal 17 3 6 8" xfId="72" xr:uid="{20685A6F-778E-40CC-BC70-2AF3A8B81BAA}"/>
    <cellStyle name="Normal 17 3 7" xfId="2659" xr:uid="{3CB5A564-8A87-4810-97FC-90ADBC09F092}"/>
    <cellStyle name="Normal 17 3 7 2" xfId="2668" xr:uid="{70606AFD-FF6B-4C67-BEE8-5BCCA805EFBF}"/>
    <cellStyle name="Normal 17 3 7 2 2" xfId="34307" xr:uid="{D8569894-0361-4D71-81AD-F0A44D2BA18F}"/>
    <cellStyle name="Normal 17 3 7 2 2 2" xfId="34311" xr:uid="{28143644-A9AC-4700-A08C-FD1BBDF5C446}"/>
    <cellStyle name="Normal 17 3 7 2 2 2 2" xfId="34314" xr:uid="{12A0B535-7791-4092-919B-3D85CFF133DC}"/>
    <cellStyle name="Normal 17 3 7 2 2 2 2 2" xfId="16367" xr:uid="{D64B417A-CF17-4F85-A637-8F04E5B7C1D4}"/>
    <cellStyle name="Normal 17 3 7 2 2 2 3" xfId="34315" xr:uid="{CB4475AB-AA96-4735-A9D3-61EB792E1F7F}"/>
    <cellStyle name="Normal 17 3 7 2 2 3" xfId="34318" xr:uid="{D3B6B695-93F3-456C-B65E-139B419AC1BF}"/>
    <cellStyle name="Normal 17 3 7 2 2 3 2" xfId="34319" xr:uid="{F9115143-8EFB-41AD-8CF5-9BF56A462A96}"/>
    <cellStyle name="Normal 17 3 7 2 2 4" xfId="34322" xr:uid="{BE7B9F5A-8875-4D55-B028-629B8C27A945}"/>
    <cellStyle name="Normal 17 3 7 2 3" xfId="34324" xr:uid="{54AD793C-18B0-473F-B751-A43F97E153DD}"/>
    <cellStyle name="Normal 17 3 7 2 3 2" xfId="34327" xr:uid="{8730FC80-B159-4DB4-A3AE-4BC3FC73A8CB}"/>
    <cellStyle name="Normal 17 3 7 2 3 2 2" xfId="34328" xr:uid="{FEEDABDB-2377-4C0A-8BF7-D06123FE1CBF}"/>
    <cellStyle name="Normal 17 3 7 2 3 3" xfId="34329" xr:uid="{A96EFC15-471D-4CED-A6C0-A9ACC68CC30D}"/>
    <cellStyle name="Normal 17 3 7 2 4" xfId="34331" xr:uid="{13DE2B03-A51A-4C8D-9D1E-E914173EAEBE}"/>
    <cellStyle name="Normal 17 3 7 2 4 2" xfId="34332" xr:uid="{16AD3ACC-9057-46BE-9A3E-FEDE681E35B9}"/>
    <cellStyle name="Normal 17 3 7 2 5" xfId="34335" xr:uid="{864C14E7-B106-456D-8AC4-B68AEA51CB4D}"/>
    <cellStyle name="Normal 17 3 7 3" xfId="34337" xr:uid="{520B74B5-22E4-4971-9D82-DE71F3BD38B4}"/>
    <cellStyle name="Normal 17 3 7 3 2" xfId="34339" xr:uid="{A26388AB-C7CD-40E2-B057-E230E5331B34}"/>
    <cellStyle name="Normal 17 3 7 3 2 2" xfId="34342" xr:uid="{B92633B3-5B1B-4CB8-BF42-78F7DD0BB747}"/>
    <cellStyle name="Normal 17 3 7 3 2 2 2" xfId="2277" xr:uid="{DC4F4BAB-A394-4AD9-861B-F9E5F2CA8AB7}"/>
    <cellStyle name="Normal 17 3 7 3 2 3" xfId="34343" xr:uid="{6A954F6A-47E7-4AA9-B005-FF80CFC3E726}"/>
    <cellStyle name="Normal 17 3 7 3 3" xfId="34309" xr:uid="{B1D0E86A-AFE2-4E44-9135-E683B2E607B7}"/>
    <cellStyle name="Normal 17 3 7 3 3 2" xfId="34312" xr:uid="{FAB96106-8EB7-4391-819C-F536CBD6DBEF}"/>
    <cellStyle name="Normal 17 3 7 3 4" xfId="34316" xr:uid="{D8F96A62-7857-4071-AB3F-B0723B07D065}"/>
    <cellStyle name="Normal 17 3 7 4" xfId="30981" xr:uid="{38DED0D3-CC1F-4F12-AB57-D0F42AFA0F05}"/>
    <cellStyle name="Normal 17 3 7 4 2" xfId="30984" xr:uid="{CD0BE20D-E670-4C00-84FB-111DD3A77F39}"/>
    <cellStyle name="Normal 17 3 7 4 2 2" xfId="34344" xr:uid="{0EC00502-B3BB-4E41-ABC5-D441C484EDBC}"/>
    <cellStyle name="Normal 17 3 7 4 3" xfId="34325" xr:uid="{7A2C9E8D-B423-4318-9C2F-91B2E4089E7D}"/>
    <cellStyle name="Normal 17 3 7 5" xfId="30988" xr:uid="{23AF1C26-D9E8-4FE9-AF6A-5EBE1A50138E}"/>
    <cellStyle name="Normal 17 3 7 5 2" xfId="34346" xr:uid="{0263E91B-3E28-41EA-A5B4-9858706EDBD0}"/>
    <cellStyle name="Normal 17 3 7 6" xfId="34348" xr:uid="{F1CEC946-D9F1-4522-825D-8A5A384130AD}"/>
    <cellStyle name="Normal 17 3 7 7" xfId="20692" xr:uid="{3E4A12BF-35BB-4637-8241-C25594E8713D}"/>
    <cellStyle name="Normal 17 3 8" xfId="2672" xr:uid="{D15FE5FA-7883-43DA-9611-5AAA9F335EE4}"/>
    <cellStyle name="Normal 17 3 8 2" xfId="4955" xr:uid="{8E3CD546-4AF5-4EAC-80A5-FD36DC4E4376}"/>
    <cellStyle name="Normal 17 3 8 2 2" xfId="34350" xr:uid="{B92D22B5-4C0D-43B8-892F-1764482B8463}"/>
    <cellStyle name="Normal 17 3 8 2 2 2" xfId="34352" xr:uid="{2D10FAF9-693D-4E81-B050-A4A7132BC168}"/>
    <cellStyle name="Normal 17 3 8 2 2 2 2" xfId="34353" xr:uid="{70AA3861-BB30-4E8C-B12D-4A012ACF2F5B}"/>
    <cellStyle name="Normal 17 3 8 2 2 3" xfId="34354" xr:uid="{72A23DA2-E58B-4F5D-8531-4E42D1B6C1FB}"/>
    <cellStyle name="Normal 17 3 8 2 3" xfId="34356" xr:uid="{5971E070-3104-4FD6-9833-2F50C9CF3EB0}"/>
    <cellStyle name="Normal 17 3 8 2 3 2" xfId="34357" xr:uid="{0854F325-5249-47E2-891B-02066654BA1C}"/>
    <cellStyle name="Normal 17 3 8 2 4" xfId="34358" xr:uid="{1295D143-3D1B-4F26-A8B5-00D97C30A387}"/>
    <cellStyle name="Normal 17 3 8 3" xfId="34360" xr:uid="{66EEA46A-020C-46A6-B05E-1B5DB41D1A37}"/>
    <cellStyle name="Normal 17 3 8 3 2" xfId="34362" xr:uid="{B14BD222-7B31-4148-AF5D-F31256DB0FC3}"/>
    <cellStyle name="Normal 17 3 8 3 2 2" xfId="34363" xr:uid="{33C8DF5F-0507-424C-9F4B-5C5246922CBF}"/>
    <cellStyle name="Normal 17 3 8 3 3" xfId="34340" xr:uid="{50085EBB-4D21-4654-A317-17EB11401CDF}"/>
    <cellStyle name="Normal 17 3 8 4" xfId="30992" xr:uid="{186EAF8E-A67D-402F-ABF9-AEF9BAF13BB9}"/>
    <cellStyle name="Normal 17 3 8 4 2" xfId="34364" xr:uid="{16223D99-E916-4F31-BCD6-2B4B36683107}"/>
    <cellStyle name="Normal 17 3 8 5" xfId="34366" xr:uid="{CF4BB786-FF56-48B2-B8D8-8684F61E668A}"/>
    <cellStyle name="Normal 17 3 9" xfId="4958" xr:uid="{BE6148A9-E61D-4E3D-AF64-4753CFD3B93F}"/>
    <cellStyle name="Normal 17 3 9 2" xfId="27405" xr:uid="{727D380C-C508-49C0-9368-D4E5B27C4D4C}"/>
    <cellStyle name="Normal 17 3 9 2 2" xfId="34368" xr:uid="{B9F3740E-A6CA-48AA-A2F4-8DFAFAC44EE7}"/>
    <cellStyle name="Normal 17 3 9 2 2 2" xfId="2273" xr:uid="{2785AE1F-1D05-44D4-B395-9BB2C231FE43}"/>
    <cellStyle name="Normal 17 3 9 2 3" xfId="34369" xr:uid="{876EA584-944A-4EBC-967F-A35E77916B61}"/>
    <cellStyle name="Normal 17 3 9 3" xfId="34371" xr:uid="{3D6F286D-AE9E-45E9-A7F7-C0226F23D17C}"/>
    <cellStyle name="Normal 17 3 9 3 2" xfId="34372" xr:uid="{FF601D70-3015-45AD-871B-28C46C4649D5}"/>
    <cellStyle name="Normal 17 3 9 4" xfId="34373" xr:uid="{82ED9DF5-A197-4AE0-A548-B3C806FBE08E}"/>
    <cellStyle name="Normal 17 4" xfId="34375" xr:uid="{E83A1C41-DFA1-4633-A81A-1566E5A180BB}"/>
    <cellStyle name="Normal 17 4 10" xfId="34377" xr:uid="{60EC7ABA-144B-451E-A3CF-49ECADB62C10}"/>
    <cellStyle name="Normal 17 4 11" xfId="34379" xr:uid="{A3AB4545-379D-485A-94F3-F514251835D1}"/>
    <cellStyle name="Normal 17 4 12" xfId="21398" xr:uid="{76E7F8C5-C687-46DC-8A4F-D92108DA357C}"/>
    <cellStyle name="Normal 17 4 2" xfId="34381" xr:uid="{C7F343F0-931A-4CB8-85F5-E3BF6E38537B}"/>
    <cellStyle name="Normal 17 4 2 10" xfId="34384" xr:uid="{E22318F3-861A-4125-9CFD-934FD37D727E}"/>
    <cellStyle name="Normal 17 4 2 2" xfId="34386" xr:uid="{ABF5FE64-CE8F-4D01-9E4B-289AABCC6EA9}"/>
    <cellStyle name="Normal 17 4 2 2 2" xfId="7500" xr:uid="{B3515975-950E-4B6B-9039-EE7BF43C4EC8}"/>
    <cellStyle name="Normal 17 4 2 2 2 2" xfId="14676" xr:uid="{52D67125-9A2A-453C-A04F-361BE1BDCFC1}"/>
    <cellStyle name="Normal 17 4 2 2 2 2 2" xfId="18770" xr:uid="{9363C446-249B-4BB3-AC24-52042064ABDE}"/>
    <cellStyle name="Normal 17 4 2 2 2 2 2 2" xfId="34246" xr:uid="{0FF2D3C5-4026-4EB9-BE1B-FC0E40521F67}"/>
    <cellStyle name="Normal 17 4 2 2 2 2 2 2 2" xfId="28166" xr:uid="{0C66E042-D971-41AE-A4E9-F28203CC340D}"/>
    <cellStyle name="Normal 17 4 2 2 2 2 2 2 2 2" xfId="34388" xr:uid="{676A57DC-F545-4808-A536-77FC1EBCE2D2}"/>
    <cellStyle name="Normal 17 4 2 2 2 2 2 2 2 2 2" xfId="33650" xr:uid="{F884A8BB-2AC3-4EF9-B251-6A48886A67F1}"/>
    <cellStyle name="Normal 17 4 2 2 2 2 2 2 2 3" xfId="34390" xr:uid="{8F46E895-44CC-4495-9CA5-F8EE57C9711B}"/>
    <cellStyle name="Normal 17 4 2 2 2 2 2 2 3" xfId="34392" xr:uid="{0EC33555-39E1-419F-85C1-4D7C02C83165}"/>
    <cellStyle name="Normal 17 4 2 2 2 2 2 2 3 2" xfId="34394" xr:uid="{BA1D1678-D906-424F-A2DC-7B911E95295F}"/>
    <cellStyle name="Normal 17 4 2 2 2 2 2 2 4" xfId="33040" xr:uid="{F3CA116E-B243-4B4F-B458-9F1B5453654B}"/>
    <cellStyle name="Normal 17 4 2 2 2 2 2 3" xfId="34250" xr:uid="{F46AF132-329F-419C-B558-70A54CC7B099}"/>
    <cellStyle name="Normal 17 4 2 2 2 2 2 3 2" xfId="34396" xr:uid="{C37F9B1C-99FE-40C7-9027-0084DE004C9E}"/>
    <cellStyle name="Normal 17 4 2 2 2 2 2 3 2 2" xfId="34398" xr:uid="{3C84B7CC-6FEB-4A0B-B3DE-D5F2F704AD69}"/>
    <cellStyle name="Normal 17 4 2 2 2 2 2 3 3" xfId="34400" xr:uid="{B63FB5C6-9BBE-4247-B614-E09629C11556}"/>
    <cellStyle name="Normal 17 4 2 2 2 2 2 4" xfId="34254" xr:uid="{247FF713-3AE8-4049-A0E2-771D38C74183}"/>
    <cellStyle name="Normal 17 4 2 2 2 2 2 4 2" xfId="32280" xr:uid="{2EC72D71-B83B-4F7B-9CF3-01E234C226BB}"/>
    <cellStyle name="Normal 17 4 2 2 2 2 2 5" xfId="34402" xr:uid="{AC52155A-91BC-4675-AA57-F55F024AFFC5}"/>
    <cellStyle name="Normal 17 4 2 2 2 2 3" xfId="18774" xr:uid="{2FF3D40F-C26F-4F3F-8043-E99E1FBF9037}"/>
    <cellStyle name="Normal 17 4 2 2 2 2 3 2" xfId="27386" xr:uid="{1D98D700-AD4E-4493-A80C-B17506B9B3D0}"/>
    <cellStyle name="Normal 17 4 2 2 2 2 3 2 2" xfId="34404" xr:uid="{0B8D247D-2384-48F1-B3EF-39940A37D7E2}"/>
    <cellStyle name="Normal 17 4 2 2 2 2 3 2 2 2" xfId="34406" xr:uid="{5408AFD1-FD72-496F-8CAA-F4E0A3350FB6}"/>
    <cellStyle name="Normal 17 4 2 2 2 2 3 2 3" xfId="34408" xr:uid="{36C6FF78-0421-4562-BD43-87E3E02F92F3}"/>
    <cellStyle name="Normal 17 4 2 2 2 2 3 3" xfId="34410" xr:uid="{7F64B3BF-6283-46D7-B8E9-10CB48EE71FF}"/>
    <cellStyle name="Normal 17 4 2 2 2 2 3 3 2" xfId="34412" xr:uid="{F8534F5B-D599-42FD-AC3B-3C306F44BEB2}"/>
    <cellStyle name="Normal 17 4 2 2 2 2 3 4" xfId="34414" xr:uid="{B401B31B-480F-4772-A91C-BDBB10BC2CC0}"/>
    <cellStyle name="Normal 17 4 2 2 2 2 4" xfId="7879" xr:uid="{6F007408-A8EC-40A5-B219-DC3FAB3301BA}"/>
    <cellStyle name="Normal 17 4 2 2 2 2 4 2" xfId="7886" xr:uid="{03D06D4E-0BE9-4B28-8C1A-24A84EF986F2}"/>
    <cellStyle name="Normal 17 4 2 2 2 2 4 2 2" xfId="3291" xr:uid="{2E1999B1-DB67-43BC-B8E4-2493C56EA093}"/>
    <cellStyle name="Normal 17 4 2 2 2 2 4 3" xfId="7889" xr:uid="{D452B0E1-2874-42CD-B504-13DFDE942E45}"/>
    <cellStyle name="Normal 17 4 2 2 2 2 5" xfId="6201" xr:uid="{787FFC62-45AB-49A3-9BA2-05C69E6F098B}"/>
    <cellStyle name="Normal 17 4 2 2 2 2 5 2" xfId="6212" xr:uid="{4D3868EA-6226-40FD-9137-699C1AB56EC8}"/>
    <cellStyle name="Normal 17 4 2 2 2 2 6" xfId="6217" xr:uid="{7E36C25D-9AAD-4475-A5B0-BAF9B492157B}"/>
    <cellStyle name="Normal 17 4 2 2 2 2 7" xfId="12184" xr:uid="{AAE4FC46-E6B8-4FBA-96FD-647D4E0441B8}"/>
    <cellStyle name="Normal 17 4 2 2 2 3" xfId="34416" xr:uid="{27388F52-125C-4386-95F0-8607099256C7}"/>
    <cellStyle name="Normal 17 4 2 2 2 3 2" xfId="20081" xr:uid="{0ACEDA14-0829-4682-AF5B-88BB03CFFE3F}"/>
    <cellStyle name="Normal 17 4 2 2 2 3 2 2" xfId="34334" xr:uid="{3A082FFB-76A6-472F-A28B-EC002659985E}"/>
    <cellStyle name="Normal 17 4 2 2 2 3 2 2 2" xfId="34418" xr:uid="{C076D701-471D-4895-954F-9F325C5AAF51}"/>
    <cellStyle name="Normal 17 4 2 2 2 3 2 2 2 2" xfId="34420" xr:uid="{2D3DDF8E-CC70-4F26-A633-D608FC9AB1F2}"/>
    <cellStyle name="Normal 17 4 2 2 2 3 2 2 3" xfId="34423" xr:uid="{21622ED2-A359-4DFE-894B-29CCE518F1C9}"/>
    <cellStyle name="Normal 17 4 2 2 2 3 2 3" xfId="34425" xr:uid="{41642618-AA55-4DA6-AEEF-837C5D2AC584}"/>
    <cellStyle name="Normal 17 4 2 2 2 3 2 3 2" xfId="34427" xr:uid="{007C0D3B-F900-4BEF-9BAE-00B2B9CA9972}"/>
    <cellStyle name="Normal 17 4 2 2 2 3 2 4" xfId="34429" xr:uid="{8E237679-BB51-476E-BED7-DA8EBA99BB06}"/>
    <cellStyle name="Normal 17 4 2 2 2 3 3" xfId="30870" xr:uid="{A6FA629C-486F-4C9F-84F3-DC471FB28A96}"/>
    <cellStyle name="Normal 17 4 2 2 2 3 3 2" xfId="34321" xr:uid="{A5689F86-3E74-4F00-A20A-79084F576C7E}"/>
    <cellStyle name="Normal 17 4 2 2 2 3 3 2 2" xfId="34431" xr:uid="{2926F573-3460-426A-B8B4-CFAA3F4A5088}"/>
    <cellStyle name="Normal 17 4 2 2 2 3 3 3" xfId="1865" xr:uid="{5CB53EBE-E99B-40CB-A699-911F8C496189}"/>
    <cellStyle name="Normal 17 4 2 2 2 3 4" xfId="7894" xr:uid="{2B7415E8-2385-4551-AB45-BBBF24850C73}"/>
    <cellStyle name="Normal 17 4 2 2 2 3 4 2" xfId="7898" xr:uid="{07766730-A2B0-4D8A-9564-4A3046064D8F}"/>
    <cellStyle name="Normal 17 4 2 2 2 3 5" xfId="6228" xr:uid="{791F4087-239B-4E86-B317-527AFC3BB7A7}"/>
    <cellStyle name="Normal 17 4 2 2 2 4" xfId="21898" xr:uid="{6274A074-B4F6-4FCB-9478-49B32F102E74}"/>
    <cellStyle name="Normal 17 4 2 2 2 4 2" xfId="21902" xr:uid="{17E7744B-FB1C-448D-820C-B6E39EC99745}"/>
    <cellStyle name="Normal 17 4 2 2 2 4 2 2" xfId="21905" xr:uid="{ED7F6A3F-568E-4792-A0E3-0030359CDAB0}"/>
    <cellStyle name="Normal 17 4 2 2 2 4 2 2 2" xfId="21908" xr:uid="{2E35DA56-AF5D-4AB3-A82B-F9470187FE07}"/>
    <cellStyle name="Normal 17 4 2 2 2 4 2 3" xfId="21922" xr:uid="{DF129F71-BC6D-4552-AB78-C2B403B2F083}"/>
    <cellStyle name="Normal 17 4 2 2 2 4 3" xfId="21933" xr:uid="{B9CFCA3A-30B4-4192-8C1E-EB52A7D2893A}"/>
    <cellStyle name="Normal 17 4 2 2 2 4 3 2" xfId="21936" xr:uid="{DE7C130E-BBD0-4D23-984D-2DE856A66156}"/>
    <cellStyle name="Normal 17 4 2 2 2 4 4" xfId="6944" xr:uid="{2FAB4E06-7D95-4E12-8882-B540C7EAE88F}"/>
    <cellStyle name="Normal 17 4 2 2 2 5" xfId="21956" xr:uid="{4BCD38F7-02BE-41A8-8156-BA90C878F379}"/>
    <cellStyle name="Normal 17 4 2 2 2 5 2" xfId="21959" xr:uid="{6C9F36B6-375B-4A59-A2E1-9642F8D3A6A5}"/>
    <cellStyle name="Normal 17 4 2 2 2 5 2 2" xfId="21962" xr:uid="{CC07AAB5-D505-4D7B-9F7C-4DE555C73CFF}"/>
    <cellStyle name="Normal 17 4 2 2 2 5 3" xfId="21972" xr:uid="{87B5D81B-F57B-4BC0-AA49-AD6DE78FAF64}"/>
    <cellStyle name="Normal 17 4 2 2 2 6" xfId="21979" xr:uid="{27F44945-16D2-4260-9F8D-711A6D39037D}"/>
    <cellStyle name="Normal 17 4 2 2 2 6 2" xfId="21982" xr:uid="{A486F3E5-4CED-4066-B8FB-6692F11F0015}"/>
    <cellStyle name="Normal 17 4 2 2 2 7" xfId="21991" xr:uid="{013F7F03-E83D-4C9F-BC27-7BE6FB366F7E}"/>
    <cellStyle name="Normal 17 4 2 2 2 8" xfId="21999" xr:uid="{B8052DCD-74E5-48A7-ADBC-7AD161F74C7C}"/>
    <cellStyle name="Normal 17 4 2 2 3" xfId="7506" xr:uid="{7A3548BA-9C13-47AB-8237-BE903CC5F277}"/>
    <cellStyle name="Normal 17 4 2 2 3 2" xfId="34433" xr:uid="{3A2B6DF9-3BC6-418A-85A0-A2AC5A523B71}"/>
    <cellStyle name="Normal 17 4 2 2 3 2 2" xfId="19006" xr:uid="{02845400-40EB-4AAC-9C06-9D8007A9F237}"/>
    <cellStyle name="Normal 17 4 2 2 3 2 2 2" xfId="18959" xr:uid="{913284E4-39F0-45D8-A5DD-97C6C17082A4}"/>
    <cellStyle name="Normal 17 4 2 2 3 2 2 2 2" xfId="22456" xr:uid="{AD5DE8DD-4C4F-45F1-BA16-DE3C887ABE3C}"/>
    <cellStyle name="Normal 17 4 2 2 3 2 2 2 2 2" xfId="22461" xr:uid="{0D40D3E0-FB7A-47C0-9551-40AEFB30C76E}"/>
    <cellStyle name="Normal 17 4 2 2 3 2 2 2 3" xfId="22524" xr:uid="{08C23E6F-B604-4C20-BA9E-0EB753BB2AB6}"/>
    <cellStyle name="Normal 17 4 2 2 3 2 2 3" xfId="18964" xr:uid="{1577392A-DEF1-40B1-84A0-F7BA019E668F}"/>
    <cellStyle name="Normal 17 4 2 2 3 2 2 3 2" xfId="22570" xr:uid="{BBBA6691-EA2E-48AC-BFBD-3696D1D2E18F}"/>
    <cellStyle name="Normal 17 4 2 2 3 2 2 4" xfId="18969" xr:uid="{F2124F7E-075E-4EF2-AD26-2196422D6602}"/>
    <cellStyle name="Normal 17 4 2 2 3 2 3" xfId="19011" xr:uid="{C8087CE1-5C9D-487D-8AD9-7DFB5FF27950}"/>
    <cellStyle name="Normal 17 4 2 2 3 2 3 2" xfId="19049" xr:uid="{23E0D75C-6528-4732-9942-616AD78D295B}"/>
    <cellStyle name="Normal 17 4 2 2 3 2 3 2 2" xfId="22652" xr:uid="{697A7A41-BB52-486A-BA58-03EFF1A20ABB}"/>
    <cellStyle name="Normal 17 4 2 2 3 2 3 3" xfId="19057" xr:uid="{4CDBCB84-0F3A-45B8-B05E-FA8A9A9316AA}"/>
    <cellStyle name="Normal 17 4 2 2 3 2 4" xfId="7912" xr:uid="{A0150FBE-B982-420B-ADE7-7F4AC081453F}"/>
    <cellStyle name="Normal 17 4 2 2 3 2 4 2" xfId="5954" xr:uid="{BF14ABEF-3BB5-4CBF-8007-12BC9161374E}"/>
    <cellStyle name="Normal 17 4 2 2 3 2 5" xfId="6256" xr:uid="{1B54CB97-C6E0-47DF-956E-AAF3967195DD}"/>
    <cellStyle name="Normal 17 4 2 2 3 3" xfId="34435" xr:uid="{D81F720A-670D-4C03-8F01-ABB3247AFEE3}"/>
    <cellStyle name="Normal 17 4 2 2 3 3 2" xfId="23057" xr:uid="{6E12D3BC-352D-41D0-B32B-B1BCC3E5F46D}"/>
    <cellStyle name="Normal 17 4 2 2 3 3 2 2" xfId="23060" xr:uid="{7C4A59EE-4F61-47DB-855F-83A8C06B78F7}"/>
    <cellStyle name="Normal 17 4 2 2 3 3 2 2 2" xfId="23063" xr:uid="{7A7CAA74-6A9F-4760-97B4-9E5EBCB7966C}"/>
    <cellStyle name="Normal 17 4 2 2 3 3 2 3" xfId="23129" xr:uid="{FFD7B196-762E-4CC7-A635-7F3CA5B03A6D}"/>
    <cellStyle name="Normal 17 4 2 2 3 3 3" xfId="23180" xr:uid="{53F3949B-BD4A-4E9A-821D-E534B9D9438D}"/>
    <cellStyle name="Normal 17 4 2 2 3 3 3 2" xfId="23183" xr:uid="{2CA617E7-AA30-49B4-A28E-212FED8B1DBC}"/>
    <cellStyle name="Normal 17 4 2 2 3 3 4" xfId="7921" xr:uid="{F3F20A38-8BAD-43E8-9BDE-FFE333CCD831}"/>
    <cellStyle name="Normal 17 4 2 2 3 4" xfId="22008" xr:uid="{15E7043F-A179-4E44-961F-61A9A45CF699}"/>
    <cellStyle name="Normal 17 4 2 2 3 4 2" xfId="22011" xr:uid="{531ACE9D-064C-4779-A850-11FCCD321DDD}"/>
    <cellStyle name="Normal 17 4 2 2 3 4 2 2" xfId="22015" xr:uid="{859C6003-6027-4B21-B41E-A4BB0D8DB675}"/>
    <cellStyle name="Normal 17 4 2 2 3 4 3" xfId="22026" xr:uid="{9B653B70-8EB2-495E-9DBC-C412DCBDDB3F}"/>
    <cellStyle name="Normal 17 4 2 2 3 5" xfId="22034" xr:uid="{FB4D8321-25DC-4665-902A-BA374E8CC497}"/>
    <cellStyle name="Normal 17 4 2 2 3 5 2" xfId="22037" xr:uid="{32ADDA2E-59A6-4146-8093-1AFEB84B1345}"/>
    <cellStyle name="Normal 17 4 2 2 3 6" xfId="22049" xr:uid="{7A18541A-E49F-4F9E-A549-FE3F187E4058}"/>
    <cellStyle name="Normal 17 4 2 2 3 7" xfId="22058" xr:uid="{59CCF5B2-74A7-4F33-B372-98DE078D196A}"/>
    <cellStyle name="Normal 17 4 2 2 4" xfId="16025" xr:uid="{90B31249-56B0-4D45-B10F-0A5ACFE4C6C3}"/>
    <cellStyle name="Normal 17 4 2 2 4 2" xfId="34437" xr:uid="{6BF5AC5C-E3ED-473F-B63E-1C3C58379BA8}"/>
    <cellStyle name="Normal 17 4 2 2 4 2 2" xfId="23648" xr:uid="{1047D0AB-3CBC-41B5-BB4C-766268BC1532}"/>
    <cellStyle name="Normal 17 4 2 2 4 2 2 2" xfId="23651" xr:uid="{12053F8A-BA40-48AC-B891-1653A53C2C58}"/>
    <cellStyle name="Normal 17 4 2 2 4 2 2 2 2" xfId="23654" xr:uid="{3A022902-4DFC-46B2-B699-F6663E4D1332}"/>
    <cellStyle name="Normal 17 4 2 2 4 2 2 3" xfId="23714" xr:uid="{A1032126-13A1-412A-8C1A-7CB077B20912}"/>
    <cellStyle name="Normal 17 4 2 2 4 2 3" xfId="23722" xr:uid="{FCEC41BD-4C86-4B77-8B71-BBAB4DC0BE66}"/>
    <cellStyle name="Normal 17 4 2 2 4 2 3 2" xfId="23725" xr:uid="{25B27EBF-7951-4F76-8A62-188421C194AA}"/>
    <cellStyle name="Normal 17 4 2 2 4 2 4" xfId="7942" xr:uid="{2839F3DE-AC9F-4ECC-80E9-5DAC0E6BF231}"/>
    <cellStyle name="Normal 17 4 2 2 4 3" xfId="34439" xr:uid="{5EFA3678-98B6-4227-8A49-A385C9E8AA77}"/>
    <cellStyle name="Normal 17 4 2 2 4 3 2" xfId="23852" xr:uid="{EE91E8BB-F92F-491C-95EB-AD2933046EF0}"/>
    <cellStyle name="Normal 17 4 2 2 4 3 2 2" xfId="23855" xr:uid="{CF20D51B-2876-4936-8A1B-42864739CA42}"/>
    <cellStyle name="Normal 17 4 2 2 4 3 3" xfId="23903" xr:uid="{F4FC6CBB-B8E2-4BD9-8E73-8A97708F4783}"/>
    <cellStyle name="Normal 17 4 2 2 4 4" xfId="22066" xr:uid="{30E92DE0-045F-452D-9641-43DC6BB8A3E4}"/>
    <cellStyle name="Normal 17 4 2 2 4 4 2" xfId="22069" xr:uid="{A097E126-AF66-439D-86B6-3C5E0BD965D9}"/>
    <cellStyle name="Normal 17 4 2 2 4 5" xfId="22086" xr:uid="{D4E4C8CB-FB60-4577-8843-FEFD8CCB63F2}"/>
    <cellStyle name="Normal 17 4 2 2 5" xfId="30961" xr:uid="{6ABFA5DA-51E3-4F65-BE18-D5143537F54C}"/>
    <cellStyle name="Normal 17 4 2 2 5 2" xfId="34441" xr:uid="{B1CA180C-8127-4837-9FF8-851578C596B8}"/>
    <cellStyle name="Normal 17 4 2 2 5 2 2" xfId="24129" xr:uid="{0A8F6F1F-6A06-40C6-8161-44C7BA4D7F43}"/>
    <cellStyle name="Normal 17 4 2 2 5 2 2 2" xfId="24134" xr:uid="{3A1AB99F-AFC3-4551-94DB-A2551E825036}"/>
    <cellStyle name="Normal 17 4 2 2 5 2 3" xfId="3844" xr:uid="{5F636A08-B217-4969-98B6-50102AFD9FEC}"/>
    <cellStyle name="Normal 17 4 2 2 5 3" xfId="34443" xr:uid="{202C830B-270F-4FE5-B00B-A6A4B2F7C424}"/>
    <cellStyle name="Normal 17 4 2 2 5 3 2" xfId="1988" xr:uid="{DC2582AC-1DBE-48EE-8008-E36644DE9AAD}"/>
    <cellStyle name="Normal 17 4 2 2 5 4" xfId="22100" xr:uid="{F02F9B92-CC16-4EA0-A97F-93D28DA14BCB}"/>
    <cellStyle name="Normal 17 4 2 2 6" xfId="34445" xr:uid="{BFA5F189-A1A5-4B3F-B319-27B95E730E6A}"/>
    <cellStyle name="Normal 17 4 2 2 6 2" xfId="34447" xr:uid="{5C5D3A23-C351-4C1A-85D4-BF4E19CDD49A}"/>
    <cellStyle name="Normal 17 4 2 2 6 2 2" xfId="24439" xr:uid="{D1C6E81F-D378-4103-B98E-DD2E0A8FC7EF}"/>
    <cellStyle name="Normal 17 4 2 2 6 3" xfId="34449" xr:uid="{1261E0D9-52EC-4B98-96A8-348F90D18475}"/>
    <cellStyle name="Normal 17 4 2 2 7" xfId="34451" xr:uid="{193649F6-6FF8-4B53-9A27-A993FF61E200}"/>
    <cellStyle name="Normal 17 4 2 2 7 2" xfId="34453" xr:uid="{6155F092-C4D0-48A4-A1E3-9564DAED917A}"/>
    <cellStyle name="Normal 17 4 2 2 8" xfId="34455" xr:uid="{94843D87-8FB8-470B-A227-63E42772FBB5}"/>
    <cellStyle name="Normal 17 4 2 2 9" xfId="34457" xr:uid="{DD82505A-B39B-45E9-822D-0F0EA872BE00}"/>
    <cellStyle name="Normal 17 4 2 3" xfId="6567" xr:uid="{0048A11C-55C7-4C7E-97BB-FAB0064EA609}"/>
    <cellStyle name="Normal 17 4 2 3 2" xfId="7564" xr:uid="{D29BE096-7651-4187-9007-DF48657A2C7B}"/>
    <cellStyle name="Normal 17 4 2 3 2 2" xfId="8561" xr:uid="{ADA69278-ED5F-4303-B3F6-8BC3E94014C3}"/>
    <cellStyle name="Normal 17 4 2 3 2 2 2" xfId="11501" xr:uid="{87A45328-A90A-4D42-929B-1C11B3AE823B}"/>
    <cellStyle name="Normal 17 4 2 3 2 2 2 2" xfId="11504" xr:uid="{003401FA-0AF7-4B07-955B-E3396FE376DB}"/>
    <cellStyle name="Normal 17 4 2 3 2 2 2 2 2" xfId="11507" xr:uid="{942155A2-32A4-430B-B7C0-E1A76C821474}"/>
    <cellStyle name="Normal 17 4 2 3 2 2 2 2 2 2" xfId="11512" xr:uid="{0EB44847-F6AD-4441-8619-29B5BE8ECEBE}"/>
    <cellStyle name="Normal 17 4 2 3 2 2 2 2 3" xfId="4390" xr:uid="{40FE14C8-A826-461C-8B03-911B2DA958AB}"/>
    <cellStyle name="Normal 17 4 2 3 2 2 2 3" xfId="11515" xr:uid="{658C5BF2-6B7E-4609-A76C-DEB99E9DC203}"/>
    <cellStyle name="Normal 17 4 2 3 2 2 2 3 2" xfId="11518" xr:uid="{18FEFD56-0555-4165-B62B-F7458C658B62}"/>
    <cellStyle name="Normal 17 4 2 3 2 2 2 4" xfId="11521" xr:uid="{87BD0DAB-2C83-4AB8-90DA-9D4219AFD121}"/>
    <cellStyle name="Normal 17 4 2 3 2 2 3" xfId="11526" xr:uid="{F48FFF51-76F1-4F2D-8B39-DBB97B0B410D}"/>
    <cellStyle name="Normal 17 4 2 3 2 2 3 2" xfId="11529" xr:uid="{5E37AE09-206E-457D-A467-23E2F4C65115}"/>
    <cellStyle name="Normal 17 4 2 3 2 2 3 2 2" xfId="11533" xr:uid="{702B224D-8725-440E-BFDF-91B367BB03EA}"/>
    <cellStyle name="Normal 17 4 2 3 2 2 3 3" xfId="11536" xr:uid="{F672014E-0031-48AF-A24D-48F21019B63F}"/>
    <cellStyle name="Normal 17 4 2 3 2 2 4" xfId="8165" xr:uid="{2369A789-9F05-4470-9358-2600EA658BEF}"/>
    <cellStyle name="Normal 17 4 2 3 2 2 4 2" xfId="2604" xr:uid="{A67D2BEF-5A47-4AC0-883E-710F08F7A4F7}"/>
    <cellStyle name="Normal 17 4 2 3 2 2 5" xfId="2880" xr:uid="{373D0D79-2F46-4359-B78E-8BB893854A66}"/>
    <cellStyle name="Normal 17 4 2 3 2 3" xfId="34459" xr:uid="{27AB928A-6096-43B6-9216-281CFD1CF4A8}"/>
    <cellStyle name="Normal 17 4 2 3 2 3 2" xfId="11570" xr:uid="{D1CEE6CB-4286-4B93-9764-A3F36F93538E}"/>
    <cellStyle name="Normal 17 4 2 3 2 3 2 2" xfId="11573" xr:uid="{F958B652-2CF0-4B36-B173-0069BEB2562C}"/>
    <cellStyle name="Normal 17 4 2 3 2 3 2 2 2" xfId="11577" xr:uid="{A7DD1B21-9AC9-4512-B2D4-6AFB197B3358}"/>
    <cellStyle name="Normal 17 4 2 3 2 3 2 3" xfId="3221" xr:uid="{3311EDCB-2F2D-43C0-9714-59E3D5D6D504}"/>
    <cellStyle name="Normal 17 4 2 3 2 3 3" xfId="11580" xr:uid="{F0C29C62-85E7-47C3-8E6A-2D102EBD1D04}"/>
    <cellStyle name="Normal 17 4 2 3 2 3 3 2" xfId="11583" xr:uid="{42688605-200B-40BD-AEEE-C6D6A53BECBE}"/>
    <cellStyle name="Normal 17 4 2 3 2 3 4" xfId="8171" xr:uid="{411421E0-68B5-43D2-95C7-731623782948}"/>
    <cellStyle name="Normal 17 4 2 3 2 4" xfId="34461" xr:uid="{FB57A79F-E8F8-41B8-AA08-FA302953124D}"/>
    <cellStyle name="Normal 17 4 2 3 2 4 2" xfId="11603" xr:uid="{CA97FD8C-AEF6-45FE-9229-26A8D4D00DC2}"/>
    <cellStyle name="Normal 17 4 2 3 2 4 2 2" xfId="11607" xr:uid="{32C3D17D-A78C-4A16-9261-BF479D1A7A65}"/>
    <cellStyle name="Normal 17 4 2 3 2 4 3" xfId="11610" xr:uid="{4BB2F97D-69B4-435A-B4C6-30519C05DBD1}"/>
    <cellStyle name="Normal 17 4 2 3 2 5" xfId="34463" xr:uid="{077708E5-6560-4503-88BF-4CA5E5BF8196}"/>
    <cellStyle name="Normal 17 4 2 3 2 5 2" xfId="11619" xr:uid="{4343C72E-5A85-40B7-B3EA-6417A79FA75D}"/>
    <cellStyle name="Normal 17 4 2 3 2 6" xfId="34465" xr:uid="{B704A8B2-727D-4111-9E78-7F33A4A6D8BF}"/>
    <cellStyle name="Normal 17 4 2 3 2 7" xfId="34467" xr:uid="{CDF4B0DB-7422-454C-964F-625F821C28AE}"/>
    <cellStyle name="Normal 17 4 2 3 3" xfId="8564" xr:uid="{DB45D664-07B7-41B0-AB89-1D45B1AA0EC6}"/>
    <cellStyle name="Normal 17 4 2 3 3 2" xfId="34469" xr:uid="{206328AA-6321-44E3-8418-F1BF090E4875}"/>
    <cellStyle name="Normal 17 4 2 3 3 2 2" xfId="11764" xr:uid="{8B76892A-942A-4396-B8F9-3F303FB3C2A6}"/>
    <cellStyle name="Normal 17 4 2 3 3 2 2 2" xfId="11767" xr:uid="{1B8BAD57-43BF-41F6-8590-D9784D8862F6}"/>
    <cellStyle name="Normal 17 4 2 3 3 2 2 2 2" xfId="11770" xr:uid="{C5EFC11C-8391-46B3-9945-1CC70FFF2709}"/>
    <cellStyle name="Normal 17 4 2 3 3 2 2 3" xfId="11775" xr:uid="{7A081E90-AB9F-4402-AC0C-7BF62C2F2E2F}"/>
    <cellStyle name="Normal 17 4 2 3 3 2 3" xfId="11778" xr:uid="{6D4F2264-3D74-4E24-AA41-C5343D23A424}"/>
    <cellStyle name="Normal 17 4 2 3 3 2 3 2" xfId="11784" xr:uid="{8BE9BBF2-11CF-4D3D-84BF-E0B1C6D4AD03}"/>
    <cellStyle name="Normal 17 4 2 3 3 2 4" xfId="2039" xr:uid="{F7A89BC3-2AB9-46B2-B226-D9EFCE35F59A}"/>
    <cellStyle name="Normal 17 4 2 3 3 3" xfId="34471" xr:uid="{96994DE1-A170-4771-BEC1-FB54477C717D}"/>
    <cellStyle name="Normal 17 4 2 3 3 3 2" xfId="11811" xr:uid="{EA9FC3B2-26C1-4DE7-8541-D175C5082381}"/>
    <cellStyle name="Normal 17 4 2 3 3 3 2 2" xfId="11814" xr:uid="{64A87D6D-6917-4799-8AB3-72DF83271613}"/>
    <cellStyle name="Normal 17 4 2 3 3 3 3" xfId="11817" xr:uid="{3722DE2D-0167-4839-9015-04E6C75DBF41}"/>
    <cellStyle name="Normal 17 4 2 3 3 4" xfId="34473" xr:uid="{7BD9C713-E471-450B-BD5D-39559A6788A2}"/>
    <cellStyle name="Normal 17 4 2 3 3 4 2" xfId="11835" xr:uid="{C93C106C-A0F2-4362-97AC-B913BD196A57}"/>
    <cellStyle name="Normal 17 4 2 3 3 5" xfId="34475" xr:uid="{FC43ECC4-1D4C-4721-9CD2-ED63677AE251}"/>
    <cellStyle name="Normal 17 4 2 3 4" xfId="34477" xr:uid="{C51BD517-5614-43A1-B9F2-637536B290FA}"/>
    <cellStyle name="Normal 17 4 2 3 4 2" xfId="34479" xr:uid="{868EC4DB-C03D-4662-915B-933806C27DB4}"/>
    <cellStyle name="Normal 17 4 2 3 4 2 2" xfId="11934" xr:uid="{2BCC5704-1E83-45FB-B172-C2B5020D3936}"/>
    <cellStyle name="Normal 17 4 2 3 4 2 2 2" xfId="11937" xr:uid="{2E145EB4-DBC5-436B-8834-9C763B4F6B58}"/>
    <cellStyle name="Normal 17 4 2 3 4 2 3" xfId="11946" xr:uid="{7CC211EA-E86C-4D54-92A0-630937FCC9AB}"/>
    <cellStyle name="Normal 17 4 2 3 4 3" xfId="34481" xr:uid="{98769A59-4947-4225-A9C9-8E6F4817D9E6}"/>
    <cellStyle name="Normal 17 4 2 3 4 3 2" xfId="1204" xr:uid="{D2353254-5BDF-482F-88BA-964FF2F145CE}"/>
    <cellStyle name="Normal 17 4 2 3 4 4" xfId="34483" xr:uid="{6E59EF54-8399-420D-A9A2-AB8D6C6F17DD}"/>
    <cellStyle name="Normal 17 4 2 3 5" xfId="27875" xr:uid="{1B4EF48E-31FE-4B34-A2FC-24362B71E23D}"/>
    <cellStyle name="Normal 17 4 2 3 5 2" xfId="27879" xr:uid="{44319B4F-A017-4F61-92BF-E6E16E025EDB}"/>
    <cellStyle name="Normal 17 4 2 3 5 2 2" xfId="12044" xr:uid="{904ECBDB-817D-4661-92DC-BFA379473520}"/>
    <cellStyle name="Normal 17 4 2 3 5 3" xfId="27885" xr:uid="{E658A8C4-8E55-43DF-AD08-EF5DEBFCE020}"/>
    <cellStyle name="Normal 17 4 2 3 6" xfId="27892" xr:uid="{ABEBB82F-E489-429A-88FE-40A592E8FD8C}"/>
    <cellStyle name="Normal 17 4 2 3 6 2" xfId="27897" xr:uid="{CDE1C6F0-A31A-4F1B-8BC4-2311998F1FF5}"/>
    <cellStyle name="Normal 17 4 2 3 7" xfId="27906" xr:uid="{E31E7793-C9F9-4E4D-B2EB-CD6721B02942}"/>
    <cellStyle name="Normal 17 4 2 3 8" xfId="20736" xr:uid="{B6F09646-BF42-415D-BC78-F4DB38D16513}"/>
    <cellStyle name="Normal 17 4 2 4" xfId="34485" xr:uid="{8F2BAA78-377E-4F1C-A80C-C52F2D3E0F72}"/>
    <cellStyle name="Normal 17 4 2 4 2" xfId="8569" xr:uid="{C7248605-EA74-4B51-8964-7E8AF2D8BC8E}"/>
    <cellStyle name="Normal 17 4 2 4 2 2" xfId="34487" xr:uid="{5CBAE596-65A4-42B9-B547-8C0179156E66}"/>
    <cellStyle name="Normal 17 4 2 4 2 2 2" xfId="12648" xr:uid="{A5D14306-4EDC-4C88-B476-C41B3AB89AD5}"/>
    <cellStyle name="Normal 17 4 2 4 2 2 2 2" xfId="1594" xr:uid="{8DF83680-3CD5-41A7-9643-77A649794F49}"/>
    <cellStyle name="Normal 17 4 2 4 2 2 2 2 2" xfId="12653" xr:uid="{AB5E3B68-BDF0-43AE-A4F2-21D51A11C8CE}"/>
    <cellStyle name="Normal 17 4 2 4 2 2 2 3" xfId="1599" xr:uid="{02851146-4DEB-42E2-9AD2-2A3AA0ED9D05}"/>
    <cellStyle name="Normal 17 4 2 4 2 2 3" xfId="12657" xr:uid="{F55745BE-6253-459E-BEAB-932E4B51B3AB}"/>
    <cellStyle name="Normal 17 4 2 4 2 2 3 2" xfId="1635" xr:uid="{9BE014B4-34D9-4F1E-925B-F3A4AA8B4E93}"/>
    <cellStyle name="Normal 17 4 2 4 2 2 4" xfId="8305" xr:uid="{F506C79C-C98F-4321-B659-3A1FEFCFD5E4}"/>
    <cellStyle name="Normal 17 4 2 4 2 3" xfId="34489" xr:uid="{399C0248-C2AF-4B03-B1EE-24C4BC2FA875}"/>
    <cellStyle name="Normal 17 4 2 4 2 3 2" xfId="12687" xr:uid="{940FA3CF-B524-49D2-B150-B4C6116C8691}"/>
    <cellStyle name="Normal 17 4 2 4 2 3 2 2" xfId="12690" xr:uid="{930A9B75-DF8F-47B3-95C7-9D82B9B5B5E6}"/>
    <cellStyle name="Normal 17 4 2 4 2 3 3" xfId="12693" xr:uid="{FC0C3F6F-87B7-485E-8ACD-ACD1EB66DF06}"/>
    <cellStyle name="Normal 17 4 2 4 2 4" xfId="34491" xr:uid="{E0628BAD-5D86-4AAA-815A-9CB58C325EF1}"/>
    <cellStyle name="Normal 17 4 2 4 2 4 2" xfId="12705" xr:uid="{1C0A163F-E6DE-4E55-8ABA-0673B4F7E590}"/>
    <cellStyle name="Normal 17 4 2 4 2 5" xfId="34493" xr:uid="{6C3C2A0B-0D5E-4491-9C4E-A2AC443C3D94}"/>
    <cellStyle name="Normal 17 4 2 4 3" xfId="34495" xr:uid="{70E5BA63-4341-447A-8D18-608D41134B79}"/>
    <cellStyle name="Normal 17 4 2 4 3 2" xfId="34497" xr:uid="{32FA5723-830E-4150-A84E-A617AD8D390F}"/>
    <cellStyle name="Normal 17 4 2 4 3 2 2" xfId="12803" xr:uid="{19C3C616-DCE7-4391-9E3F-1168C3AD1F30}"/>
    <cellStyle name="Normal 17 4 2 4 3 2 2 2" xfId="12807" xr:uid="{0AFB6AB3-9183-4499-8BF2-5F0557F3BE45}"/>
    <cellStyle name="Normal 17 4 2 4 3 2 3" xfId="12810" xr:uid="{F1B8E021-B981-4E2C-8C50-DDDAFE3FE41D}"/>
    <cellStyle name="Normal 17 4 2 4 3 3" xfId="34499" xr:uid="{FB3A7C30-8E10-4F3F-AB1F-1E4CA1644AF1}"/>
    <cellStyle name="Normal 17 4 2 4 3 3 2" xfId="12823" xr:uid="{F16495E3-E58D-42C6-8B53-0CF9C463ABE2}"/>
    <cellStyle name="Normal 17 4 2 4 3 4" xfId="34501" xr:uid="{3B25A1D0-F0AF-41A7-8682-9DC0FED49319}"/>
    <cellStyle name="Normal 17 4 2 4 4" xfId="34503" xr:uid="{873CA37D-0B66-49A3-BB9F-AC614A96A13F}"/>
    <cellStyle name="Normal 17 4 2 4 4 2" xfId="34505" xr:uid="{2EEA2799-709E-4BF4-8641-B252E31BD89B}"/>
    <cellStyle name="Normal 17 4 2 4 4 2 2" xfId="12879" xr:uid="{4A02DE3E-B8E3-458D-9A9C-C768FD7C108D}"/>
    <cellStyle name="Normal 17 4 2 4 4 3" xfId="34507" xr:uid="{43717782-CD6D-4B39-B46B-B68FA7D84FC3}"/>
    <cellStyle name="Normal 17 4 2 4 5" xfId="27912" xr:uid="{1239BFA7-816F-4961-998D-9031CDD6D693}"/>
    <cellStyle name="Normal 17 4 2 4 5 2" xfId="23197" xr:uid="{9842FAE8-C45A-4039-A57A-70BA64E2EFC7}"/>
    <cellStyle name="Normal 17 4 2 4 6" xfId="27920" xr:uid="{13A93373-9E3B-48E1-A507-17D323C7B58E}"/>
    <cellStyle name="Normal 17 4 2 4 7" xfId="27927" xr:uid="{9E87697E-57A2-456D-B1AE-B01F62FE984F}"/>
    <cellStyle name="Normal 17 4 2 5" xfId="34509" xr:uid="{CD216E5A-DC7A-463D-80E9-7285D17DE7D1}"/>
    <cellStyle name="Normal 17 4 2 5 2" xfId="34511" xr:uid="{56A68409-F21B-4FB7-B3ED-EE4C0578DFA3}"/>
    <cellStyle name="Normal 17 4 2 5 2 2" xfId="34513" xr:uid="{48EA61DA-EF49-4CF0-AB25-E876CAA80EED}"/>
    <cellStyle name="Normal 17 4 2 5 2 2 2" xfId="13321" xr:uid="{F97F44CF-1755-4968-B822-E1EDBCD634E9}"/>
    <cellStyle name="Normal 17 4 2 5 2 2 2 2" xfId="13325" xr:uid="{7B44F61C-CE33-4B46-96A7-030A2969184B}"/>
    <cellStyle name="Normal 17 4 2 5 2 2 3" xfId="13328" xr:uid="{76F38E2E-703F-4A5B-89C1-EE01E73E40C7}"/>
    <cellStyle name="Normal 17 4 2 5 2 3" xfId="34515" xr:uid="{D375E8D4-C222-431C-B6B2-A3E21D5A8B1A}"/>
    <cellStyle name="Normal 17 4 2 5 2 3 2" xfId="13341" xr:uid="{AA608428-742F-4D12-BCF3-4465345D2045}"/>
    <cellStyle name="Normal 17 4 2 5 2 4" xfId="34517" xr:uid="{1CDBD30D-90EF-4FC4-8D41-4738A0CCA583}"/>
    <cellStyle name="Normal 17 4 2 5 3" xfId="34519" xr:uid="{963CB335-43F5-4156-AAC5-9046778ABE3C}"/>
    <cellStyle name="Normal 17 4 2 5 3 2" xfId="34522" xr:uid="{15BADBBA-8DEB-41E0-918F-64A2C207F601}"/>
    <cellStyle name="Normal 17 4 2 5 3 2 2" xfId="13417" xr:uid="{366A1CBA-BC5A-4E6B-B0B6-BC3844D80109}"/>
    <cellStyle name="Normal 17 4 2 5 3 3" xfId="34525" xr:uid="{BF4C6478-0EFD-4CBE-A0A9-10C91F6D5026}"/>
    <cellStyle name="Normal 17 4 2 5 4" xfId="34527" xr:uid="{463E4747-33DA-4C66-BF2D-52DC5025C839}"/>
    <cellStyle name="Normal 17 4 2 5 4 2" xfId="34530" xr:uid="{48F4CEA6-8235-419A-88A7-26ABF6FE7735}"/>
    <cellStyle name="Normal 17 4 2 5 5" xfId="27932" xr:uid="{C1101AC2-0028-48F2-838B-F8A594C41AB7}"/>
    <cellStyle name="Normal 17 4 2 6" xfId="34532" xr:uid="{BBC48821-A403-4C01-BCA8-D5CCEDBEFC34}"/>
    <cellStyle name="Normal 17 4 2 6 2" xfId="171" xr:uid="{34FCCF0C-113F-430A-B6C6-4EF9D73211E1}"/>
    <cellStyle name="Normal 17 4 2 6 2 2" xfId="1533" xr:uid="{396F3F9B-4BD2-440C-8775-0E0516D534DE}"/>
    <cellStyle name="Normal 17 4 2 6 2 2 2" xfId="1730" xr:uid="{97EE3A90-C903-4D25-94E6-C9F4096EB21F}"/>
    <cellStyle name="Normal 17 4 2 6 2 3" xfId="1743" xr:uid="{E17BE1BD-94DA-4B82-AD2B-372D81FB8313}"/>
    <cellStyle name="Normal 17 4 2 6 3" xfId="34534" xr:uid="{1509A720-30B5-45A3-BB3A-BAC66C6656EA}"/>
    <cellStyle name="Normal 17 4 2 6 3 2" xfId="34536" xr:uid="{9201E68D-EF24-483C-98CE-08130F412A7A}"/>
    <cellStyle name="Normal 17 4 2 6 4" xfId="34538" xr:uid="{A7343856-118B-4912-AD37-A0C0702AF7B2}"/>
    <cellStyle name="Normal 17 4 2 7" xfId="14295" xr:uid="{133359DB-5425-4704-B855-0BC0560F589E}"/>
    <cellStyle name="Normal 17 4 2 7 2" xfId="34540" xr:uid="{37C22473-2160-4AF5-9B75-DD99B48C1AA0}"/>
    <cellStyle name="Normal 17 4 2 7 2 2" xfId="34542" xr:uid="{11910608-B5A0-4273-801C-56CB4202A95A}"/>
    <cellStyle name="Normal 17 4 2 7 3" xfId="34544" xr:uid="{EE80E5CC-65A3-4CBB-98D3-2319D2882785}"/>
    <cellStyle name="Normal 17 4 2 8" xfId="34547" xr:uid="{2C10B771-C298-4C38-8415-36FDDFE72588}"/>
    <cellStyle name="Normal 17 4 2 8 2" xfId="34550" xr:uid="{36659D7A-EFC7-4FAF-BC68-9F86F58D9EA6}"/>
    <cellStyle name="Normal 17 4 2 9" xfId="15004" xr:uid="{D0AA22A9-54CB-4308-9355-01FF6F9CABEC}"/>
    <cellStyle name="Normal 17 4 3" xfId="33884" xr:uid="{8B168514-3CDC-49CB-B529-209769E77B67}"/>
    <cellStyle name="Normal 17 4 3 2" xfId="33890" xr:uid="{0B227D28-4E3C-4A06-850B-DE2CE9AEA141}"/>
    <cellStyle name="Normal 17 4 3 2 2" xfId="7734" xr:uid="{56146EEB-7921-4780-B8A2-EF6CEA83A928}"/>
    <cellStyle name="Normal 17 4 3 2 2 2" xfId="30155" xr:uid="{93057A6F-0F99-44B8-8AC1-447C1BBD7473}"/>
    <cellStyle name="Normal 17 4 3 2 2 2 2" xfId="30159" xr:uid="{B18B667B-8597-4C09-A1DB-19E1AF4071DD}"/>
    <cellStyle name="Normal 17 4 3 2 2 2 2 2" xfId="30162" xr:uid="{631ECEDF-5079-4739-9D8B-3D8E8F0154B8}"/>
    <cellStyle name="Normal 17 4 3 2 2 2 2 2 2" xfId="34552" xr:uid="{98E986BF-5861-4412-B9B5-AD2805EF7B08}"/>
    <cellStyle name="Normal 17 4 3 2 2 2 2 2 2 2" xfId="6785" xr:uid="{8175BDCF-7FD3-47FF-9809-36E774352FF1}"/>
    <cellStyle name="Normal 17 4 3 2 2 2 2 2 3" xfId="34554" xr:uid="{A5315538-5AA1-4A62-8271-3DEA90C78D43}"/>
    <cellStyle name="Normal 17 4 3 2 2 2 2 3" xfId="34556" xr:uid="{33305073-2C23-4A43-8701-5EF34D258D89}"/>
    <cellStyle name="Normal 17 4 3 2 2 2 2 3 2" xfId="34558" xr:uid="{FC87FAB7-E940-49DD-9990-31D8B97C552D}"/>
    <cellStyle name="Normal 17 4 3 2 2 2 2 4" xfId="34561" xr:uid="{5962D124-91BB-4CF1-AF90-491343A475FC}"/>
    <cellStyle name="Normal 17 4 3 2 2 2 3" xfId="10267" xr:uid="{527890BE-1663-4A68-A3D7-899895E20C14}"/>
    <cellStyle name="Normal 17 4 3 2 2 2 3 2" xfId="10272" xr:uid="{182CF7E2-C84A-49B6-BCAC-058EF8437B02}"/>
    <cellStyle name="Normal 17 4 3 2 2 2 3 2 2" xfId="34565" xr:uid="{CB594CDB-7AE9-4DAE-8B71-3F48C2AC847B}"/>
    <cellStyle name="Normal 17 4 3 2 2 2 3 3" xfId="22389" xr:uid="{072EDE7A-9CB4-4047-BC56-BCBEB2E1DA1B}"/>
    <cellStyle name="Normal 17 4 3 2 2 2 4" xfId="8887" xr:uid="{C54C4D07-9DD2-4BB9-98F1-5973F1C8EFC1}"/>
    <cellStyle name="Normal 17 4 3 2 2 2 4 2" xfId="8891" xr:uid="{CFE2E76F-82D9-4013-A69A-63DD02D716A5}"/>
    <cellStyle name="Normal 17 4 3 2 2 2 5" xfId="8894" xr:uid="{4D84FC74-CDDC-4713-A9F9-0EFAD6DE2693}"/>
    <cellStyle name="Normal 17 4 3 2 2 3" xfId="30167" xr:uid="{F1EB43FB-12C2-4A6E-A866-7F4A78EA2A4D}"/>
    <cellStyle name="Normal 17 4 3 2 2 3 2" xfId="30170" xr:uid="{541104C0-C0BB-4F64-8F20-05E3ABA69E87}"/>
    <cellStyle name="Normal 17 4 3 2 2 3 2 2" xfId="16400" xr:uid="{902E25B4-6292-4BFB-B7E4-504643F0110E}"/>
    <cellStyle name="Normal 17 4 3 2 2 3 2 2 2" xfId="34567" xr:uid="{C6036079-6CB1-4C20-91FC-9B3AA1896AAD}"/>
    <cellStyle name="Normal 17 4 3 2 2 3 2 3" xfId="16403" xr:uid="{9A23F5A6-512E-4190-9C34-02235B81D97E}"/>
    <cellStyle name="Normal 17 4 3 2 2 3 3" xfId="10278" xr:uid="{DB97E61D-9C12-4842-A649-FE5E81C63B19}"/>
    <cellStyle name="Normal 17 4 3 2 2 3 3 2" xfId="4480" xr:uid="{454577C5-72A9-465E-96E2-E99F4A850F38}"/>
    <cellStyle name="Normal 17 4 3 2 2 3 4" xfId="8899" xr:uid="{C25A75A1-ECA3-4010-9BC6-1F6A8F94B637}"/>
    <cellStyle name="Normal 17 4 3 2 2 4" xfId="30173" xr:uid="{84B6F0A9-AD74-403C-A6D5-F93ADC19902E}"/>
    <cellStyle name="Normal 17 4 3 2 2 4 2" xfId="34569" xr:uid="{5A1C536C-DCFF-4ADB-8264-AFA5748A481C}"/>
    <cellStyle name="Normal 17 4 3 2 2 4 2 2" xfId="16555" xr:uid="{77B28D55-AB5E-4CB6-9333-0FE68F050F65}"/>
    <cellStyle name="Normal 17 4 3 2 2 4 3" xfId="34571" xr:uid="{C96C80A0-6C87-422E-8491-7450BD566CE1}"/>
    <cellStyle name="Normal 17 4 3 2 2 5" xfId="30176" xr:uid="{7D5369F9-D721-4174-BD26-550D4C6DDB03}"/>
    <cellStyle name="Normal 17 4 3 2 2 5 2" xfId="34574" xr:uid="{3A93ED80-F7B7-4BB7-8545-FDD7ED2DF046}"/>
    <cellStyle name="Normal 17 4 3 2 2 6" xfId="34576" xr:uid="{A680DF5D-825E-4007-A65A-4D9135EA2817}"/>
    <cellStyle name="Normal 17 4 3 2 2 7" xfId="34578" xr:uid="{6BCF7CB1-E302-46AA-9C0A-A385F1378FBD}"/>
    <cellStyle name="Normal 17 4 3 2 3" xfId="18060" xr:uid="{DD8C4E9B-097D-4473-B9A8-2B681E90EC4D}"/>
    <cellStyle name="Normal 17 4 3 2 3 2" xfId="30206" xr:uid="{F01CB0E3-44DE-438A-89DB-B99208DBBBB5}"/>
    <cellStyle name="Normal 17 4 3 2 3 2 2" xfId="30209" xr:uid="{B4768E0C-39BD-4B0A-8715-3E0D7BF684F1}"/>
    <cellStyle name="Normal 17 4 3 2 3 2 2 2" xfId="34580" xr:uid="{CD8B0B08-4D14-4294-A079-BF2CF81B27E7}"/>
    <cellStyle name="Normal 17 4 3 2 3 2 2 2 2" xfId="34582" xr:uid="{BEEB30FB-8854-4729-BF51-2DB71DC3063D}"/>
    <cellStyle name="Normal 17 4 3 2 3 2 2 3" xfId="34584" xr:uid="{D789E201-023C-4F56-8D17-2085A395845F}"/>
    <cellStyle name="Normal 17 4 3 2 3 2 3" xfId="10291" xr:uid="{16C57904-B4BF-4522-AF0C-925B1A4D9EAE}"/>
    <cellStyle name="Normal 17 4 3 2 3 2 3 2" xfId="34586" xr:uid="{CB3FA613-D970-4428-99F2-B1ECEF80BBA0}"/>
    <cellStyle name="Normal 17 4 3 2 3 2 4" xfId="8920" xr:uid="{DC300114-3C0A-4EB3-B84A-725320F2E637}"/>
    <cellStyle name="Normal 17 4 3 2 3 3" xfId="30212" xr:uid="{82D17AFD-585D-4A92-B813-ABC5DB22315F}"/>
    <cellStyle name="Normal 17 4 3 2 3 3 2" xfId="34588" xr:uid="{D2E1EC22-06A4-45F9-A6D9-5664C5908C46}"/>
    <cellStyle name="Normal 17 4 3 2 3 3 2 2" xfId="16806" xr:uid="{9090416A-9AA1-4BBE-BB4F-3867C8DA44C7}"/>
    <cellStyle name="Normal 17 4 3 2 3 3 3" xfId="34590" xr:uid="{5AE32F48-7A51-4015-B28B-AC0ABA46127A}"/>
    <cellStyle name="Normal 17 4 3 2 3 4" xfId="30215" xr:uid="{FE38A401-2A02-4CCF-B4A9-B1405A5F4127}"/>
    <cellStyle name="Normal 17 4 3 2 3 4 2" xfId="34592" xr:uid="{DFD6D136-E72C-464E-B6D1-4E2FC67C8721}"/>
    <cellStyle name="Normal 17 4 3 2 3 5" xfId="34594" xr:uid="{4613945D-9B7A-4D19-AB49-A95325F8F15E}"/>
    <cellStyle name="Normal 17 4 3 2 4" xfId="18067" xr:uid="{67BC884B-1E0E-4B58-8A86-5629FAEDA67F}"/>
    <cellStyle name="Normal 17 4 3 2 4 2" xfId="30231" xr:uid="{6ADCB344-7FC6-4CE5-95F7-8F8234D6361F}"/>
    <cellStyle name="Normal 17 4 3 2 4 2 2" xfId="34596" xr:uid="{8E5C4B95-BE4D-4C74-B159-45B85EEF1EFA}"/>
    <cellStyle name="Normal 17 4 3 2 4 2 2 2" xfId="29367" xr:uid="{95EF5187-8E3D-4947-A08C-358898D78257}"/>
    <cellStyle name="Normal 17 4 3 2 4 2 3" xfId="18193" xr:uid="{1C34137B-3A90-45D3-A5CB-AB31FBD19EAD}"/>
    <cellStyle name="Normal 17 4 3 2 4 3" xfId="34598" xr:uid="{BB68EE97-6369-49B9-B83B-4559BDF70EC1}"/>
    <cellStyle name="Normal 17 4 3 2 4 3 2" xfId="34600" xr:uid="{392142C9-C583-4F5D-8A03-A90EAC865087}"/>
    <cellStyle name="Normal 17 4 3 2 4 4" xfId="34602" xr:uid="{BAD9FF4C-A573-461C-A698-70F1B5C3FF68}"/>
    <cellStyle name="Normal 17 4 3 2 5" xfId="18071" xr:uid="{5217BEE3-8C39-4771-9F6F-9852115CF7B8}"/>
    <cellStyle name="Normal 17 4 3 2 5 2" xfId="34604" xr:uid="{6EEA1A59-3222-4F42-A58C-F0041E0CCB7F}"/>
    <cellStyle name="Normal 17 4 3 2 5 2 2" xfId="34606" xr:uid="{65C48E8B-9125-4FE7-B6AE-4C35A85305B0}"/>
    <cellStyle name="Normal 17 4 3 2 5 3" xfId="34608" xr:uid="{B85BBC9A-BEF2-4460-BECC-D30FAE89A99C}"/>
    <cellStyle name="Normal 17 4 3 2 6" xfId="18075" xr:uid="{76FCF615-964B-4DFE-999F-5436343C31FE}"/>
    <cellStyle name="Normal 17 4 3 2 6 2" xfId="34610" xr:uid="{97DF907D-21A2-4EEB-BCA1-51F4392296A7}"/>
    <cellStyle name="Normal 17 4 3 2 7" xfId="18079" xr:uid="{18B8BE18-56E9-4DB3-BFD2-7703C2E40521}"/>
    <cellStyle name="Normal 17 4 3 2 8" xfId="18084" xr:uid="{DC39E8BE-776D-45E2-8C57-6A3247F5526D}"/>
    <cellStyle name="Normal 17 4 3 3" xfId="33896" xr:uid="{BB28E7FD-7C6D-4830-A613-86FB6CC27F4B}"/>
    <cellStyle name="Normal 17 4 3 3 2" xfId="8580" xr:uid="{54C7D2CF-C798-4F45-9B11-F426FCEF27BD}"/>
    <cellStyle name="Normal 17 4 3 3 2 2" xfId="341" xr:uid="{049A811C-C70C-4389-8662-2D50344455B9}"/>
    <cellStyle name="Normal 17 4 3 3 2 2 2" xfId="14577" xr:uid="{278860F8-6F31-4905-8FA9-DF6A761CC7FC}"/>
    <cellStyle name="Normal 17 4 3 3 2 2 2 2" xfId="14581" xr:uid="{AC9008ED-BB4D-4806-B91E-0EABD1BF7CE7}"/>
    <cellStyle name="Normal 17 4 3 3 2 2 2 2 2" xfId="14586" xr:uid="{345F281E-85E2-466D-8447-7968A6CE8CB0}"/>
    <cellStyle name="Normal 17 4 3 3 2 2 2 3" xfId="8512" xr:uid="{E19F8CFC-D8DA-42BC-8CF2-2495CC00C19A}"/>
    <cellStyle name="Normal 17 4 3 3 2 2 3" xfId="10322" xr:uid="{6C124275-D5D9-44BC-A4F9-909120B02D0D}"/>
    <cellStyle name="Normal 17 4 3 3 2 2 3 2" xfId="14589" xr:uid="{6DDC5705-14A0-4B82-AE4B-B03138C627CC}"/>
    <cellStyle name="Normal 17 4 3 3 2 2 4" xfId="9143" xr:uid="{B6AA6E4A-619C-4496-8323-3CA5AACED733}"/>
    <cellStyle name="Normal 17 4 3 3 2 3" xfId="348" xr:uid="{0C6D37CE-8BC4-4EF1-860D-30CF5C804161}"/>
    <cellStyle name="Normal 17 4 3 3 2 3 2" xfId="14622" xr:uid="{CE575561-10AF-41E8-AA91-5C620332D169}"/>
    <cellStyle name="Normal 17 4 3 3 2 3 2 2" xfId="14625" xr:uid="{0FB2C287-0C56-4AB2-9899-26AD2C1C214B}"/>
    <cellStyle name="Normal 17 4 3 3 2 3 3" xfId="14628" xr:uid="{8B8A82D0-43E4-4D9B-B481-BB03EBA9FCCB}"/>
    <cellStyle name="Normal 17 4 3 3 2 4" xfId="359" xr:uid="{F0B9D140-660F-4200-BEF8-7D55162EB16C}"/>
    <cellStyle name="Normal 17 4 3 3 2 4 2" xfId="14640" xr:uid="{E64EEEAA-2FFE-4F3A-96A8-51F2FABE714B}"/>
    <cellStyle name="Normal 17 4 3 3 2 5" xfId="367" xr:uid="{D346A4CD-0952-44A8-9AFB-292FD4C17FED}"/>
    <cellStyle name="Normal 17 4 3 3 3" xfId="18143" xr:uid="{32E7EF2B-8917-4E14-8982-7B29B9EEB34C}"/>
    <cellStyle name="Normal 17 4 3 3 3 2" xfId="30293" xr:uid="{61208491-E7D6-4CA3-A663-98EB7CF88EBE}"/>
    <cellStyle name="Normal 17 4 3 3 3 2 2" xfId="14712" xr:uid="{0ED69F3E-60DC-4E8E-B05F-51FF0C774275}"/>
    <cellStyle name="Normal 17 4 3 3 3 2 2 2" xfId="14715" xr:uid="{E6EA479F-FB68-4E47-AEAA-F5490144AC54}"/>
    <cellStyle name="Normal 17 4 3 3 3 2 3" xfId="14720" xr:uid="{4998A26E-A6A1-46AD-939A-705330F3B15E}"/>
    <cellStyle name="Normal 17 4 3 3 3 3" xfId="34612" xr:uid="{1740F398-CB2F-46D1-99EC-A6D5FB719BE4}"/>
    <cellStyle name="Normal 17 4 3 3 3 3 2" xfId="14732" xr:uid="{0D5AFD77-C4EA-4ADE-822C-6C25C49CFC23}"/>
    <cellStyle name="Normal 17 4 3 3 3 4" xfId="34614" xr:uid="{C909FA4A-9003-425E-91B4-40AE6B5C337D}"/>
    <cellStyle name="Normal 17 4 3 3 4" xfId="18149" xr:uid="{648875B3-F3D0-4C3D-9498-4475357566B2}"/>
    <cellStyle name="Normal 17 4 3 3 4 2" xfId="34616" xr:uid="{DD527B41-771E-41EF-9842-39323D0ACBBE}"/>
    <cellStyle name="Normal 17 4 3 3 4 2 2" xfId="14787" xr:uid="{BF3B3141-A509-4D7E-A145-0773F00DA5A2}"/>
    <cellStyle name="Normal 17 4 3 3 4 3" xfId="34618" xr:uid="{CD113DE2-CD9C-4765-958A-315C59D64662}"/>
    <cellStyle name="Normal 17 4 3 3 5" xfId="18155" xr:uid="{13606975-23EE-4E74-8933-97B00C86F279}"/>
    <cellStyle name="Normal 17 4 3 3 5 2" xfId="27945" xr:uid="{21F34063-F737-4221-BE6A-309A6B7B9797}"/>
    <cellStyle name="Normal 17 4 3 3 6" xfId="18163" xr:uid="{BCE01ED2-ADA9-4E37-A33F-36C496B9DCBE}"/>
    <cellStyle name="Normal 17 4 3 3 7" xfId="18175" xr:uid="{3F8EC73F-218F-4CD8-A9B1-93153093C34C}"/>
    <cellStyle name="Normal 17 4 3 4" xfId="33902" xr:uid="{73AB4BC9-2336-4912-8D5C-5D7ED74A3504}"/>
    <cellStyle name="Normal 17 4 3 4 2" xfId="34620" xr:uid="{F6AD9010-4BAD-4D99-ABE9-69ECF373B129}"/>
    <cellStyle name="Normal 17 4 3 4 2 2" xfId="30314" xr:uid="{DEABDF48-3FFA-4AA1-86E7-5DA75CE6469D}"/>
    <cellStyle name="Normal 17 4 3 4 2 2 2" xfId="15123" xr:uid="{C76CE2BA-5B7D-4C51-975C-2A091949B6D0}"/>
    <cellStyle name="Normal 17 4 3 4 2 2 2 2" xfId="15127" xr:uid="{DF61F341-874D-4A5B-8594-ACB8E450D172}"/>
    <cellStyle name="Normal 17 4 3 4 2 2 3" xfId="15131" xr:uid="{0AEAA752-4A22-43F3-888C-4E0A335DADDE}"/>
    <cellStyle name="Normal 17 4 3 4 2 3" xfId="34624" xr:uid="{9CC3EA0A-62AA-4E25-9B0A-78148EF60C53}"/>
    <cellStyle name="Normal 17 4 3 4 2 3 2" xfId="15145" xr:uid="{CA6922F8-58B3-4F60-93BD-6EA6DB96CBDE}"/>
    <cellStyle name="Normal 17 4 3 4 2 4" xfId="34626" xr:uid="{8C77CE8A-0862-4289-AEB0-B000C94A48DA}"/>
    <cellStyle name="Normal 17 4 3 4 3" xfId="34628" xr:uid="{EB1374D0-1799-4FD4-B1E7-4E9A90899758}"/>
    <cellStyle name="Normal 17 4 3 4 3 2" xfId="34630" xr:uid="{82519F7D-A568-42BE-82B1-28908533C3D4}"/>
    <cellStyle name="Normal 17 4 3 4 3 2 2" xfId="15214" xr:uid="{7F2D390A-4D64-404D-93F7-1E3B7F24C5E2}"/>
    <cellStyle name="Normal 17 4 3 4 3 3" xfId="34632" xr:uid="{30E39AF5-C1FB-456F-850B-1D8B5EF8C099}"/>
    <cellStyle name="Normal 17 4 3 4 4" xfId="34634" xr:uid="{C4F90848-6064-40AB-80A7-7717B4F51970}"/>
    <cellStyle name="Normal 17 4 3 4 4 2" xfId="34636" xr:uid="{3AEBC545-75FB-4FC6-86F9-0C0CB81ED670}"/>
    <cellStyle name="Normal 17 4 3 4 5" xfId="27953" xr:uid="{97575B72-8175-46D0-BF3B-57A3ACE6AFA8}"/>
    <cellStyle name="Normal 17 4 3 5" xfId="34642" xr:uid="{E44284AC-01DC-42B4-B807-01F238BF9A54}"/>
    <cellStyle name="Normal 17 4 3 5 2" xfId="34645" xr:uid="{C6BD0584-65A0-430B-9189-8F040ED06604}"/>
    <cellStyle name="Normal 17 4 3 5 2 2" xfId="21" xr:uid="{EA246B9E-F80B-4EB1-BA9E-94D81B26EE5A}"/>
    <cellStyle name="Normal 17 4 3 5 2 2 2" xfId="894" xr:uid="{39C9DB3B-9FB5-4842-9F7E-19088A1816DD}"/>
    <cellStyle name="Normal 17 4 3 5 2 3" xfId="99" xr:uid="{FA315B7A-657D-4781-9B44-38A6F670696E}"/>
    <cellStyle name="Normal 17 4 3 5 3" xfId="34648" xr:uid="{E48F56EC-2275-444C-B0B0-10A71BDE7F62}"/>
    <cellStyle name="Normal 17 4 3 5 3 2" xfId="34651" xr:uid="{8698D4C8-BB2D-4846-9FF3-3835AFCC8836}"/>
    <cellStyle name="Normal 17 4 3 5 4" xfId="34654" xr:uid="{F9C4B99B-AF94-497F-BC67-E491AB19514C}"/>
    <cellStyle name="Normal 17 4 3 6" xfId="34659" xr:uid="{2268CDF8-5320-438D-B5EC-7657954768C6}"/>
    <cellStyle name="Normal 17 4 3 6 2" xfId="34662" xr:uid="{956F315D-D98B-45DF-8119-0E60853C0B36}"/>
    <cellStyle name="Normal 17 4 3 6 2 2" xfId="34665" xr:uid="{B4266111-F234-4B60-9AA8-3286CE24D7A4}"/>
    <cellStyle name="Normal 17 4 3 6 3" xfId="34668" xr:uid="{CF0F7DBA-6DD9-4AFC-A0B7-9C60160EAB5B}"/>
    <cellStyle name="Normal 17 4 3 7" xfId="34672" xr:uid="{26D7ED71-3B43-4C82-8A2D-46CBBF3D9250}"/>
    <cellStyle name="Normal 17 4 3 7 2" xfId="29668" xr:uid="{AE5AFD0F-97E2-4F27-99AE-D57340B71917}"/>
    <cellStyle name="Normal 17 4 3 8" xfId="34677" xr:uid="{A7C6A17C-C53E-4ADE-921B-84931F9CD325}"/>
    <cellStyle name="Normal 17 4 3 9" xfId="15041" xr:uid="{340A5027-641A-4B57-8F9B-922A33FE9F65}"/>
    <cellStyle name="Normal 17 4 4" xfId="33905" xr:uid="{6C01B8D2-A973-4D37-8919-1D41ACEEE3E2}"/>
    <cellStyle name="Normal 17 4 4 2" xfId="33910" xr:uid="{01568CE3-5F00-4E42-B337-1CFFFF47CAE4}"/>
    <cellStyle name="Normal 17 4 4 2 2" xfId="18502" xr:uid="{BA5745C9-6337-4DA6-81DA-6B52C5B78CE7}"/>
    <cellStyle name="Normal 17 4 4 2 2 2" xfId="28490" xr:uid="{FE4AC50B-A16A-4AB2-8EFB-0587C1225459}"/>
    <cellStyle name="Normal 17 4 4 2 2 2 2" xfId="28494" xr:uid="{04C61D1D-B9F5-438C-87BC-54B3F04CB0DF}"/>
    <cellStyle name="Normal 17 4 4 2 2 2 2 2" xfId="28503" xr:uid="{0B6ABDB2-404E-4FC9-BB09-3E54F3D463EE}"/>
    <cellStyle name="Normal 17 4 4 2 2 2 2 2 2" xfId="34679" xr:uid="{7D17C341-62AC-4BF5-9989-387B44176F5D}"/>
    <cellStyle name="Normal 17 4 4 2 2 2 2 3" xfId="34681" xr:uid="{94E345D9-84C4-45BB-ACF9-059B47A3AB42}"/>
    <cellStyle name="Normal 17 4 4 2 2 2 3" xfId="13967" xr:uid="{96ACE514-1E96-4AEC-9C75-3DE34A256C75}"/>
    <cellStyle name="Normal 17 4 4 2 2 2 3 2" xfId="13976" xr:uid="{37AE35FB-4E96-4F16-AB5A-65F1ECD189B4}"/>
    <cellStyle name="Normal 17 4 4 2 2 2 4" xfId="9638" xr:uid="{85640EAF-81C6-413D-9752-0AF4CD7783F6}"/>
    <cellStyle name="Normal 17 4 4 2 2 3" xfId="28510" xr:uid="{6097AE3E-3299-4C80-9571-16DD722CA2BD}"/>
    <cellStyle name="Normal 17 4 4 2 2 3 2" xfId="28515" xr:uid="{0AA700F8-1F6E-4F93-A2DE-84D2797E8169}"/>
    <cellStyle name="Normal 17 4 4 2 2 3 2 2" xfId="34684" xr:uid="{7A1DF135-ACB7-4100-A7AE-5EF30408E26E}"/>
    <cellStyle name="Normal 17 4 4 2 2 3 3" xfId="13984" xr:uid="{4D6E4451-2576-49B4-9C06-77A431FF11B1}"/>
    <cellStyle name="Normal 17 4 4 2 2 4" xfId="20126" xr:uid="{E6DF6933-22BD-4178-A5FF-45A6CEFB5F6E}"/>
    <cellStyle name="Normal 17 4 4 2 2 4 2" xfId="34686" xr:uid="{C93AD38F-B89C-47E1-B21F-138FC1E5A6F6}"/>
    <cellStyle name="Normal 17 4 4 2 2 5" xfId="28522" xr:uid="{068A35E9-EB93-4964-B2DA-CD013E6DE49B}"/>
    <cellStyle name="Normal 17 4 4 2 3" xfId="18507" xr:uid="{C68866C5-197E-4C46-B1E2-3B9769A3ABD0}"/>
    <cellStyle name="Normal 17 4 4 2 3 2" xfId="28572" xr:uid="{A282CA52-B078-45DA-8EAA-43E894A201ED}"/>
    <cellStyle name="Normal 17 4 4 2 3 2 2" xfId="28578" xr:uid="{1DAA7E56-9E76-4B13-8F42-42298ED2F774}"/>
    <cellStyle name="Normal 17 4 4 2 3 2 2 2" xfId="34688" xr:uid="{1FB4FD25-F087-4D45-B6E0-09A58F959A9A}"/>
    <cellStyle name="Normal 17 4 4 2 3 2 3" xfId="14009" xr:uid="{D619898C-EB7D-496E-BDFC-00376F949D8B}"/>
    <cellStyle name="Normal 17 4 4 2 3 3" xfId="28582" xr:uid="{B7D5BA1C-69C8-45B3-B3ED-D5E43BFB94DF}"/>
    <cellStyle name="Normal 17 4 4 2 3 3 2" xfId="3691" xr:uid="{B3318272-0178-49AC-8552-5A64A37794E4}"/>
    <cellStyle name="Normal 17 4 4 2 3 4" xfId="5948" xr:uid="{7DDFD887-554F-4CCF-A171-A75C09992B54}"/>
    <cellStyle name="Normal 17 4 4 2 4" xfId="18511" xr:uid="{4EBE4DC6-305D-431E-AAAD-944F8C77BFE0}"/>
    <cellStyle name="Normal 17 4 4 2 4 2" xfId="28621" xr:uid="{68917FBF-51BF-4E0C-A88C-80234CD3A8A9}"/>
    <cellStyle name="Normal 17 4 4 2 4 2 2" xfId="28908" xr:uid="{1913340C-9BA4-454F-B0FA-6F28259D60E0}"/>
    <cellStyle name="Normal 17 4 4 2 4 3" xfId="34691" xr:uid="{3CEE82CC-0EC6-4135-AA34-75D9CD59BAC5}"/>
    <cellStyle name="Normal 17 4 4 2 5" xfId="18515" xr:uid="{E4FF0065-7E21-4073-BA68-50655E1F59E3}"/>
    <cellStyle name="Normal 17 4 4 2 5 2" xfId="34693" xr:uid="{CEDE81F9-663D-4470-84DD-3E21A87B8556}"/>
    <cellStyle name="Normal 17 4 4 2 6" xfId="18519" xr:uid="{0CAC6209-7BEE-4CE7-9690-1765C2CE2F68}"/>
    <cellStyle name="Normal 17 4 4 2 7" xfId="18527" xr:uid="{7F528911-7DEE-4488-B0EC-E24E7C7EFDD9}"/>
    <cellStyle name="Normal 17 4 4 3" xfId="33915" xr:uid="{00BE0CF0-F12B-4A9A-BE65-6B1BD6A57FA4}"/>
    <cellStyle name="Normal 17 4 4 3 2" xfId="12158" xr:uid="{35E0A427-5708-4CFB-A1E5-768AD610B152}"/>
    <cellStyle name="Normal 17 4 4 3 2 2" xfId="20930" xr:uid="{C3036B0A-0367-4C92-B99C-6DEE2B1A6C7A}"/>
    <cellStyle name="Normal 17 4 4 3 2 2 2" xfId="24629" xr:uid="{BFCAD89E-7D4F-4B83-A3FE-4F71064CD588}"/>
    <cellStyle name="Normal 17 4 4 3 2 2 2 2" xfId="34695" xr:uid="{24782AAA-2F37-4093-9319-19766FB12680}"/>
    <cellStyle name="Normal 17 4 4 3 2 2 3" xfId="14045" xr:uid="{F53E55C6-2BFA-4FE8-99B6-8FFB7BC99751}"/>
    <cellStyle name="Normal 17 4 4 3 2 3" xfId="28708" xr:uid="{10DBF6C0-2D5B-4A6F-BFE7-CDF44B224D4D}"/>
    <cellStyle name="Normal 17 4 4 3 2 3 2" xfId="34697" xr:uid="{3FB2597E-DEC6-4BE5-B54F-4CC2A91D1FE5}"/>
    <cellStyle name="Normal 17 4 4 3 2 4" xfId="28711" xr:uid="{D0F8FE30-9D52-404B-BF05-F7DEB927DDB7}"/>
    <cellStyle name="Normal 17 4 4 3 3" xfId="18565" xr:uid="{168D7CBE-204B-4483-B456-3DBE293ACDFA}"/>
    <cellStyle name="Normal 17 4 4 3 3 2" xfId="28740" xr:uid="{3107BF58-A452-467D-80D6-79EB351D44DC}"/>
    <cellStyle name="Normal 17 4 4 3 3 2 2" xfId="24811" xr:uid="{2A32A72D-EF1E-432A-A561-9B7648DB92B5}"/>
    <cellStyle name="Normal 17 4 4 3 3 3" xfId="34699" xr:uid="{BE87E220-8B54-492C-AFE3-FAF0B1C4B447}"/>
    <cellStyle name="Normal 17 4 4 3 4" xfId="18569" xr:uid="{BDF347F9-93C7-4239-B565-A3CFECAAB038}"/>
    <cellStyle name="Normal 17 4 4 3 4 2" xfId="34701" xr:uid="{96798293-B941-46D5-B2D7-BEC38201FB6C}"/>
    <cellStyle name="Normal 17 4 4 3 5" xfId="18573" xr:uid="{FE095524-913C-4461-A949-832490CB6E44}"/>
    <cellStyle name="Normal 17 4 4 4" xfId="34703" xr:uid="{BE1CC9BE-5BA0-4945-AE43-12447936555E}"/>
    <cellStyle name="Normal 17 4 4 4 2" xfId="34705" xr:uid="{360DBCF2-649C-4479-99C4-6729E233E592}"/>
    <cellStyle name="Normal 17 4 4 4 2 2" xfId="19248" xr:uid="{CF01E1C4-9916-4CA2-BCEC-00FC378506F7}"/>
    <cellStyle name="Normal 17 4 4 4 2 2 2" xfId="34707" xr:uid="{31E8D884-4D35-4D1A-9424-C323F9D32FAA}"/>
    <cellStyle name="Normal 17 4 4 4 2 3" xfId="19253" xr:uid="{CB23DC74-73AC-42E6-A562-AEF00169C383}"/>
    <cellStyle name="Normal 17 4 4 4 3" xfId="34709" xr:uid="{8E14354E-1DAE-4953-8721-0016FEB4387F}"/>
    <cellStyle name="Normal 17 4 4 4 3 2" xfId="34711" xr:uid="{99288EB3-4B8F-43BA-9A5D-72D60FF8DC80}"/>
    <cellStyle name="Normal 17 4 4 4 4" xfId="34713" xr:uid="{155502FF-456C-4BFF-9F6B-C7B9A2BA526D}"/>
    <cellStyle name="Normal 17 4 4 5" xfId="34716" xr:uid="{52BE0BA0-AAE3-4C88-8C96-1948A5958769}"/>
    <cellStyle name="Normal 17 4 4 5 2" xfId="34718" xr:uid="{D5FDA47C-442D-4223-8A22-49EBA7DF24BA}"/>
    <cellStyle name="Normal 17 4 4 5 2 2" xfId="34720" xr:uid="{91BAB689-C2FA-4915-91BA-9B90A64B64A6}"/>
    <cellStyle name="Normal 17 4 4 5 3" xfId="34722" xr:uid="{9DC4B84E-E96A-4738-98C8-3FB1D64F0CAE}"/>
    <cellStyle name="Normal 17 4 4 6" xfId="34724" xr:uid="{1BE24CF1-93AA-428B-82C0-6FF417724B91}"/>
    <cellStyle name="Normal 17 4 4 6 2" xfId="34726" xr:uid="{D14DAC39-E21C-4B9C-8072-287791B0903D}"/>
    <cellStyle name="Normal 17 4 4 7" xfId="34728" xr:uid="{87DADBD0-B1B8-48AC-BB63-16A7498E816C}"/>
    <cellStyle name="Normal 17 4 4 8" xfId="34731" xr:uid="{ED599D4B-0E48-4AEF-9C6C-410E57B54936}"/>
    <cellStyle name="Normal 17 4 5" xfId="2760" xr:uid="{0E1E6B95-4225-4DE1-8F1D-0A552980495F}"/>
    <cellStyle name="Normal 17 4 5 2" xfId="2773" xr:uid="{527A908B-8B7D-492C-A269-07078E6BB241}"/>
    <cellStyle name="Normal 17 4 5 2 2" xfId="2784" xr:uid="{8EB740EB-E846-4AAD-9A8F-3E9551D38B16}"/>
    <cellStyle name="Normal 17 4 5 2 2 2" xfId="21033" xr:uid="{6B0532E9-DFF7-442A-B348-89CCF9031BCB}"/>
    <cellStyle name="Normal 17 4 5 2 2 2 2" xfId="34733" xr:uid="{659921B7-0014-40F4-9593-72E382F39964}"/>
    <cellStyle name="Normal 17 4 5 2 2 2 2 2" xfId="34735" xr:uid="{112F032B-E32F-4ED1-AE3B-35B87FCCB7DF}"/>
    <cellStyle name="Normal 17 4 5 2 2 2 3" xfId="15677" xr:uid="{8BB83F9F-B374-47B7-9622-3C95FE59309A}"/>
    <cellStyle name="Normal 17 4 5 2 2 3" xfId="34737" xr:uid="{206D4236-1609-4327-AB04-9F8DF89067DF}"/>
    <cellStyle name="Normal 17 4 5 2 2 3 2" xfId="34739" xr:uid="{2F608C0E-3C57-4724-AB93-270290440F42}"/>
    <cellStyle name="Normal 17 4 5 2 2 4" xfId="34741" xr:uid="{0B4F4ED2-0553-4595-AE9B-8ED1C25C0A6F}"/>
    <cellStyle name="Normal 17 4 5 2 3" xfId="18731" xr:uid="{F59611F9-C7D5-445F-9964-DFED566D5412}"/>
    <cellStyle name="Normal 17 4 5 2 3 2" xfId="34743" xr:uid="{896DF7CD-EA46-4EB4-8D56-389886EC7608}"/>
    <cellStyle name="Normal 17 4 5 2 3 2 2" xfId="34745" xr:uid="{E12C1494-B6F6-41BF-BD9C-7D12A0D62488}"/>
    <cellStyle name="Normal 17 4 5 2 3 3" xfId="34747" xr:uid="{B7D5C69A-57DD-4534-A637-C2B6AAE8063C}"/>
    <cellStyle name="Normal 17 4 5 2 4" xfId="17789" xr:uid="{5326F614-3DDA-41A4-89DB-6E0FD1545982}"/>
    <cellStyle name="Normal 17 4 5 2 4 2" xfId="34749" xr:uid="{E10B9A73-C31E-41F5-86A2-4911485533A3}"/>
    <cellStyle name="Normal 17 4 5 2 5" xfId="17794" xr:uid="{3C7A9366-B29F-4DF3-B919-D5389FE6C2BB}"/>
    <cellStyle name="Normal 17 4 5 3" xfId="2796" xr:uid="{4922073B-97F4-4DD0-AFA4-3702BBE87333}"/>
    <cellStyle name="Normal 17 4 5 3 2" xfId="18784" xr:uid="{122F5991-7AAC-4086-99C2-CDEF5AA150DA}"/>
    <cellStyle name="Normal 17 4 5 3 2 2" xfId="34751" xr:uid="{8D5B73FD-2776-461D-A2C1-602AF84A6286}"/>
    <cellStyle name="Normal 17 4 5 3 2 2 2" xfId="15947" xr:uid="{37150E62-B629-4685-BC2A-18D87A65420F}"/>
    <cellStyle name="Normal 17 4 5 3 2 3" xfId="34753" xr:uid="{A0FB7710-B7B5-4D0C-89B0-A92725DA767C}"/>
    <cellStyle name="Normal 17 4 5 3 3" xfId="18790" xr:uid="{D15B0298-2348-4ED2-820F-CEB45B548DD0}"/>
    <cellStyle name="Normal 17 4 5 3 3 2" xfId="34755" xr:uid="{335B917D-00D9-46C0-833E-F224C88F606D}"/>
    <cellStyle name="Normal 17 4 5 3 4" xfId="17801" xr:uid="{3A96E9CE-ED68-4028-B68B-552A16B537B5}"/>
    <cellStyle name="Normal 17 4 5 4" xfId="34757" xr:uid="{2A84E2E0-CF3E-4FB9-8090-46EF6959BD4A}"/>
    <cellStyle name="Normal 17 4 5 4 2" xfId="34759" xr:uid="{6EB6B9A6-C9AF-489D-B6A9-6536A7FBB0BC}"/>
    <cellStyle name="Normal 17 4 5 4 2 2" xfId="34761" xr:uid="{1E726D50-AEBC-450E-9AFC-03265F861D2C}"/>
    <cellStyle name="Normal 17 4 5 4 3" xfId="6867" xr:uid="{CC922627-71BE-47EE-9D0A-3A36493BD618}"/>
    <cellStyle name="Normal 17 4 5 5" xfId="34764" xr:uid="{C75E010C-6B7E-4BB2-89C4-942C85C60C50}"/>
    <cellStyle name="Normal 17 4 5 5 2" xfId="34767" xr:uid="{3B1A4988-408F-4063-91F7-9350BADB617A}"/>
    <cellStyle name="Normal 17 4 5 6" xfId="34770" xr:uid="{A4B9B1E2-9E30-412B-AABB-C7002EE1F5D6}"/>
    <cellStyle name="Normal 17 4 5 7" xfId="34773" xr:uid="{BCA9CDA3-AD85-4644-8183-EB30EE1CB2C7}"/>
    <cellStyle name="Normal 17 4 6" xfId="2817" xr:uid="{8C62E56F-3B39-456A-AF2F-812BE704DE55}"/>
    <cellStyle name="Normal 17 4 6 2" xfId="2849" xr:uid="{562800FE-5AF6-4E9F-B5F2-031DA5346AF7}"/>
    <cellStyle name="Normal 17 4 6 2 2" xfId="18947" xr:uid="{5FBD26ED-1633-47C9-809B-4B4DABEDACAD}"/>
    <cellStyle name="Normal 17 4 6 2 2 2" xfId="34775" xr:uid="{5CDFC349-803A-415F-B2E0-DB5F57790BEF}"/>
    <cellStyle name="Normal 17 4 6 2 2 2 2" xfId="34777" xr:uid="{C0D01246-DC24-413E-B682-C3C888C589DF}"/>
    <cellStyle name="Normal 17 4 6 2 2 3" xfId="34779" xr:uid="{349364D3-2D65-4E23-BC96-CBCB857659F1}"/>
    <cellStyle name="Normal 17 4 6 2 3" xfId="18951" xr:uid="{2D6E4BD7-B043-4CD1-8714-C9687E61ACFF}"/>
    <cellStyle name="Normal 17 4 6 2 3 2" xfId="34781" xr:uid="{55E40A51-13F4-4335-A15D-D955D4CB455C}"/>
    <cellStyle name="Normal 17 4 6 2 4" xfId="18955" xr:uid="{EDBD3634-3841-4B1D-9F75-5EFA147EC86B}"/>
    <cellStyle name="Normal 17 4 6 3" xfId="34783" xr:uid="{71163E2F-CDCF-4CF5-AFA8-9739AE1217AB}"/>
    <cellStyle name="Normal 17 4 6 3 2" xfId="19033" xr:uid="{EE620900-F8AC-4B50-B00D-98FD2855D8E2}"/>
    <cellStyle name="Normal 17 4 6 3 2 2" xfId="34785" xr:uid="{D9BD3087-887B-4520-A890-91922AC19C0C}"/>
    <cellStyle name="Normal 17 4 6 3 3" xfId="19039" xr:uid="{A8D56DA2-B546-43A4-B54D-EE4DF114A55C}"/>
    <cellStyle name="Normal 17 4 6 4" xfId="34787" xr:uid="{EE4551DF-E44A-4B85-B921-2B97938F41C2}"/>
    <cellStyle name="Normal 17 4 6 4 2" xfId="34789" xr:uid="{FC10031A-8348-4AFE-BA65-9BB114BD2240}"/>
    <cellStyle name="Normal 17 4 6 5" xfId="34792" xr:uid="{B5316DB6-770F-42F6-BD12-95272C14BA9E}"/>
    <cellStyle name="Normal 17 4 7" xfId="6616" xr:uid="{FD1F4179-770F-4959-8FDD-A3016E77F272}"/>
    <cellStyle name="Normal 17 4 7 2" xfId="34794" xr:uid="{5A868EC7-7863-4BC4-BD42-0BAF33753785}"/>
    <cellStyle name="Normal 17 4 7 2 2" xfId="34796" xr:uid="{F7108E1F-E99C-475B-8E31-29DEE423EAD6}"/>
    <cellStyle name="Normal 17 4 7 2 2 2" xfId="30771" xr:uid="{CBF2A6B3-2AF5-49C4-9C3A-413C6CE9D236}"/>
    <cellStyle name="Normal 17 4 7 2 3" xfId="34798" xr:uid="{99491819-7842-4ADB-9A6C-DF6488219CD4}"/>
    <cellStyle name="Normal 17 4 7 3" xfId="34800" xr:uid="{1667F435-6A75-4CD1-970E-0172521F2EC1}"/>
    <cellStyle name="Normal 17 4 7 3 2" xfId="34802" xr:uid="{AE77F78D-9827-47C5-8E32-75E809340D8D}"/>
    <cellStyle name="Normal 17 4 7 4" xfId="30997" xr:uid="{E52FA5B5-3819-42D8-8A18-8169DF2F13F5}"/>
    <cellStyle name="Normal 17 4 8" xfId="4972" xr:uid="{878ED3A7-32A5-4F27-A7A2-A2A48BB987E7}"/>
    <cellStyle name="Normal 17 4 8 2" xfId="34806" xr:uid="{9F1F8409-0B76-4E6C-877D-3C046599B2DB}"/>
    <cellStyle name="Normal 17 4 8 2 2" xfId="34808" xr:uid="{56B3CB36-DE3F-4B23-A3A8-3CCA21C89284}"/>
    <cellStyle name="Normal 17 4 8 3" xfId="34812" xr:uid="{09AC2A0B-3D2E-45B8-A323-71836171EF6A}"/>
    <cellStyle name="Normal 17 4 9" xfId="27418" xr:uid="{94970487-0467-4029-8D84-40DD52FFCF7F}"/>
    <cellStyle name="Normal 17 4 9 2" xfId="34815" xr:uid="{4728B493-864E-4E48-9C2A-0C0E83105D4E}"/>
    <cellStyle name="Normal 17 5" xfId="34817" xr:uid="{1956BB4E-5643-48B1-B2DF-AE6FE5274C2E}"/>
    <cellStyle name="Normal 17 6" xfId="34819" xr:uid="{83848B48-10FE-4E5B-99EC-F61C0A198693}"/>
    <cellStyle name="Normal 17 7" xfId="34821" xr:uid="{C2898061-F9C6-4463-95FB-0AC016D3C631}"/>
    <cellStyle name="Normal 17 8" xfId="34823" xr:uid="{4B920F60-7485-4580-838D-EF09970A28A5}"/>
    <cellStyle name="Normal 17 9" xfId="34825" xr:uid="{2E840809-3DB3-47ED-9541-DA5334140BFB}"/>
    <cellStyle name="Normal 170" xfId="32899" xr:uid="{96D77A52-3965-4E2C-B3B4-9A87DFCE8467}"/>
    <cellStyle name="Normal 170 2" xfId="29248" xr:uid="{053B6D1F-246A-4FDD-A583-D15009B1643A}"/>
    <cellStyle name="Normal 170 2 2" xfId="29255" xr:uid="{A0303C6A-0D3F-4D35-BDE2-97E1111F6A28}"/>
    <cellStyle name="Normal 170 3" xfId="30081" xr:uid="{C3942509-A192-4AE1-A499-531ED5A59D83}"/>
    <cellStyle name="Normal 171" xfId="32903" xr:uid="{92991152-2344-498E-83AD-8C3B231FE8E2}"/>
    <cellStyle name="Normal 171 2" xfId="29388" xr:uid="{C16BDAA8-496E-4564-9407-E92E1B7C48D9}"/>
    <cellStyle name="Normal 171 2 2" xfId="32907" xr:uid="{C3DB1660-2B2D-431B-A410-4D35E49F2BF1}"/>
    <cellStyle name="Normal 171 3" xfId="30090" xr:uid="{D4F626A5-9FEF-4250-83DA-AE110E306BB5}"/>
    <cellStyle name="Normal 172" xfId="32913" xr:uid="{EED29F5D-5B26-44D9-BFBE-82F2C591C585}"/>
    <cellStyle name="Normal 172 2" xfId="29466" xr:uid="{0B35E606-7BE4-4BDD-8610-9E93F7F65F95}"/>
    <cellStyle name="Normal 172 2 2" xfId="32917" xr:uid="{4FD43F4B-B76D-4CCD-B662-6D380B4778AD}"/>
    <cellStyle name="Normal 172 3" xfId="32922" xr:uid="{8E8B5489-4383-4370-9084-FADFAE382064}"/>
    <cellStyle name="Normal 173" xfId="32926" xr:uid="{B0CF93CF-FE52-40DD-8FF4-AB25186C1157}"/>
    <cellStyle name="Normal 173 2" xfId="18228" xr:uid="{1B2DD8B1-8599-4F24-A75D-0588DA4DB802}"/>
    <cellStyle name="Normal 173 2 2" xfId="3620" xr:uid="{DC39C3E7-4FB2-4BC0-A0CA-1FFF5844B744}"/>
    <cellStyle name="Normal 173 3" xfId="32930" xr:uid="{7C2EE306-B7B8-486D-9E27-E44592867CE0}"/>
    <cellStyle name="Normal 174" xfId="32934" xr:uid="{E475B12B-AD83-46E3-AC68-F90169F7F7A6}"/>
    <cellStyle name="Normal 174 2" xfId="32938" xr:uid="{EBAECA30-FC55-4147-B693-E233353CE0D6}"/>
    <cellStyle name="Normal 174 2 2" xfId="32942" xr:uid="{5ADA8358-7311-44D6-896A-5802A425E7B7}"/>
    <cellStyle name="Normal 174 3" xfId="32946" xr:uid="{CA038BBD-D47B-463D-9641-27D443EDDDAB}"/>
    <cellStyle name="Normal 175" xfId="4093" xr:uid="{EE7DEE9E-6365-497D-84D9-EE79E5F0394E}"/>
    <cellStyle name="Normal 175 2" xfId="34828" xr:uid="{27CF5233-D11F-4ADB-A274-6C4015444BBB}"/>
    <cellStyle name="Normal 175 2 2" xfId="34832" xr:uid="{FA7CE34B-FACE-4BAC-91F2-AA73615BE5E7}"/>
    <cellStyle name="Normal 175 3" xfId="34836" xr:uid="{A74EB71A-03E5-479D-B6AD-71FDD49A8327}"/>
    <cellStyle name="Normal 176" xfId="2575" xr:uid="{09D5FD70-5A6D-4966-AABA-A3DF00E9E004}"/>
    <cellStyle name="Normal 176 2" xfId="2586" xr:uid="{BD2D5504-8027-4F24-A5F5-B1C000111EBF}"/>
    <cellStyle name="Normal 176 2 2" xfId="7573" xr:uid="{05E4BE58-6BD7-4C3C-99B0-136EF9294307}"/>
    <cellStyle name="Normal 176 3" xfId="2595" xr:uid="{BA577EE9-C8E0-41CF-AD97-7B1C179B8F81}"/>
    <cellStyle name="Normal 177" xfId="2609" xr:uid="{044D7AF7-92BA-455F-A03F-36A7110C1549}"/>
    <cellStyle name="Normal 177 2" xfId="7580" xr:uid="{FA642544-C03F-458F-BDAF-D491F50E912E}"/>
    <cellStyle name="Normal 177 2 2" xfId="34103" xr:uid="{41A0B056-5935-4EED-B02B-C51EE806EA65}"/>
    <cellStyle name="Normal 177 3" xfId="34117" xr:uid="{1BAB09A8-BCEC-4FA9-9EDD-F469F5E7EBC9}"/>
    <cellStyle name="Normal 178" xfId="2619" xr:uid="{89EA62DA-1391-4820-81ED-95B5A28A6B7A}"/>
    <cellStyle name="Normal 178 2" xfId="34139" xr:uid="{C9295174-1AA2-4003-8ABE-DF16DE474E18}"/>
    <cellStyle name="Normal 178 2 2" xfId="34145" xr:uid="{E0D0EA28-DE4B-46A7-8475-BCF20738F792}"/>
    <cellStyle name="Normal 178 3" xfId="34153" xr:uid="{01F660A5-2972-46A8-AEB3-F46C3560F0D6}"/>
    <cellStyle name="Normal 179" xfId="34166" xr:uid="{925E2CC7-F763-472D-BDB2-1E57F8C602F1}"/>
    <cellStyle name="Normal 179 2" xfId="34172" xr:uid="{B4F27136-AD5B-46CF-8D5E-93CC8EAC43AC}"/>
    <cellStyle name="Normal 179 2 2" xfId="34178" xr:uid="{F973ACA6-35C4-4382-9786-E6858B87AC1B}"/>
    <cellStyle name="Normal 179 3" xfId="34185" xr:uid="{46069AC7-D215-4D79-938C-59E719B6EE9E}"/>
    <cellStyle name="Normal 18" xfId="34842" xr:uid="{2E7BB8BB-C8BE-434D-8FBD-EDADAC9CE58A}"/>
    <cellStyle name="Normal 18 10" xfId="34844" xr:uid="{A9B6A180-A85E-40AE-AE10-AB8FC1BC2B73}"/>
    <cellStyle name="Normal 18 11" xfId="34846" xr:uid="{FD0B762A-A067-44BC-B9C6-D13E970B9A58}"/>
    <cellStyle name="Normal 18 12" xfId="34847" xr:uid="{76821A47-A637-4DB1-B095-2D010B77C674}"/>
    <cellStyle name="Normal 18 13" xfId="19531" xr:uid="{7D19CC18-B068-4C20-8209-63BB0B0CA7BB}"/>
    <cellStyle name="Normal 18 14" xfId="19537" xr:uid="{A96E3AB8-373E-42D8-AE0B-913CF4056FBF}"/>
    <cellStyle name="Normal 18 15" xfId="27161" xr:uid="{B871DDB7-C7DF-4967-9DBB-4E1A1396AA6B}"/>
    <cellStyle name="Normal 18 16" xfId="34848" xr:uid="{6C96B0FE-B8B1-4828-8A67-C27D799BF6ED}"/>
    <cellStyle name="Normal 18 17" xfId="34850" xr:uid="{2E7280D5-86AB-4D73-A23F-15CCD5367600}"/>
    <cellStyle name="Normal 18 18" xfId="34852" xr:uid="{D516C528-001B-497B-9BF2-D057A13B6EFB}"/>
    <cellStyle name="Normal 18 19" xfId="34854" xr:uid="{F2730F35-BF24-40B6-92B1-AD5D9CA8D1CA}"/>
    <cellStyle name="Normal 18 2" xfId="34859" xr:uid="{39E3825B-6652-435C-8029-815B5FA061B5}"/>
    <cellStyle name="Normal 18 2 2" xfId="34863" xr:uid="{C87CBD98-4195-4994-AC2B-A6235380014C}"/>
    <cellStyle name="Normal 18 2 2 2" xfId="34864" xr:uid="{2B02C6E2-7296-4CD3-8BBA-DCD588609645}"/>
    <cellStyle name="Normal 18 20" xfId="27162" xr:uid="{6BEC1AC0-7668-4DFE-B6C2-BA7B08B908C3}"/>
    <cellStyle name="Normal 18 21" xfId="34849" xr:uid="{CE8FA6A7-F257-4121-BE66-8DD5FB6B58AE}"/>
    <cellStyle name="Normal 18 22" xfId="34851" xr:uid="{52CC8086-0A80-4177-8625-BEEACBF2D54B}"/>
    <cellStyle name="Normal 18 23" xfId="34853" xr:uid="{9B1FCED7-F6FF-40A7-B9FD-518B414B0AB7}"/>
    <cellStyle name="Normal 18 24" xfId="34855" xr:uid="{8033F391-3535-41E3-967A-8D93BCF414DC}"/>
    <cellStyle name="Normal 18 25" xfId="34865" xr:uid="{C32BF08D-F71A-41DB-90E8-B5C0418BB5D4}"/>
    <cellStyle name="Normal 18 26" xfId="32908" xr:uid="{0757EBC6-A4FD-4182-9BC4-AB259B0E5117}"/>
    <cellStyle name="Normal 18 27" xfId="15919" xr:uid="{3E8EA6F0-EFA6-4441-8548-DBD7FF619222}"/>
    <cellStyle name="Normal 18 28" xfId="9172" xr:uid="{D9CB687C-ABD6-4815-8291-408B3008420C}"/>
    <cellStyle name="Normal 18 29" xfId="9180" xr:uid="{055A44D9-8E08-4F4A-9BF1-CEC4C00740AC}"/>
    <cellStyle name="Normal 18 3" xfId="3650" xr:uid="{DA4FA11A-EA32-46E0-B894-35B2D43CB9D0}"/>
    <cellStyle name="Normal 18 3 2" xfId="34867" xr:uid="{20ECB017-EE63-48FB-A3BE-94B062713A3A}"/>
    <cellStyle name="Normal 18 30" xfId="34866" xr:uid="{C800182E-A347-4AED-B68F-8FC260E7AA17}"/>
    <cellStyle name="Normal 18 31" xfId="32909" xr:uid="{F533E178-0E0B-493A-88D0-FC6217170D3E}"/>
    <cellStyle name="Normal 18 32" xfId="15920" xr:uid="{D0BD2F4E-AF0E-4CF8-B1DE-93727AFE621B}"/>
    <cellStyle name="Normal 18 4" xfId="22343" xr:uid="{4067A341-F15B-4D79-87AB-6E9333793A9C}"/>
    <cellStyle name="Normal 18 5" xfId="24296" xr:uid="{4552F107-6E66-4C22-8C99-96E9F3F7D214}"/>
    <cellStyle name="Normal 18 6" xfId="24311" xr:uid="{46CE2872-9323-47F5-8E2E-2143FEAC6CFE}"/>
    <cellStyle name="Normal 18 7" xfId="24317" xr:uid="{793BDB41-9E4D-4BF9-BDA1-1C696A50B670}"/>
    <cellStyle name="Normal 18 8" xfId="31863" xr:uid="{1593672E-7E74-49BF-9FD6-72E596170B4B}"/>
    <cellStyle name="Normal 18 9" xfId="27705" xr:uid="{498FA865-F4D1-419E-97F7-89244EF43BA9}"/>
    <cellStyle name="Normal 18_time siries 191110 2" xfId="34869" xr:uid="{07579103-0662-449C-92F5-5B4CE92B14D9}"/>
    <cellStyle name="Normal 180" xfId="4094" xr:uid="{234DEE28-E619-47E2-93C8-9AF08B1C42D2}"/>
    <cellStyle name="Normal 180 2" xfId="34829" xr:uid="{C93E313C-31EE-4505-9C48-B8F0105F1F65}"/>
    <cellStyle name="Normal 180 2 2" xfId="34833" xr:uid="{2559EC4F-0159-47E3-92FB-BB817A3CE8BE}"/>
    <cellStyle name="Normal 180 3" xfId="34837" xr:uid="{3AE21232-B674-4232-8B8C-E8549979B466}"/>
    <cellStyle name="Normal 181" xfId="2576" xr:uid="{AE1E05AF-BFF4-4B60-9F8E-A2BF188E14E8}"/>
    <cellStyle name="Normal 181 2" xfId="2587" xr:uid="{BFAFA410-E266-4522-9EE9-944CED9E7869}"/>
    <cellStyle name="Normal 181 2 2" xfId="7574" xr:uid="{16930650-A41C-4153-8011-EAA84F7BCAC1}"/>
    <cellStyle name="Normal 181 3" xfId="2596" xr:uid="{682BB235-894B-46B1-B6D9-7064FFCF6A5C}"/>
    <cellStyle name="Normal 182" xfId="2610" xr:uid="{5A2B285F-77E7-4386-AFAB-F1193A3155C7}"/>
    <cellStyle name="Normal 182 2" xfId="7581" xr:uid="{7F7FBD75-0BC9-42EA-8B57-9D665B40E5B3}"/>
    <cellStyle name="Normal 182 2 2" xfId="34104" xr:uid="{7EDCA6CB-77C9-424C-B1AD-31E45266E025}"/>
    <cellStyle name="Normal 182 3" xfId="34118" xr:uid="{FDAFAE71-F25D-489D-872A-4E6C18B74C65}"/>
    <cellStyle name="Normal 183" xfId="2620" xr:uid="{59029DA8-20EC-46F7-96A5-2213A8416403}"/>
    <cellStyle name="Normal 183 2" xfId="34140" xr:uid="{0AFAD927-C1B0-4021-9A89-B5E6E021611A}"/>
    <cellStyle name="Normal 183 2 2" xfId="34146" xr:uid="{FD0A1E0D-F2E5-4180-941C-371E145A8637}"/>
    <cellStyle name="Normal 183 3" xfId="34154" xr:uid="{EFD1A5AC-FDDF-4D8A-8A3F-DD11B78A0374}"/>
    <cellStyle name="Normal 184" xfId="34167" xr:uid="{F830DE7D-6593-4CCF-9B7A-B34D85B4D123}"/>
    <cellStyle name="Normal 184 2" xfId="34173" xr:uid="{B2DFD743-A9F5-429D-BBE7-A005C8F6BADE}"/>
    <cellStyle name="Normal 184 2 2" xfId="34179" xr:uid="{7D43B866-7494-4CDD-99D6-380D7D614096}"/>
    <cellStyle name="Normal 184 3" xfId="34186" xr:uid="{3C90D934-F775-4DBB-BEC4-5CC7B0ADD906}"/>
    <cellStyle name="Normal 185" xfId="34193" xr:uid="{889026E0-A417-4B33-AA3A-8CE14450269B}"/>
    <cellStyle name="Normal 185 2" xfId="34199" xr:uid="{F8A47636-9AC0-438E-BF19-92D25B51A7DC}"/>
    <cellStyle name="Normal 185 2 2" xfId="4437" xr:uid="{9270EB17-6E12-441B-8E35-86C0A86D515B}"/>
    <cellStyle name="Normal 185 3" xfId="34205" xr:uid="{AEFC044D-DDF9-43BD-AA16-C15CFE5EE82C}"/>
    <cellStyle name="Normal 186" xfId="34210" xr:uid="{7CE0D0C8-C4AC-46B3-A342-DE2714C32618}"/>
    <cellStyle name="Normal 186 2" xfId="29430" xr:uid="{756773DD-6AD7-477F-95C6-5282E3C04C77}"/>
    <cellStyle name="Normal 186 2 2" xfId="26663" xr:uid="{1C0E15BB-BD66-48DE-8590-0DBC1F69546B}"/>
    <cellStyle name="Normal 186 3" xfId="34872" xr:uid="{6F675DB6-E1C9-444F-92B4-C73578837027}"/>
    <cellStyle name="Normal 187" xfId="34218" xr:uid="{B3E70BB2-14C8-4F38-BE49-1828ECFD06F1}"/>
    <cellStyle name="Normal 187 2" xfId="34878" xr:uid="{47888A35-F7F2-4639-A58E-E6280B0D02E7}"/>
    <cellStyle name="Normal 187 2 2" xfId="13016" xr:uid="{14528896-68AA-4F0E-94F4-E30489EC0104}"/>
    <cellStyle name="Normal 187 3" xfId="34883" xr:uid="{23EAC701-27A0-46F1-9CB1-4BB7E4891158}"/>
    <cellStyle name="Normal 188" xfId="20451" xr:uid="{545F4493-2631-4B7F-88EA-DE0553C16F79}"/>
    <cellStyle name="Normal 188 2" xfId="30438" xr:uid="{4FF86B53-5FAE-49FF-9E71-68FDDC270D31}"/>
    <cellStyle name="Normal 188 2 2" xfId="30444" xr:uid="{47836725-392B-42EF-87BA-CAC0D2568F79}"/>
    <cellStyle name="Normal 188 3" xfId="30450" xr:uid="{0BC4E389-C97C-4FCC-88C0-851172D2A269}"/>
    <cellStyle name="Normal 189" xfId="30456" xr:uid="{330DF604-0B8D-4433-8F90-1CB882497EE5}"/>
    <cellStyle name="Normal 189 2" xfId="30463" xr:uid="{7FC539A3-BAB1-45D2-B84E-B230F3007AAF}"/>
    <cellStyle name="Normal 189 2 2" xfId="34888" xr:uid="{2F780991-55A8-420B-AB15-3BFC433D59C3}"/>
    <cellStyle name="Normal 189 3" xfId="34893" xr:uid="{39264975-4EDB-41FE-806A-911F38B02FB7}"/>
    <cellStyle name="Normal 19" xfId="28785" xr:uid="{49291E83-BACB-4C9D-80AD-C69609C5388A}"/>
    <cellStyle name="Normal 19 10" xfId="1254" xr:uid="{2D930DB3-B206-457A-B573-85C11506989D}"/>
    <cellStyle name="Normal 19 11" xfId="34895" xr:uid="{A8BF5A03-F9B6-4603-8A66-62C18AC93F1F}"/>
    <cellStyle name="Normal 19 12" xfId="23917" xr:uid="{73359813-37E4-48F4-BA95-5DB7A675AB0E}"/>
    <cellStyle name="Normal 19 13" xfId="23923" xr:uid="{7B972798-0D18-4768-A78E-9D4A94A59D16}"/>
    <cellStyle name="Normal 19 14" xfId="23926" xr:uid="{18EC7F0F-7812-4706-B061-181686B1D212}"/>
    <cellStyle name="Normal 19 15" xfId="34896" xr:uid="{162CCDC3-C865-46B5-91FB-58F6E870A6EF}"/>
    <cellStyle name="Normal 19 16" xfId="11639" xr:uid="{4CE8124E-464C-4036-B84C-971309663967}"/>
    <cellStyle name="Normal 19 17" xfId="11649" xr:uid="{D83DDEEE-D231-44F8-8581-652279840EA3}"/>
    <cellStyle name="Normal 19 18" xfId="9067" xr:uid="{5FFE0A85-EDCF-46A6-BC68-DB62EB97552C}"/>
    <cellStyle name="Normal 19 19" xfId="11658" xr:uid="{14F8A212-3E62-4B81-B9FB-F075515E2005}"/>
    <cellStyle name="Normal 19 2" xfId="601" xr:uid="{73FE99EB-A932-40AA-BE2A-261B921E8DB7}"/>
    <cellStyle name="Normal 19 2 2" xfId="34901" xr:uid="{3B90A8F3-4968-4881-A958-67AB9952596E}"/>
    <cellStyle name="Normal 19 2 2 2" xfId="24452" xr:uid="{02A68BE5-5D79-4B6A-8B07-1B3FB7E5864F}"/>
    <cellStyle name="Normal 19 2 3" xfId="32588" xr:uid="{699D570F-C708-4488-835B-3E092408EF77}"/>
    <cellStyle name="Normal 19 2 4" xfId="33977" xr:uid="{1DC51D4A-9846-47B5-A008-3917128A1853}"/>
    <cellStyle name="Normal 19 20" xfId="34897" xr:uid="{4A8233E1-CD79-4004-BE77-C560DD5B5CC9}"/>
    <cellStyle name="Normal 19 21" xfId="11640" xr:uid="{357948F2-2A41-4BC5-A7D9-F14AD2157615}"/>
    <cellStyle name="Normal 19 22" xfId="11650" xr:uid="{4CBD3D82-0980-459A-BDBB-177B57C727B3}"/>
    <cellStyle name="Normal 19 3" xfId="614" xr:uid="{B55809CB-00D1-41D6-BB43-970DCF29896E}"/>
    <cellStyle name="Normal 19 3 2" xfId="34902" xr:uid="{0A74A862-025A-42D6-9C30-9C722CA01E2A}"/>
    <cellStyle name="Normal 19 4" xfId="624" xr:uid="{F5008F24-FD89-44B3-8616-9C2275C30D69}"/>
    <cellStyle name="Normal 19 4 2" xfId="7209" xr:uid="{EC1BD595-0D1A-4983-A018-1E9082C9D2BC}"/>
    <cellStyle name="Normal 19 5" xfId="628" xr:uid="{3C605A2D-07BF-42A5-B2B0-F96641AECEE6}"/>
    <cellStyle name="Normal 19 6" xfId="635" xr:uid="{DE9AD201-2F7C-4409-B38B-0BCC236D291A}"/>
    <cellStyle name="Normal 19 7" xfId="648" xr:uid="{02A9A06B-A0E7-48E6-A108-0E04418D1A45}"/>
    <cellStyle name="Normal 19 8" xfId="29054" xr:uid="{EE3C6759-125A-42D9-B31F-5F59364A431D}"/>
    <cellStyle name="Normal 19 9" xfId="13681" xr:uid="{04AA011A-F923-4186-B3FA-D071456456FF}"/>
    <cellStyle name="Normal 190" xfId="34194" xr:uid="{6B18E898-D43F-45AF-8BD0-59633BED4856}"/>
    <cellStyle name="Normal 190 2" xfId="34200" xr:uid="{45D470F5-2CAD-43F5-9A35-3D6CD1235791}"/>
    <cellStyle name="Normal 190 2 2" xfId="4438" xr:uid="{8E36FBB7-41CB-492D-838A-B95AC83B170F}"/>
    <cellStyle name="Normal 190 3" xfId="34206" xr:uid="{CA409A05-FC5A-4874-99A9-BADEBEF6DC37}"/>
    <cellStyle name="Normal 191" xfId="34211" xr:uid="{C6B04ECA-29A1-4DB5-A2DD-B95FCC829AE9}"/>
    <cellStyle name="Normal 191 2" xfId="29431" xr:uid="{74B2CC7B-B22E-44BD-8262-557D05457488}"/>
    <cellStyle name="Normal 191 2 2" xfId="26664" xr:uid="{58A1169E-035F-40B9-927E-2D22FB132752}"/>
    <cellStyle name="Normal 191 3" xfId="34873" xr:uid="{DFBA602E-CB74-4FE5-8B63-AB6A858FEBE4}"/>
    <cellStyle name="Normal 192" xfId="34219" xr:uid="{18DFFE04-4D7C-435F-A102-F40406324F97}"/>
    <cellStyle name="Normal 192 2" xfId="34879" xr:uid="{21E5486A-6B02-4170-A24D-AE7747C66C4D}"/>
    <cellStyle name="Normal 192 2 2" xfId="13017" xr:uid="{BC31A08C-1841-4CE0-AB2B-04E495CFCE9C}"/>
    <cellStyle name="Normal 192 3" xfId="34884" xr:uid="{976C29E2-B615-45FF-B300-F7481E692335}"/>
    <cellStyle name="Normal 193" xfId="20452" xr:uid="{A34575DB-B8B1-40F4-9407-803C0303DFEE}"/>
    <cellStyle name="Normal 193 2" xfId="30439" xr:uid="{ADE68285-AE3F-451E-8B57-FCD544F6856A}"/>
    <cellStyle name="Normal 193 2 2" xfId="30445" xr:uid="{E4EAE758-FD43-4E20-86B7-64F8B728CD0B}"/>
    <cellStyle name="Normal 193 3" xfId="30451" xr:uid="{1BB23D22-607A-4BEC-98E1-E467721847AE}"/>
    <cellStyle name="Normal 194" xfId="30457" xr:uid="{D413EC71-3F94-4ADD-8486-F1CC2904B4C2}"/>
    <cellStyle name="Normal 194 2" xfId="30464" xr:uid="{AFD4C76F-09CB-492D-91CB-0A183FFD5FAA}"/>
    <cellStyle name="Normal 194 2 2" xfId="34889" xr:uid="{466EEBB5-B443-4958-80B9-50A9E792DAE2}"/>
    <cellStyle name="Normal 194 3" xfId="34894" xr:uid="{60DC0997-EAC1-444E-98D9-51E3A72B87D0}"/>
    <cellStyle name="Normal 195" xfId="30471" xr:uid="{8660A806-EB7F-48D6-8D15-105EA12DE382}"/>
    <cellStyle name="Normal 195 2" xfId="34907" xr:uid="{3450F69F-845A-4CA9-9F78-F4E5B69B36A6}"/>
    <cellStyle name="Normal 195 2 2" xfId="34912" xr:uid="{A6779836-9B33-43F6-839B-5B1F7A06315C}"/>
    <cellStyle name="Normal 195 3" xfId="34917" xr:uid="{A58D5774-3033-4564-914A-320A1DF2A73F}"/>
    <cellStyle name="Normal 196" xfId="29742" xr:uid="{16B1CBDA-9DB7-40B1-B716-C4DB2C0269B3}"/>
    <cellStyle name="Normal 196 2" xfId="34922" xr:uid="{617223DE-5A5E-4954-88F4-574C14C6838A}"/>
    <cellStyle name="Normal 196 2 2" xfId="34927" xr:uid="{900A5C2B-6FE0-45CE-A561-69202BCE48A8}"/>
    <cellStyle name="Normal 196 3" xfId="34932" xr:uid="{CD4B4383-E4E1-4F6F-974C-FCEF4C94193C}"/>
    <cellStyle name="Normal 197" xfId="28311" xr:uid="{3726EE50-42E2-4120-828F-8BCEF3F36F59}"/>
    <cellStyle name="Normal 197 2" xfId="28319" xr:uid="{40E6D86B-D279-4DC3-9B9F-53A3D7083627}"/>
    <cellStyle name="Normal 197 2 2" xfId="28325" xr:uid="{CAD37D81-E642-4432-8015-DF1E5A457E69}"/>
    <cellStyle name="Normal 197 3" xfId="21916" xr:uid="{6F4A56C6-88C4-4548-AAFA-8797C59E5AF7}"/>
    <cellStyle name="Normal 198" xfId="28341" xr:uid="{D7FFC79A-925E-4EC2-80D8-47CBA12B9ED8}"/>
    <cellStyle name="Normal 198 2" xfId="28349" xr:uid="{CC4A6492-1DC3-4426-93A9-110773101E68}"/>
    <cellStyle name="Normal 198 2 2" xfId="28357" xr:uid="{6FDDBD01-8640-434F-94A8-202FC3A5A79F}"/>
    <cellStyle name="Normal 198 3" xfId="28369" xr:uid="{9DD773DC-86AC-47A2-83FF-FD3999B07549}"/>
    <cellStyle name="Normal 199" xfId="28380" xr:uid="{31F55D0E-1BA7-406C-8730-F8149EB9E69A}"/>
    <cellStyle name="Normal 199 2" xfId="28387" xr:uid="{BDB93B3B-D6A6-482F-9F32-5CBA8324AD3E}"/>
    <cellStyle name="Normal 199 2 2" xfId="28393" xr:uid="{9FE31700-8858-4206-977C-16FBDF3C07F1}"/>
    <cellStyle name="Normal 199 3" xfId="28400" xr:uid="{1F97F7E4-4558-475D-A59F-7BB41F8C6DF5}"/>
    <cellStyle name="Normal 2" xfId="2" xr:uid="{05B5F345-0801-40DA-954F-4D01BB2DFE0B}"/>
    <cellStyle name="Normal 2 10" xfId="6458" xr:uid="{9BAE6597-3A76-4608-BB6C-11CD5E42F45B}"/>
    <cellStyle name="Normal 2 10 10" xfId="34935" xr:uid="{2C027905-F88F-4AEF-BF29-B7E48C6A5B28}"/>
    <cellStyle name="Normal 2 10 11" xfId="34939" xr:uid="{637B31BD-7B7E-47B1-8E34-389E868C905F}"/>
    <cellStyle name="Normal 2 10 12" xfId="34945" xr:uid="{84DD323D-F794-44DD-BF51-D1814110F47F}"/>
    <cellStyle name="Normal 2 10 13" xfId="34948" xr:uid="{F971E675-63D0-420C-B004-31AE7F7FA219}"/>
    <cellStyle name="Normal 2 10 14" xfId="34951" xr:uid="{E6311556-C75E-4CD6-A2D9-195966D30A01}"/>
    <cellStyle name="Normal 2 10 15" xfId="34954" xr:uid="{3D9C3304-8332-486B-90F5-9090688498CF}"/>
    <cellStyle name="Normal 2 10 16" xfId="34958" xr:uid="{6FECD232-D3B9-4C2F-BD57-4B9C7638E9E6}"/>
    <cellStyle name="Normal 2 10 17" xfId="34962" xr:uid="{448FC567-B338-4E3E-BA45-A665444771C6}"/>
    <cellStyle name="Normal 2 10 18" xfId="34966" xr:uid="{987596AE-0A81-4EB5-991F-6E01CDBDA49E}"/>
    <cellStyle name="Normal 2 10 19" xfId="34970" xr:uid="{27521B02-8ED6-4CBE-8D75-6A95C678E1F5}"/>
    <cellStyle name="Normal 2 10 2" xfId="6461" xr:uid="{593AA9F5-934E-46F1-8E9D-5A518F557901}"/>
    <cellStyle name="Normal 2 10 2 2" xfId="6464" xr:uid="{525DFDB0-462A-4ECB-83FF-96C3371D6369}"/>
    <cellStyle name="Normal 2 10 20" xfId="34955" xr:uid="{FCB0209E-7C8B-498C-9C7C-00FDDEE4BD9F}"/>
    <cellStyle name="Normal 2 10 21" xfId="34959" xr:uid="{652EE7DA-9CBF-4E22-A2C6-DF15113B741F}"/>
    <cellStyle name="Normal 2 10 22" xfId="34963" xr:uid="{F9182C2D-08FD-4B9A-954C-F8F9B583C28B}"/>
    <cellStyle name="Normal 2 10 23" xfId="34967" xr:uid="{0C8A56EC-151B-41A9-B5C8-668D5221462B}"/>
    <cellStyle name="Normal 2 10 24" xfId="34971" xr:uid="{43728323-734B-4C36-A76E-0264680AE471}"/>
    <cellStyle name="Normal 2 10 25" xfId="13188" xr:uid="{1C39F942-D4A2-45D2-94F6-83733F2759CA}"/>
    <cellStyle name="Normal 2 10 26" xfId="3503" xr:uid="{04072C59-15B1-4026-BC64-B2C08B51EE7C}"/>
    <cellStyle name="Normal 2 10 27" xfId="33743" xr:uid="{CA05336D-FF7C-4A6C-83BB-19B510754EC0}"/>
    <cellStyle name="Normal 2 10 28" xfId="12675" xr:uid="{14A9DAF0-6769-4568-AB33-31F47654A1BE}"/>
    <cellStyle name="Normal 2 10 29" xfId="34974" xr:uid="{7D21E3A0-4625-47FE-A3CB-8CA9B246BB20}"/>
    <cellStyle name="Normal 2 10 3" xfId="6479" xr:uid="{8037E260-EA17-4824-9578-D8D76E8C2B88}"/>
    <cellStyle name="Normal 2 10 30" xfId="13189" xr:uid="{4F1F3705-8B94-410B-B02C-F0C86679C5F4}"/>
    <cellStyle name="Normal 2 10 31" xfId="3504" xr:uid="{A7C6AB07-078C-4EDD-B4F5-B59285EB368F}"/>
    <cellStyle name="Normal 2 10 32" xfId="33744" xr:uid="{706FBF2F-7200-4C73-B2AA-668F6053AC8B}"/>
    <cellStyle name="Normal 2 10 33" xfId="12676" xr:uid="{A22DEEC3-C10E-40EF-AC74-0CD717D33A8A}"/>
    <cellStyle name="Normal 2 10 34" xfId="34975" xr:uid="{69EC40B3-FD4A-498C-82F6-4582D3DB691B}"/>
    <cellStyle name="Normal 2 10 35" xfId="34978" xr:uid="{30A0319E-E795-421C-9078-9B487A79207D}"/>
    <cellStyle name="Normal 2 10 36" xfId="34982" xr:uid="{73037A4F-E747-42C8-A260-73EABFA4EBD3}"/>
    <cellStyle name="Normal 2 10 37" xfId="34987" xr:uid="{12FB7AC0-ED82-4B90-BD21-38890E618CC3}"/>
    <cellStyle name="Normal 2 10 38" xfId="34991" xr:uid="{E758BC98-8984-4CD8-B670-EE24C653DDB3}"/>
    <cellStyle name="Normal 2 10 39" xfId="34995" xr:uid="{2E32048A-DB45-4595-B839-3322329C8E1E}"/>
    <cellStyle name="Normal 2 10 4" xfId="6503" xr:uid="{8A77D3C0-58CD-46D9-A15A-54718A1AB14A}"/>
    <cellStyle name="Normal 2 10 40" xfId="34979" xr:uid="{DD8BB68F-8876-4096-9798-160CD94DA2D8}"/>
    <cellStyle name="Normal 2 10 41" xfId="34983" xr:uid="{A32F2278-C635-43E7-A895-AB58AEA77D04}"/>
    <cellStyle name="Normal 2 10 42" xfId="34988" xr:uid="{4730BF77-C427-4527-A050-188345C70E12}"/>
    <cellStyle name="Normal 2 10 43" xfId="34992" xr:uid="{B2A32FF1-FD18-4175-B7E8-895DC1BCB469}"/>
    <cellStyle name="Normal 2 10 43 2" xfId="34997" xr:uid="{73AAD7F1-C2CF-4406-8667-E45F41862F45}"/>
    <cellStyle name="Normal 2 10 5" xfId="6512" xr:uid="{2532A604-A2F2-459A-8447-A978F78E590E}"/>
    <cellStyle name="Normal 2 10 6" xfId="29530" xr:uid="{A86E08EE-93A7-42AC-B978-786748C0EAD7}"/>
    <cellStyle name="Normal 2 10 7" xfId="29534" xr:uid="{A76B5172-A4FA-448A-BF0D-7022B13E89AD}"/>
    <cellStyle name="Normal 2 10 8" xfId="34998" xr:uid="{BD891FA4-E27F-4281-8921-5ABD2AE7EBDF}"/>
    <cellStyle name="Normal 2 10 9" xfId="34999" xr:uid="{7A7E90C3-6DAC-43DB-ADE1-F7B902207097}"/>
    <cellStyle name="Normal 2 100" xfId="35000" xr:uid="{DFC452ED-F366-410E-BD83-D546DAB0A062}"/>
    <cellStyle name="Normal 2 100 2" xfId="14291" xr:uid="{49F06471-2B66-4AAE-9EF2-1214EB5AB0E9}"/>
    <cellStyle name="Normal 2 100 2 2" xfId="35002" xr:uid="{942F4F94-8E1C-4975-9F74-55FE517DC77C}"/>
    <cellStyle name="Normal 2 100 2 2 2" xfId="35003" xr:uid="{BE2AC0D5-13C6-4C66-AD45-421FB590C1A8}"/>
    <cellStyle name="Normal 2 100 2 3" xfId="35004" xr:uid="{D058F913-08BA-4BFC-983D-FA8440A5CC06}"/>
    <cellStyle name="Normal 2 100 3" xfId="14958" xr:uid="{2845C300-E312-47A0-83A8-7C9508015A4E}"/>
    <cellStyle name="Normal 2 101" xfId="16123" xr:uid="{DD86BA04-0B32-4D34-B3AA-E2511B62FDE6}"/>
    <cellStyle name="Normal 2 101 2" xfId="34545" xr:uid="{1D248A0D-EB07-4160-AA07-BD713EC2449B}"/>
    <cellStyle name="Normal 2 101 2 2" xfId="34548" xr:uid="{E0F5AC0A-EFDF-44D7-9637-012B3D80C5A4}"/>
    <cellStyle name="Normal 2 101 2 2 2" xfId="35005" xr:uid="{62217258-6B55-4529-8B89-80F7F40FEEA8}"/>
    <cellStyle name="Normal 2 101 2 3" xfId="35006" xr:uid="{551C172F-2B05-484F-A218-3DFFF944A435}"/>
    <cellStyle name="Normal 2 101 3" xfId="15002" xr:uid="{EA669428-14C0-4DDD-977D-F06CAA1125E6}"/>
    <cellStyle name="Normal 2 102" xfId="35007" xr:uid="{EA5C9AF3-6F0E-4E19-8C54-D5CC637E2E70}"/>
    <cellStyle name="Normal 2 102 2" xfId="34675" xr:uid="{223A399E-AD32-4C28-B252-0D2088CE0969}"/>
    <cellStyle name="Normal 2 102 2 2" xfId="29698" xr:uid="{8C1694AE-8580-48FB-AEBD-5EE678174980}"/>
    <cellStyle name="Normal 2 102 2 2 2" xfId="187" xr:uid="{CA78D3C9-7868-4F43-A72C-98FF2B04E34A}"/>
    <cellStyle name="Normal 2 102 2 3" xfId="35009" xr:uid="{62FB4EC8-B795-4AA6-A0F4-26126D43101B}"/>
    <cellStyle name="Normal 2 102 3" xfId="15039" xr:uid="{3A164A65-7B02-4389-8A46-64E4290B27DE}"/>
    <cellStyle name="Normal 2 103" xfId="35011" xr:uid="{490EC5AB-75C2-4818-A574-5B26C54E7CB1}"/>
    <cellStyle name="Normal 2 103 2" xfId="34729" xr:uid="{52820BBA-E113-49FD-A9D8-F8ACCA54FE2F}"/>
    <cellStyle name="Normal 2 103 2 2" xfId="35013" xr:uid="{E7E27F73-8906-447E-827A-E34C098B39F2}"/>
    <cellStyle name="Normal 2 103 2 2 2" xfId="35014" xr:uid="{7D6DB3A7-9F59-485A-B760-188D5459B4FF}"/>
    <cellStyle name="Normal 2 103 2 3" xfId="35015" xr:uid="{9C6AA2F7-C39C-4D0B-A4D6-F335D4F62481}"/>
    <cellStyle name="Normal 2 103 3" xfId="15061" xr:uid="{42E40DD5-8C1D-46F3-8F66-5227D0E97B50}"/>
    <cellStyle name="Normal 2 104" xfId="25761" xr:uid="{01E1BBA7-5B93-4ACE-AA40-AB99730434E6}"/>
    <cellStyle name="Normal 2 104 2" xfId="35016" xr:uid="{1699ACE5-E45F-4CD1-9A0F-D231F361E685}"/>
    <cellStyle name="Normal 2 104 2 2" xfId="25366" xr:uid="{C742B3D9-EF2D-44D6-8976-17C2502CC9E4}"/>
    <cellStyle name="Normal 2 104 2 2 2" xfId="35017" xr:uid="{019CD4D7-A9E7-4038-8849-13D96F68EEE0}"/>
    <cellStyle name="Normal 2 104 2 3" xfId="25369" xr:uid="{F11C1D16-A5DA-4DF7-8103-D2AAD4B6BA28}"/>
    <cellStyle name="Normal 2 104 3" xfId="15068" xr:uid="{D7D9D291-E8AF-45C8-83DB-7C478C481924}"/>
    <cellStyle name="Normal 2 105" xfId="25765" xr:uid="{924FF38E-5E31-46BB-AF65-1B74571B0E6C}"/>
    <cellStyle name="Normal 2 105 2" xfId="35018" xr:uid="{8DF24B74-DC23-47BE-B349-00C43A0B9313}"/>
    <cellStyle name="Normal 2 105 2 2" xfId="35020" xr:uid="{CB0AB740-D086-4BB7-A4AF-4B918B0C7435}"/>
    <cellStyle name="Normal 2 105 2 2 2" xfId="35022" xr:uid="{06B92916-FB54-4ECB-9E0B-659ABD03A45F}"/>
    <cellStyle name="Normal 2 105 2 3" xfId="35024" xr:uid="{E4B5F516-36F7-4FC2-9C30-36767885E0B9}"/>
    <cellStyle name="Normal 2 105 3" xfId="30500" xr:uid="{8C2C489E-3D7C-4BDE-B397-416D9C6FE2AC}"/>
    <cellStyle name="Normal 2 106" xfId="28671" xr:uid="{19D33F53-8771-43A5-9E7C-20452B0F840D}"/>
    <cellStyle name="Normal 2 106 2" xfId="28675" xr:uid="{93421A1B-67D7-4E4F-BDEA-F4EA1CE0008E}"/>
    <cellStyle name="Normal 2 106 2 2" xfId="35026" xr:uid="{AB8E5EE7-D43F-4514-AA93-780785E2D726}"/>
    <cellStyle name="Normal 2 106 2 2 2" xfId="35028" xr:uid="{B774A4FD-0ADE-434D-9B9A-C0BAA5E6E080}"/>
    <cellStyle name="Normal 2 106 2 3" xfId="21928" xr:uid="{E1D6E40B-A388-4B33-9BFB-6AB7BACB3668}"/>
    <cellStyle name="Normal 2 106 3" xfId="35030" xr:uid="{7D05014B-4573-4F9A-8BF4-21ED808563AB}"/>
    <cellStyle name="Normal 2 107" xfId="1754" xr:uid="{A3D88C31-2833-4594-A9CA-B990F10E0026}"/>
    <cellStyle name="Normal 2 107 2" xfId="1761" xr:uid="{52B1CF2D-CFF8-4260-AF9C-018BC56E1BDF}"/>
    <cellStyle name="Normal 2 107 2 2" xfId="30823" xr:uid="{7BDA1A95-2E88-4780-B5C6-2AC4053A1CA3}"/>
    <cellStyle name="Normal 2 107 2 2 2" xfId="20522" xr:uid="{86835E37-2858-4989-AE00-8DDFD2176871}"/>
    <cellStyle name="Normal 2 107 2 3" xfId="30838" xr:uid="{7C9CA0D2-3A40-4BFF-A878-C80612FBB9A9}"/>
    <cellStyle name="Normal 2 107 3" xfId="1767" xr:uid="{689FE40C-9834-4509-A51D-C6D249BECBD3}"/>
    <cellStyle name="Normal 2 108" xfId="1770" xr:uid="{35A20115-07B8-40F3-B05D-6D22DABF2187}"/>
    <cellStyle name="Normal 2 108 2" xfId="3602" xr:uid="{5959102B-E2F8-4C04-8D4E-21794D61D6D0}"/>
    <cellStyle name="Normal 2 108 2 2" xfId="3605" xr:uid="{EA5D3361-F619-44D3-A2D4-573CBE161154}"/>
    <cellStyle name="Normal 2 108 2 2 2" xfId="3609" xr:uid="{E715C526-F813-4BB0-B3B3-697C071CC9E6}"/>
    <cellStyle name="Normal 2 108 2 3" xfId="3624" xr:uid="{B2A54E6E-D125-4DFF-910A-8D25018164CF}"/>
    <cellStyle name="Normal 2 108 3" xfId="3642" xr:uid="{6F5F125E-3821-40BB-940D-A4EA2B34E397}"/>
    <cellStyle name="Normal 2 109" xfId="937" xr:uid="{3939ED6A-7971-4D49-9101-A5E19E14D0B6}"/>
    <cellStyle name="Normal 2 109 2" xfId="3694" xr:uid="{036C38A6-0B7C-4FBF-B8FD-E05A2449EC96}"/>
    <cellStyle name="Normal 2 109 2 2" xfId="3700" xr:uid="{1A9AE58E-6458-4C2C-9C5A-3C12A48F0559}"/>
    <cellStyle name="Normal 2 109 2 2 2" xfId="2910" xr:uid="{90D65FF7-F979-43A2-9E19-EA9B89D6C53A}"/>
    <cellStyle name="Normal 2 109 2 3" xfId="3712" xr:uid="{177450A7-DBCB-453F-B050-47AAC22954CC}"/>
    <cellStyle name="Normal 2 109 3" xfId="1808" xr:uid="{EE3F2D0D-E2FD-4E2C-9DCB-C413B2F71605}"/>
    <cellStyle name="Normal 2 11" xfId="6514" xr:uid="{84882F7F-B946-447D-95B1-8F1448AE7DC2}"/>
    <cellStyle name="Normal 2 11 10" xfId="32705" xr:uid="{0C196BFA-08F1-40E1-A4FC-08A2FFD1A2EB}"/>
    <cellStyle name="Normal 2 11 11" xfId="32782" xr:uid="{70029984-30B2-4D72-93EB-B7E8EC586008}"/>
    <cellStyle name="Normal 2 11 12" xfId="32854" xr:uid="{2100B0B4-E6BF-4FF6-BC72-9371779D67DF}"/>
    <cellStyle name="Normal 2 11 13" xfId="32949" xr:uid="{356D4E41-6B08-4AD7-BD68-53168FB6A6DE}"/>
    <cellStyle name="Normal 2 11 14" xfId="34840" xr:uid="{C8C3363E-F8A5-44DE-9600-D4D0557B626C}"/>
    <cellStyle name="Normal 2 11 15" xfId="28782" xr:uid="{567E9710-1BB1-4A65-A040-7ABF54466EB5}"/>
    <cellStyle name="Normal 2 11 16" xfId="35034" xr:uid="{917F0967-D572-4ECB-8028-C547166C9AA3}"/>
    <cellStyle name="Normal 2 11 17" xfId="6335" xr:uid="{3AD84DE1-0836-4B5B-974D-2F123927B9EA}"/>
    <cellStyle name="Normal 2 11 18" xfId="24143" xr:uid="{A304DFDF-F6ED-4F19-98B3-4695509942D9}"/>
    <cellStyle name="Normal 2 11 19" xfId="24166" xr:uid="{B8ACBD45-2835-429E-9482-46D38A41E38F}"/>
    <cellStyle name="Normal 2 11 2" xfId="6516" xr:uid="{5E82F2C1-79D3-416E-9866-65CB27CD12C0}"/>
    <cellStyle name="Normal 2 11 2 2" xfId="6525" xr:uid="{8BFDE42F-DBCA-4AD9-9DA3-5BB8C65C7C29}"/>
    <cellStyle name="Normal 2 11 20" xfId="28783" xr:uid="{2ECCC6B5-7800-4748-9D62-3B03952234A0}"/>
    <cellStyle name="Normal 2 11 21" xfId="35035" xr:uid="{5CFA9C19-2CEE-4148-9B5F-9DC631D67E26}"/>
    <cellStyle name="Normal 2 11 22" xfId="6336" xr:uid="{FBB7E60D-EF47-41D3-B863-6C166A5BBCA3}"/>
    <cellStyle name="Normal 2 11 23" xfId="24144" xr:uid="{59E102C3-A243-4A6E-9754-94A8EB47C85B}"/>
    <cellStyle name="Normal 2 11 24" xfId="24167" xr:uid="{2245A006-4E64-4A13-A80A-8F92EAA3C795}"/>
    <cellStyle name="Normal 2 11 25" xfId="24189" xr:uid="{2294B5D8-5350-4C52-B26B-18B7A89B9716}"/>
    <cellStyle name="Normal 2 11 26" xfId="23549" xr:uid="{B1CCFF7E-4E86-40B6-BE1E-06483D43F0E3}"/>
    <cellStyle name="Normal 2 11 27" xfId="35038" xr:uid="{06E70CBF-1226-4901-9DB8-7C67A27A8616}"/>
    <cellStyle name="Normal 2 11 28" xfId="35042" xr:uid="{4BF0EC8D-649B-44D4-925D-439C0DB5632E}"/>
    <cellStyle name="Normal 2 11 29" xfId="35046" xr:uid="{7933913F-04F6-4DAE-BE2F-1967111516D3}"/>
    <cellStyle name="Normal 2 11 3" xfId="6548" xr:uid="{619DA7B4-4097-4DE9-B4DE-C09B190A06D4}"/>
    <cellStyle name="Normal 2 11 30" xfId="24190" xr:uid="{1C4F0327-A8C6-4DD6-8C75-2773E72114D5}"/>
    <cellStyle name="Normal 2 11 31" xfId="23550" xr:uid="{F2EA3E38-6818-4502-BF77-502ADE3891A4}"/>
    <cellStyle name="Normal 2 11 32" xfId="35039" xr:uid="{E86C6805-7171-4113-A471-50C604678699}"/>
    <cellStyle name="Normal 2 11 33" xfId="35043" xr:uid="{C6AF238B-7CC6-4DCA-AAF8-2B9685206496}"/>
    <cellStyle name="Normal 2 11 34" xfId="35047" xr:uid="{B81412AF-9787-433C-A09F-7C7555492F1F}"/>
    <cellStyle name="Normal 2 11 35" xfId="35050" xr:uid="{050A5165-55CB-48DF-8BF4-75B256FA4FF1}"/>
    <cellStyle name="Normal 2 11 36" xfId="10812" xr:uid="{71A68C14-55EE-44F5-B4C8-AE6E01545B86}"/>
    <cellStyle name="Normal 2 11 37" xfId="35053" xr:uid="{1A7A9DBF-368B-4D79-A5D3-817378DD72A3}"/>
    <cellStyle name="Normal 2 11 38" xfId="35056" xr:uid="{E24A7FFB-5464-4BD0-802D-F4B986B58F64}"/>
    <cellStyle name="Normal 2 11 39" xfId="35059" xr:uid="{1765902F-0187-423D-9755-5F733ACF6976}"/>
    <cellStyle name="Normal 2 11 4" xfId="6558" xr:uid="{5AC199AC-302A-4939-B9D9-FDE6FE3BD36A}"/>
    <cellStyle name="Normal 2 11 5" xfId="35060" xr:uid="{033D96BE-EA51-4C05-A2EA-E20C8D5C38BF}"/>
    <cellStyle name="Normal 2 11 6" xfId="29538" xr:uid="{8706EBA4-0535-448B-9262-C803790BF523}"/>
    <cellStyle name="Normal 2 11 7" xfId="35061" xr:uid="{01C32987-27FF-42DE-9BB2-D9F49920C731}"/>
    <cellStyle name="Normal 2 11 8" xfId="35062" xr:uid="{E49BAACF-FC9D-4815-B9ED-62A4A56E271C}"/>
    <cellStyle name="Normal 2 11 9" xfId="35063" xr:uid="{9EFA1ECD-03E9-42FB-B6A5-27C887A80CE6}"/>
    <cellStyle name="Normal 2 110" xfId="25766" xr:uid="{F1FED442-AA81-4CC2-90BC-B302BC6BC409}"/>
    <cellStyle name="Normal 2 110 2" xfId="35019" xr:uid="{B8532F8C-30EA-4E14-9A32-0047B2533956}"/>
    <cellStyle name="Normal 2 110 2 2" xfId="35021" xr:uid="{E3F816B5-42A9-4C99-B399-A40F4F56A1CA}"/>
    <cellStyle name="Normal 2 110 2 2 2" xfId="35023" xr:uid="{76FFD0F2-507A-42AD-9B2D-CAF40E39A3A2}"/>
    <cellStyle name="Normal 2 110 2 3" xfId="35025" xr:uid="{AD7E4AB2-4AA1-42B2-9783-38E5852E322F}"/>
    <cellStyle name="Normal 2 110 3" xfId="30501" xr:uid="{40E7956A-697B-4DA8-A35B-A83E45CCF1F5}"/>
    <cellStyle name="Normal 2 111" xfId="28672" xr:uid="{97317803-D308-49B0-9E57-912AB4D6CB53}"/>
    <cellStyle name="Normal 2 111 2" xfId="28676" xr:uid="{8E3E9DF6-E9CF-4EC4-8CB4-52AEC452D918}"/>
    <cellStyle name="Normal 2 111 2 2" xfId="35027" xr:uid="{F5497EA1-81DA-41B8-85BC-7EF6A9225E6B}"/>
    <cellStyle name="Normal 2 111 2 2 2" xfId="35029" xr:uid="{49A26CE6-5317-41E0-9C2A-518636FD621F}"/>
    <cellStyle name="Normal 2 111 2 3" xfId="21929" xr:uid="{3CA02433-7679-4A27-8791-608CA0A7D49A}"/>
    <cellStyle name="Normal 2 111 3" xfId="35031" xr:uid="{EA076FA5-E70A-4DA0-AD46-6A7C2C7BA9E6}"/>
    <cellStyle name="Normal 2 112" xfId="1755" xr:uid="{B498EB39-DED0-4914-978B-68B31F9E3948}"/>
    <cellStyle name="Normal 2 112 2" xfId="1762" xr:uid="{82B6553D-45CE-4092-9856-1A1B66ACE83A}"/>
    <cellStyle name="Normal 2 112 2 2" xfId="30824" xr:uid="{1F63FF87-166D-4D31-B4A5-4D976F27AC9D}"/>
    <cellStyle name="Normal 2 112 2 2 2" xfId="20523" xr:uid="{54B6F137-7D01-4C16-BB1D-8E469F7FEF77}"/>
    <cellStyle name="Normal 2 112 2 3" xfId="30839" xr:uid="{F1C81DD5-1EFC-4A4D-8421-F8E5BB11EC0F}"/>
    <cellStyle name="Normal 2 112 3" xfId="1768" xr:uid="{C16A1CDA-7F2B-4CC6-85ED-D6E544F72D9A}"/>
    <cellStyle name="Normal 2 113" xfId="1771" xr:uid="{F8D730CB-E177-46FE-86F5-955B88DE56F3}"/>
    <cellStyle name="Normal 2 113 2" xfId="3603" xr:uid="{3A2AC9AF-4682-4E74-BD71-5F10EA265811}"/>
    <cellStyle name="Normal 2 113 2 2" xfId="3606" xr:uid="{3A713D90-F821-48CF-8CD0-A491D3C9D747}"/>
    <cellStyle name="Normal 2 113 2 2 2" xfId="3610" xr:uid="{F490527C-7708-46F6-BCE6-9D34A6E71CCD}"/>
    <cellStyle name="Normal 2 113 2 3" xfId="3625" xr:uid="{CC5725DC-3CC7-4C5E-9070-4B28CC054B97}"/>
    <cellStyle name="Normal 2 113 3" xfId="3643" xr:uid="{39125C49-FBDB-4048-9343-34B1C4DD2FD6}"/>
    <cellStyle name="Normal 2 114" xfId="938" xr:uid="{1246DD50-7599-4220-9FE5-FF06BA96FAE5}"/>
    <cellStyle name="Normal 2 114 2" xfId="3695" xr:uid="{A348F30E-CCF1-4ECF-9D36-B296A0FF3D44}"/>
    <cellStyle name="Normal 2 114 2 2" xfId="3701" xr:uid="{854CAA9A-C74B-49B9-AFC7-45C0574F0A32}"/>
    <cellStyle name="Normal 2 114 2 2 2" xfId="2911" xr:uid="{C01329F2-DBA1-4A13-801D-D8ABE0C285A8}"/>
    <cellStyle name="Normal 2 114 2 3" xfId="3713" xr:uid="{8F897452-E276-48AD-8443-DA8A0A63E533}"/>
    <cellStyle name="Normal 2 114 3" xfId="1809" xr:uid="{49ACBFA7-C772-4ADE-93CB-8C82AF66B899}"/>
    <cellStyle name="Normal 2 115" xfId="943" xr:uid="{307D65C1-CD1C-4D08-931C-A755AC6B531C}"/>
    <cellStyle name="Normal 2 115 2" xfId="3740" xr:uid="{38EB5D2E-BBD8-4ECA-8F11-BFF781C62729}"/>
    <cellStyle name="Normal 2 115 2 2" xfId="3747" xr:uid="{2B610B28-F638-40C1-ABA5-E6AC74F39EF5}"/>
    <cellStyle name="Normal 2 115 2 2 2" xfId="3109" xr:uid="{D2F216B8-1283-4F61-B675-8A95F4DA2F05}"/>
    <cellStyle name="Normal 2 115 2 3" xfId="3755" xr:uid="{51DDD680-9E39-4D14-B810-B4C599AABFDD}"/>
    <cellStyle name="Normal 2 115 3" xfId="3459" xr:uid="{50F7A313-B081-4257-B0D4-2E3B1BE41DE7}"/>
    <cellStyle name="Normal 2 116" xfId="951" xr:uid="{2D3B2F23-62F0-491C-A3B3-7C714C631EAE}"/>
    <cellStyle name="Normal 2 116 2" xfId="3762" xr:uid="{7C4214E4-4C75-45B5-8D48-9A5F0EB3AA8C}"/>
    <cellStyle name="Normal 2 116 2 2" xfId="3771" xr:uid="{A1A0EDE4-44EC-49DA-AC32-36D5D1023F69}"/>
    <cellStyle name="Normal 2 116 2 2 2" xfId="8590" xr:uid="{DEEC1FC3-8A90-45FD-9BB7-CFF7BE86B6CE}"/>
    <cellStyle name="Normal 2 116 2 3" xfId="8597" xr:uid="{E15170C4-9E0E-48A3-920A-264EA2C9F43B}"/>
    <cellStyle name="Normal 2 116 3" xfId="3475" xr:uid="{D21C9C9D-F255-46B9-B2BF-AA89C36E98C7}"/>
    <cellStyle name="Normal 2 117" xfId="679" xr:uid="{F91D7D6E-FFF3-4637-9B2A-426C1E909F64}"/>
    <cellStyle name="Normal 2 117 2" xfId="3778" xr:uid="{4FB2C5E4-DF58-4B03-BF4C-CA73E3278A3A}"/>
    <cellStyle name="Normal 2 117 2 2" xfId="8628" xr:uid="{DF15FCE9-60DA-4037-B18A-8FA8E31922FD}"/>
    <cellStyle name="Normal 2 117 2 2 2" xfId="12246" xr:uid="{FACB8661-A92B-48C2-AC35-8E8D579CCFE6}"/>
    <cellStyle name="Normal 2 117 2 3" xfId="35064" xr:uid="{11B4436D-82DC-4D6F-BB13-2BDC0476ECFA}"/>
    <cellStyle name="Normal 2 117 3" xfId="8634" xr:uid="{29B0B20F-4B36-41D6-A2EC-7708F5F3887D}"/>
    <cellStyle name="Normal 2 118" xfId="957" xr:uid="{BA2E8CF2-4D74-4EE3-802A-6512ADC07F57}"/>
    <cellStyle name="Normal 2 118 2" xfId="8652" xr:uid="{60094C0C-B239-4991-BB68-1D0994DFA507}"/>
    <cellStyle name="Normal 2 118 2 2" xfId="35066" xr:uid="{DFA3A80A-3863-4327-88B3-44A5961B0B45}"/>
    <cellStyle name="Normal 2 118 2 2 2" xfId="31391" xr:uid="{742E2D9D-5488-4EAC-A029-780E3A083875}"/>
    <cellStyle name="Normal 2 118 2 3" xfId="35068" xr:uid="{13565815-8921-4FF2-A037-0E0A91FE1260}"/>
    <cellStyle name="Normal 2 118 3" xfId="35070" xr:uid="{AEE47748-3FF6-4862-A6B5-500EADBD05BB}"/>
    <cellStyle name="Normal 2 119" xfId="969" xr:uid="{11EC5887-0CD8-442A-8B19-8A427769C91E}"/>
    <cellStyle name="Normal 2 119 2" xfId="35072" xr:uid="{505163FE-3056-4472-B33F-A8BC02010CDA}"/>
    <cellStyle name="Normal 2 119 2 2" xfId="35074" xr:uid="{235E7F8C-9552-4BF2-BE5B-FF17530DA773}"/>
    <cellStyle name="Normal 2 119 2 2 2" xfId="10631" xr:uid="{9DA4B05D-35A9-42C5-95DD-7164A1697E13}"/>
    <cellStyle name="Normal 2 119 2 3" xfId="35077" xr:uid="{D5183411-2FFE-4300-A69A-18F39737E2B3}"/>
    <cellStyle name="Normal 2 119 3" xfId="22478" xr:uid="{CE52ABDB-519A-43F5-A545-5E09E74FEA55}"/>
    <cellStyle name="Normal 2 12" xfId="2091" xr:uid="{185AB975-E829-42F7-845D-72679AF91674}"/>
    <cellStyle name="Normal 2 12 10" xfId="35082" xr:uid="{F639EB1D-483B-401F-A0FB-27646238A366}"/>
    <cellStyle name="Normal 2 12 11" xfId="35086" xr:uid="{978778D2-AA99-42D3-B415-EEAC312BBBEE}"/>
    <cellStyle name="Normal 2 12 12" xfId="35090" xr:uid="{43236202-44C3-47D0-9464-E5BBC749886F}"/>
    <cellStyle name="Normal 2 12 13" xfId="35094" xr:uid="{45183D3E-D68D-4041-B064-1E3B5ABB8A2A}"/>
    <cellStyle name="Normal 2 12 14" xfId="35098" xr:uid="{0A195ECF-DDA2-42F6-A05F-021A5306EE13}"/>
    <cellStyle name="Normal 2 12 15" xfId="35102" xr:uid="{197962E6-641C-476B-A1C3-DAFD060D38F9}"/>
    <cellStyle name="Normal 2 12 16" xfId="35105" xr:uid="{2D7857A2-5E51-422B-869D-BFD9DAB1617D}"/>
    <cellStyle name="Normal 2 12 17" xfId="35108" xr:uid="{6E04EB63-5574-4BF3-8480-A12B8326A318}"/>
    <cellStyle name="Normal 2 12 18" xfId="35111" xr:uid="{BF812EE1-A4DB-4D30-AFC6-2B176AE01644}"/>
    <cellStyle name="Normal 2 12 19" xfId="20475" xr:uid="{5E874017-A682-4D75-B4F1-0A3D9173C8FF}"/>
    <cellStyle name="Normal 2 12 2" xfId="2097" xr:uid="{F0038E2F-FF59-404C-9FDA-A8B6DCA5ECF8}"/>
    <cellStyle name="Normal 2 12 2 2" xfId="6565" xr:uid="{7F92034A-D36C-41B4-9376-DAEF47C0BF96}"/>
    <cellStyle name="Normal 2 12 20" xfId="35103" xr:uid="{95E7347E-9CE9-4ADE-863C-9566BB5144A0}"/>
    <cellStyle name="Normal 2 12 21" xfId="35106" xr:uid="{8172595C-AB1F-477A-B109-20EAD49A2D71}"/>
    <cellStyle name="Normal 2 12 22" xfId="35109" xr:uid="{F068B042-F8C5-4C23-BAF3-CEAD397C343C}"/>
    <cellStyle name="Normal 2 12 23" xfId="35112" xr:uid="{32996535-7036-4BBD-B1F7-5D165DED293D}"/>
    <cellStyle name="Normal 2 12 24" xfId="20476" xr:uid="{689495FD-1DA8-4CB5-8582-D1BE35C0BDB9}"/>
    <cellStyle name="Normal 2 12 25" xfId="8268" xr:uid="{625C1DE5-27FD-4917-A850-4EA57F6C8852}"/>
    <cellStyle name="Normal 2 12 26" xfId="20486" xr:uid="{5E03D569-CFBD-4B8F-876D-C85AD52E814B}"/>
    <cellStyle name="Normal 2 12 27" xfId="20490" xr:uid="{34B15183-764D-4BD3-AC30-73529AB4F546}"/>
    <cellStyle name="Normal 2 12 28" xfId="35113" xr:uid="{908EA3DE-365B-43CC-9486-82A54C17BEB8}"/>
    <cellStyle name="Normal 2 12 29" xfId="35115" xr:uid="{23794ACC-6660-4C75-B260-818D51164EAE}"/>
    <cellStyle name="Normal 2 12 3" xfId="6570" xr:uid="{FDE08935-E1F3-435E-9298-090575DD7BA0}"/>
    <cellStyle name="Normal 2 12 30" xfId="8269" xr:uid="{29306725-3C5C-4770-B2ED-4F82B9609836}"/>
    <cellStyle name="Normal 2 12 31" xfId="20487" xr:uid="{4F70C4F3-36C1-4951-9E28-98AAC6A82146}"/>
    <cellStyle name="Normal 2 12 32" xfId="20491" xr:uid="{F6FF7859-0D2A-46F6-B4C2-2450ADE66765}"/>
    <cellStyle name="Normal 2 12 33" xfId="35114" xr:uid="{9340A54E-6E8F-486E-9990-ACC33B240A72}"/>
    <cellStyle name="Normal 2 12 4" xfId="35116" xr:uid="{6E03F578-ADF0-4AC6-899A-CE4F3CD93FD8}"/>
    <cellStyle name="Normal 2 12 5" xfId="35117" xr:uid="{2C757946-194C-43AA-A5DE-5FDB1375D6E2}"/>
    <cellStyle name="Normal 2 12 6" xfId="35118" xr:uid="{659BA552-DF80-4FA8-9CF6-BC915925E4A5}"/>
    <cellStyle name="Normal 2 12 7" xfId="35120" xr:uid="{3B9A6CE3-E5CB-4466-B05A-C085931BF70B}"/>
    <cellStyle name="Normal 2 12 8" xfId="35121" xr:uid="{A9751B61-E7C5-4B8B-A5A2-B97D5F275C57}"/>
    <cellStyle name="Normal 2 12 9" xfId="35122" xr:uid="{7F45C404-C491-4743-93DE-EDD7B67D9857}"/>
    <cellStyle name="Normal 2 120" xfId="944" xr:uid="{96E69038-7C15-4CF5-A38E-273AB2CC845D}"/>
    <cellStyle name="Normal 2 120 2" xfId="3741" xr:uid="{94493C01-934F-458C-A5E1-B756721B8BB8}"/>
    <cellStyle name="Normal 2 120 2 2" xfId="3748" xr:uid="{BF70533C-A5DA-4565-A519-BA4B096D3B73}"/>
    <cellStyle name="Normal 2 120 2 2 2" xfId="3110" xr:uid="{FAB36EDC-D008-4CA6-A343-7610E9C087E2}"/>
    <cellStyle name="Normal 2 120 2 3" xfId="3756" xr:uid="{59B6A3E4-750B-47EA-B1DE-53870438EC78}"/>
    <cellStyle name="Normal 2 120 3" xfId="3460" xr:uid="{E9DB1F2C-9BD6-42E2-8FDA-1E8FCAB9AD0E}"/>
    <cellStyle name="Normal 2 121" xfId="952" xr:uid="{185CA4A3-7E81-428C-ABFC-4A49EA6C6CF5}"/>
    <cellStyle name="Normal 2 121 2" xfId="3763" xr:uid="{01327129-B5E7-422A-A025-7286AEBC6713}"/>
    <cellStyle name="Normal 2 121 2 2" xfId="3772" xr:uid="{01CA1D7C-27A6-4C1A-8DCD-05B24A769C3D}"/>
    <cellStyle name="Normal 2 121 2 2 2" xfId="8591" xr:uid="{14BA0E97-3EDC-4B9B-8665-479EF82FECCD}"/>
    <cellStyle name="Normal 2 121 2 3" xfId="8598" xr:uid="{935A1623-C371-4488-A987-83EBC2027F01}"/>
    <cellStyle name="Normal 2 121 3" xfId="3476" xr:uid="{B0F9D39B-50DC-4E9B-B196-B1D07880C0AC}"/>
    <cellStyle name="Normal 2 122" xfId="680" xr:uid="{935BF23B-2D1D-4CF1-8B4C-AAF11B6DC2C0}"/>
    <cellStyle name="Normal 2 122 2" xfId="3779" xr:uid="{611DC386-3B8A-4123-A1C5-EA8999444FF8}"/>
    <cellStyle name="Normal 2 122 2 2" xfId="8629" xr:uid="{34C4C627-05EF-439F-A8CB-1C9C76D6703B}"/>
    <cellStyle name="Normal 2 122 2 2 2" xfId="12247" xr:uid="{179514C5-42F0-4B40-A1CB-E6D3DF1B75AA}"/>
    <cellStyle name="Normal 2 122 2 3" xfId="35065" xr:uid="{52688BBB-2C2E-4756-8291-A89C57CB0C1F}"/>
    <cellStyle name="Normal 2 122 3" xfId="8635" xr:uid="{88DAB7F3-D3C6-419B-A6C4-DA18114A7DB1}"/>
    <cellStyle name="Normal 2 123" xfId="958" xr:uid="{BAC0B7F3-4C85-4BBA-A055-21FE6A1EDB7C}"/>
    <cellStyle name="Normal 2 123 2" xfId="8653" xr:uid="{1096B2B1-940E-4EF6-A088-5C78D5B36457}"/>
    <cellStyle name="Normal 2 123 2 2" xfId="35067" xr:uid="{790F1DD4-26DF-4C0D-91D8-B5C8A71E08C8}"/>
    <cellStyle name="Normal 2 123 2 2 2" xfId="31392" xr:uid="{667BE138-9F75-4951-A4DE-46B409B8BA1C}"/>
    <cellStyle name="Normal 2 123 2 3" xfId="35069" xr:uid="{AF3E29EA-A598-4D11-9E06-6C11EAA20611}"/>
    <cellStyle name="Normal 2 123 3" xfId="35071" xr:uid="{65100BC1-28CE-4032-981A-F3896A8D82D9}"/>
    <cellStyle name="Normal 2 124" xfId="970" xr:uid="{5A885764-54F5-46DB-AD53-3FB9EBDC65C5}"/>
    <cellStyle name="Normal 2 124 2" xfId="35073" xr:uid="{6CE56DF9-6A22-485B-A2F5-2CD62024A71E}"/>
    <cellStyle name="Normal 2 124 2 2" xfId="35075" xr:uid="{59F8BF5C-04D2-4AFD-89F4-3A647E731408}"/>
    <cellStyle name="Normal 2 124 2 2 2" xfId="10632" xr:uid="{EBBC76E5-85FD-482D-9AEE-899CDCC21A4B}"/>
    <cellStyle name="Normal 2 124 2 3" xfId="35078" xr:uid="{6D098CFB-13E9-4C07-BB1C-4DC6C3399174}"/>
    <cellStyle name="Normal 2 124 3" xfId="22479" xr:uid="{E596E786-FE59-4427-BDE3-39E8B9302838}"/>
    <cellStyle name="Normal 2 125" xfId="35123" xr:uid="{C7B574FC-E490-4F13-B38E-253D8270A182}"/>
    <cellStyle name="Normal 2 125 2" xfId="35125" xr:uid="{80DAD1A8-41F8-424B-9F70-67CCDCE0100D}"/>
    <cellStyle name="Normal 2 125 2 2" xfId="35127" xr:uid="{2A7FBBCD-116C-4757-AC0F-EA55CB86B237}"/>
    <cellStyle name="Normal 2 125 2 2 2" xfId="35129" xr:uid="{31BB9A6A-5B00-4D2F-8527-CFEDBAC83F83}"/>
    <cellStyle name="Normal 2 125 2 3" xfId="29904" xr:uid="{C5E93771-3F45-47EF-BB71-4BEC3C4A969B}"/>
    <cellStyle name="Normal 2 125 3" xfId="35131" xr:uid="{78A7BE32-FD76-493C-982B-02E7BD3D9764}"/>
    <cellStyle name="Normal 2 126" xfId="11960" xr:uid="{D5751CF7-D732-461C-97F9-0CF55F51FBB2}"/>
    <cellStyle name="Normal 2 126 2" xfId="35134" xr:uid="{117E5077-C7CA-45E0-BF95-52E5B02BF257}"/>
    <cellStyle name="Normal 2 126 2 2" xfId="35138" xr:uid="{91CD3DDC-BB04-4887-A7CF-648E41814743}"/>
    <cellStyle name="Normal 2 126 2 2 2" xfId="2131" xr:uid="{38F3A6F4-8A83-4747-A168-D2D266867485}"/>
    <cellStyle name="Normal 2 126 2 3" xfId="29934" xr:uid="{96C7C562-CB9E-4585-9642-439A99853008}"/>
    <cellStyle name="Normal 2 126 3" xfId="35141" xr:uid="{DDB4F5F6-CDBB-4560-9F36-BB67CECA7AFF}"/>
    <cellStyle name="Normal 2 127" xfId="30693" xr:uid="{B1033616-9FED-4BDD-8895-2C51DC0B9809}"/>
    <cellStyle name="Normal 2 127 2" xfId="35146" xr:uid="{3143ABFD-4C58-47C4-819C-6B4E732357E7}"/>
    <cellStyle name="Normal 2 127 2 2" xfId="35149" xr:uid="{84205EDB-588F-4C71-9997-F8271CED80AE}"/>
    <cellStyle name="Normal 2 127 2 2 2" xfId="35156" xr:uid="{00AE6CCE-9512-47ED-8AEE-5DDB411AF60E}"/>
    <cellStyle name="Normal 2 127 2 3" xfId="29946" xr:uid="{85D06356-A8D0-4814-A92F-FD477918B4D8}"/>
    <cellStyle name="Normal 2 127 3" xfId="35161" xr:uid="{E9CF5509-804B-4EFD-A9BE-601DEA3E08A1}"/>
    <cellStyle name="Normal 2 128" xfId="35164" xr:uid="{49448EB8-DFE8-4FB2-8C27-A74133299DFD}"/>
    <cellStyle name="Normal 2 128 2" xfId="35167" xr:uid="{74DD6800-A944-4DD9-9E9C-7EFBB227CE2C}"/>
    <cellStyle name="Normal 2 128 2 2" xfId="35170" xr:uid="{D79027C9-48FF-4E47-A2EF-989682EBD0A0}"/>
    <cellStyle name="Normal 2 128 2 2 2" xfId="35172" xr:uid="{743F0B4B-3D31-425F-8BE9-07517A2BC2C1}"/>
    <cellStyle name="Normal 2 128 2 3" xfId="29953" xr:uid="{B54BF768-1D05-4005-94A7-109A26E69B33}"/>
    <cellStyle name="Normal 2 128 3" xfId="15730" xr:uid="{849EE056-C417-4018-83E5-FAFCC66C8106}"/>
    <cellStyle name="Normal 2 129" xfId="20265" xr:uid="{C270C9A8-C855-45E0-B2F1-495BB426871A}"/>
    <cellStyle name="Normal 2 129 2" xfId="21596" xr:uid="{B93E94D4-3794-4266-ABEA-554EF0A9D6C5}"/>
    <cellStyle name="Normal 2 129 2 2" xfId="35174" xr:uid="{718261E9-B132-4AE7-8C7D-F0897249A165}"/>
    <cellStyle name="Normal 2 129 2 2 2" xfId="35176" xr:uid="{4D819EF9-4E09-49C2-9216-FEE81DE67F09}"/>
    <cellStyle name="Normal 2 129 2 3" xfId="3535" xr:uid="{DDB1702E-956D-4D59-B4E9-B04534072495}"/>
    <cellStyle name="Normal 2 129 3" xfId="35178" xr:uid="{D7DC8474-0637-472A-93BB-E61B2737D6B6}"/>
    <cellStyle name="Normal 2 13" xfId="2102" xr:uid="{075D86F2-BE4B-477B-95A4-3D619CECE918}"/>
    <cellStyle name="Normal 2 13 10" xfId="35184" xr:uid="{2E908AE3-FEB1-4828-9BF7-13D8EE6FE1C3}"/>
    <cellStyle name="Normal 2 13 11" xfId="31499" xr:uid="{C21B65DE-0604-4F4C-A09E-2D7EA3F0CED8}"/>
    <cellStyle name="Normal 2 13 12" xfId="31521" xr:uid="{76F1CCF5-D949-4FFA-AB1E-6B26EF48B2D2}"/>
    <cellStyle name="Normal 2 13 13" xfId="8365" xr:uid="{3D8879FB-8123-4FFD-92CC-F2C0ADE2160A}"/>
    <cellStyle name="Normal 2 13 14" xfId="6692" xr:uid="{4B26CDB3-81C8-4A69-AA86-603905C45491}"/>
    <cellStyle name="Normal 2 13 15" xfId="31532" xr:uid="{ADDD0C78-0653-428E-AF3C-C860230B095D}"/>
    <cellStyle name="Normal 2 13 16" xfId="31536" xr:uid="{7CED9B81-A3CB-466B-A69E-EE7FED3C247D}"/>
    <cellStyle name="Normal 2 13 17" xfId="35185" xr:uid="{974EABB7-1001-4666-95EE-49662A519D62}"/>
    <cellStyle name="Normal 2 13 18" xfId="35187" xr:uid="{8C3AC351-BE1F-423E-9130-C78520F8F3D0}"/>
    <cellStyle name="Normal 2 13 19" xfId="35189" xr:uid="{B59DF6AB-64BF-4EF5-8E9D-5616540E32FC}"/>
    <cellStyle name="Normal 2 13 2" xfId="6572" xr:uid="{806A5CFB-3947-4F1B-84AE-32E83EA4AD1D}"/>
    <cellStyle name="Normal 2 13 2 2" xfId="35191" xr:uid="{85D1F270-CD7F-4BC2-916C-062EA7259441}"/>
    <cellStyle name="Normal 2 13 20" xfId="31533" xr:uid="{566BF302-375C-4FB8-80CE-027BFC32253B}"/>
    <cellStyle name="Normal 2 13 21" xfId="31537" xr:uid="{C5AA0D96-8E7B-4C5F-B4BB-5BA88D848B79}"/>
    <cellStyle name="Normal 2 13 22" xfId="35186" xr:uid="{3CB945A9-0E70-4251-8671-D07DFF0B567A}"/>
    <cellStyle name="Normal 2 13 23" xfId="35188" xr:uid="{28429D5D-A3EB-4671-9D83-57253546BB18}"/>
    <cellStyle name="Normal 2 13 24" xfId="35190" xr:uid="{0D6F877A-FA85-4CEC-84C9-874907F87EF1}"/>
    <cellStyle name="Normal 2 13 25" xfId="4141" xr:uid="{6C1F829D-A347-43CF-8294-BC601F400BB2}"/>
    <cellStyle name="Normal 2 13 26" xfId="33908" xr:uid="{7D3ED6E1-AD01-48EE-A189-60817FD7B050}"/>
    <cellStyle name="Normal 2 13 27" xfId="33913" xr:uid="{4161922B-AF3E-4862-B191-60F54432A8A4}"/>
    <cellStyle name="Normal 2 13 3" xfId="4243" xr:uid="{D14A0A36-CEFF-401E-8DCF-5FC380C2253F}"/>
    <cellStyle name="Normal 2 13 4" xfId="35079" xr:uid="{83FE2BF4-1815-46C8-9AF9-8CE3BCF1B0F0}"/>
    <cellStyle name="Normal 2 13 5" xfId="35083" xr:uid="{76EC7115-64A8-4F68-9909-CA651E08BFB2}"/>
    <cellStyle name="Normal 2 13 6" xfId="35087" xr:uid="{1746B9F9-CF2A-4E84-8F80-FB28D9488A2D}"/>
    <cellStyle name="Normal 2 13 7" xfId="35091" xr:uid="{3E1D1374-AFC3-4DB5-8CEE-18460A428582}"/>
    <cellStyle name="Normal 2 13 8" xfId="35095" xr:uid="{26A20D8E-13D3-4A6E-A0E0-614EA7B47C0C}"/>
    <cellStyle name="Normal 2 13 9" xfId="35099" xr:uid="{345AC584-368B-49EE-92F0-69EA7410225F}"/>
    <cellStyle name="Normal 2 130" xfId="35124" xr:uid="{DA67FC1C-DB10-4B03-918C-406DA697C0BE}"/>
    <cellStyle name="Normal 2 130 2" xfId="35126" xr:uid="{F6D855D7-0AA0-43AE-8445-9ABF31819795}"/>
    <cellStyle name="Normal 2 130 2 2" xfId="35128" xr:uid="{0FBAB69B-020A-4214-9082-F60398B775EF}"/>
    <cellStyle name="Normal 2 130 2 2 2" xfId="35130" xr:uid="{9A193F4A-F373-4434-BBDB-4CA5F72E6E47}"/>
    <cellStyle name="Normal 2 130 2 3" xfId="29905" xr:uid="{1CA8C359-8CDF-4C2C-A764-CEE4EA2C5723}"/>
    <cellStyle name="Normal 2 130 3" xfId="35132" xr:uid="{F9EC3594-D213-4304-9303-066178020780}"/>
    <cellStyle name="Normal 2 131" xfId="11961" xr:uid="{B76E05B6-20BB-411F-8641-C9094789CFCE}"/>
    <cellStyle name="Normal 2 131 2" xfId="35135" xr:uid="{E3523096-00EA-4A73-9E26-1DB242DA092F}"/>
    <cellStyle name="Normal 2 131 2 2" xfId="35139" xr:uid="{65E32926-664C-4C97-ACE5-42270D3BC0B0}"/>
    <cellStyle name="Normal 2 131 2 2 2" xfId="2132" xr:uid="{9B0B81C7-7845-4FA8-BC8F-696ED7AF8AFF}"/>
    <cellStyle name="Normal 2 131 2 3" xfId="29935" xr:uid="{A0B80D2E-1A6A-4355-A89D-B699A9BA1B5B}"/>
    <cellStyle name="Normal 2 131 3" xfId="35142" xr:uid="{E5EA4088-D567-480D-987E-AC3A824E5BB7}"/>
    <cellStyle name="Normal 2 132" xfId="30694" xr:uid="{7598836A-86BA-4198-8BBD-BF280D86AA02}"/>
    <cellStyle name="Normal 2 132 2" xfId="35147" xr:uid="{EF09F055-E48E-408B-AA42-92A45CD3AF3B}"/>
    <cellStyle name="Normal 2 132 2 2" xfId="35150" xr:uid="{6D9C12E4-73F7-4631-877C-CD2C79ABF7BB}"/>
    <cellStyle name="Normal 2 132 2 2 2" xfId="35157" xr:uid="{DBA302CE-89F0-42D5-8F35-8CC809EE5AFE}"/>
    <cellStyle name="Normal 2 132 2 3" xfId="29947" xr:uid="{786D9B00-6627-4106-BC1D-07450DF80AEA}"/>
    <cellStyle name="Normal 2 132 3" xfId="35162" xr:uid="{7380545D-5A33-4B72-AA96-23AC82405A74}"/>
    <cellStyle name="Normal 2 133" xfId="35165" xr:uid="{BF22619D-6ED0-4723-BCD8-3264E1A6B133}"/>
    <cellStyle name="Normal 2 133 2" xfId="35168" xr:uid="{FD9CB4AF-D8B6-4D99-BA09-0F083A650389}"/>
    <cellStyle name="Normal 2 133 2 2" xfId="35171" xr:uid="{9DF663F1-2964-4B10-AB41-1EC370CF3E7A}"/>
    <cellStyle name="Normal 2 133 2 2 2" xfId="35173" xr:uid="{B293FD5E-BEFA-4191-A472-1F5C482C56BA}"/>
    <cellStyle name="Normal 2 133 2 3" xfId="29954" xr:uid="{D63BEC68-6244-42D3-9B4A-08E0F0728676}"/>
    <cellStyle name="Normal 2 133 3" xfId="15731" xr:uid="{A04C5C3C-89C1-4EB9-819C-1E72DF2D5DF4}"/>
    <cellStyle name="Normal 2 134" xfId="20266" xr:uid="{9E4F07BE-7A76-477A-8D59-B322A4C7A29F}"/>
    <cellStyle name="Normal 2 134 2" xfId="21597" xr:uid="{5AD5BBD2-ECC5-432A-ABBD-739E47E213E9}"/>
    <cellStyle name="Normal 2 134 2 2" xfId="35175" xr:uid="{6B987E60-BAD8-400B-8A15-C8FD169D9918}"/>
    <cellStyle name="Normal 2 134 2 2 2" xfId="35177" xr:uid="{E512DFAA-8D77-4078-976D-5F30C102E7A4}"/>
    <cellStyle name="Normal 2 134 2 3" xfId="3536" xr:uid="{C0AE6173-C5AF-40B7-8625-8A1DA784152E}"/>
    <cellStyle name="Normal 2 134 3" xfId="35179" xr:uid="{DAA30CDC-9A15-4D06-AF44-AABAAB4D80B6}"/>
    <cellStyle name="Normal 2 135" xfId="21600" xr:uid="{DB033F29-26C6-4C9E-BF0C-A909D14B89A8}"/>
    <cellStyle name="Normal 2 135 2" xfId="35192" xr:uid="{6409D26F-8ED3-438D-B56B-E66BA1989E2A}"/>
    <cellStyle name="Normal 2 135 2 2" xfId="35194" xr:uid="{84D52997-CBEA-410C-AEAE-B515E27DE275}"/>
    <cellStyle name="Normal 2 135 2 2 2" xfId="2600" xr:uid="{425CDB53-5675-475F-B946-F3A6AD3E2B70}"/>
    <cellStyle name="Normal 2 135 2 3" xfId="27016" xr:uid="{173AF77E-3BEB-4882-A0AA-E52CDD43C1EE}"/>
    <cellStyle name="Normal 2 135 3" xfId="35196" xr:uid="{1F2F6940-257A-46CC-83B1-6B82DE999363}"/>
    <cellStyle name="Normal 2 136" xfId="35199" xr:uid="{7A3C611D-9098-4FE6-BC96-8D21AFE9BF50}"/>
    <cellStyle name="Normal 2 136 2" xfId="35201" xr:uid="{2E0B1280-3125-45E3-87A2-BD777E6ADB67}"/>
    <cellStyle name="Normal 2 136 2 2" xfId="35203" xr:uid="{903D8249-075B-463A-AD78-B6C0CC370744}"/>
    <cellStyle name="Normal 2 136 2 2 2" xfId="31692" xr:uid="{3614FB5A-22AF-4084-8231-A2F35A3028C0}"/>
    <cellStyle name="Normal 2 136 2 3" xfId="35205" xr:uid="{DA2785DB-3484-4F70-9E87-A63496B6AFEC}"/>
    <cellStyle name="Normal 2 136 3" xfId="35207" xr:uid="{83CCCFB6-47F8-4378-8C69-9FE0468B81E0}"/>
    <cellStyle name="Normal 2 137" xfId="35209" xr:uid="{9B21B8BA-0DEE-4247-9207-BCB5759FBABB}"/>
    <cellStyle name="Normal 2 137 2" xfId="17302" xr:uid="{0F5325BE-4FEA-4E31-84DD-4478B49BE46D}"/>
    <cellStyle name="Normal 2 137 2 2" xfId="17306" xr:uid="{835A330A-B13A-40B2-AFFA-4946684415AA}"/>
    <cellStyle name="Normal 2 137 2 2 2" xfId="7031" xr:uid="{0E21D73B-85C7-47CE-AE33-A97A677617B9}"/>
    <cellStyle name="Normal 2 137 2 3" xfId="17310" xr:uid="{BC7A1A6A-9599-4D83-BFC4-921BA8D00900}"/>
    <cellStyle name="Normal 2 137 3" xfId="17388" xr:uid="{999D8B76-FC31-4F25-8787-8360DDD9C850}"/>
    <cellStyle name="Normal 2 138" xfId="35213" xr:uid="{C7B66745-72BA-4D26-BD37-0BB21FC63736}"/>
    <cellStyle name="Normal 2 138 2" xfId="25037" xr:uid="{0DF9494B-48EC-40E3-8041-D364A246B1E5}"/>
    <cellStyle name="Normal 2 138 2 2" xfId="25042" xr:uid="{9B5A6DD2-8E5C-4DD8-86E0-E1B905C74564}"/>
    <cellStyle name="Normal 2 138 2 2 2" xfId="35216" xr:uid="{D90E0D55-0BCA-489E-A0A1-6D1FB1AB8261}"/>
    <cellStyle name="Normal 2 138 2 3" xfId="25046" xr:uid="{582AA166-1662-46FC-ADC5-28B9BBEA3AEA}"/>
    <cellStyle name="Normal 2 138 3" xfId="25051" xr:uid="{6A9D09EE-D869-4236-BD42-DB8A84A0C195}"/>
    <cellStyle name="Normal 2 139" xfId="35218" xr:uid="{FF3A0869-481F-4D31-91B2-A00A1C5816BA}"/>
    <cellStyle name="Normal 2 139 2" xfId="35221" xr:uid="{70094192-DB03-4A3A-99CE-B49D9A40E14E}"/>
    <cellStyle name="Normal 2 139 2 2" xfId="3169" xr:uid="{DF224747-07A4-4758-8BB9-3E71EA1ACEF3}"/>
    <cellStyle name="Normal 2 139 2 2 2" xfId="3173" xr:uid="{014D64B5-57D2-4213-8470-0FDE16D6AFC1}"/>
    <cellStyle name="Normal 2 139 2 3" xfId="3184" xr:uid="{E571D997-857C-40F8-8A6D-2C85F8B0DECF}"/>
    <cellStyle name="Normal 2 139 3" xfId="15079" xr:uid="{8CA57AFE-5767-4EE7-920A-18B4E2E403EB}"/>
    <cellStyle name="Normal 2 14" xfId="2106" xr:uid="{615DCE2C-7356-4665-A475-39B11819850E}"/>
    <cellStyle name="Normal 2 14 10" xfId="35225" xr:uid="{FD071634-35C5-4E4E-98E6-8EE12EA97C33}"/>
    <cellStyle name="Normal 2 14 11" xfId="8225" xr:uid="{A522E41E-4F1D-482D-B9FF-E133AD5C167F}"/>
    <cellStyle name="Normal 2 14 12" xfId="33678" xr:uid="{17FC1770-A8ED-453B-8850-3B0CC75FFA52}"/>
    <cellStyle name="Normal 2 14 13" xfId="35227" xr:uid="{F872375D-9C70-4295-A2C8-1A8906A66BD0}"/>
    <cellStyle name="Normal 2 14 14" xfId="35229" xr:uid="{C05F14D5-2144-4496-9DEB-91F840BCF964}"/>
    <cellStyle name="Normal 2 14 15" xfId="35231" xr:uid="{E6EE072A-C10F-47F6-90F3-849773BA1165}"/>
    <cellStyle name="Normal 2 14 16" xfId="35233" xr:uid="{2F97F885-EF08-461F-A7C0-929290CD19BD}"/>
    <cellStyle name="Normal 2 14 17" xfId="35235" xr:uid="{E5ABE4AA-66B3-4216-B182-7B0782B738ED}"/>
    <cellStyle name="Normal 2 14 18" xfId="31500" xr:uid="{936C1B7F-A0DF-44BE-9167-C93891FE6B55}"/>
    <cellStyle name="Normal 2 14 19" xfId="31504" xr:uid="{4DC1441E-A23B-4C49-85CE-CCC80FF78BCD}"/>
    <cellStyle name="Normal 2 14 2" xfId="35237" xr:uid="{A6BBF58D-EFB9-4662-99BD-FF0E0583CB19}"/>
    <cellStyle name="Normal 2 14 2 2" xfId="30831" xr:uid="{0CB8D11E-88F7-49AE-B825-6A5DB93177FE}"/>
    <cellStyle name="Normal 2 14 20" xfId="35232" xr:uid="{E1504C8B-065B-4CF1-95C2-53653753836F}"/>
    <cellStyle name="Normal 2 14 21" xfId="35234" xr:uid="{B0801BD5-6D7A-4972-ADA3-5CD87A915208}"/>
    <cellStyle name="Normal 2 14 22" xfId="35236" xr:uid="{146CE498-55D7-4D11-97B5-768387B33C63}"/>
    <cellStyle name="Normal 2 14 23" xfId="31501" xr:uid="{F8F6B6CA-F942-49CF-BFFF-F6BDFE0C239A}"/>
    <cellStyle name="Normal 2 14 24" xfId="31505" xr:uid="{215EF2BA-33A0-42CD-BD36-8E4F515D789D}"/>
    <cellStyle name="Normal 2 14 25" xfId="31510" xr:uid="{E355F89B-B318-4075-BF78-4BF0D1E8E159}"/>
    <cellStyle name="Normal 2 14 26" xfId="34813" xr:uid="{A4DDD2E8-7B84-401B-B2B0-F3E1FC299CFF}"/>
    <cellStyle name="Normal 2 14 27" xfId="35238" xr:uid="{2438E155-12A4-4295-BC88-CEDDA6765573}"/>
    <cellStyle name="Normal 2 14 3" xfId="35239" xr:uid="{3853F8EB-DAE7-4D22-A39F-B28A340E8924}"/>
    <cellStyle name="Normal 2 14 4" xfId="35240" xr:uid="{EDBEE584-D77D-4E23-AFCE-1D03527D6229}"/>
    <cellStyle name="Normal 2 14 5" xfId="35241" xr:uid="{14FBE3D1-0532-48D0-A578-99DC92108FA2}"/>
    <cellStyle name="Normal 2 14 6" xfId="11383" xr:uid="{3408C2E9-00FB-47FE-B9B6-7E2D7E5CD47B}"/>
    <cellStyle name="Normal 2 14 7" xfId="35242" xr:uid="{E2019F89-2157-4670-ACA6-A41A56AB2D2E}"/>
    <cellStyle name="Normal 2 14 8" xfId="35243" xr:uid="{E87A2783-6B7F-4C46-9ED0-EC427A8E79C2}"/>
    <cellStyle name="Normal 2 14 9" xfId="21197" xr:uid="{16B815A0-EE1F-473B-A3B5-14C6A7C4B60F}"/>
    <cellStyle name="Normal 2 140" xfId="21601" xr:uid="{BC6FC7DC-F617-4388-BB07-9BBEA4CF6528}"/>
    <cellStyle name="Normal 2 140 2" xfId="35193" xr:uid="{935FA632-7897-49A0-BCA0-348D92303979}"/>
    <cellStyle name="Normal 2 140 2 2" xfId="35195" xr:uid="{F1151A6B-5B63-4BCD-90B9-AA3847E124D6}"/>
    <cellStyle name="Normal 2 140 2 2 2" xfId="2601" xr:uid="{216E226C-BF46-4C98-AA3A-B9C7A408AF3A}"/>
    <cellStyle name="Normal 2 140 2 3" xfId="27017" xr:uid="{5C9A3B68-F4D4-4D7E-A805-F9C18D5311E8}"/>
    <cellStyle name="Normal 2 140 3" xfId="35197" xr:uid="{04FE694B-EDD3-4EF9-84F1-B041A6719B81}"/>
    <cellStyle name="Normal 2 141" xfId="35200" xr:uid="{5171B66E-EB00-4751-AA6A-4AD5A41E5DF8}"/>
    <cellStyle name="Normal 2 141 2" xfId="35202" xr:uid="{811ACBBB-176B-4D72-A5CC-0397F8BDD4B8}"/>
    <cellStyle name="Normal 2 141 2 2" xfId="35204" xr:uid="{C79717DB-82A1-410C-B5D6-C8CF86988B0B}"/>
    <cellStyle name="Normal 2 141 2 2 2" xfId="31693" xr:uid="{6334AB93-BD15-478B-B3C2-D331C55DC941}"/>
    <cellStyle name="Normal 2 141 2 3" xfId="35206" xr:uid="{57001506-9511-4307-84B0-45BEAF612FD9}"/>
    <cellStyle name="Normal 2 141 3" xfId="35208" xr:uid="{725068AD-88E3-4BB2-8598-4D847703F7B0}"/>
    <cellStyle name="Normal 2 142" xfId="35210" xr:uid="{79FA7A59-939F-40B0-BA7F-87CECD5CFBA2}"/>
    <cellStyle name="Normal 2 142 2" xfId="17303" xr:uid="{40619682-82FC-4735-A90F-50F67679AEC9}"/>
    <cellStyle name="Normal 2 142 2 2" xfId="17307" xr:uid="{CEC4E286-6DF4-486F-92BD-1E429DF8D7AB}"/>
    <cellStyle name="Normal 2 142 2 2 2" xfId="7032" xr:uid="{154329C9-19C1-4153-9CE6-1EBE1EC2F777}"/>
    <cellStyle name="Normal 2 142 2 3" xfId="17311" xr:uid="{E680D408-1E7C-45DE-8703-F8FBE7C1B39E}"/>
    <cellStyle name="Normal 2 142 3" xfId="17389" xr:uid="{DB04E056-AAF1-4020-B9A9-E1B80873514B}"/>
    <cellStyle name="Normal 2 143" xfId="35214" xr:uid="{0064A556-D09A-47F8-BC04-0135CCC65587}"/>
    <cellStyle name="Normal 2 143 2" xfId="25038" xr:uid="{7A5B1EA2-E5F2-4783-B59B-837BA17B9DC9}"/>
    <cellStyle name="Normal 2 143 2 2" xfId="25043" xr:uid="{77EB2F25-AB98-4E5C-B052-B6530C9F043A}"/>
    <cellStyle name="Normal 2 143 2 2 2" xfId="35217" xr:uid="{916483FE-8E63-4F9E-85FE-03559E3AA15E}"/>
    <cellStyle name="Normal 2 143 2 3" xfId="25047" xr:uid="{6C37B529-43AE-40D8-86B1-5483432DEAD8}"/>
    <cellStyle name="Normal 2 143 3" xfId="25052" xr:uid="{DB976AFC-472A-4FD3-901B-219DD6F3744E}"/>
    <cellStyle name="Normal 2 144" xfId="35219" xr:uid="{CC07AF99-CEBC-4BAA-A959-C1FB04A40862}"/>
    <cellStyle name="Normal 2 144 2" xfId="35222" xr:uid="{750E46B7-A1CD-4F6D-91C3-32DAA3353EF9}"/>
    <cellStyle name="Normal 2 144 2 2" xfId="3170" xr:uid="{E172E771-76CF-4CBF-9664-FB053C5C1B1C}"/>
    <cellStyle name="Normal 2 144 2 2 2" xfId="3174" xr:uid="{3E279D4C-57E6-405C-AF13-E25875055892}"/>
    <cellStyle name="Normal 2 144 2 3" xfId="3185" xr:uid="{99124185-097F-45EE-AFA4-AE67682CEDB2}"/>
    <cellStyle name="Normal 2 144 3" xfId="15080" xr:uid="{9132F650-9D17-4E28-A343-6C0475A6097B}"/>
    <cellStyle name="Normal 2 145" xfId="35244" xr:uid="{10838F75-48D1-4F18-A14F-DE944A0FD7F2}"/>
    <cellStyle name="Normal 2 145 2" xfId="6826" xr:uid="{FFED8220-5F70-42FE-9492-0131848C63DE}"/>
    <cellStyle name="Normal 2 145 2 2" xfId="3402" xr:uid="{6EEE137B-F8E7-4686-9EFF-82D4C6AFE78D}"/>
    <cellStyle name="Normal 2 145 2 2 2" xfId="3409" xr:uid="{B16F87F6-17E5-4C89-AE6B-36B65A0BD4CB}"/>
    <cellStyle name="Normal 2 145 2 3" xfId="3417" xr:uid="{4B2DE838-FF8A-47C1-BB4F-D9AF10D5C558}"/>
    <cellStyle name="Normal 2 145 3" xfId="6835" xr:uid="{AA5AC1F7-1CC4-4964-AC86-EC0326567DC5}"/>
    <cellStyle name="Normal 2 146" xfId="35248" xr:uid="{37F3FBC6-6710-43BC-9AF3-636ABDD26308}"/>
    <cellStyle name="Normal 2 146 2" xfId="6850" xr:uid="{2DD6F785-6909-417B-A31A-E06A7FE43F8C}"/>
    <cellStyle name="Normal 2 146 2 2" xfId="3507" xr:uid="{4CE989EA-05A1-4946-8E90-4B89D267D104}"/>
    <cellStyle name="Normal 2 146 2 2 2" xfId="35252" xr:uid="{7B8FFDC2-DCC4-415E-B36B-C6B3A4A8FA2A}"/>
    <cellStyle name="Normal 2 146 2 3" xfId="11205" xr:uid="{383A6187-83A6-47F2-9788-0B880087DB71}"/>
    <cellStyle name="Normal 2 146 3" xfId="6857" xr:uid="{2DC93975-907A-472F-A6EE-01E7F2EEA35E}"/>
    <cellStyle name="Normal 2 147" xfId="35254" xr:uid="{3C7EB4F4-44F8-4405-9969-4EF3FDF5EB8F}"/>
    <cellStyle name="Normal 2 147 2" xfId="6869" xr:uid="{E0705B14-4688-4850-AF4C-AD0AC70253F3}"/>
    <cellStyle name="Normal 2 147 2 2" xfId="25573" xr:uid="{9491B1E9-11FA-46B9-9376-B7E0D13EA0FC}"/>
    <cellStyle name="Normal 2 147 2 2 2" xfId="35258" xr:uid="{4142D0FF-2CD4-4F9A-AB8C-3F4E04364A95}"/>
    <cellStyle name="Normal 2 147 2 3" xfId="11261" xr:uid="{545E8538-40A7-4209-BEBC-B8341690F497}"/>
    <cellStyle name="Normal 2 147 3" xfId="15153" xr:uid="{A907C9FF-B370-4FDC-B515-D23FF68E9D53}"/>
    <cellStyle name="Normal 2 148" xfId="35261" xr:uid="{4F4BC28C-EC9D-4942-ACE3-4F8BBA3AE85D}"/>
    <cellStyle name="Normal 2 148 2" xfId="25868" xr:uid="{CA545C36-0059-4B5A-A9F2-DFB59CD5158F}"/>
    <cellStyle name="Normal 2 148 2 2" xfId="25874" xr:uid="{FF7F0E46-D82A-4592-9E3A-2E53A8392849}"/>
    <cellStyle name="Normal 2 148 2 2 2" xfId="35265" xr:uid="{FC704D01-7617-46B4-99D9-3BB83ABE8E62}"/>
    <cellStyle name="Normal 2 148 2 3" xfId="11286" xr:uid="{33C122DA-79BA-415C-8D83-8E9243C5191F}"/>
    <cellStyle name="Normal 2 148 3" xfId="15175" xr:uid="{536EB5BC-32C1-46C9-B373-82CB0B6769E8}"/>
    <cellStyle name="Normal 2 149" xfId="25774" xr:uid="{3BB5C64B-8208-432A-B7EF-73903C4B63F6}"/>
    <cellStyle name="Normal 2 149 2" xfId="35268" xr:uid="{021E0B01-8340-4CFF-9735-B06B0675269A}"/>
    <cellStyle name="Normal 2 149 2 2" xfId="35270" xr:uid="{FAFCFEBE-0D30-43DB-8C9C-C1F31D263600}"/>
    <cellStyle name="Normal 2 149 2 2 2" xfId="35272" xr:uid="{25F217EE-0BC1-47B4-AD22-E9D64443B2C2}"/>
    <cellStyle name="Normal 2 149 2 3" xfId="11304" xr:uid="{77A287D9-D642-4488-9082-0D0EB0CB93B7}"/>
    <cellStyle name="Normal 2 149 3" xfId="16197" xr:uid="{24799AA2-C7B3-4E3C-B7EC-0FEB7139D6AC}"/>
    <cellStyle name="Normal 2 15" xfId="6023" xr:uid="{FE448CAC-5734-44C3-A409-85E56821AC84}"/>
    <cellStyle name="Normal 2 15 10" xfId="35274" xr:uid="{6E3191D3-5746-4CA8-8A40-3C06C8AFEE8E}"/>
    <cellStyle name="Normal 2 15 11" xfId="35283" xr:uid="{B41363FC-20F6-4E2A-9CA4-E723DFA98F45}"/>
    <cellStyle name="Normal 2 15 12" xfId="35287" xr:uid="{8C7B0353-17E6-4CA6-870D-3903C3CD8937}"/>
    <cellStyle name="Normal 2 15 13" xfId="35290" xr:uid="{FD72D57C-1474-49C0-8CD0-0B34A153E65F}"/>
    <cellStyle name="Normal 2 15 14" xfId="35293" xr:uid="{88ECF1FE-B15F-4D59-A4D4-C0C3BD6D5A20}"/>
    <cellStyle name="Normal 2 15 15" xfId="6078" xr:uid="{C028CD5E-863F-493B-AC85-5D75EE0B4207}"/>
    <cellStyle name="Normal 2 15 16" xfId="6086" xr:uid="{78E2A46F-8660-460F-9A8F-A5F290F2CF98}"/>
    <cellStyle name="Normal 2 15 17" xfId="6097" xr:uid="{CEB11788-A20B-4D0A-A523-024AF0AD2528}"/>
    <cellStyle name="Normal 2 15 18" xfId="6106" xr:uid="{B2FD222D-9810-4CF8-9725-C997830A4830}"/>
    <cellStyle name="Normal 2 15 19" xfId="35294" xr:uid="{3086FC47-A890-40B4-A927-D0CE7DA75EBD}"/>
    <cellStyle name="Normal 2 15 2" xfId="9261" xr:uid="{28BE427E-A21E-44A0-86EF-8CC99489F1AA}"/>
    <cellStyle name="Normal 2 15 2 2" xfId="35296" xr:uid="{43A4A316-4D50-465D-A060-2CC377FFAFBD}"/>
    <cellStyle name="Normal 2 15 20" xfId="6079" xr:uid="{59C55ECB-A646-4D48-BF82-720D5FE1E146}"/>
    <cellStyle name="Normal 2 15 21" xfId="6087" xr:uid="{9ECAD359-B8AD-45B2-940E-381FB99ABB79}"/>
    <cellStyle name="Normal 2 15 22" xfId="6098" xr:uid="{616009A6-12B5-482F-8841-9604B5D2A39A}"/>
    <cellStyle name="Normal 2 15 23" xfId="6107" xr:uid="{B06E028F-91F9-4DD9-B16F-560A0C7D766A}"/>
    <cellStyle name="Normal 2 15 24" xfId="35295" xr:uid="{4BBD2BC2-1E98-4DB2-A2C7-F7CB3C593573}"/>
    <cellStyle name="Normal 2 15 25" xfId="13207" xr:uid="{1C45FCFE-B636-44F8-A7F7-6672DE8812BC}"/>
    <cellStyle name="Normal 2 15 3" xfId="14952" xr:uid="{8EC2C762-D84D-40DB-B365-A70690F8B4A2}"/>
    <cellStyle name="Normal 2 15 4" xfId="35298" xr:uid="{9BABAD2B-EE44-4441-9BE2-2561A7BF962A}"/>
    <cellStyle name="Normal 2 15 5" xfId="35300" xr:uid="{988EEC67-2FE3-4517-AB67-0F72A66AEA1E}"/>
    <cellStyle name="Normal 2 15 6" xfId="35302" xr:uid="{85924D29-1911-4B1C-AEBA-F872369EDE10}"/>
    <cellStyle name="Normal 2 15 7" xfId="35304" xr:uid="{CB97569D-C3FB-4622-872D-F9D1DB22368B}"/>
    <cellStyle name="Normal 2 15 8" xfId="35306" xr:uid="{50802523-EAD1-40D1-BFF9-C2691C289FFB}"/>
    <cellStyle name="Normal 2 15 9" xfId="21202" xr:uid="{F172ECD1-CA5B-42CA-A47F-465F87134C47}"/>
    <cellStyle name="Normal 2 150" xfId="35245" xr:uid="{83AD5C49-1FBB-4528-A3D0-D9A68031F15A}"/>
    <cellStyle name="Normal 2 150 2" xfId="6827" xr:uid="{16F12D41-1066-40C3-A29C-7E10D42B4A02}"/>
    <cellStyle name="Normal 2 150 2 2" xfId="3403" xr:uid="{038E767F-3056-4FA5-96B1-AD6AB1DF3F7D}"/>
    <cellStyle name="Normal 2 150 2 2 2" xfId="3410" xr:uid="{47FD37EB-F227-4F55-BA73-306E2601A7BA}"/>
    <cellStyle name="Normal 2 150 2 3" xfId="3418" xr:uid="{3FBDF907-6E1F-4133-A682-065EE517E97A}"/>
    <cellStyle name="Normal 2 150 3" xfId="6836" xr:uid="{BAB90F69-C4B3-4D33-A626-A095AC4D5BD6}"/>
    <cellStyle name="Normal 2 151" xfId="35249" xr:uid="{360F59C5-A1DF-4CBB-BF73-A2BFF31B93BB}"/>
    <cellStyle name="Normal 2 151 2" xfId="6851" xr:uid="{F32BC159-5F97-4252-9351-1AD191A8F222}"/>
    <cellStyle name="Normal 2 151 2 2" xfId="3508" xr:uid="{950218F9-EFA4-4441-894F-E4E7EBAF9C98}"/>
    <cellStyle name="Normal 2 151 2 2 2" xfId="35253" xr:uid="{2C5476F2-CD4C-4DA8-998A-071B1F3B437B}"/>
    <cellStyle name="Normal 2 151 2 3" xfId="11206" xr:uid="{2C4542C6-D057-4BFA-B8BD-9E31F26538BA}"/>
    <cellStyle name="Normal 2 151 3" xfId="6858" xr:uid="{06B0E84C-1548-42BC-B361-592FE9F0BCE0}"/>
    <cellStyle name="Normal 2 152" xfId="35255" xr:uid="{F00209AC-DD80-40F7-80BA-9BF861F4D821}"/>
    <cellStyle name="Normal 2 152 2" xfId="6870" xr:uid="{30478AA3-8E83-40A8-ACEB-C438819CF7E6}"/>
    <cellStyle name="Normal 2 152 2 2" xfId="25574" xr:uid="{B0157767-5F4F-43CA-90DE-F137F6A0E621}"/>
    <cellStyle name="Normal 2 152 2 2 2" xfId="35259" xr:uid="{C3FF9713-1AD3-43E7-A04B-5ABAED08340B}"/>
    <cellStyle name="Normal 2 152 2 3" xfId="11262" xr:uid="{19169211-49C9-44A2-B240-5A4CCA85DE7A}"/>
    <cellStyle name="Normal 2 152 3" xfId="15154" xr:uid="{AC320B81-6C84-4FE5-B773-AE78D829274B}"/>
    <cellStyle name="Normal 2 153" xfId="35262" xr:uid="{2E0FDFBD-0875-457D-B853-9F70AD9D2CCD}"/>
    <cellStyle name="Normal 2 153 2" xfId="25869" xr:uid="{5A4E3934-33D7-47DB-8A57-BF8F26C2763F}"/>
    <cellStyle name="Normal 2 153 2 2" xfId="25875" xr:uid="{0538BED0-D2BB-4B60-98E4-ECB8B6A6DEBC}"/>
    <cellStyle name="Normal 2 153 2 2 2" xfId="35266" xr:uid="{C3E431FC-8049-4286-B67B-F61952D626C8}"/>
    <cellStyle name="Normal 2 153 2 3" xfId="11287" xr:uid="{190E23D3-53A9-4F60-A48F-C6EC19C657EC}"/>
    <cellStyle name="Normal 2 153 3" xfId="15176" xr:uid="{F64892DF-3FD5-45B7-9E9A-7F99DECEE16D}"/>
    <cellStyle name="Normal 2 154" xfId="25775" xr:uid="{29A3A432-D15F-47C0-A47A-B5626F7B93F0}"/>
    <cellStyle name="Normal 2 154 2" xfId="35269" xr:uid="{37FD3782-4A43-41CA-874B-59012E71447F}"/>
    <cellStyle name="Normal 2 154 2 2" xfId="35271" xr:uid="{DE2576E4-C723-413C-AA2E-C24FEA80A378}"/>
    <cellStyle name="Normal 2 154 2 2 2" xfId="35273" xr:uid="{AEDED40D-21BA-4DC2-867C-12D8435B5542}"/>
    <cellStyle name="Normal 2 154 2 3" xfId="11305" xr:uid="{9849FC1B-D853-4A1E-9CA6-48DC7CB0FC5A}"/>
    <cellStyle name="Normal 2 154 3" xfId="16198" xr:uid="{FA4CF340-D7AB-4F8E-B1A6-6234ED4E0C50}"/>
    <cellStyle name="Normal 2 155" xfId="25781" xr:uid="{01218B72-5A4F-45DF-B0B4-19658EF31FE7}"/>
    <cellStyle name="Normal 2 155 2" xfId="35308" xr:uid="{556F5EC6-9068-4791-B6FE-ABBB846E1F26}"/>
    <cellStyle name="Normal 2 155 2 2" xfId="35310" xr:uid="{C8C16A83-BB35-4CAB-A957-97DB2A4F9CA6}"/>
    <cellStyle name="Normal 2 155 2 2 2" xfId="35312" xr:uid="{CC53906B-DEBF-4FEE-B141-7296409EDDE0}"/>
    <cellStyle name="Normal 2 155 2 3" xfId="35314" xr:uid="{D35461BB-A2F6-4B96-815F-860AC48F1041}"/>
    <cellStyle name="Normal 2 155 3" xfId="16204" xr:uid="{1D79C05D-1DB4-45F8-B8EF-7698EFB5DDF3}"/>
    <cellStyle name="Normal 2 156" xfId="28680" xr:uid="{29264B90-04B8-4889-AB8F-ACEBE8E2656A}"/>
    <cellStyle name="Normal 2 156 2" xfId="35316" xr:uid="{14790336-1C61-42E3-AB13-6564B37D87C0}"/>
    <cellStyle name="Normal 2 156 2 2" xfId="35318" xr:uid="{7101C678-254C-4C92-BDC7-5C829132FE0B}"/>
    <cellStyle name="Normal 2 156 2 2 2" xfId="29134" xr:uid="{E1E96BC2-979A-4B16-8E71-24ECE6026E6E}"/>
    <cellStyle name="Normal 2 156 2 3" xfId="35320" xr:uid="{7FF238CA-12F0-4BB8-8BBD-C94960F58E24}"/>
    <cellStyle name="Normal 2 156 3" xfId="35322" xr:uid="{6899AF44-A6F6-4A2D-9B1A-DECCDFB7998A}"/>
    <cellStyle name="Normal 2 157" xfId="32542" xr:uid="{A745363B-6EBB-4CD3-800B-D689F9111932}"/>
    <cellStyle name="Normal 2 157 2" xfId="28892" xr:uid="{7F27F6ED-2FF9-4635-B5D3-B741F981C89B}"/>
    <cellStyle name="Normal 2 157 2 2" xfId="35324" xr:uid="{51714E52-684B-45DA-B80A-0E7C4BC99B3F}"/>
    <cellStyle name="Normal 2 157 2 2 2" xfId="26460" xr:uid="{A7E8211F-504A-4194-8EC5-FA4D2ED6B792}"/>
    <cellStyle name="Normal 2 157 2 3" xfId="35326" xr:uid="{7D44FF5C-5BEA-4323-A062-E3C7E2CAEA8C}"/>
    <cellStyle name="Normal 2 157 3" xfId="28896" xr:uid="{4DC9A77D-F3C3-496D-8ED6-EB32C2E22EEA}"/>
    <cellStyle name="Normal 2 158" xfId="3793" xr:uid="{C3114623-064C-4581-A25A-0EE3807DEB72}"/>
    <cellStyle name="Normal 2 158 2" xfId="755" xr:uid="{DE8589D2-728E-49C2-9472-2A7D97EF2199}"/>
    <cellStyle name="Normal 2 158 2 2" xfId="3802" xr:uid="{9C5BF8CA-D96E-4574-ADA2-01F2490DDD64}"/>
    <cellStyle name="Normal 2 158 2 2 2" xfId="3810" xr:uid="{E0CD4A49-C75C-40DC-89F0-B551F0B358C9}"/>
    <cellStyle name="Normal 2 158 2 3" xfId="3830" xr:uid="{884F3FA3-6968-4376-8CCB-293E4912479D}"/>
    <cellStyle name="Normal 2 158 3" xfId="3854" xr:uid="{F9FE1F21-D965-43A0-9654-F0216513AAD4}"/>
    <cellStyle name="Normal 2 159" xfId="998" xr:uid="{12D0146F-6A3A-40F3-B4EB-0D7C4CD7F713}"/>
    <cellStyle name="Normal 2 159 2" xfId="1493" xr:uid="{696FBA0E-4FCE-4F6E-B820-21ABDBA0FC7B}"/>
    <cellStyle name="Normal 2 159 2 2" xfId="1927" xr:uid="{9A901C63-4CE4-48C2-B3DD-59A3A15E3344}"/>
    <cellStyle name="Normal 2 159 2 2 2" xfId="3301" xr:uid="{8836AD54-DBDA-4BE4-95C8-D469D794F2F1}"/>
    <cellStyle name="Normal 2 159 2 3" xfId="3866" xr:uid="{190D908C-43B4-4041-BE0E-A8ADCF087A72}"/>
    <cellStyle name="Normal 2 159 3" xfId="1504" xr:uid="{FA6C100C-2132-4AD1-88B5-C6C7A2703623}"/>
    <cellStyle name="Normal 2 16" xfId="35327" xr:uid="{7CF05702-6468-4939-B3D8-C21420CC38CC}"/>
    <cellStyle name="Normal 2 16 10" xfId="35332" xr:uid="{F53A8558-877E-4288-B9AA-2104C1A097E6}"/>
    <cellStyle name="Normal 2 16 11" xfId="35335" xr:uid="{635D0CE9-898A-4E8E-93C1-E775A33F633C}"/>
    <cellStyle name="Normal 2 16 12" xfId="35338" xr:uid="{E3CDC51B-BC7D-40DB-92F0-0C36C17F1454}"/>
    <cellStyle name="Normal 2 16 13" xfId="23531" xr:uid="{80D99991-2ADA-449D-8942-080E42F67CC2}"/>
    <cellStyle name="Normal 2 16 14" xfId="35340" xr:uid="{516DC084-D088-454B-BC45-4639B5FF869A}"/>
    <cellStyle name="Normal 2 16 15" xfId="35341" xr:uid="{0814F9FD-0CF5-4FF9-9D1B-BD043973271E}"/>
    <cellStyle name="Normal 2 16 16" xfId="35343" xr:uid="{2BDB5F57-91F4-42EC-8876-8C091B70C5EA}"/>
    <cellStyle name="Normal 2 16 17" xfId="35345" xr:uid="{A3798746-3BDA-487A-9BDE-8BD2C3DFD439}"/>
    <cellStyle name="Normal 2 16 18" xfId="24211" xr:uid="{C1A4630A-D4BC-4245-BD88-126BD5E9CB0F}"/>
    <cellStyle name="Normal 2 16 19" xfId="24213" xr:uid="{6763B2E1-571C-4326-924B-89249A502A81}"/>
    <cellStyle name="Normal 2 16 2" xfId="14996" xr:uid="{BCE851A8-6013-46B1-B56C-EC266DB7B859}"/>
    <cellStyle name="Normal 2 16 2 2" xfId="35346" xr:uid="{27E59AAC-9F18-426F-9648-72E84EF679BF}"/>
    <cellStyle name="Normal 2 16 20" xfId="35342" xr:uid="{5A915C94-B56E-455F-AF23-D53E6802C75E}"/>
    <cellStyle name="Normal 2 16 21" xfId="35344" xr:uid="{1B2F2EB6-D9D5-4790-BC36-0171CC230726}"/>
    <cellStyle name="Normal 2 16 3" xfId="35348" xr:uid="{BFB7111A-BF4C-4510-AFB7-4A18585C1270}"/>
    <cellStyle name="Normal 2 16 4" xfId="12372" xr:uid="{2FC203ED-A41A-46E2-9048-729EAAAB96CD}"/>
    <cellStyle name="Normal 2 16 5" xfId="31362" xr:uid="{0C86F830-E594-4AAA-AA0F-5C2BB34B0743}"/>
    <cellStyle name="Normal 2 16 6" xfId="30894" xr:uid="{DF8E774A-6161-46AF-B023-45966A034C2A}"/>
    <cellStyle name="Normal 2 16 7" xfId="31410" xr:uid="{8D681E05-FA77-46BE-8A1B-E71EDD064C51}"/>
    <cellStyle name="Normal 2 16 8" xfId="31424" xr:uid="{2321CB9A-DF71-461A-AD73-44B3D55D0A9E}"/>
    <cellStyle name="Normal 2 16 9" xfId="31436" xr:uid="{7EC0926D-95A0-4678-8E8A-57E726254BB5}"/>
    <cellStyle name="Normal 2 160" xfId="25782" xr:uid="{3696A4D2-69BB-495F-8677-F5BD640E7B4A}"/>
    <cellStyle name="Normal 2 160 2" xfId="35309" xr:uid="{BD8B9C40-054A-42F0-822C-4BE3C1D036C8}"/>
    <cellStyle name="Normal 2 160 2 2" xfId="35311" xr:uid="{ABFE703D-9CE1-4AA9-9290-B3BC305D0F2A}"/>
    <cellStyle name="Normal 2 160 2 2 2" xfId="35313" xr:uid="{365C0DA4-3B28-4589-A866-5A90E3172498}"/>
    <cellStyle name="Normal 2 160 2 3" xfId="35315" xr:uid="{BBF80272-0638-4F09-A02F-A25DFD2E4BEF}"/>
    <cellStyle name="Normal 2 160 3" xfId="16205" xr:uid="{213B7356-3081-4FC8-9C4A-2DF1F15C3AD0}"/>
    <cellStyle name="Normal 2 161" xfId="28681" xr:uid="{9813E306-5B58-449E-844C-BDBECCCE3CB9}"/>
    <cellStyle name="Normal 2 161 2" xfId="35317" xr:uid="{8ED889AF-25E6-4C46-A146-A1803B5A5DAC}"/>
    <cellStyle name="Normal 2 161 2 2" xfId="35319" xr:uid="{7873DD44-8268-4F79-B314-73DC5A5C8A3E}"/>
    <cellStyle name="Normal 2 161 2 2 2" xfId="29135" xr:uid="{AE334F8B-4D62-4A82-9C93-88148619F4B5}"/>
    <cellStyle name="Normal 2 161 2 3" xfId="35321" xr:uid="{43B03E73-CACF-4845-A3A6-D7FA401EB714}"/>
    <cellStyle name="Normal 2 161 3" xfId="35323" xr:uid="{5D750811-4BEA-431E-99A1-5F9BF61D8416}"/>
    <cellStyle name="Normal 2 162" xfId="32543" xr:uid="{48977C64-1CA7-435B-96DF-ED6041DB9839}"/>
    <cellStyle name="Normal 2 162 2" xfId="28893" xr:uid="{786A4AE1-4115-48D9-87AB-2520542EE86D}"/>
    <cellStyle name="Normal 2 162 2 2" xfId="35325" xr:uid="{EC406C00-9FB9-4F62-A492-643DCBF27270}"/>
    <cellStyle name="Normal 2 162 2 2 2" xfId="26461" xr:uid="{02F5FE5F-431C-4507-B25B-BC759FE74F86}"/>
    <cellStyle name="Normal 2 162 2 2 2 2" xfId="26464" xr:uid="{5724092B-BD87-4F62-B937-7F02C8C87882}"/>
    <cellStyle name="Normal 2 162 2 2 3" xfId="26632" xr:uid="{909005F9-0449-4E4B-8828-02B590C25579}"/>
    <cellStyle name="Normal 2 162 3" xfId="28897" xr:uid="{47D6157B-96B5-4767-B606-DB6553DABABD}"/>
    <cellStyle name="Normal 2 162 3 2" xfId="35350" xr:uid="{9D54602D-2030-4AA7-9755-6E438E7A11E9}"/>
    <cellStyle name="Normal 2 162 3 2 2" xfId="8805" xr:uid="{B50E4811-ACD7-411C-9239-1A99E135F06D}"/>
    <cellStyle name="Normal 2 162 3 3" xfId="35351" xr:uid="{BFBFD708-A03B-4F34-B0EE-FC222DAC5C6D}"/>
    <cellStyle name="Normal 2 162 4" xfId="28901" xr:uid="{8899D08E-AF6B-4A31-9CA8-FC1A1718D5AB}"/>
    <cellStyle name="Normal 2 163" xfId="3794" xr:uid="{06C2E30C-B7BE-4D2F-B677-7A6DD72BA6BB}"/>
    <cellStyle name="Normal 2 163 2" xfId="756" xr:uid="{CBB150CD-A2E1-41B0-B371-40E99E48A132}"/>
    <cellStyle name="Normal 2 163 2 2" xfId="3803" xr:uid="{96327344-3099-460E-87AA-60E09FE3A526}"/>
    <cellStyle name="Normal 2 163 2 2 2" xfId="3811" xr:uid="{A885923A-4FB1-4EC1-808B-AB3000B88EFE}"/>
    <cellStyle name="Normal 2 163 2 3" xfId="3831" xr:uid="{EC68FE8C-F549-4FE7-91E4-D63181957C05}"/>
    <cellStyle name="Normal 2 163 3" xfId="3855" xr:uid="{1F067F1F-FFF9-4D60-BA70-8E0225E464DA}"/>
    <cellStyle name="Normal 2 164" xfId="999" xr:uid="{C035F788-8950-446B-87AF-345F9A6F15C6}"/>
    <cellStyle name="Normal 2 164 2" xfId="1494" xr:uid="{319251C0-79AF-47C5-B8AB-E266677EE62E}"/>
    <cellStyle name="Normal 2 164 2 2" xfId="1928" xr:uid="{AC022437-ABF3-4443-8F19-25FECF925514}"/>
    <cellStyle name="Normal 2 164 2 2 2" xfId="3302" xr:uid="{B7F325B1-F701-4A44-936E-81C004D64578}"/>
    <cellStyle name="Normal 2 164 2 3" xfId="3867" xr:uid="{CC7F6AE3-4677-491B-8638-C95961C90B92}"/>
    <cellStyle name="Normal 2 164 3" xfId="1505" xr:uid="{3ABF72F2-3F3B-49E0-A077-DF490C6E4E53}"/>
    <cellStyle name="Normal 2 165" xfId="3877" xr:uid="{FFD39B99-5534-4BB9-B096-EE85A185383F}"/>
    <cellStyle name="Normal 2 165 2" xfId="420" xr:uid="{7D396DA1-DD81-4075-AB16-E73B039A9C70}"/>
    <cellStyle name="Normal 2 165 2 2" xfId="3893" xr:uid="{2831A774-33B6-4FB8-B2E5-2BC3BD2E9B6D}"/>
    <cellStyle name="Normal 2 165 2 2 2" xfId="8711" xr:uid="{366EF99E-922A-4B3B-AB4A-C70299C12A01}"/>
    <cellStyle name="Normal 2 165 2 3" xfId="8717" xr:uid="{A4DD9646-8F8F-482F-832E-6F44FC9F858B}"/>
    <cellStyle name="Normal 2 165 3" xfId="438" xr:uid="{8C518328-98F1-4F4D-B698-4493CFD8C775}"/>
    <cellStyle name="Normal 2 166" xfId="3901" xr:uid="{ECB0B286-2243-4AE9-98A0-120258D9D403}"/>
    <cellStyle name="Normal 2 166 2" xfId="1562" xr:uid="{BBD06D6C-0737-47E9-ABF2-6E79C2AC7773}"/>
    <cellStyle name="Normal 2 167" xfId="3909" xr:uid="{0E37712E-035C-4DF8-9E5B-F491476E73A9}"/>
    <cellStyle name="Normal 2 167 2" xfId="8774" xr:uid="{3A1D1445-A584-4B74-B0EA-8F7EB5EDA7C8}"/>
    <cellStyle name="Normal 2 168" xfId="3916" xr:uid="{7A7110DD-E555-4A47-B158-CA932906FB09}"/>
    <cellStyle name="Normal 2 168 2" xfId="30886" xr:uid="{2701F2C2-4F46-4757-A755-FCF4A2F6566F}"/>
    <cellStyle name="Normal 2 169" xfId="33228" xr:uid="{DF8F8ED3-D714-4740-9EAA-0BDAAF298E1E}"/>
    <cellStyle name="Normal 2 169 2" xfId="30922" xr:uid="{CCD4078A-F792-4919-814D-D3E80B3FA923}"/>
    <cellStyle name="Normal 2 17" xfId="35352" xr:uid="{040A8BE8-8478-42D9-92AE-BF83E970C749}"/>
    <cellStyle name="Normal 2 17 10" xfId="17706" xr:uid="{DA0D5990-DC37-4367-8FD8-DCBAB445FE6B}"/>
    <cellStyle name="Normal 2 17 11" xfId="17748" xr:uid="{921AF040-2AA2-4558-AB95-E6DF5FC93125}"/>
    <cellStyle name="Normal 2 17 12" xfId="19484" xr:uid="{68C95DF9-6D9D-4519-9CBD-C19D40056387}"/>
    <cellStyle name="Normal 2 17 13" xfId="10778" xr:uid="{8BA68A0D-4610-4A89-B1E1-78C28655EE5B}"/>
    <cellStyle name="Normal 2 17 14" xfId="24517" xr:uid="{5D395E9E-EF52-4503-8FC4-BE242FB463AD}"/>
    <cellStyle name="Normal 2 17 15" xfId="24529" xr:uid="{DEBFB8C6-A906-43FB-9B6E-F4AB791D2A44}"/>
    <cellStyle name="Normal 2 17 16" xfId="11980" xr:uid="{AED7FD4D-F0A5-41B2-BCC8-491FBEA36E50}"/>
    <cellStyle name="Normal 2 17 17" xfId="12000" xr:uid="{F2640E38-4DB2-47F5-A055-9925FC6E791B}"/>
    <cellStyle name="Normal 2 17 18" xfId="12009" xr:uid="{1EC07AA7-29D7-4352-9D08-85F0187C70E7}"/>
    <cellStyle name="Normal 2 17 19" xfId="20539" xr:uid="{7EFEAAED-47A6-4B67-AB63-5F8F60FDC0A6}"/>
    <cellStyle name="Normal 2 17 2" xfId="35354" xr:uid="{7F45E4CC-CCE1-4FDC-A266-43339AA9AABE}"/>
    <cellStyle name="Normal 2 17 2 2" xfId="35356" xr:uid="{777730F2-6BA7-4376-9DE9-C5E82E112918}"/>
    <cellStyle name="Normal 2 17 20" xfId="24530" xr:uid="{F3CB0C7E-8A2D-4662-A54D-F6F4497A1F18}"/>
    <cellStyle name="Normal 2 17 21" xfId="11981" xr:uid="{2ABA6315-A078-41D6-B74A-1AD042EB0E34}"/>
    <cellStyle name="Normal 2 17 3" xfId="35357" xr:uid="{8E992C32-A901-4A19-ACE4-6E4C4939A606}"/>
    <cellStyle name="Normal 2 17 4" xfId="35359" xr:uid="{E8A116E6-87CD-4BF5-831E-8354A4662FEC}"/>
    <cellStyle name="Normal 2 17 5" xfId="31446" xr:uid="{B692FD3E-1719-4476-A223-DB7AE6AF1199}"/>
    <cellStyle name="Normal 2 17 6" xfId="31461" xr:uid="{39D5E83A-E18A-450A-8935-ABB6A4BADB4B}"/>
    <cellStyle name="Normal 2 17 7" xfId="8339" xr:uid="{40128B36-A12D-4CD6-A079-8A0318DE6FA4}"/>
    <cellStyle name="Normal 2 17 8" xfId="6383" xr:uid="{391B53F1-1952-444A-8936-51E6E1031278}"/>
    <cellStyle name="Normal 2 17 9" xfId="8353" xr:uid="{6AA1C774-9AEC-4663-B288-B51AF35216BF}"/>
    <cellStyle name="Normal 2 170" xfId="3878" xr:uid="{3DE607FA-1581-4EC0-8941-1619587BBCA7}"/>
    <cellStyle name="Normal 2 170 2" xfId="421" xr:uid="{638FDDE3-62F9-4BCE-A01F-CA830427EE60}"/>
    <cellStyle name="Normal 2 171" xfId="3902" xr:uid="{86A3E162-40B8-4812-8008-EA0F2514C94E}"/>
    <cellStyle name="Normal 2 171 2" xfId="1563" xr:uid="{CFDADA79-704B-4189-A459-A525CC855EC5}"/>
    <cellStyle name="Normal 2 172" xfId="3910" xr:uid="{D39A8698-A2C5-442C-9921-CC9725727C8D}"/>
    <cellStyle name="Normal 2 172 2" xfId="8775" xr:uid="{A4D7E092-8C28-4083-BD3C-B42E9140168C}"/>
    <cellStyle name="Normal 2 173" xfId="3917" xr:uid="{FF7A7C18-08EC-4959-A5AB-F89DA11F98FC}"/>
    <cellStyle name="Normal 2 173 2" xfId="30887" xr:uid="{56B44BE8-5959-4A0A-88E9-9406DB9A5D2D}"/>
    <cellStyle name="Normal 2 174" xfId="33229" xr:uid="{4743E702-F1DD-4827-9ABA-BB03EEE716EE}"/>
    <cellStyle name="Normal 2 174 2" xfId="30923" xr:uid="{1F349314-FE4A-40AF-AE1A-E6D690900C22}"/>
    <cellStyle name="Normal 2 175" xfId="33234" xr:uid="{AC032A7F-F808-4CCE-95ED-6AB33AEAC98B}"/>
    <cellStyle name="Normal 2 175 2" xfId="27523" xr:uid="{3DAA2C99-E1ED-4D87-BD3F-D20552299B0C}"/>
    <cellStyle name="Normal 2 176" xfId="35362" xr:uid="{AF6BF399-22FD-423E-83B9-91F30F8A4032}"/>
    <cellStyle name="Normal 2 176 2" xfId="27631" xr:uid="{A5EBF0FE-65EA-4BA9-968C-5C57C46F696D}"/>
    <cellStyle name="Normal 2 177" xfId="35367" xr:uid="{40A8DE87-A0C5-4852-B54A-1BEC39CC222D}"/>
    <cellStyle name="Normal 2 177 2" xfId="13561" xr:uid="{AE45B679-114A-43F0-9C15-AE6B5B38A75D}"/>
    <cellStyle name="Normal 2 178" xfId="35372" xr:uid="{A32F9009-581D-42F7-8672-4C5F46E1B10B}"/>
    <cellStyle name="Normal 2 178 2" xfId="13641" xr:uid="{AFABFCDF-4EFB-4310-A60F-F194C75336FC}"/>
    <cellStyle name="Normal 2 179" xfId="21604" xr:uid="{B02CFCD7-9792-4BCB-9B85-387E0F380777}"/>
    <cellStyle name="Normal 2 179 2" xfId="13671" xr:uid="{74CA98A9-065F-4ADE-A216-3FD0DAE2AEB3}"/>
    <cellStyle name="Normal 2 18" xfId="35376" xr:uid="{2F8BA160-8E70-42BD-8DE2-60C014A322EE}"/>
    <cellStyle name="Normal 2 18 10" xfId="25700" xr:uid="{E2AAA556-0464-4461-BB39-65063AF7473E}"/>
    <cellStyle name="Normal 2 18 11" xfId="25712" xr:uid="{42C4CBE1-E120-403F-A23C-7DCCE9D8DE21}"/>
    <cellStyle name="Normal 2 18 12" xfId="25734" xr:uid="{13D8C6CA-066A-4419-84A2-278DE173B411}"/>
    <cellStyle name="Normal 2 18 13" xfId="5297" xr:uid="{501D6676-3844-4E1F-9DEB-B07A4AB41C65}"/>
    <cellStyle name="Normal 2 18 14" xfId="25750" xr:uid="{AA6FADEE-E2FB-4DCB-A190-838377DF952F}"/>
    <cellStyle name="Normal 2 18 15" xfId="25758" xr:uid="{64F0085B-4E77-4BA4-B7D2-BAECA50737BF}"/>
    <cellStyle name="Normal 2 18 16" xfId="25770" xr:uid="{D049B0EE-7E32-48CD-B08E-C942FFF536F4}"/>
    <cellStyle name="Normal 2 18 17" xfId="25794" xr:uid="{9C96154A-322F-4997-B8A1-68EE41999B7D}"/>
    <cellStyle name="Normal 2 18 18" xfId="25797" xr:uid="{803DF9FF-4C3E-401D-A24A-0DF209313328}"/>
    <cellStyle name="Normal 2 18 19" xfId="25803" xr:uid="{5F526305-E1FC-499E-96BA-46CE172D9E7C}"/>
    <cellStyle name="Normal 2 18 2" xfId="31062" xr:uid="{220D9730-1B9E-495F-9E4B-8A974D6B0E10}"/>
    <cellStyle name="Normal 2 18 2 2" xfId="35378" xr:uid="{B5E4DBAF-33EA-4EA3-A083-EE821062CA3C}"/>
    <cellStyle name="Normal 2 18 3" xfId="35380" xr:uid="{4C623AB0-0340-4B3A-8E46-82BACB1F4B06}"/>
    <cellStyle name="Normal 2 18 4" xfId="35180" xr:uid="{E7530E9C-CB6D-4788-8666-EE8E5796045B}"/>
    <cellStyle name="Normal 2 18 5" xfId="31493" xr:uid="{009F4174-0F48-4CB7-853B-A537388B20FE}"/>
    <cellStyle name="Normal 2 18 6" xfId="31516" xr:uid="{DFD3F0FE-582B-42E7-9B6C-1485F856C0ED}"/>
    <cellStyle name="Normal 2 18 7" xfId="8359" xr:uid="{9B28D569-253B-47C4-BCFB-6738571AF6CD}"/>
    <cellStyle name="Normal 2 18 8" xfId="6688" xr:uid="{7418AA54-7D9F-44C6-ABA7-31DA06879766}"/>
    <cellStyle name="Normal 2 18 9" xfId="31529" xr:uid="{AF665E7B-1DE0-42D7-99E9-FE6E76A76AFB}"/>
    <cellStyle name="Normal 2 180" xfId="33235" xr:uid="{D43EF9ED-5847-47C2-9EDE-D4875C71A350}"/>
    <cellStyle name="Normal 2 180 2" xfId="27524" xr:uid="{FF9DEFE7-0F54-4153-9EF1-218808D30AEA}"/>
    <cellStyle name="Normal 2 181" xfId="35363" xr:uid="{214A916F-47B2-4C59-9732-B1CF2C73C519}"/>
    <cellStyle name="Normal 2 181 2" xfId="27632" xr:uid="{01B24AC7-EE29-48CB-B8B3-F73759E10F08}"/>
    <cellStyle name="Normal 2 182" xfId="35368" xr:uid="{34C6CAF8-BCC4-48E1-831F-277104040638}"/>
    <cellStyle name="Normal 2 182 2" xfId="13562" xr:uid="{C9C7C125-E825-4F55-A22A-7419E7ABCDF9}"/>
    <cellStyle name="Normal 2 183" xfId="35373" xr:uid="{BCB0BAC2-6D86-434D-AC10-3842379A6530}"/>
    <cellStyle name="Normal 2 184" xfId="21605" xr:uid="{FEDBF7F4-0485-4869-AA0F-CCA103E49DF5}"/>
    <cellStyle name="Normal 2 185" xfId="35384" xr:uid="{D147D9C8-21CE-41D6-B140-F50DC8E7CDF8}"/>
    <cellStyle name="Normal 2 186" xfId="35388" xr:uid="{589570A7-4B3B-44E1-BAD3-ACDB9BA2FBAB}"/>
    <cellStyle name="Normal 2 187" xfId="35392" xr:uid="{93127EFD-5434-43AF-BF99-5AB258ED735A}"/>
    <cellStyle name="Normal 2 188" xfId="35397" xr:uid="{69D5F108-B18C-4AB1-9437-7B574E36E9B5}"/>
    <cellStyle name="Normal 2 189" xfId="35402" xr:uid="{19653228-AD60-4711-883C-A0550DFDCC01}"/>
    <cellStyle name="Normal 2 19" xfId="35407" xr:uid="{FBBB525D-61EF-4244-AF90-7F6E1972E35C}"/>
    <cellStyle name="Normal 2 19 10" xfId="28917" xr:uid="{2022DF81-80D9-4220-B86F-D1A31188BDA6}"/>
    <cellStyle name="Normal 2 19 11" xfId="28920" xr:uid="{664DC4C0-A7BC-46E7-B087-552C3460DAF6}"/>
    <cellStyle name="Normal 2 19 12" xfId="28927" xr:uid="{A116F424-44BE-4D6F-AEC4-B9FB6D36241F}"/>
    <cellStyle name="Normal 2 19 13" xfId="28930" xr:uid="{AEA05A5B-0448-478D-94CE-75EB06DA0EDA}"/>
    <cellStyle name="Normal 2 19 14" xfId="28933" xr:uid="{84A26664-153D-45CD-BEEE-F631C423CFF4}"/>
    <cellStyle name="Normal 2 19 15" xfId="28936" xr:uid="{73138588-6A6D-4717-B889-57F3AED23B44}"/>
    <cellStyle name="Normal 2 19 2" xfId="35409" xr:uid="{E0EF3EB0-7120-4F9E-B9FA-D90757B08201}"/>
    <cellStyle name="Normal 2 19 2 2" xfId="35411" xr:uid="{159698C0-8ECC-4E85-988F-31198E33ABF1}"/>
    <cellStyle name="Normal 2 19 3" xfId="35413" xr:uid="{CA94FA85-0315-40BD-A47D-24B0CD668017}"/>
    <cellStyle name="Normal 2 19 4" xfId="35415" xr:uid="{DD8F6BF9-92DE-4253-8166-1A5EBFA9C0B3}"/>
    <cellStyle name="Normal 2 19 5" xfId="31540" xr:uid="{94B424C0-47CF-4279-AFEA-68308A799024}"/>
    <cellStyle name="Normal 2 19 6" xfId="31548" xr:uid="{086F78E3-A4B8-418B-9993-48E4E608D71A}"/>
    <cellStyle name="Normal 2 19 7" xfId="4329" xr:uid="{75CB7BBC-8678-447D-8A47-BFD2628F3FF9}"/>
    <cellStyle name="Normal 2 19 8" xfId="31554" xr:uid="{61C454C2-65FC-4358-A8EE-95CFAF536DC5}"/>
    <cellStyle name="Normal 2 19 9" xfId="35418" xr:uid="{E1D2F2C2-F25F-4F72-B649-3511ED1D08D1}"/>
    <cellStyle name="Normal 2 190" xfId="35385" xr:uid="{D3F9EED1-D9A1-4E3E-9B93-BDCB2E5965E8}"/>
    <cellStyle name="Normal 2 191" xfId="35389" xr:uid="{3D7A721C-BD4D-40C8-B1E3-A6DFAE06C3BE}"/>
    <cellStyle name="Normal 2 192" xfId="35393" xr:uid="{BC619B93-2E23-4A84-B2C1-D787500301C7}"/>
    <cellStyle name="Normal 2 193" xfId="35398" xr:uid="{48424F7A-CD4F-44DC-949B-4E32CA505146}"/>
    <cellStyle name="Normal 2 194" xfId="35403" xr:uid="{3894D9AE-353C-448C-99D6-2B2F0F2DF775}"/>
    <cellStyle name="Normal 2 195" xfId="35419" xr:uid="{01977FDF-C0C4-4992-827B-8CED1128B5B0}"/>
    <cellStyle name="Normal 2 196" xfId="35423" xr:uid="{777D55BF-1770-4E3E-B943-27B5567B5C40}"/>
    <cellStyle name="Normal 2 197" xfId="35427" xr:uid="{1B69CAC0-823B-4BC9-82D8-183E5FF44789}"/>
    <cellStyle name="Normal 2 198" xfId="14813" xr:uid="{ADAF0247-5653-4532-A501-12FD7AF53781}"/>
    <cellStyle name="Normal 2 198 2" xfId="5793" xr:uid="{ACF025D0-5AC5-4B34-AB0C-DA96C4294993}"/>
    <cellStyle name="Normal 2 199" xfId="14819" xr:uid="{E40F26D0-E626-4A67-9189-0F1298D25366}"/>
    <cellStyle name="Normal 2 199 2" xfId="14826" xr:uid="{50CB3572-80F2-4B48-9A80-0DEED6A87769}"/>
    <cellStyle name="Normal 2 199 2 2" xfId="14461" xr:uid="{46E56E3E-4C6B-4DE7-BDC2-BC83AEF8D2C7}"/>
    <cellStyle name="Normal 2 199 2 2 2" xfId="35431" xr:uid="{77B64E29-E74F-4899-BC1E-50A1ABDB87FD}"/>
    <cellStyle name="Normal 2 199 2 2 2 2" xfId="35432" xr:uid="{D38DAAD9-634B-45D1-A14F-0B943EB4735A}"/>
    <cellStyle name="Normal 2 199 2 2 2 2 2" xfId="18814" xr:uid="{C4FBC8EB-141E-46C8-B83D-812EF714800F}"/>
    <cellStyle name="Normal 2 199 2 2 2 3" xfId="35433" xr:uid="{11BF1735-6139-4D88-AD22-48B91994C390}"/>
    <cellStyle name="Normal 2 199 2 2 3" xfId="35434" xr:uid="{B21D4F71-0A70-4233-96C7-C3D3DA8744D3}"/>
    <cellStyle name="Normal 2 199 2 2 3 2" xfId="35435" xr:uid="{D44A9F70-567E-49FD-825E-4A5B54E14451}"/>
    <cellStyle name="Normal 2 199 2 2 3 2 2" xfId="35436" xr:uid="{5CD003B1-C8CA-4786-B53B-C0B399A48313}"/>
    <cellStyle name="Normal 2 199 2 2 3 3" xfId="35437" xr:uid="{9821D872-40F9-432D-84CD-56CF121ACE92}"/>
    <cellStyle name="Normal 2 199 2 2 4" xfId="14565" xr:uid="{9EB792EC-57E7-4150-AC01-19771568CE40}"/>
    <cellStyle name="Normal 2 199 2 2 4 2" xfId="14568" xr:uid="{0748B9F8-6C26-463B-944C-F69656E28049}"/>
    <cellStyle name="Normal 2 199 2 2 5" xfId="8488" xr:uid="{B8745576-F9E5-4740-953E-2305269791DA}"/>
    <cellStyle name="Normal 2 199 2 3" xfId="35438" xr:uid="{40FD7626-1C76-416C-8304-81BFCDAA9984}"/>
    <cellStyle name="Normal 2 199 2 3 2" xfId="19756" xr:uid="{E636412A-068E-4B53-ABEA-7DCD1BFDEB0B}"/>
    <cellStyle name="Normal 2 199 2 3 2 2" xfId="27473" xr:uid="{9A702EF9-C24A-4326-BA58-A02F95E0901D}"/>
    <cellStyle name="Normal 2 199 2 3 3" xfId="32465" xr:uid="{013006AF-AA07-4537-870C-5539FCDF647A}"/>
    <cellStyle name="Normal 2 199 2 4" xfId="35440" xr:uid="{8AAE088A-AB17-4921-AFF2-BD495F8F3765}"/>
    <cellStyle name="Normal 2 199 2 4 2" xfId="35442" xr:uid="{D69D5188-D1A0-4724-B05B-AAB67E9C56C7}"/>
    <cellStyle name="Normal 2 199 2 4 2 2" xfId="27612" xr:uid="{DBBDBFB1-336B-4029-94F5-25C3FDC0A390}"/>
    <cellStyle name="Normal 2 199 2 4 3" xfId="35443" xr:uid="{FE5DDABC-65BD-4918-AA45-AEBECFE81008}"/>
    <cellStyle name="Normal 2 199 2 5" xfId="35445" xr:uid="{D0791872-CC0D-4AFB-BE54-1CA308AB0052}"/>
    <cellStyle name="Normal 2 199 2 5 2" xfId="35446" xr:uid="{37B01E0B-9617-49F3-9C66-7DE4DA56A166}"/>
    <cellStyle name="Normal 2 199 2 6" xfId="35447" xr:uid="{58C697C8-5B6C-4068-B706-DC333B8C88CC}"/>
    <cellStyle name="Normal 2 199 3" xfId="8644" xr:uid="{4882625E-F932-443B-886D-9D37EFA773F2}"/>
    <cellStyle name="Normal 2 199 3 2" xfId="35448" xr:uid="{D8DCC1CC-D7D3-4C78-958E-2AE81537EFE2}"/>
    <cellStyle name="Normal 2 199 3 2 2" xfId="35449" xr:uid="{125CF3CA-C192-49C5-B915-3C2EC2F800F8}"/>
    <cellStyle name="Normal 2 199 3 2 2 2" xfId="35450" xr:uid="{27952B4F-C67C-43FD-8A91-DACB3A042E2D}"/>
    <cellStyle name="Normal 2 199 3 2 3" xfId="35451" xr:uid="{6DD304AB-1169-443D-A080-3F90519427EE}"/>
    <cellStyle name="Normal 2 199 3 3" xfId="35452" xr:uid="{14BF35B1-36A2-4AF8-B7D4-6EEEDD1E55BD}"/>
    <cellStyle name="Normal 2 199 3 3 2" xfId="35453" xr:uid="{4A835776-1BDB-40B4-BE90-878D4D2E8428}"/>
    <cellStyle name="Normal 2 199 3 3 2 2" xfId="27753" xr:uid="{B2A424DB-0168-42FC-A05A-1BB4A6561DB7}"/>
    <cellStyle name="Normal 2 199 3 3 3" xfId="35454" xr:uid="{D693C498-3F5A-4301-9DFE-95D602A15E35}"/>
    <cellStyle name="Normal 2 199 3 4" xfId="35456" xr:uid="{462F8223-AFCE-42C3-9A15-EFF64A5403B7}"/>
    <cellStyle name="Normal 2 199 3 4 2" xfId="35457" xr:uid="{E2221298-C200-455B-B31F-23C4001E5F6F}"/>
    <cellStyle name="Normal 2 199 3 5" xfId="35458" xr:uid="{B0FCF6F1-3390-439B-B8A3-D4E5DCA78E99}"/>
    <cellStyle name="Normal 2 199 4" xfId="35459" xr:uid="{646BC0AD-2132-4B82-867D-0C5CD5A76FE9}"/>
    <cellStyle name="Normal 2 199 4 2" xfId="18257" xr:uid="{1A24600B-A647-4FDB-9109-37B667A3BB7C}"/>
    <cellStyle name="Normal 2 199 4 2 2" xfId="18259" xr:uid="{8821689C-E0B7-4B2B-95D1-80A706CBBBFC}"/>
    <cellStyle name="Normal 2 199 4 3" xfId="18261" xr:uid="{C4F0CCDC-CBB3-47DE-9D63-7C80CA7CCE65}"/>
    <cellStyle name="Normal 2 199 5" xfId="35460" xr:uid="{DAE5FA45-0EA1-4E53-B2FE-27B9229DEEC3}"/>
    <cellStyle name="Normal 2 199 5 2" xfId="35461" xr:uid="{ACCE4220-9E7C-48A2-9549-6645A596C556}"/>
    <cellStyle name="Normal 2 199 5 2 2" xfId="35462" xr:uid="{757E1142-BAFE-42DB-99C3-6A9CCCF70DB9}"/>
    <cellStyle name="Normal 2 199 5 3" xfId="35463" xr:uid="{B4C67787-8904-4EBD-8332-8EAD7E602D3F}"/>
    <cellStyle name="Normal 2 199 6" xfId="35465" xr:uid="{AA500BA7-53E4-473E-AF44-9AF50E5D0436}"/>
    <cellStyle name="Normal 2 199 6 2" xfId="18038" xr:uid="{D6331BD7-8767-4E0A-A9CF-3F274D8A668F}"/>
    <cellStyle name="Normal 2 199 7" xfId="28627" xr:uid="{3BD34E4D-F7C9-48EA-A2AC-307E6E98C199}"/>
    <cellStyle name="Normal 2 199 8" xfId="28630" xr:uid="{3AEB8987-5A2C-4CB5-8CDB-32965FEAE00D}"/>
    <cellStyle name="Normal 2 2" xfId="15" xr:uid="{88D0FC15-7766-4B57-ADBD-60F7FA9F1EBB}"/>
    <cellStyle name="Normal 2 2 10" xfId="30636" xr:uid="{79896954-2E04-4B5C-911F-CFF6D9D5D69B}"/>
    <cellStyle name="Normal 2 2 10 2" xfId="35466" xr:uid="{07D03D8D-291F-40CA-8079-3A4F1C8BD8D2}"/>
    <cellStyle name="Normal 2 2 10 2 2" xfId="35468" xr:uid="{7C4BA163-C1D1-4A3C-B016-45555D59A549}"/>
    <cellStyle name="Normal 2 2 10 3" xfId="29557" xr:uid="{99FE488B-0B1E-4002-9514-F6C1358F1B95}"/>
    <cellStyle name="Normal 2 2 11" xfId="35469" xr:uid="{BFD22406-C3C7-42D1-97BF-59205FE08E2B}"/>
    <cellStyle name="Normal 2 2 11 2" xfId="35470" xr:uid="{BF52B9BF-4A87-44F0-BA37-ACB67454E793}"/>
    <cellStyle name="Normal 2 2 11 2 2" xfId="17430" xr:uid="{E0069477-877B-43D3-BEDE-2CD2882BE039}"/>
    <cellStyle name="Normal 2 2 11 3" xfId="29326" xr:uid="{3B32A65F-9BA7-40E0-8316-A9473308519F}"/>
    <cellStyle name="Normal 2 2 12" xfId="35471" xr:uid="{99813919-0ED8-4015-B843-6DF7C0DDC397}"/>
    <cellStyle name="Normal 2 2 12 2" xfId="35472" xr:uid="{D9FB7EC8-D06F-436B-83B4-FF686FBCCFFC}"/>
    <cellStyle name="Normal 2 2 12 2 2" xfId="2157" xr:uid="{5B9DA906-3BEB-4A5C-9C34-510ACD5C2382}"/>
    <cellStyle name="Normal 2 2 12 3" xfId="29332" xr:uid="{BED197C7-063D-42C2-BBA8-EAF3D32D9E5D}"/>
    <cellStyle name="Normal 2 2 13" xfId="35474" xr:uid="{975E1F52-2A12-4623-A6B1-DB8C3A043F6C}"/>
    <cellStyle name="Normal 2 2 13 2" xfId="35475" xr:uid="{9B0B8489-80BE-425B-9CE4-DD79FA9C1979}"/>
    <cellStyle name="Normal 2 2 13 2 2" xfId="1643" xr:uid="{559FEECC-4AAA-4C72-9909-BDFC6862AE40}"/>
    <cellStyle name="Normal 2 2 13 3" xfId="23136" xr:uid="{CAD37187-B51E-4A64-8AAA-7B5E449B17AA}"/>
    <cellStyle name="Normal 2 2 14" xfId="13169" xr:uid="{984EE2A8-FCFF-4A5E-852E-9426A684F9A7}"/>
    <cellStyle name="Normal 2 2 14 2" xfId="10490" xr:uid="{C8C1F338-D61B-4EB4-999E-1A826CD34085}"/>
    <cellStyle name="Normal 2 2 14 2 2" xfId="10494" xr:uid="{C57C718C-5D5E-4D99-95A9-5A6F5B1E5000}"/>
    <cellStyle name="Normal 2 2 14 3" xfId="10498" xr:uid="{F4F2F085-ED32-4D86-A78D-BD7009AE1730}"/>
    <cellStyle name="Normal 2 2 15" xfId="13173" xr:uid="{B23A1AD8-90B7-4B91-8B72-8A545542DF96}"/>
    <cellStyle name="Normal 2 2 15 2" xfId="10548" xr:uid="{49A7ABA3-05ED-4696-8F74-D1D6F4D77142}"/>
    <cellStyle name="Normal 2 2 15 2 2" xfId="31478" xr:uid="{1072773D-223F-490A-9134-DA152D7460B0}"/>
    <cellStyle name="Normal 2 2 15 3" xfId="10551" xr:uid="{7DABE337-F916-4976-9380-F9158D5755D2}"/>
    <cellStyle name="Normal 2 2 16" xfId="13177" xr:uid="{7C4E4854-3124-4ED4-8167-E4A0787E006B}"/>
    <cellStyle name="Normal 2 2 16 2" xfId="33736" xr:uid="{F5FAD772-E899-4714-B3CD-D15AFF1C7E76}"/>
    <cellStyle name="Normal 2 2 16 2 2" xfId="35476" xr:uid="{D1AF8796-37E2-49DC-B93D-8545A3A33A1B}"/>
    <cellStyle name="Normal 2 2 16 3" xfId="35478" xr:uid="{94EAE6B0-F146-4EB0-8D0D-1BD6E9628308}"/>
    <cellStyle name="Normal 2 2 17" xfId="7693" xr:uid="{180ADE62-C29F-47B7-AF1E-F65E9019BA5B}"/>
    <cellStyle name="Normal 2 2 17 2" xfId="11168" xr:uid="{7F109A0C-C389-434C-8FF5-681568F3EEE3}"/>
    <cellStyle name="Normal 2 2 17 2 2" xfId="11173" xr:uid="{10E30A1C-C12F-49F8-A84E-DEE3B771C046}"/>
    <cellStyle name="Normal 2 2 17 3" xfId="11188" xr:uid="{60E206A4-3C17-47D7-8CBE-B211ED5857BE}"/>
    <cellStyle name="Normal 2 2 18" xfId="32998" xr:uid="{81B11AE0-E370-472A-B4AB-CB705849E5D2}"/>
    <cellStyle name="Normal 2 2 18 2" xfId="11621" xr:uid="{5DF78051-0338-45C1-A660-9849E6363518}"/>
    <cellStyle name="Normal 2 2 18 2 2" xfId="11624" xr:uid="{5CB9021B-7990-489A-8ACC-B3807254AA0F}"/>
    <cellStyle name="Normal 2 2 18 3" xfId="11629" xr:uid="{D65DE071-F7D9-42DC-8E40-A56553B5B4E9}"/>
    <cellStyle name="Normal 2 2 19" xfId="35480" xr:uid="{47E54EF0-A73D-4C8D-AF10-80C6F39F8F60}"/>
    <cellStyle name="Normal 2 2 19 2" xfId="11841" xr:uid="{96B1BA78-B628-432B-A385-53C94EB9DD81}"/>
    <cellStyle name="Normal 2 2 19 2 2" xfId="108" xr:uid="{7A868E97-49EB-4207-91BE-92D3270A2A88}"/>
    <cellStyle name="Normal 2 2 19 3" xfId="11844" xr:uid="{7EE35F92-FFE6-4D2A-BC48-4302A06A70BF}"/>
    <cellStyle name="Normal 2 2 2" xfId="17" xr:uid="{BD223B99-89B6-4803-9045-9DE81D3B4B71}"/>
    <cellStyle name="Normal 2 2 2 10" xfId="14267" xr:uid="{AD082043-D0C3-4A14-949A-398DE14ED497}"/>
    <cellStyle name="Normal 2 2 2 2" xfId="35483" xr:uid="{D69E16B7-7383-4CD7-80BC-9A6466CDC9FC}"/>
    <cellStyle name="Normal 2 2 2 2 2" xfId="33558" xr:uid="{4B61CE39-9EBC-4D2B-826C-A63B4578FDEE}"/>
    <cellStyle name="Normal 2 2 2 2 2 2" xfId="33561" xr:uid="{9521ECF5-596F-4D31-813A-467066BAB474}"/>
    <cellStyle name="Normal 2 2 2 2 2 2 2" xfId="35485" xr:uid="{D8E45413-E215-448E-80F0-307DD7A36A40}"/>
    <cellStyle name="Normal 2 2 2 2 2 3" xfId="35486" xr:uid="{0280F8C6-7C1E-4C7C-9A7D-799C62B60A1D}"/>
    <cellStyle name="Normal 2 2 2 2 2 4" xfId="35487" xr:uid="{5A10979B-76CC-4B92-A232-3AD62BDF5994}"/>
    <cellStyle name="Normal 2 2 2 2 2 4 2" xfId="54141" xr:uid="{5A40665B-D763-48DF-9A4C-381BFC05627E}"/>
    <cellStyle name="Normal 2 2 2 2 2 4 2 2" xfId="54142" xr:uid="{CBCB9280-CC04-4E4D-9635-F7131F4E8C83}"/>
    <cellStyle name="Normal 2 2 2 2 2 4 2 2 2" xfId="54174" xr:uid="{928417FA-751A-4821-A856-B6272FE22301}"/>
    <cellStyle name="Normal 2 2 2 2 2 4 2 3" xfId="54212" xr:uid="{FB5ED468-79B5-4473-84D3-E0B4C57271F6}"/>
    <cellStyle name="Normal 2 2 2 2 2 4 3" xfId="54146" xr:uid="{F0512C96-E9B7-4950-AFEA-2538B874D6FB}"/>
    <cellStyle name="Normal 2 2 2 2 2 4 4" xfId="54152" xr:uid="{39B24902-D27A-45D5-B816-F60180472142}"/>
    <cellStyle name="Normal 2 2 2 2 2 4 4 2" xfId="54162" xr:uid="{51AE586E-9F4A-41C3-B967-4D8848B85EDB}"/>
    <cellStyle name="Normal 2 2 2 2 2 4 4 3" xfId="54188" xr:uid="{F242C2EA-758B-49A3-B4E7-C4B8EE456B38}"/>
    <cellStyle name="Normal 2 2 2 2 2 4 5" xfId="54198" xr:uid="{AED90638-0396-46A3-B0B1-C0646E67F2B6}"/>
    <cellStyle name="Normal 2 2 2 2 2 4 5 2" xfId="54218" xr:uid="{22CEF22C-05FF-40DA-8E33-48ADFC3FBFF6}"/>
    <cellStyle name="Normal 2 2 2 2 2 4 6" xfId="54214" xr:uid="{416E7A39-3BD6-4A01-833F-0C58FC473871}"/>
    <cellStyle name="Normal 2 2 2 2 2 4 7" xfId="54210" xr:uid="{58ADE2A0-87DC-4034-AC59-50F2A5D0E22D}"/>
    <cellStyle name="Normal 2 2 2 2 3" xfId="33563" xr:uid="{2D5A50DA-E171-4D4E-8AD3-DEB934BD80AD}"/>
    <cellStyle name="Normal 2 2 2 2 4" xfId="14122" xr:uid="{3076FB94-5A15-46E3-83C9-C2F4B3718841}"/>
    <cellStyle name="Normal 2 2 2 2 5" xfId="14127" xr:uid="{DDBF5F4B-1A24-4FF2-9159-762B89321749}"/>
    <cellStyle name="Normal 2 2 2 2 6" xfId="35488" xr:uid="{B28229CD-71FB-4EE2-B3A3-33D10E8B820E}"/>
    <cellStyle name="Normal 2 2 2 2 6 2" xfId="23016" xr:uid="{86C34F2F-2D9B-4C74-AF29-CB36074375D2}"/>
    <cellStyle name="Normal 2 2 2 2 7" xfId="54224" xr:uid="{DAAD8070-3F9E-4B15-AB3F-BE0FE25D3B45}"/>
    <cellStyle name="Normal 2 2 2 3" xfId="35489" xr:uid="{4870B6B2-078E-4E3A-89CE-12DF338F7B91}"/>
    <cellStyle name="Normal 2 2 2 3 2" xfId="33578" xr:uid="{BD558CFC-1366-4467-AED8-2BEFD432D504}"/>
    <cellStyle name="Normal 2 2 2 3 2 2" xfId="13104" xr:uid="{6B208654-B5B4-47C1-B2FB-9EC5D5CEF921}"/>
    <cellStyle name="Normal 2 2 2 3 3" xfId="16407" xr:uid="{4267EEE7-1B7D-4884-8041-28398A8D17A4}"/>
    <cellStyle name="Normal 2 2 2 3 4" xfId="14132" xr:uid="{D400D267-CDF8-4104-AF49-5473E6C8963D}"/>
    <cellStyle name="Normal 2 2 2 3 5" xfId="35490" xr:uid="{A0F866E4-3376-466F-9918-F07E36FEF31C}"/>
    <cellStyle name="Normal 2 2 2 4" xfId="35491" xr:uid="{7172B8CC-C242-4D0A-A3DE-5625E0EE1565}"/>
    <cellStyle name="Normal 2 2 2 4 2" xfId="35492" xr:uid="{0AB5D67C-C3D9-475A-95C5-4E39771725DF}"/>
    <cellStyle name="Normal 2 2 2 4 2 2" xfId="35493" xr:uid="{EA19D1B5-3884-47B5-ABB0-8F43DD685BD3}"/>
    <cellStyle name="Normal 2 2 2 4 3" xfId="16413" xr:uid="{A67BA339-6296-4896-BCAD-B07CEBECB1D5}"/>
    <cellStyle name="Normal 2 2 2 4 4" xfId="35494" xr:uid="{E64EDA3E-163E-4C89-8298-96BBF3423A1C}"/>
    <cellStyle name="Normal 2 2 2 5" xfId="28041" xr:uid="{D9FCBA3E-9759-444E-B314-9DBDA3B5513B}"/>
    <cellStyle name="Normal 2 2 2 6" xfId="35495" xr:uid="{D6DCFA5E-D087-4D3C-B895-8EA6A714398E}"/>
    <cellStyle name="Normal 2 2 2 7" xfId="35496" xr:uid="{03CB3F72-6C8C-4204-8AC6-3A257F8990C0}"/>
    <cellStyle name="Normal 2 2 2 7 2" xfId="54167" xr:uid="{22055243-4C6F-4698-9CBA-0D7132D96BAB}"/>
    <cellStyle name="Normal 2 2 2 8" xfId="6313" xr:uid="{6D2E282F-D4D3-4590-88F8-6B0B97B41CE0}"/>
    <cellStyle name="Normal 2 2 2 9" xfId="54156" xr:uid="{FE1E4CB4-CDA3-48CF-A9AE-F82C99F2C1D3}"/>
    <cellStyle name="Normal 2 2 20" xfId="13174" xr:uid="{8634A8FD-9BBA-41C5-8FDD-06AF71DF60F1}"/>
    <cellStyle name="Normal 2 2 20 2" xfId="10549" xr:uid="{34D21C38-70E9-4427-A879-3384B7DF76C9}"/>
    <cellStyle name="Normal 2 2 20 2 2" xfId="31479" xr:uid="{30BA808C-3D0F-411D-96D3-CDF3195E5F7C}"/>
    <cellStyle name="Normal 2 2 20 3" xfId="10552" xr:uid="{CC067BB0-61C7-4B1A-A855-E114E68B09CE}"/>
    <cellStyle name="Normal 2 2 21" xfId="13178" xr:uid="{CE78A3BC-6065-4E7B-921B-265E761FEC9F}"/>
    <cellStyle name="Normal 2 2 21 2" xfId="33737" xr:uid="{975DEC04-D41C-48CB-8EA2-456007CDE1B9}"/>
    <cellStyle name="Normal 2 2 21 2 2" xfId="35477" xr:uid="{4972C451-567F-4830-8A98-7F562E25183F}"/>
    <cellStyle name="Normal 2 2 21 3" xfId="35479" xr:uid="{EADB87E0-CF67-4BF0-A73D-F1667F8B912B}"/>
    <cellStyle name="Normal 2 2 22" xfId="7694" xr:uid="{E3CF7375-F94F-4D23-88C5-8DD1C329C15C}"/>
    <cellStyle name="Normal 2 2 22 2" xfId="11169" xr:uid="{72A70FD9-42DC-4C25-9B9F-27137C24CE2F}"/>
    <cellStyle name="Normal 2 2 22 2 2" xfId="11174" xr:uid="{F1CB6171-0114-4723-8CC9-E6B74CD4D6EA}"/>
    <cellStyle name="Normal 2 2 22 3" xfId="11189" xr:uid="{DA33C4B7-B7D9-4B4A-B718-4BFC8313B936}"/>
    <cellStyle name="Normal 2 2 23" xfId="32999" xr:uid="{B8538EFD-AD39-476D-9EDA-FA7FF600277C}"/>
    <cellStyle name="Normal 2 2 23 2" xfId="11622" xr:uid="{132EAE62-880E-471C-AD5D-219272FAA636}"/>
    <cellStyle name="Normal 2 2 23 2 2" xfId="11625" xr:uid="{A9B2DFAC-96FE-43F5-8074-3FCC049B8233}"/>
    <cellStyle name="Normal 2 2 23 3" xfId="11630" xr:uid="{36C1E039-5F72-451D-9B4D-3B3E5E833000}"/>
    <cellStyle name="Normal 2 2 24" xfId="35481" xr:uid="{679FC2B7-9442-4311-B114-A019F7129543}"/>
    <cellStyle name="Normal 2 2 24 2" xfId="11842" xr:uid="{8E32E553-BC30-4162-958D-BBD5B2498BB3}"/>
    <cellStyle name="Normal 2 2 24 2 2" xfId="109" xr:uid="{27529261-27BC-4094-94AE-C66249EC419D}"/>
    <cellStyle name="Normal 2 2 24 3" xfId="11845" xr:uid="{22B99474-9A35-45C0-9430-FEFFE555E508}"/>
    <cellStyle name="Normal 2 2 25" xfId="35497" xr:uid="{9D66635E-8FF1-4B70-96A5-6E7D0B794849}"/>
    <cellStyle name="Normal 2 2 25 2" xfId="11966" xr:uid="{6FC8C728-3C3A-4290-9302-DFB8D9478A9F}"/>
    <cellStyle name="Normal 2 2 25 2 2" xfId="29233" xr:uid="{495A3ADC-C2A9-4550-A7EB-63A10D551671}"/>
    <cellStyle name="Normal 2 2 25 3" xfId="11969" xr:uid="{6F89E224-5E7E-4BE8-B88B-3578FD8D6A8B}"/>
    <cellStyle name="Normal 2 2 26" xfId="35499" xr:uid="{E31E7B03-AC87-449B-979D-72E528649C1C}"/>
    <cellStyle name="Normal 2 2 26 2" xfId="12069" xr:uid="{AC698D1B-12D7-400C-8EAB-8DD87B37C981}"/>
    <cellStyle name="Normal 2 2 26 2 2" xfId="29708" xr:uid="{61263F0B-A66E-4E02-9F5D-FD4854877DF5}"/>
    <cellStyle name="Normal 2 2 26 3" xfId="30735" xr:uid="{AED47C06-29BD-4399-9B33-C7B8CBE77A3A}"/>
    <cellStyle name="Normal 2 2 27" xfId="35501" xr:uid="{9080567C-944E-48D7-8794-0EB7984B21F8}"/>
    <cellStyle name="Normal 2 2 27 2" xfId="30741" xr:uid="{54DF73F0-4564-49EA-AD95-B788D18E088D}"/>
    <cellStyle name="Normal 2 2 27 2 2" xfId="29973" xr:uid="{8AB98759-3EAA-4E63-8840-95FDA43BDD2E}"/>
    <cellStyle name="Normal 2 2 27 3" xfId="3040" xr:uid="{AF8BCA4B-DD39-4160-A460-A1B2A2C64E51}"/>
    <cellStyle name="Normal 2 2 28" xfId="35504" xr:uid="{A49CFAA2-3749-4321-9E63-42DBF657349C}"/>
    <cellStyle name="Normal 2 2 28 2" xfId="35506" xr:uid="{0B8DF1FD-51AF-425D-A26A-F2439F06C011}"/>
    <cellStyle name="Normal 2 2 28 2 2" xfId="30164" xr:uid="{B7475B4C-5537-4540-BEC9-0E672F3A0DBA}"/>
    <cellStyle name="Normal 2 2 28 3" xfId="35508" xr:uid="{365CE2F2-EA53-4A7E-9E56-1AACDA6ABE47}"/>
    <cellStyle name="Normal 2 2 29" xfId="35510" xr:uid="{5A144C11-CAD2-4D01-9439-47DD30803D26}"/>
    <cellStyle name="Normal 2 2 29 2" xfId="35512" xr:uid="{011EB800-6FA6-4F88-8132-0C5CBE43C2F3}"/>
    <cellStyle name="Normal 2 2 29 2 2" xfId="345" xr:uid="{E58092BA-AE77-4DB9-9B19-F2BA69434351}"/>
    <cellStyle name="Normal 2 2 29 3" xfId="35514" xr:uid="{8CCCA992-59EC-410C-814C-7118DB085F71}"/>
    <cellStyle name="Normal 2 2 3" xfId="35517" xr:uid="{0669DA18-C44C-4EBA-B6B1-5B91934630DF}"/>
    <cellStyle name="Normal 2 2 3 2" xfId="35518" xr:uid="{45482C54-CBE2-4B09-8F82-B9F61E077072}"/>
    <cellStyle name="Normal 2 2 3 2 2" xfId="33610" xr:uid="{166BB30E-9B73-4AA5-9CF3-F5D297D0C139}"/>
    <cellStyle name="Normal 2 2 3 2 2 2" xfId="35519" xr:uid="{C3859D5D-5A70-48CB-8BA2-31D2E5E40123}"/>
    <cellStyle name="Normal 2 2 3 2 3" xfId="35520" xr:uid="{8732F6E8-8084-4CA1-A574-93BACF452B66}"/>
    <cellStyle name="Normal 2 2 3 3" xfId="35521" xr:uid="{A0882A6C-7189-4205-8868-5FFA6C14E875}"/>
    <cellStyle name="Normal 2 2 30" xfId="35498" xr:uid="{568BF910-9F86-46DB-9AF8-889B43DF1ECF}"/>
    <cellStyle name="Normal 2 2 30 2" xfId="11967" xr:uid="{A86F3B73-5BE4-4E8D-9C5B-251D0857EAC5}"/>
    <cellStyle name="Normal 2 2 30 2 2" xfId="29234" xr:uid="{DC9E341C-0234-4AC7-BE29-1D6F69782D48}"/>
    <cellStyle name="Normal 2 2 30 3" xfId="11970" xr:uid="{B2FF4083-FA8D-40BB-B1B6-3995918A5BAB}"/>
    <cellStyle name="Normal 2 2 31" xfId="35500" xr:uid="{14DE7D84-933D-4CA1-9065-F0AE9CDC815C}"/>
    <cellStyle name="Normal 2 2 31 2" xfId="12070" xr:uid="{C1B66297-EFDD-4805-9793-CFF7D2B60CF7}"/>
    <cellStyle name="Normal 2 2 31 2 2" xfId="29709" xr:uid="{7B6CC170-BA34-495C-BB40-8E4AC9645D46}"/>
    <cellStyle name="Normal 2 2 31 3" xfId="30736" xr:uid="{D770AD8E-B8DC-4858-B40B-AABC8185C183}"/>
    <cellStyle name="Normal 2 2 32" xfId="35502" xr:uid="{DE11E529-6CF1-4524-928B-9CF8C38F3F09}"/>
    <cellStyle name="Normal 2 2 32 2" xfId="30742" xr:uid="{7EC4197C-0032-4404-BD26-9B6C50551626}"/>
    <cellStyle name="Normal 2 2 32 2 2" xfId="29974" xr:uid="{F07DA322-CF63-4C5E-AD44-CB0C1D0933C7}"/>
    <cellStyle name="Normal 2 2 32 3" xfId="3041" xr:uid="{0CFE8C3A-B640-4C19-84F5-BB4616B92E09}"/>
    <cellStyle name="Normal 2 2 33" xfId="35505" xr:uid="{52E957B3-2D3E-43B3-BB89-47D26467C4EA}"/>
    <cellStyle name="Normal 2 2 33 2" xfId="35507" xr:uid="{A72AA539-BF68-4C4C-BDCF-EE3A727EB880}"/>
    <cellStyle name="Normal 2 2 33 2 2" xfId="30165" xr:uid="{A813C014-FB9B-4392-9C44-9133CCE63EBB}"/>
    <cellStyle name="Normal 2 2 33 3" xfId="35509" xr:uid="{587EEEDF-1595-471C-8ACE-8DF1FB74D77F}"/>
    <cellStyle name="Normal 2 2 34" xfId="35511" xr:uid="{A69ED36F-D630-4FD4-AA90-C43F671FFCAC}"/>
    <cellStyle name="Normal 2 2 34 2" xfId="35513" xr:uid="{23462765-6CEA-48E9-B5CF-6F8E0C825C2A}"/>
    <cellStyle name="Normal 2 2 34 2 2" xfId="346" xr:uid="{ACBFE494-CE02-4C8A-92A0-3B050E525A40}"/>
    <cellStyle name="Normal 2 2 34 3" xfId="35515" xr:uid="{513FEB93-FF16-49D4-8805-96A34BB37FAE}"/>
    <cellStyle name="Normal 2 2 35" xfId="35522" xr:uid="{2FFCA05F-B97A-4AC1-8B55-9434A58E5A0A}"/>
    <cellStyle name="Normal 2 2 35 2" xfId="35524" xr:uid="{07DA8E18-79A6-4902-B258-298BCDF434E0}"/>
    <cellStyle name="Normal 2 2 35 2 2" xfId="34621" xr:uid="{BA7B4545-5F93-4EB9-B274-98D3E93BD215}"/>
    <cellStyle name="Normal 2 2 35 3" xfId="35526" xr:uid="{C03B51AD-C4A8-40E4-BDEB-929177E4B0AE}"/>
    <cellStyle name="Normal 2 2 36" xfId="5074" xr:uid="{23B54BB5-9BF1-453B-AC66-1605E225DAEC}"/>
    <cellStyle name="Normal 2 2 36 2" xfId="35528" xr:uid="{580FCF7C-E2FD-4D32-AE93-C421518C260D}"/>
    <cellStyle name="Normal 2 2 36 2 2" xfId="95" xr:uid="{D328ED95-5455-4056-BB2A-5C48D860DF01}"/>
    <cellStyle name="Normal 2 2 36 3" xfId="35530" xr:uid="{153A1638-EBFA-4F02-A7B4-2D258C69CC79}"/>
    <cellStyle name="Normal 2 2 37" xfId="35532" xr:uid="{F27E7ECB-1908-43B3-A0D2-E1287B02AC6D}"/>
    <cellStyle name="Normal 2 2 37 2" xfId="35534" xr:uid="{95E6D5F8-9FFC-4F33-85AF-B188CA9F438E}"/>
    <cellStyle name="Normal 2 2 37 2 2" xfId="35536" xr:uid="{42EF9193-CA1D-47CA-92B2-ABC9986B6D86}"/>
    <cellStyle name="Normal 2 2 37 3" xfId="35538" xr:uid="{DC0AD9F7-5237-4196-A19A-87707D518198}"/>
    <cellStyle name="Normal 2 2 38" xfId="35540" xr:uid="{EB1202B7-F306-4933-822B-CEF9C00C1153}"/>
    <cellStyle name="Normal 2 2 38 2" xfId="23880" xr:uid="{AD6E0147-60E6-4E8F-A112-664750F3034C}"/>
    <cellStyle name="Normal 2 2 38 2 2" xfId="26788" xr:uid="{37580707-83BB-470B-A165-3E2BD814F501}"/>
    <cellStyle name="Normal 2 2 38 3" xfId="29680" xr:uid="{D05B8D83-BEB0-4C25-BD46-A085D31942E7}"/>
    <cellStyle name="Normal 2 2 39" xfId="34937" xr:uid="{2F192F59-E764-4285-B087-84D604AB6F41}"/>
    <cellStyle name="Normal 2 2 39 2" xfId="35543" xr:uid="{EFA55FCA-D390-43E1-82D4-51133BC19139}"/>
    <cellStyle name="Normal 2 2 39 2 2" xfId="199" xr:uid="{F6C24739-61F9-47D4-BE03-395AF370A5D9}"/>
    <cellStyle name="Normal 2 2 39 3" xfId="35545" xr:uid="{179F0C2A-CA0B-49A6-B832-BC94E1E150CC}"/>
    <cellStyle name="Normal 2 2 4" xfId="35547" xr:uid="{A3D50027-DCAD-4244-ABB3-644A8B2382BE}"/>
    <cellStyle name="Normal 2 2 4 2" xfId="35548" xr:uid="{EDD526D2-DE91-4215-B314-108554842CA5}"/>
    <cellStyle name="Normal 2 2 4 2 2" xfId="35549" xr:uid="{8EE8761C-6459-4E4E-BBDC-A6400E712B77}"/>
    <cellStyle name="Normal 2 2 4 2 2 2" xfId="35551" xr:uid="{D6E71E7C-5CBC-4F01-8547-6EC7CCB497F2}"/>
    <cellStyle name="Normal 2 2 4 2 3" xfId="35552" xr:uid="{DE24DD3B-75C4-4B15-9F41-FE482FE56400}"/>
    <cellStyle name="Normal 2 2 4 2 4" xfId="35553" xr:uid="{CB79FECF-19B1-40F0-92E1-14E8E4B79EEC}"/>
    <cellStyle name="Normal 2 2 4 3" xfId="35554" xr:uid="{47F92A0F-BB97-4EB6-9EFA-43BF0C5C63A8}"/>
    <cellStyle name="Normal 2 2 4 4" xfId="35555" xr:uid="{67B3DFCF-BE20-42FB-8F54-7C5408973F5A}"/>
    <cellStyle name="Normal 2 2 4 5" xfId="35556" xr:uid="{BECA2AD2-1234-4B9D-9E78-E4A3EE901260}"/>
    <cellStyle name="Normal 2 2 40" xfId="35523" xr:uid="{4655BDA5-7619-4389-9FF0-D3903F09B7A3}"/>
    <cellStyle name="Normal 2 2 40 2" xfId="35525" xr:uid="{C64983D3-FE96-4842-BBD7-5CF8A4E90A24}"/>
    <cellStyle name="Normal 2 2 40 2 2" xfId="34622" xr:uid="{FD8FEF13-8137-46B1-BDA0-4550A10A3D63}"/>
    <cellStyle name="Normal 2 2 40 3" xfId="35527" xr:uid="{7B2676C5-374F-4828-B6C3-EA661D8DBE50}"/>
    <cellStyle name="Normal 2 2 41" xfId="5075" xr:uid="{EA19026D-E890-4C6B-A4B1-5DB8221D68B0}"/>
    <cellStyle name="Normal 2 2 41 2" xfId="35529" xr:uid="{865A1814-4DB6-4D30-BA9B-57002A27AA0B}"/>
    <cellStyle name="Normal 2 2 41 2 2" xfId="96" xr:uid="{19C45CB6-1AFF-4E76-90DF-BDBB5385575B}"/>
    <cellStyle name="Normal 2 2 41 3" xfId="35531" xr:uid="{0A6B4E38-FE91-433D-AC42-69D268B42419}"/>
    <cellStyle name="Normal 2 2 42" xfId="35533" xr:uid="{1305AE39-8DC4-43EB-8CF1-E7B436618520}"/>
    <cellStyle name="Normal 2 2 42 2" xfId="35535" xr:uid="{8FB06942-2464-40B2-8589-E97BBDD276B0}"/>
    <cellStyle name="Normal 2 2 42 2 2" xfId="35537" xr:uid="{4E8AE02D-144C-4086-8ED3-711689235D3A}"/>
    <cellStyle name="Normal 2 2 42 3" xfId="35539" xr:uid="{CC80C15E-FD8C-43BE-B64A-5FCF58A9C411}"/>
    <cellStyle name="Normal 2 2 43" xfId="35541" xr:uid="{96D62A3E-1C97-45A8-A696-7E3F471158A2}"/>
    <cellStyle name="Normal 2 2 43 2" xfId="23881" xr:uid="{9E10AE1C-A4C9-4E2C-B71A-9F87DF8084A5}"/>
    <cellStyle name="Normal 2 2 43 2 2" xfId="26789" xr:uid="{57902107-2C24-4D22-A4DB-C094BFFF012D}"/>
    <cellStyle name="Normal 2 2 43 3" xfId="29681" xr:uid="{13031A64-EB29-4A66-AB37-523AC7A34120}"/>
    <cellStyle name="Normal 2 2 44" xfId="34938" xr:uid="{369F262A-1D31-450F-A1A4-63040E7987A0}"/>
    <cellStyle name="Normal 2 2 44 2" xfId="35544" xr:uid="{E8926032-0588-4CB0-A3D2-0BEBA0455134}"/>
    <cellStyle name="Normal 2 2 44 2 2" xfId="200" xr:uid="{BBBD832C-DA00-456E-9944-3F09D407E80A}"/>
    <cellStyle name="Normal 2 2 44 3" xfId="35546" xr:uid="{82980450-2A1D-45D7-BB38-5E7B9AD4F74A}"/>
    <cellStyle name="Normal 2 2 45" xfId="34941" xr:uid="{50CEBA58-7B79-4C40-9275-AF6A845B76E3}"/>
    <cellStyle name="Normal 2 2 45 2" xfId="35557" xr:uid="{8200BB25-ACEA-47C2-AA97-1F579558D97F}"/>
    <cellStyle name="Normal 2 2 45 2 2" xfId="30480" xr:uid="{B75E6D99-EE5A-4E12-A62C-404ED84F4C63}"/>
    <cellStyle name="Normal 2 2 45 3" xfId="34562" xr:uid="{AD49E3A0-9D20-4050-8F5E-EDFD9B22006A}"/>
    <cellStyle name="Normal 2 2 46" xfId="34943" xr:uid="{B5CEE6E0-D7A4-4060-AA5E-E016E2EF2B7D}"/>
    <cellStyle name="Normal 2 2 46 2" xfId="29171" xr:uid="{2706EBD8-9912-4BD3-9F61-7D951B98784B}"/>
    <cellStyle name="Normal 2 2 46 2 2" xfId="35559" xr:uid="{CFACABC6-8BC8-430F-90DF-735F9D265CB3}"/>
    <cellStyle name="Normal 2 2 46 3" xfId="35561" xr:uid="{7600237F-B8A3-47D4-A92B-1420CB3BA786}"/>
    <cellStyle name="Normal 2 2 47" xfId="34946" xr:uid="{9C4277DD-C546-4BE1-97FC-AA18EC93720F}"/>
    <cellStyle name="Normal 2 2 47 2" xfId="35563" xr:uid="{B1EF1FE9-FEB4-409E-B007-2972314BC3BE}"/>
    <cellStyle name="Normal 2 2 47 2 2" xfId="35565" xr:uid="{C245E6CB-F5F3-4E89-B327-3E1BA849DAB6}"/>
    <cellStyle name="Normal 2 2 47 3" xfId="35568" xr:uid="{628AE518-BA90-48E2-9D7B-5D085141AB3A}"/>
    <cellStyle name="Normal 2 2 48" xfId="34949" xr:uid="{A88E8333-A59E-44D9-AA37-9748E7BBCF07}"/>
    <cellStyle name="Normal 2 2 48 2" xfId="35570" xr:uid="{9F7BACF7-B2B4-4A94-8590-1F96A9067164}"/>
    <cellStyle name="Normal 2 2 48 2 2" xfId="35572" xr:uid="{A994A5D1-9663-4EFE-A93F-8A7581D2B0C9}"/>
    <cellStyle name="Normal 2 2 48 3" xfId="35575" xr:uid="{C6760FA7-2FF9-403E-96DB-2E11E602C3A8}"/>
    <cellStyle name="Normal 2 2 49" xfId="34952" xr:uid="{9D1EA830-8333-4085-BB98-9DAC87DE4331}"/>
    <cellStyle name="Normal 2 2 49 2" xfId="227" xr:uid="{F167C781-80E2-47D2-9DD1-94B40A6D814D}"/>
    <cellStyle name="Normal 2 2 49 2 2" xfId="296" xr:uid="{E1DA46B2-BB5B-4A83-9B17-126DFAFB36D3}"/>
    <cellStyle name="Normal 2 2 49 3" xfId="496" xr:uid="{20D014A5-9FD1-4A19-87A0-3076EFD76BE4}"/>
    <cellStyle name="Normal 2 2 5" xfId="27115" xr:uid="{D0EF1BD7-68F8-4D21-B389-A321785515BD}"/>
    <cellStyle name="Normal 2 2 5 2" xfId="35577" xr:uid="{40122D0F-6334-44E0-B81A-626EF72D12FE}"/>
    <cellStyle name="Normal 2 2 5 2 2" xfId="35578" xr:uid="{49A78409-CFCA-4E79-89FA-E4C474D7C964}"/>
    <cellStyle name="Normal 2 2 5 2 2 2" xfId="35580" xr:uid="{2823C440-0B56-4FF8-A695-0F7D45810224}"/>
    <cellStyle name="Normal 2 2 5 2 3" xfId="26301" xr:uid="{49249E59-853F-4B7F-96BE-2AFB3E557279}"/>
    <cellStyle name="Normal 2 2 5 3" xfId="10974" xr:uid="{EEFFA832-82C3-47AE-A409-17428EA8D01E}"/>
    <cellStyle name="Normal 2 2 50" xfId="34942" xr:uid="{FE6100DB-E595-46D4-A38E-6BB6AA20060E}"/>
    <cellStyle name="Normal 2 2 50 2" xfId="35558" xr:uid="{6524D241-00D0-4C92-9AF3-5A15C3CA549C}"/>
    <cellStyle name="Normal 2 2 50 2 2" xfId="30481" xr:uid="{D822C845-F1BF-4544-8B0F-A91C0B9F99D9}"/>
    <cellStyle name="Normal 2 2 50 3" xfId="34563" xr:uid="{26299F14-A5E2-4F0C-8DE7-EE279D6FF3A7}"/>
    <cellStyle name="Normal 2 2 51" xfId="34944" xr:uid="{6DB9BA2F-7914-4783-BB46-CFAB0976F1F7}"/>
    <cellStyle name="Normal 2 2 51 2" xfId="29172" xr:uid="{986E5EA9-18EE-4D06-ADA1-A5B6C1306367}"/>
    <cellStyle name="Normal 2 2 51 2 2" xfId="35560" xr:uid="{D5C711AD-B514-40D5-A06E-63313952690F}"/>
    <cellStyle name="Normal 2 2 51 3" xfId="35562" xr:uid="{06758657-C1DC-4DD4-BE0D-8BCC46E3D00B}"/>
    <cellStyle name="Normal 2 2 52" xfId="34947" xr:uid="{4D1F07FB-C379-4805-B873-C36BC508F203}"/>
    <cellStyle name="Normal 2 2 52 2" xfId="35564" xr:uid="{6923E4EC-7A65-4B22-856A-D04E3904A6C3}"/>
    <cellStyle name="Normal 2 2 52 2 2" xfId="35566" xr:uid="{702DA546-5567-4179-BE36-123517278EDB}"/>
    <cellStyle name="Normal 2 2 52 3" xfId="35569" xr:uid="{B70F96C8-AFEB-4270-B954-018CED1330A1}"/>
    <cellStyle name="Normal 2 2 53" xfId="34950" xr:uid="{642AFBE2-EEF6-4EDC-AC8B-D5A457D5A0E4}"/>
    <cellStyle name="Normal 2 2 53 2" xfId="35571" xr:uid="{B4A0691E-891D-4D85-8E55-85C596B2178A}"/>
    <cellStyle name="Normal 2 2 53 2 2" xfId="35573" xr:uid="{93C6AD5B-C273-492A-BF86-F06E321422E0}"/>
    <cellStyle name="Normal 2 2 53 3" xfId="35576" xr:uid="{DD501CE7-4B06-4874-BF1E-6A9D03C4BBEA}"/>
    <cellStyle name="Normal 2 2 54" xfId="34953" xr:uid="{AC241CEB-6A75-4277-BE80-B55878AA4E87}"/>
    <cellStyle name="Normal 2 2 54 2" xfId="228" xr:uid="{AE1875F3-8F94-4B1F-B5B7-21925E12C65F}"/>
    <cellStyle name="Normal 2 2 54 2 2" xfId="297" xr:uid="{2BA05622-EB71-485B-A5D0-3FDC89833353}"/>
    <cellStyle name="Normal 2 2 54 3" xfId="497" xr:uid="{7E6A82A3-129E-43EF-BE69-EF8C4E63329C}"/>
    <cellStyle name="Normal 2 2 55" xfId="34956" xr:uid="{1C122E84-3166-4C15-8487-2566341B41AD}"/>
    <cellStyle name="Normal 2 2 55 2" xfId="35581" xr:uid="{9DEF7522-A78F-4C06-BA9F-E7247B054BC9}"/>
    <cellStyle name="Normal 2 2 55 2 2" xfId="35583" xr:uid="{EE17F789-AA89-4D58-84FC-8178F5676CDE}"/>
    <cellStyle name="Normal 2 2 55 3" xfId="29561" xr:uid="{387F8499-7019-44C4-A94F-89B068EFCE12}"/>
    <cellStyle name="Normal 2 2 56" xfId="34960" xr:uid="{7931BAE2-7A31-4B96-9524-971D09FA677A}"/>
    <cellStyle name="Normal 2 2 56 2" xfId="35585" xr:uid="{1CD6FC5B-5965-4408-BF78-7BA00DD7E3AC}"/>
    <cellStyle name="Normal 2 2 56 2 2" xfId="35587" xr:uid="{CF212C24-E511-498D-859A-5E63DD41E6EC}"/>
    <cellStyle name="Normal 2 2 56 3" xfId="9901" xr:uid="{A5720211-6AB1-4103-ABF0-C363C673BC2C}"/>
    <cellStyle name="Normal 2 2 57" xfId="34964" xr:uid="{499A65C7-91EC-44A7-904C-DEB512E56FE6}"/>
    <cellStyle name="Normal 2 2 57 2" xfId="35589" xr:uid="{1905076C-9A2A-4289-9939-290098035EC3}"/>
    <cellStyle name="Normal 2 2 57 2 2" xfId="35591" xr:uid="{33C8D3E9-D2B1-48AC-9402-9D3297AA1B84}"/>
    <cellStyle name="Normal 2 2 57 3" xfId="29335" xr:uid="{71E50006-00BB-4BE3-AB7F-A8316A5846E3}"/>
    <cellStyle name="Normal 2 2 58" xfId="34968" xr:uid="{634154C7-0703-4F18-9052-52AEFD43B6AD}"/>
    <cellStyle name="Normal 2 2 58 2" xfId="35593" xr:uid="{AD247AB6-7B45-443A-A692-24EEB63B1606}"/>
    <cellStyle name="Normal 2 2 58 2 2" xfId="31506" xr:uid="{113848F3-FFD8-439C-987F-DE21B9039D42}"/>
    <cellStyle name="Normal 2 2 58 3" xfId="35595" xr:uid="{00A38E00-980E-4635-BF92-FCC27D4799E5}"/>
    <cellStyle name="Normal 2 2 59" xfId="13186" xr:uid="{26524ACA-597B-40F8-9E2C-8F743461ABFA}"/>
    <cellStyle name="Normal 2 2 59 2" xfId="2413" xr:uid="{24237FC2-AD00-4F03-BD7C-6D381AA1469B}"/>
    <cellStyle name="Normal 2 2 59 2 2" xfId="712" xr:uid="{CF56B62D-5957-4405-BAF4-97730FE2EF65}"/>
    <cellStyle name="Normal 2 2 59 3" xfId="2455" xr:uid="{BE4002C8-4BD9-4AB2-A5D3-50CF6D1CCC44}"/>
    <cellStyle name="Normal 2 2 6" xfId="13426" xr:uid="{D2666830-4DFD-452C-BF4D-1632F1F2A073}"/>
    <cellStyle name="Normal 2 2 6 2" xfId="35597" xr:uid="{94780AC2-D5B1-4BB2-91FF-184E41028279}"/>
    <cellStyle name="Normal 2 2 6 2 2" xfId="35598" xr:uid="{82734BE2-372C-4FF2-9DD6-1E9479121D04}"/>
    <cellStyle name="Normal 2 2 6 2 2 2" xfId="35599" xr:uid="{87ED5753-9AE0-43CC-B69C-F55F71D60DC3}"/>
    <cellStyle name="Normal 2 2 6 2 2 2 2" xfId="35600" xr:uid="{87566D00-3273-4ED5-8BC9-B16425580ABE}"/>
    <cellStyle name="Normal 2 2 6 2 2 2 2 2" xfId="7443" xr:uid="{A32FCBEA-B3EE-4AD2-B693-A53107F30DA2}"/>
    <cellStyle name="Normal 2 2 6 2 2 2 3" xfId="35601" xr:uid="{5DB9B026-DFE9-4C7A-9DA9-2484D0EEA423}"/>
    <cellStyle name="Normal 2 2 6 2 2 3" xfId="35602" xr:uid="{17B33E68-3D63-4E68-9D33-954F81CF1959}"/>
    <cellStyle name="Normal 2 2 6 2 2 3 2" xfId="35603" xr:uid="{134AC203-F60C-472C-BEF1-56BFF1B79629}"/>
    <cellStyle name="Normal 2 2 6 2 2 3 2 2" xfId="12605" xr:uid="{F8223E34-C524-4662-B5F8-421FA18AA9F3}"/>
    <cellStyle name="Normal 2 2 6 2 2 3 3" xfId="35604" xr:uid="{F4CD5B0F-32B5-4602-813D-49A26DDA6A9B}"/>
    <cellStyle name="Normal 2 2 6 2 2 4" xfId="35605" xr:uid="{BBF21A17-9AB6-40C6-878A-B8CB7210311B}"/>
    <cellStyle name="Normal 2 2 6 2 2 4 2" xfId="35606" xr:uid="{6C03A92E-88C3-476E-92DC-4A8DEA5B6CAC}"/>
    <cellStyle name="Normal 2 2 6 2 2 5" xfId="31860" xr:uid="{D01463D3-9F7A-441A-8778-516361E044FD}"/>
    <cellStyle name="Normal 2 2 6 2 3" xfId="35607" xr:uid="{73D67278-CC29-4451-801F-5C83F2AA4D39}"/>
    <cellStyle name="Normal 2 2 6 2 3 2" xfId="35608" xr:uid="{B68D4F0D-7DE4-4E48-904F-1564133EC2F6}"/>
    <cellStyle name="Normal 2 2 6 2 3 2 2" xfId="35609" xr:uid="{6D51B6D7-F041-4275-9A9C-C06A58C15811}"/>
    <cellStyle name="Normal 2 2 6 2 3 3" xfId="35610" xr:uid="{55140916-4B1F-4722-BFFD-D61D6562287F}"/>
    <cellStyle name="Normal 2 2 6 2 4" xfId="35611" xr:uid="{35F3A07F-0874-40E5-AF7D-76C6618E453C}"/>
    <cellStyle name="Normal 2 2 6 2 4 2" xfId="35612" xr:uid="{0AA12D68-399F-4DFE-AD3A-18759BB87CE4}"/>
    <cellStyle name="Normal 2 2 6 2 4 2 2" xfId="35119" xr:uid="{4C709D70-EFBD-4EA6-B51A-24E33D433A25}"/>
    <cellStyle name="Normal 2 2 6 2 4 3" xfId="35613" xr:uid="{A3224301-AB8A-4C3D-B1EC-83BEF883ADE4}"/>
    <cellStyle name="Normal 2 2 6 2 5" xfId="35614" xr:uid="{A769B588-3BD9-4D49-A793-C269365EDA2D}"/>
    <cellStyle name="Normal 2 2 6 2 5 2" xfId="35615" xr:uid="{44FD9FB0-6F97-41D4-8E6E-4A4FE6135893}"/>
    <cellStyle name="Normal 2 2 6 2 6" xfId="12886" xr:uid="{B866ECCF-A4F7-43E4-8A68-6EE6936B8CC9}"/>
    <cellStyle name="Normal 2 2 6 3" xfId="10979" xr:uid="{8D3F7E84-B32F-447D-BB54-90D8D9D191F1}"/>
    <cellStyle name="Normal 2 2 6 3 2" xfId="35616" xr:uid="{D722A308-EFB5-4081-B2A7-63DD04D917CE}"/>
    <cellStyle name="Normal 2 2 6 3 2 2" xfId="35617" xr:uid="{7682D9E4-C0E9-4DD5-88BD-E6EDD0A17F5E}"/>
    <cellStyle name="Normal 2 2 6 3 2 2 2" xfId="35618" xr:uid="{DE944339-A8EA-421D-97F4-8A0C43232938}"/>
    <cellStyle name="Normal 2 2 6 3 2 3" xfId="35619" xr:uid="{30A48A5B-B539-49AE-A8B6-E691F164A626}"/>
    <cellStyle name="Normal 2 2 6 3 3" xfId="35620" xr:uid="{5B7901A2-2745-492E-868E-570A0F444F66}"/>
    <cellStyle name="Normal 2 2 6 3 3 2" xfId="35621" xr:uid="{AB167565-1C92-4767-B1D9-4460F656AB80}"/>
    <cellStyle name="Normal 2 2 6 3 3 2 2" xfId="35622" xr:uid="{3694E116-9FA1-4B93-9004-79774C05FBBF}"/>
    <cellStyle name="Normal 2 2 6 3 3 3" xfId="30135" xr:uid="{EEACBD2F-E77C-4E4C-A18A-6DBD413F49CA}"/>
    <cellStyle name="Normal 2 2 6 3 4" xfId="35623" xr:uid="{09C767E1-C3E1-4644-90F5-9FECDF58C5A1}"/>
    <cellStyle name="Normal 2 2 6 3 4 2" xfId="35624" xr:uid="{147CA539-9591-45B9-B37E-F4062918C2A1}"/>
    <cellStyle name="Normal 2 2 6 3 5" xfId="35625" xr:uid="{408306FF-8AE4-4F78-9625-C77AB23C2EDD}"/>
    <cellStyle name="Normal 2 2 6 4" xfId="20585" xr:uid="{64B64582-A9C2-4478-9983-967469055110}"/>
    <cellStyle name="Normal 2 2 6 4 2" xfId="20589" xr:uid="{648E8B37-0E35-4B39-A1FB-E4952ED7A7C4}"/>
    <cellStyle name="Normal 2 2 6 4 2 2" xfId="26119" xr:uid="{AB30E9E1-6AA9-48F0-B602-F5F93D5F390C}"/>
    <cellStyle name="Normal 2 2 6 4 3" xfId="26459" xr:uid="{61656E71-EB01-4F39-90BA-7C05294A3B08}"/>
    <cellStyle name="Normal 2 2 6 5" xfId="20593" xr:uid="{480C5F8D-2BDA-4DB3-A543-DEBB1A50DC44}"/>
    <cellStyle name="Normal 2 2 6 5 2" xfId="26710" xr:uid="{89FE01CA-E24A-4D47-B708-18F01DD4D147}"/>
    <cellStyle name="Normal 2 2 6 5 2 2" xfId="26713" xr:uid="{36667037-FB30-432E-A1D9-32EEBF208EF9}"/>
    <cellStyle name="Normal 2 2 6 5 3" xfId="26903" xr:uid="{EA7AF0FC-B804-4BAF-B125-C951676205B4}"/>
    <cellStyle name="Normal 2 2 6 6" xfId="26979" xr:uid="{CC04678C-722C-441A-8EAA-06BD6C3F0F3B}"/>
    <cellStyle name="Normal 2 2 6 6 2" xfId="26982" xr:uid="{38EAA105-9B18-4C80-B060-681C40E7C489}"/>
    <cellStyle name="Normal 2 2 6 7" xfId="9210" xr:uid="{7F7D58DC-C8FF-4B0F-9A45-C64C7AB3B846}"/>
    <cellStyle name="Normal 2 2 6 8" xfId="9217" xr:uid="{4FDD55F7-D4CB-460E-99F4-C3C762169CE7}"/>
    <cellStyle name="Normal 2 2 60" xfId="34957" xr:uid="{3F58E7B4-C17B-4543-B65D-24B824FF1BC6}"/>
    <cellStyle name="Normal 2 2 60 2" xfId="35582" xr:uid="{C7CE0763-D593-46F4-92E0-789C510B5845}"/>
    <cellStyle name="Normal 2 2 60 2 2" xfId="35584" xr:uid="{358D7767-A144-4575-9744-33EE05082B90}"/>
    <cellStyle name="Normal 2 2 60 3" xfId="29562" xr:uid="{53CBF2AE-8805-4719-8DB8-0204F468B175}"/>
    <cellStyle name="Normal 2 2 61" xfId="34961" xr:uid="{329E0B28-9710-4229-8B2F-BD8E68DEFCA2}"/>
    <cellStyle name="Normal 2 2 61 2" xfId="35586" xr:uid="{4C517382-D0D5-4227-972E-4B08FABE85D5}"/>
    <cellStyle name="Normal 2 2 61 2 2" xfId="35588" xr:uid="{1772417C-A76C-4782-82D1-30E923F5BC87}"/>
    <cellStyle name="Normal 2 2 61 3" xfId="9902" xr:uid="{186E5EE7-55B6-44E2-8489-C7B782DF5E66}"/>
    <cellStyle name="Normal 2 2 62" xfId="34965" xr:uid="{1C165A4B-3477-4789-82EA-9481A7B181D8}"/>
    <cellStyle name="Normal 2 2 62 2" xfId="35590" xr:uid="{D0E1F180-676A-4CB3-8DCC-9B0711E61667}"/>
    <cellStyle name="Normal 2 2 62 2 2" xfId="35592" xr:uid="{12DF2258-9FBE-4310-A396-3380EF51E255}"/>
    <cellStyle name="Normal 2 2 62 3" xfId="29336" xr:uid="{A0E14ECD-68FD-49E0-8D01-9AC5624BE77B}"/>
    <cellStyle name="Normal 2 2 63" xfId="34969" xr:uid="{39194DBF-ECFC-4198-84E4-62CB617032B8}"/>
    <cellStyle name="Normal 2 2 63 2" xfId="35594" xr:uid="{8D33A04B-DCAC-4963-96E3-331FD0016974}"/>
    <cellStyle name="Normal 2 2 63 2 2" xfId="31507" xr:uid="{702BB4E4-FF85-4372-B2A7-13663C443E41}"/>
    <cellStyle name="Normal 2 2 63 3" xfId="35596" xr:uid="{E400FEEF-5C62-422D-A381-4C95763D3DC8}"/>
    <cellStyle name="Normal 2 2 64" xfId="13187" xr:uid="{EAB5F652-849B-4218-9269-26634B3F1187}"/>
    <cellStyle name="Normal 2 2 64 2" xfId="2414" xr:uid="{91991B1E-BA0B-4DDD-AC9D-E13A57167A99}"/>
    <cellStyle name="Normal 2 2 64 2 2" xfId="713" xr:uid="{BCF1F06B-B30C-403F-96C8-C1597D0FBEEF}"/>
    <cellStyle name="Normal 2 2 64 3" xfId="2456" xr:uid="{8129C16B-9D37-47D7-B602-FB1F43FBF3D3}"/>
    <cellStyle name="Normal 2 2 65" xfId="3501" xr:uid="{8F1E436A-D458-4051-96BA-4B75B09B98E4}"/>
    <cellStyle name="Normal 2 2 65 2" xfId="31963" xr:uid="{F2F60947-1541-4374-B8F2-497C3E45AFEE}"/>
    <cellStyle name="Normal 2 2 65 2 2" xfId="31967" xr:uid="{DC700880-DB45-4CC7-A78F-D501D84422CE}"/>
    <cellStyle name="Normal 2 2 65 3" xfId="31984" xr:uid="{4A9AB6C7-A101-4BBF-8133-6EC92D539D91}"/>
    <cellStyle name="Normal 2 2 66" xfId="33741" xr:uid="{177FC11F-0452-49F7-86FF-7F0B63E71C0A}"/>
    <cellStyle name="Normal 2 2 66 2" xfId="35626" xr:uid="{B044FD64-B180-4076-A099-B9079E7440CA}"/>
    <cellStyle name="Normal 2 2 66 2 2" xfId="35628" xr:uid="{36C0C267-E990-4925-B869-60E7A254355F}"/>
    <cellStyle name="Normal 2 2 66 3" xfId="35630" xr:uid="{7E4CE688-EFF4-4EA1-BDF2-773222712CD9}"/>
    <cellStyle name="Normal 2 2 67" xfId="12671" xr:uid="{DEECEEFC-727F-4346-8576-C870E690EB28}"/>
    <cellStyle name="Normal 2 2 67 2" xfId="12479" xr:uid="{2182FD23-07A3-4F4A-8601-08B55539CCC9}"/>
    <cellStyle name="Normal 2 2 67 2 2" xfId="12482" xr:uid="{1BBC6AC1-768F-443A-BFEC-95A1423ACEBC}"/>
    <cellStyle name="Normal 2 2 67 3" xfId="12487" xr:uid="{09801C65-0DCF-480D-BA20-3FB511631323}"/>
    <cellStyle name="Normal 2 2 68" xfId="34972" xr:uid="{D2C243E6-BE69-44B1-904E-BA4B03B4BD38}"/>
    <cellStyle name="Normal 2 2 68 2" xfId="12715" xr:uid="{7F59FF1F-B2AF-4F0D-9C8D-B8067C36B0AF}"/>
    <cellStyle name="Normal 2 2 68 2 2" xfId="12719" xr:uid="{20B52825-EF43-4CC6-897A-5E6D21C7A75A}"/>
    <cellStyle name="Normal 2 2 68 3" xfId="12723" xr:uid="{95EBB210-644A-4A10-9E6B-8AEA9BAE767B}"/>
    <cellStyle name="Normal 2 2 69" xfId="34976" xr:uid="{DB49546F-F0D6-48B5-850C-E04D56C2A539}"/>
    <cellStyle name="Normal 2 2 69 2" xfId="12833" xr:uid="{27CB1795-F552-4CB9-A08E-E0A60BA34E0A}"/>
    <cellStyle name="Normal 2 2 69 2 2" xfId="388" xr:uid="{2BC4A46B-1F7F-4CB2-B785-05FFD142B878}"/>
    <cellStyle name="Normal 2 2 69 3" xfId="12837" xr:uid="{1F608C14-35FB-4AB3-A043-B9A3B318A496}"/>
    <cellStyle name="Normal 2 2 7" xfId="35632" xr:uid="{6ACDD8D6-F3E9-41CB-B030-B0A41F156D51}"/>
    <cellStyle name="Normal 2 2 7 2" xfId="35633" xr:uid="{19BD8A38-5D43-479D-BF7B-A0473458AA6A}"/>
    <cellStyle name="Normal 2 2 7 2 2" xfId="35634" xr:uid="{EFD01C73-D8E1-4715-8A5B-B8DC09C44919}"/>
    <cellStyle name="Normal 2 2 7 3" xfId="35635" xr:uid="{F9D8A262-8FA3-4053-B074-F64285852E6C}"/>
    <cellStyle name="Normal 2 2 70" xfId="3502" xr:uid="{53C9BE3E-EBCE-4CCB-8318-B5DA5054CF15}"/>
    <cellStyle name="Normal 2 2 70 2" xfId="31964" xr:uid="{97E9F00D-4741-487B-98ED-95AB901F46BF}"/>
    <cellStyle name="Normal 2 2 70 2 2" xfId="31968" xr:uid="{990451FA-EED1-4B1A-BD91-05E4DA99A3DB}"/>
    <cellStyle name="Normal 2 2 70 3" xfId="31985" xr:uid="{47089972-D5F1-40BC-8BD0-0D2F8FF3E396}"/>
    <cellStyle name="Normal 2 2 71" xfId="33742" xr:uid="{1E2A0220-3FB7-4AC3-A18A-70FA7E1D0F45}"/>
    <cellStyle name="Normal 2 2 71 2" xfId="35627" xr:uid="{C6ECDA32-3F95-4A85-A426-62F0A4363B9A}"/>
    <cellStyle name="Normal 2 2 71 2 2" xfId="35629" xr:uid="{AEEEC42A-6E48-45ED-978E-D6D86C5AC42D}"/>
    <cellStyle name="Normal 2 2 71 3" xfId="35631" xr:uid="{BEDBD645-A5E7-4BF3-97D3-DBA7A2802985}"/>
    <cellStyle name="Normal 2 2 72" xfId="12672" xr:uid="{5875BC15-2C8C-4E56-9FE4-66C506EA67D8}"/>
    <cellStyle name="Normal 2 2 72 2" xfId="12480" xr:uid="{BD1B5256-13A4-4B6A-9E6B-89455C90168C}"/>
    <cellStyle name="Normal 2 2 72 2 2" xfId="12483" xr:uid="{64C21D9A-05C0-4FEA-9708-4407ACEF08EA}"/>
    <cellStyle name="Normal 2 2 72 3" xfId="12488" xr:uid="{AA0ED381-980B-41C0-A446-951DA86D00CA}"/>
    <cellStyle name="Normal 2 2 73" xfId="34973" xr:uid="{81A0E899-C15D-4020-9223-8C4B247BF33D}"/>
    <cellStyle name="Normal 2 2 73 2" xfId="12716" xr:uid="{16D10A09-4EF9-41D4-8289-E396C907D98C}"/>
    <cellStyle name="Normal 2 2 73 2 2" xfId="12720" xr:uid="{25720759-CD37-43CA-B89D-D7CF925C7B7D}"/>
    <cellStyle name="Normal 2 2 73 3" xfId="12724" xr:uid="{EFF2BC2A-A41C-42C6-98AE-B5E0BB933047}"/>
    <cellStyle name="Normal 2 2 74" xfId="34977" xr:uid="{E43FA6F2-2555-47BB-BFEE-26F0DFBCA9B1}"/>
    <cellStyle name="Normal 2 2 74 2" xfId="12834" xr:uid="{9B168BD4-9D55-4436-A111-F83C3DC63ADE}"/>
    <cellStyle name="Normal 2 2 74 2 2" xfId="389" xr:uid="{A5FAE9AA-501A-4BF7-9E3D-89A6D9BF268C}"/>
    <cellStyle name="Normal 2 2 74 3" xfId="12838" xr:uid="{821C652F-0A21-439D-A846-1B53D82394B4}"/>
    <cellStyle name="Normal 2 2 75" xfId="34980" xr:uid="{BD16B224-47D6-4576-80F2-DE7ACFCC613B}"/>
    <cellStyle name="Normal 2 2 75 2" xfId="12890" xr:uid="{5E1BD806-920D-4E0A-8B1D-40EDB9FF440E}"/>
    <cellStyle name="Normal 2 2 75 2 2" xfId="16074" xr:uid="{382C595B-CC55-4BF6-9D5F-08672F60433A}"/>
    <cellStyle name="Normal 2 2 75 3" xfId="16079" xr:uid="{7C7F1584-95D7-4399-AA54-904D89D9A232}"/>
    <cellStyle name="Normal 2 2 76" xfId="34984" xr:uid="{73D466B9-66A9-458E-9495-17799F1F7779}"/>
    <cellStyle name="Normal 2 2 76 2" xfId="16090" xr:uid="{57943693-6491-45E2-B8A1-B22257D60EC1}"/>
    <cellStyle name="Normal 2 2 76 2 2" xfId="27690" xr:uid="{CE6B8032-79EE-431B-831E-9D38974B8E94}"/>
    <cellStyle name="Normal 2 2 76 3" xfId="35636" xr:uid="{F5582435-02BA-4B99-8FAD-715150B16F4D}"/>
    <cellStyle name="Normal 2 2 77" xfId="34989" xr:uid="{2E24F8A5-203D-472B-AE06-F8965796B2FF}"/>
    <cellStyle name="Normal 2 2 77 2" xfId="34996" xr:uid="{40493CB7-562B-4552-A685-0B41052AF023}"/>
    <cellStyle name="Normal 2 2 77 2 2" xfId="28126" xr:uid="{D3A6271F-E322-4181-B118-EBBD3D12CE5B}"/>
    <cellStyle name="Normal 2 2 77 3" xfId="35638" xr:uid="{29947C31-C446-488C-952D-67DB6F344E32}"/>
    <cellStyle name="Normal 2 2 78" xfId="34993" xr:uid="{ABCE6CA9-FE4C-4EE9-A36F-066CE43AB7D7}"/>
    <cellStyle name="Normal 2 2 78 2" xfId="35639" xr:uid="{0E3E7AAA-C1EE-4138-AA3F-8F644BEBFA25}"/>
    <cellStyle name="Normal 2 2 78 2 2" xfId="28508" xr:uid="{CF6307C1-92BF-418D-8656-C70D89B37484}"/>
    <cellStyle name="Normal 2 2 78 2 2 2" xfId="28513" xr:uid="{7C1261B8-3FFD-4CB5-9BAB-C4102D5A8CE8}"/>
    <cellStyle name="Normal 2 2 78 2 2 2 2" xfId="34682" xr:uid="{6F3FBB5F-846F-41D7-8831-5794B6BBDD39}"/>
    <cellStyle name="Normal 2 2 78 2 2 3" xfId="13982" xr:uid="{9D4DC425-F869-4FE6-B882-0746FEEDBA48}"/>
    <cellStyle name="Normal 2 2 78 3" xfId="35640" xr:uid="{7B53F2A9-E1A8-4CB1-965B-546AEBDF1C08}"/>
    <cellStyle name="Normal 2 2 78 3 2" xfId="28580" xr:uid="{CD0EFB10-889F-4DCD-AA78-C2366CFD3FB3}"/>
    <cellStyle name="Normal 2 2 78 4" xfId="35641" xr:uid="{3E03BC76-C9FE-4800-8504-55E0997976C1}"/>
    <cellStyle name="Normal 2 2 79" xfId="35642" xr:uid="{83AA0C0B-FAE3-4B32-92D8-656EAFFD8D68}"/>
    <cellStyle name="Normal 2 2 79 2" xfId="35644" xr:uid="{8047DF26-8958-4A59-9171-BC70E5ED9F83}"/>
    <cellStyle name="Normal 2 2 79 2 2" xfId="28706" xr:uid="{5EE5CCD8-A066-47BF-B083-1E90CF079466}"/>
    <cellStyle name="Normal 2 2 79 3" xfId="35645" xr:uid="{78507E61-D760-48A7-9ADB-709E315E0FBE}"/>
    <cellStyle name="Normal 2 2 8" xfId="35646" xr:uid="{07D6990E-4B6A-40EA-8232-E7CD22D82CBF}"/>
    <cellStyle name="Normal 2 2 8 2" xfId="35647" xr:uid="{E4AB01C6-D669-480B-9883-E25400C1113C}"/>
    <cellStyle name="Normal 2 2 8 2 2" xfId="35648" xr:uid="{28CF4F62-6F82-4B89-9912-335DECF89BBE}"/>
    <cellStyle name="Normal 2 2 8 3" xfId="35649" xr:uid="{A136CF75-EC93-4C58-AE6F-B000D3BD5087}"/>
    <cellStyle name="Normal 2 2 80" xfId="34981" xr:uid="{5FBE7CAA-3339-42C4-BB90-F440BE2B5DC5}"/>
    <cellStyle name="Normal 2 2 80 2" xfId="12891" xr:uid="{8A6D8520-E87B-4614-96DB-F2CAC368B5E0}"/>
    <cellStyle name="Normal 2 2 80 2 2" xfId="16075" xr:uid="{D0C6DC1F-C828-4B46-95C3-46FB8CFF743D}"/>
    <cellStyle name="Normal 2 2 80 3" xfId="16080" xr:uid="{52C5489E-B43E-4DB2-ADA6-1BAC48467E2F}"/>
    <cellStyle name="Normal 2 2 81" xfId="34985" xr:uid="{36205D88-503F-4863-A832-29D48BF3741C}"/>
    <cellStyle name="Normal 2 2 81 2" xfId="16091" xr:uid="{E839A5B9-0A1C-434B-9D7B-A17AF58BBFFC}"/>
    <cellStyle name="Normal 2 2 81 2 2" xfId="27691" xr:uid="{C3DAAE30-E735-444C-8587-D5F3888E70F0}"/>
    <cellStyle name="Normal 2 2 81 3" xfId="35637" xr:uid="{07C59BCF-A499-4275-8B2F-2173D2BB695C}"/>
    <cellStyle name="Normal 2 2 82" xfId="34990" xr:uid="{5C057EB9-3443-47F3-9452-7094DDE32348}"/>
    <cellStyle name="Normal 2 2 83" xfId="34994" xr:uid="{40ED15BF-667A-45B1-8ECE-491243903FC0}"/>
    <cellStyle name="Normal 2 2 84" xfId="35643" xr:uid="{C9EC96B7-1E9F-4CCF-9BB6-AC3F850F5787}"/>
    <cellStyle name="Normal 2 2 85" xfId="35650" xr:uid="{FFE23214-E904-40E9-9A3E-A398B7EAC09E}"/>
    <cellStyle name="Normal 2 2 85 2" xfId="35651" xr:uid="{BF60A5CE-E90C-43D8-9B21-26CC70347A23}"/>
    <cellStyle name="Normal 2 2 85 2 2" xfId="54161" xr:uid="{4D576489-5D4B-4D87-B549-9F5F9B6E1D17}"/>
    <cellStyle name="Normal 2 2 85 2 3" xfId="54166" xr:uid="{D3444D35-D7C7-464A-A2BD-62DDC23E28B2}"/>
    <cellStyle name="Normal 2 2 85 2 3 3" xfId="54222" xr:uid="{C0ECD627-4BB4-42E8-AAE5-D4C8EADBF4D1}"/>
    <cellStyle name="Normal 2 2 85 2 5" xfId="54216" xr:uid="{B661C838-D6E5-4CFF-9689-8C351E3E3FFB}"/>
    <cellStyle name="Normal 2 2 86" xfId="27484" xr:uid="{A448DCF1-91EE-4022-8743-42BBE7BC655F}"/>
    <cellStyle name="Normal 2 2 87" xfId="54186" xr:uid="{1D04ABEE-3A17-4B1B-AD75-10582BBAD28E}"/>
    <cellStyle name="Normal 2 2 88" xfId="14264" xr:uid="{A8B62ADA-7790-40BC-8C67-C04BCF8F9B4B}"/>
    <cellStyle name="Normal 2 2 9" xfId="25743" xr:uid="{4C27D4EB-28D4-48C0-AEBA-21100196A6E6}"/>
    <cellStyle name="Normal 2 2 9 2" xfId="35652" xr:uid="{C4898030-CB86-4CB3-958E-1431DA1048B1}"/>
    <cellStyle name="Normal 2 2 9 2 2" xfId="35653" xr:uid="{04F198C3-3442-4712-B6B3-2A0E245C74D7}"/>
    <cellStyle name="Normal 2 2 9 3" xfId="35654" xr:uid="{357E44A6-62C5-4738-B7F4-F0FE3D40E355}"/>
    <cellStyle name="Normal 2 2_Xl0000049" xfId="35655" xr:uid="{79516AED-DB50-4852-85B2-9B5D3D1AE6E6}"/>
    <cellStyle name="Normal 2 20" xfId="6024" xr:uid="{3DA7D506-A826-4401-B797-F8406FC1C410}"/>
    <cellStyle name="Normal 2 20 10" xfId="35275" xr:uid="{D7ECDAD7-F0A3-4EFC-B5AA-94D85710E973}"/>
    <cellStyle name="Normal 2 20 11" xfId="35284" xr:uid="{94F82C7D-2256-482F-9008-EDCBF7EEC171}"/>
    <cellStyle name="Normal 2 20 12" xfId="35288" xr:uid="{2E8D1968-FDDD-4A01-8E70-E98572897493}"/>
    <cellStyle name="Normal 2 20 13" xfId="35291" xr:uid="{36CB69FA-0D4E-48BD-9F4B-E4176899F54D}"/>
    <cellStyle name="Normal 2 20 2" xfId="9262" xr:uid="{A06454C5-22E2-4DB2-876F-230B570683ED}"/>
    <cellStyle name="Normal 2 20 2 2" xfId="35297" xr:uid="{593C1141-619D-4267-886D-5C39A1820B3A}"/>
    <cellStyle name="Normal 2 20 3" xfId="14953" xr:uid="{469654CE-AB09-4857-8231-64F51B265D50}"/>
    <cellStyle name="Normal 2 20 4" xfId="35299" xr:uid="{F802B35D-A0F8-4790-B299-70D8A1624CE7}"/>
    <cellStyle name="Normal 2 20 5" xfId="35301" xr:uid="{138FD61B-9D73-4388-BC7B-90C32FABC3A2}"/>
    <cellStyle name="Normal 2 20 6" xfId="35303" xr:uid="{4F47EFD8-07C6-4CE2-8BEE-A4BFBB187855}"/>
    <cellStyle name="Normal 2 20 7" xfId="35305" xr:uid="{212D018D-ADFA-4ED0-81C5-23CE96744DDB}"/>
    <cellStyle name="Normal 2 20 8" xfId="35307" xr:uid="{068282A0-A67F-4621-87D2-77353EDAD840}"/>
    <cellStyle name="Normal 2 20 9" xfId="21203" xr:uid="{385CB128-9F51-4A41-BCB9-D069BC182524}"/>
    <cellStyle name="Normal 2 200" xfId="35246" xr:uid="{2CCD1ECE-1611-4AB5-9BEC-B336CFB754F4}"/>
    <cellStyle name="Normal 2 200 2" xfId="6828" xr:uid="{DD2121D4-9D05-4858-8C10-5627ACE5A9B9}"/>
    <cellStyle name="Normal 2 200 2 2" xfId="3404" xr:uid="{32CB9138-447A-44E3-AF11-5FEAC991F3A9}"/>
    <cellStyle name="Normal 2 200 2 2 2" xfId="3411" xr:uid="{95B35576-A92B-494B-B4AE-A5E32E668B86}"/>
    <cellStyle name="Normal 2 200 2 2 2 2" xfId="35656" xr:uid="{2AACB230-E5C7-4CCD-9A8B-6E637CEBA369}"/>
    <cellStyle name="Normal 2 200 2 2 3" xfId="35657" xr:uid="{2F12F806-7BA4-4026-A9A6-995F11AE09CB}"/>
    <cellStyle name="Normal 2 200 2 3" xfId="3419" xr:uid="{3E50F537-1821-4BF9-9997-33071DDCF715}"/>
    <cellStyle name="Normal 2 200 2 3 2" xfId="35658" xr:uid="{D427275F-7825-4D3D-9248-810ED409C7A7}"/>
    <cellStyle name="Normal 2 200 2 3 2 2" xfId="35659" xr:uid="{145DC93B-DD5D-402C-9F44-7A23128024BB}"/>
    <cellStyle name="Normal 2 200 2 3 3" xfId="35660" xr:uid="{DCB8CAB8-21B5-4F05-BF06-C2A56A890A6D}"/>
    <cellStyle name="Normal 2 200 2 4" xfId="35661" xr:uid="{23A6ABBF-AF5C-4217-9173-B6F5A3A644B9}"/>
    <cellStyle name="Normal 2 200 2 4 2" xfId="35662" xr:uid="{C1961DE5-126E-4327-9E89-CFEB3766E7F8}"/>
    <cellStyle name="Normal 2 200 2 5" xfId="2973" xr:uid="{264E6F57-359E-416A-ADEF-DFACD8F8C00A}"/>
    <cellStyle name="Normal 2 200 3" xfId="6837" xr:uid="{82C97C07-5A91-41B1-8B6F-CC514D554892}"/>
    <cellStyle name="Normal 2 200 3 2" xfId="3374" xr:uid="{F0C4C1C3-2470-4D78-B4FB-11090D6527E4}"/>
    <cellStyle name="Normal 2 200 3 2 2" xfId="10574" xr:uid="{E440BD8F-5874-4341-A8C0-8EE1E33441E2}"/>
    <cellStyle name="Normal 2 200 3 3" xfId="15113" xr:uid="{E10FF47A-4171-4DE6-A50A-EAD3643ECA3F}"/>
    <cellStyle name="Normal 2 200 4" xfId="6844" xr:uid="{2AA659C0-63DA-448D-B958-88AC50705ED9}"/>
    <cellStyle name="Normal 2 200 4 2" xfId="15119" xr:uid="{C5A9B4CF-8C41-4A83-B03E-5AABFAB9E5E8}"/>
    <cellStyle name="Normal 2 200 4 2 2" xfId="10726" xr:uid="{AB22BAB2-00CA-4A31-BBA4-91A6EBD6C8AC}"/>
    <cellStyle name="Normal 2 200 4 3" xfId="8700" xr:uid="{E2596C88-C6E2-4A09-A100-0C20A0895807}"/>
    <cellStyle name="Normal 2 200 5" xfId="15124" xr:uid="{83790E33-C748-496E-801C-EC6577AFDE75}"/>
    <cellStyle name="Normal 2 200 5 2" xfId="15128" xr:uid="{468DE76A-4454-4955-94CE-E943EDF79C66}"/>
    <cellStyle name="Normal 2 200 6" xfId="15132" xr:uid="{88C829B0-C0C3-4878-A324-D2C9A93A946C}"/>
    <cellStyle name="Normal 2 200 7" xfId="35663" xr:uid="{1CF6ED95-D819-4D22-AB09-BEEB33E46575}"/>
    <cellStyle name="Normal 2 200 8" xfId="35666" xr:uid="{B0ECFAB8-F97E-40C7-9C92-8E6C144FAEE5}"/>
    <cellStyle name="Normal 2 201" xfId="35250" xr:uid="{40138E08-9BD5-4119-858F-A8666B3EC18E}"/>
    <cellStyle name="Normal 2 201 2" xfId="6852" xr:uid="{8C065A64-9CCF-4535-BC1C-B12D37BFF0C0}"/>
    <cellStyle name="Normal 2 202" xfId="35256" xr:uid="{FB0331DA-4EF6-4ED8-8870-5DBCB73A3220}"/>
    <cellStyle name="Normal 2 202 2" xfId="6871" xr:uid="{5ED2F960-378F-421E-A862-B10016349BD0}"/>
    <cellStyle name="Normal 2 202 3" xfId="15155" xr:uid="{A6A7EF02-FD4B-4630-A133-C65F2B3CC83E}"/>
    <cellStyle name="Normal 2 203" xfId="35263" xr:uid="{751EC188-15C9-4D03-9C4F-476FCCC87AD3}"/>
    <cellStyle name="Normal 2 203 2" xfId="25870" xr:uid="{3A111487-7B61-4960-A4C7-EA2A08AADBBB}"/>
    <cellStyle name="Normal 2 203 3" xfId="15177" xr:uid="{786CE167-FA91-4BBE-BCBA-A510384DF695}"/>
    <cellStyle name="Normal 2 204" xfId="25776" xr:uid="{E2FE4DD0-57EF-4FA6-A806-26FCAE324CCA}"/>
    <cellStyle name="Normal 2 205" xfId="25783" xr:uid="{01B9C174-3BB1-4046-9417-5E0C189A8CB9}"/>
    <cellStyle name="Normal 2 206" xfId="28682" xr:uid="{02D3561E-5D10-4D86-A05E-91556BFAB146}"/>
    <cellStyle name="Normal 2 207" xfId="32544" xr:uid="{B6C81965-9288-45F6-AAB3-4C053A1DBA4D}"/>
    <cellStyle name="Normal 2 208" xfId="3795" xr:uid="{FED6B13D-F499-41F6-8FF2-779743A8791B}"/>
    <cellStyle name="Normal 2 209" xfId="1000" xr:uid="{4FB3972F-5CCF-4BD0-A303-F76610E2B68C}"/>
    <cellStyle name="Normal 2 21" xfId="35328" xr:uid="{E9B371D4-73EC-4647-A75A-6C79C929B726}"/>
    <cellStyle name="Normal 2 21 10" xfId="35333" xr:uid="{A85E9770-100A-4938-B09E-B887F7CDEE68}"/>
    <cellStyle name="Normal 2 21 11" xfId="35336" xr:uid="{F9FC20A8-077F-4D0C-8E87-CC119028FAB3}"/>
    <cellStyle name="Normal 2 21 2" xfId="14997" xr:uid="{CF49F5A3-B5CC-4E8D-843C-F103CD93673B}"/>
    <cellStyle name="Normal 2 21 2 2" xfId="35347" xr:uid="{3B454B3D-0B18-42E6-AA0B-1084920BFD67}"/>
    <cellStyle name="Normal 2 21 3" xfId="35349" xr:uid="{99D3152F-BA70-46B0-BEAA-E19E0EF87015}"/>
    <cellStyle name="Normal 2 21 4" xfId="12373" xr:uid="{3C83A0C4-CF20-433D-856C-A4F2AED32F86}"/>
    <cellStyle name="Normal 2 21 5" xfId="31363" xr:uid="{E8DCCC04-8F67-414F-A098-CF311FC7B9A2}"/>
    <cellStyle name="Normal 2 21 6" xfId="30895" xr:uid="{5F8C1F6D-4D20-4948-BFD8-6D4C8DD96A46}"/>
    <cellStyle name="Normal 2 21 7" xfId="31411" xr:uid="{44D2BD9E-D335-4BF5-BEDE-A1CBB5EE5AE3}"/>
    <cellStyle name="Normal 2 21 8" xfId="31425" xr:uid="{33F379A4-A669-4CFE-9ED1-DA256DDDA4F0}"/>
    <cellStyle name="Normal 2 21 9" xfId="31437" xr:uid="{69473921-D2D7-4795-9E53-AB9AECC303A8}"/>
    <cellStyle name="Normal 2 210" xfId="25784" xr:uid="{2F8DE1ED-2F7E-4C86-8603-6DAF346175D4}"/>
    <cellStyle name="Normal 2 211" xfId="28683" xr:uid="{84AB5C98-B900-470C-8461-A3C1E9A12B69}"/>
    <cellStyle name="Normal 2 212" xfId="32545" xr:uid="{E62622B2-B3BC-44E1-A2CD-34A97B07C0EA}"/>
    <cellStyle name="Normal 2 213" xfId="3796" xr:uid="{9D6F1034-BFE3-46A1-8D10-8689CE087120}"/>
    <cellStyle name="Normal 2 214" xfId="1001" xr:uid="{87915492-B8CB-4DE6-A872-6699163648F4}"/>
    <cellStyle name="Normal 2 215" xfId="3879" xr:uid="{0C580B7C-84BB-4BA9-8A87-DB521D309754}"/>
    <cellStyle name="Normal 2 216" xfId="3903" xr:uid="{A3F500DE-B752-4E83-AF0C-26D6F999F5BE}"/>
    <cellStyle name="Normal 2 217" xfId="3911" xr:uid="{FCE64731-C2AE-4648-A91E-FBA7EE1E0540}"/>
    <cellStyle name="Normal 2 218" xfId="3918" xr:uid="{45005776-2A68-4FBD-94F8-B471F1A9BFDF}"/>
    <cellStyle name="Normal 2 219" xfId="33230" xr:uid="{4A7D2B9A-E3F4-49F8-A5B2-BBF57B857170}"/>
    <cellStyle name="Normal 2 22" xfId="35353" xr:uid="{18570E81-4200-414F-85FD-84E6589E6D3C}"/>
    <cellStyle name="Normal 2 22 10" xfId="17707" xr:uid="{5269216A-EB06-4FA1-9118-C291D46F2B02}"/>
    <cellStyle name="Normal 2 22 11" xfId="17749" xr:uid="{87960E8B-C4D1-4714-A43E-6D7AD0DD75B2}"/>
    <cellStyle name="Normal 2 22 12" xfId="19485" xr:uid="{51731F3B-3F87-4AE6-9B4F-BFCB82E2C87F}"/>
    <cellStyle name="Normal 2 22 13" xfId="10779" xr:uid="{30D0904D-1C24-44D0-A440-410A3A386404}"/>
    <cellStyle name="Normal 2 22 14" xfId="24518" xr:uid="{90FEEF1B-7AC0-4A29-B0E5-7F07B3759CE1}"/>
    <cellStyle name="Normal 2 22 15" xfId="24531" xr:uid="{FC33B2B0-19B2-4FC9-9E05-1DE1FBD7B9AD}"/>
    <cellStyle name="Normal 2 22 16" xfId="11982" xr:uid="{DFDB3909-AD37-42F0-8B59-E251B45FD68B}"/>
    <cellStyle name="Normal 2 22 17" xfId="12001" xr:uid="{799492C5-628C-4B7F-9133-D78610CD9CBE}"/>
    <cellStyle name="Normal 2 22 18" xfId="12010" xr:uid="{19048B97-D525-462E-903E-92E9F2845D54}"/>
    <cellStyle name="Normal 2 22 19" xfId="20540" xr:uid="{1C3B346C-FF2C-4882-B157-EBADABC496DE}"/>
    <cellStyle name="Normal 2 22 2" xfId="35355" xr:uid="{8B976AB1-67D7-4F36-A94D-A291996FABCD}"/>
    <cellStyle name="Normal 2 22 20" xfId="24532" xr:uid="{C656B05C-BBB9-4006-85FA-E6FA89D749FE}"/>
    <cellStyle name="Normal 2 22 21" xfId="11983" xr:uid="{10984B02-9320-473C-B3DE-E812A5B4FF83}"/>
    <cellStyle name="Normal 2 22 22" xfId="12002" xr:uid="{5C9BE970-AAFF-4C5D-9CAC-B25CAFD09862}"/>
    <cellStyle name="Normal 2 22 23" xfId="12011" xr:uid="{FB59B227-13CF-442E-9C8F-46921302E9FE}"/>
    <cellStyle name="Normal 2 22 24" xfId="20541" xr:uid="{29B6C99F-9F1A-46E4-A572-45426F5F06F9}"/>
    <cellStyle name="Normal 2 22 25" xfId="20555" xr:uid="{72187060-755B-488B-9A24-FC7E05DC3296}"/>
    <cellStyle name="Normal 2 22 26" xfId="20565" xr:uid="{CE1E562A-2B69-4E52-885C-E6B450047734}"/>
    <cellStyle name="Normal 2 22 27" xfId="24878" xr:uid="{949F3B6F-814A-464F-B9DA-0319BEA8A093}"/>
    <cellStyle name="Normal 2 22 28" xfId="24885" xr:uid="{3CE889E1-1627-4613-91F2-C5DBFA4FC4EA}"/>
    <cellStyle name="Normal 2 22 29" xfId="24893" xr:uid="{6A24CE20-8963-4076-856F-B5C60FCCCBFD}"/>
    <cellStyle name="Normal 2 22 3" xfId="35358" xr:uid="{4AE21FFD-F439-47FE-9A25-A9BBA4D3306B}"/>
    <cellStyle name="Normal 2 22 30" xfId="20556" xr:uid="{078F4F84-A553-4092-A021-85B0FEE2BA3E}"/>
    <cellStyle name="Normal 2 22 31" xfId="20566" xr:uid="{BF69C1BB-59F5-4E2E-A2E8-CA51B7F2C91C}"/>
    <cellStyle name="Normal 2 22 32" xfId="24879" xr:uid="{0807BFE5-3CEF-4B5F-BB15-972BE12C3089}"/>
    <cellStyle name="Normal 2 22 4" xfId="35360" xr:uid="{F80AF09C-4B67-4E81-AA1D-8DF8A1B958D1}"/>
    <cellStyle name="Normal 2 22 5" xfId="31447" xr:uid="{CCA21D80-3D17-409C-B1A6-4BB6081C11C0}"/>
    <cellStyle name="Normal 2 22 6" xfId="31462" xr:uid="{75B73852-9A6B-4578-8281-83D230CDE2CE}"/>
    <cellStyle name="Normal 2 22 7" xfId="8340" xr:uid="{448811F5-E3A1-49CC-AA76-25D3DCD1AC42}"/>
    <cellStyle name="Normal 2 22 8" xfId="6384" xr:uid="{2E839DA8-2481-45E9-A852-631CE88F1BB7}"/>
    <cellStyle name="Normal 2 22 9" xfId="8354" xr:uid="{32A5EC28-43C9-4AD7-BBB9-9DAA972EA039}"/>
    <cellStyle name="Normal 2 220" xfId="3880" xr:uid="{0A099936-1C3E-4A6B-96FE-8FFBCE9A9C4A}"/>
    <cellStyle name="Normal 2 221" xfId="3904" xr:uid="{B1D8A374-E013-4D55-9247-84609F054123}"/>
    <cellStyle name="Normal 2 222" xfId="3912" xr:uid="{349D1C4B-9B12-4F92-9EE4-76FFFB4DB0A0}"/>
    <cellStyle name="Normal 2 223" xfId="3919" xr:uid="{6CFCBC6A-AFB6-45AD-B17C-CE5401676FF1}"/>
    <cellStyle name="Normal 2 224" xfId="33231" xr:uid="{FE79C1BD-1FDE-45C9-B4C3-D4CC12497F48}"/>
    <cellStyle name="Normal 2 225" xfId="33236" xr:uid="{452EAD3A-CF5F-4E9A-8848-E9D8A824232C}"/>
    <cellStyle name="Normal 2 226" xfId="35364" xr:uid="{327795D9-2885-4A94-828E-25C508F3A58E}"/>
    <cellStyle name="Normal 2 227" xfId="35369" xr:uid="{96D90A73-9D72-4F51-BEEB-38AA303454F4}"/>
    <cellStyle name="Normal 2 228" xfId="35374" xr:uid="{1FF76EFE-D79B-49C7-86EB-F5BE434D3310}"/>
    <cellStyle name="Normal 2 229" xfId="21606" xr:uid="{B5A4D352-F0E7-4AF6-8B89-B8875735AED3}"/>
    <cellStyle name="Normal 2 23" xfId="35377" xr:uid="{4B90DF31-5818-48F4-8119-701654EC6B8C}"/>
    <cellStyle name="Normal 2 23 2" xfId="31063" xr:uid="{A744D7E0-DE07-4D1A-840D-744380149BA2}"/>
    <cellStyle name="Normal 2 23 2 2" xfId="35379" xr:uid="{6E0281BF-A56A-4951-8A39-8CA553625F85}"/>
    <cellStyle name="Normal 2 23 3" xfId="35381" xr:uid="{DA32C649-4C8B-4CB8-87FE-0C366D97EFAF}"/>
    <cellStyle name="Normal 2 23 4" xfId="35181" xr:uid="{D83BE178-3948-41A6-8594-8BE1E9AAE695}"/>
    <cellStyle name="Normal 2 23 5" xfId="31494" xr:uid="{B7463A1A-C140-4746-A387-8443BF16E0E9}"/>
    <cellStyle name="Normal 2 23 6" xfId="31517" xr:uid="{78ABB867-88AB-49DA-8CDA-4D91EC6783B8}"/>
    <cellStyle name="Normal 2 23 7" xfId="8360" xr:uid="{A882EB0B-20F3-49D8-9F2E-38A39C3AEDC8}"/>
    <cellStyle name="Normal 2 230" xfId="33237" xr:uid="{D7EB8B61-7678-4D43-97AC-F93469EF6155}"/>
    <cellStyle name="Normal 2 231" xfId="35365" xr:uid="{6DAFCD21-569F-46EB-B2BE-2A7C0A08D2B4}"/>
    <cellStyle name="Normal 2 232" xfId="35370" xr:uid="{D81E8B34-2952-4A04-A53A-488245B574F5}"/>
    <cellStyle name="Normal 2 233" xfId="35375" xr:uid="{7151E6F2-2A4F-4238-A898-14F2839DA8E4}"/>
    <cellStyle name="Normal 2 234" xfId="21607" xr:uid="{0CBBF5F9-670B-4A63-A665-73B9BAF9C7F5}"/>
    <cellStyle name="Normal 2 235" xfId="35386" xr:uid="{040BE859-E657-491A-9474-4E066AE604D5}"/>
    <cellStyle name="Normal 2 236" xfId="35390" xr:uid="{5228C8EE-9FE5-41F6-9CA8-1462584B6679}"/>
    <cellStyle name="Normal 2 237" xfId="35394" xr:uid="{BE121290-20E7-4E92-8C35-FE4758184E71}"/>
    <cellStyle name="Normal 2 238" xfId="35399" xr:uid="{9507857B-4A99-484C-94F0-723EC35698B1}"/>
    <cellStyle name="Normal 2 239" xfId="35404" xr:uid="{E34DFD13-81AB-42F2-AB8B-5FFB54FEA164}"/>
    <cellStyle name="Normal 2 24" xfId="35408" xr:uid="{22833864-1EB6-4CCB-8D5C-54F27B8ED24B}"/>
    <cellStyle name="Normal 2 24 2" xfId="35410" xr:uid="{15755A74-992F-4232-AC1E-FE40CC765E01}"/>
    <cellStyle name="Normal 2 24 2 2" xfId="35412" xr:uid="{426E62AF-59B3-4780-B47B-12084A2C27D0}"/>
    <cellStyle name="Normal 2 24 3" xfId="35414" xr:uid="{24DEFA20-0A00-420A-84CB-F2570A026BF8}"/>
    <cellStyle name="Normal 2 24 4" xfId="35416" xr:uid="{51C8473F-F5EF-4FEB-9441-834725DAF83B}"/>
    <cellStyle name="Normal 2 24 5" xfId="31541" xr:uid="{80AA7F07-FC01-4CF4-B8EE-8665171753D4}"/>
    <cellStyle name="Normal 2 240" xfId="35387" xr:uid="{73B23AC7-9AE1-47CD-AB50-87AF48A9B0B2}"/>
    <cellStyle name="Normal 2 241" xfId="35391" xr:uid="{A2571035-A0D5-4F9D-B970-2A72D3FFFF95}"/>
    <cellStyle name="Normal 2 242" xfId="35395" xr:uid="{59FC8402-2C8B-4F5D-AA74-DEB44B5DDB43}"/>
    <cellStyle name="Normal 2 243" xfId="35400" xr:uid="{F107DC82-7E36-43DC-A2E9-501A407DCC47}"/>
    <cellStyle name="Normal 2 244" xfId="35405" xr:uid="{0E727418-1B0C-473F-A73E-9004B9929800}"/>
    <cellStyle name="Normal 2 245" xfId="35420" xr:uid="{ED43E64A-C194-4D57-B3C0-310073AB10B2}"/>
    <cellStyle name="Normal 2 246" xfId="35424" xr:uid="{1FF09639-B3A4-4C21-BB5C-B0112C48D1E9}"/>
    <cellStyle name="Normal 2 247" xfId="35428" xr:uid="{90266306-112F-4A4A-BEF1-DD445648CCA6}"/>
    <cellStyle name="Normal 2 248" xfId="14814" xr:uid="{D0FD735F-5A1D-450E-9C42-C344760725D9}"/>
    <cellStyle name="Normal 2 249" xfId="14820" xr:uid="{5D3200E4-BF94-4289-A5D7-4A65EE3A8F00}"/>
    <cellStyle name="Normal 2 25" xfId="35667" xr:uid="{D644424F-4136-4A60-A912-D9EB293A40F9}"/>
    <cellStyle name="Normal 2 25 2" xfId="28535" xr:uid="{1046DD1B-E171-490B-AE1D-FBC3DBCF3F12}"/>
    <cellStyle name="Normal 2 25 2 2" xfId="28539" xr:uid="{B9C3727D-7FF7-4006-BBBE-18EE9B27889D}"/>
    <cellStyle name="Normal 2 25 3" xfId="28548" xr:uid="{DA0BE26C-A5E1-4E24-A9C6-E163B71631F6}"/>
    <cellStyle name="Normal 2 250" xfId="35421" xr:uid="{804C4AC0-968B-4184-93A8-50FB0C3B9019}"/>
    <cellStyle name="Normal 2 251" xfId="35425" xr:uid="{4848766A-504B-4F4D-88AF-1DFEE68240C0}"/>
    <cellStyle name="Normal 2 252" xfId="35429" xr:uid="{394658BA-9768-4C2E-8CA3-7B06E0EFD846}"/>
    <cellStyle name="Normal 2 253" xfId="14815" xr:uid="{E68CB467-4609-412C-893C-2C35B7943FC9}"/>
    <cellStyle name="Normal 2 254" xfId="14821" xr:uid="{6672FEAB-8331-4EA6-993A-CF4DD8B4C74D}"/>
    <cellStyle name="Normal 2 255" xfId="14828" xr:uid="{59C31370-26B3-4189-A4CE-0B2FC1CE89FC}"/>
    <cellStyle name="Normal 2 256" xfId="35669" xr:uid="{BF40089F-76CA-4A84-80D6-35DF643933D1}"/>
    <cellStyle name="Normal 2 257" xfId="15781" xr:uid="{4B291573-7B0B-43B7-95AC-D82E9A980BEF}"/>
    <cellStyle name="Normal 2 258" xfId="3932" xr:uid="{AB378426-47A8-478F-99CF-22FA00175FA1}"/>
    <cellStyle name="Normal 2 258 2" xfId="3935" xr:uid="{FAAB2E67-4F80-4D9F-B0DC-E05B19CCC33C}"/>
    <cellStyle name="Normal 2 258 2 2" xfId="54158" xr:uid="{370FA2BA-133A-41E8-80E9-219B86BDEF25}"/>
    <cellStyle name="Normal 2 258 3" xfId="3958" xr:uid="{2EC3D7C7-64E7-4620-BE1A-BFF5AC31F37F}"/>
    <cellStyle name="Normal 2 258 3 2" xfId="54175" xr:uid="{BE6C3EEB-440E-4DF8-BBFF-9190F050DFF8}"/>
    <cellStyle name="Normal 2 258 3 3" xfId="54192" xr:uid="{71F2041E-7DC4-44C2-A7C3-5756CC148421}"/>
    <cellStyle name="Normal 2 258 3 3 2" xfId="54176" xr:uid="{6B631265-A640-4921-B6DB-F53D218267CF}"/>
    <cellStyle name="Normal 2 258 4" xfId="3965" xr:uid="{620C65AC-BDF6-487E-B3D2-3A28E35B0760}"/>
    <cellStyle name="Normal 2 258 5" xfId="54147" xr:uid="{EE186E77-411E-4868-8E69-D1D277107E7F}"/>
    <cellStyle name="Normal 2 258 5 2" xfId="54190" xr:uid="{1C6F3AB9-54E9-46D1-9BE0-DC2C29F233F8}"/>
    <cellStyle name="Normal 2 258 6" xfId="54193" xr:uid="{4FBAD8EE-7C4E-4164-A2EE-3DFD84FF973C}"/>
    <cellStyle name="Normal 2 259" xfId="1009" xr:uid="{7300FFE8-16F7-44B4-9C21-09D5642BBDDB}"/>
    <cellStyle name="Normal 2 26" xfId="35670" xr:uid="{024451FF-58F5-4938-A943-6C739807C1C9}"/>
    <cellStyle name="Normal 2 26 2" xfId="28558" xr:uid="{88DB28AC-7700-4DB8-A11D-6850817095E1}"/>
    <cellStyle name="Normal 2 260" xfId="54183" xr:uid="{3D64879B-E277-4A9E-991E-A25996DCB6E9}"/>
    <cellStyle name="Normal 2 261" xfId="34934" xr:uid="{1E700AD3-1586-4FCB-AE23-0676FC24694E}"/>
    <cellStyle name="Normal 2 27" xfId="13994" xr:uid="{AFFF4E61-68A8-4AE4-A7A8-D7419D39ED0B}"/>
    <cellStyle name="Normal 2 27 2" xfId="13997" xr:uid="{A7EA7FAF-8A84-4341-B775-9A6FC75E3FAE}"/>
    <cellStyle name="Normal 2 28" xfId="14001" xr:uid="{B016C48A-36AF-4F81-958A-04AAE38CF85A}"/>
    <cellStyle name="Normal 2 28 2" xfId="14004" xr:uid="{5AC3E5FF-19C1-40AB-8F1A-C62DA31F92C8}"/>
    <cellStyle name="Normal 2 29" xfId="14013" xr:uid="{41765F24-68B8-4DDE-9E0F-73A5AF7CD6EB}"/>
    <cellStyle name="Normal 2 29 2" xfId="27451" xr:uid="{D331977B-A8DF-445C-BB3B-7D8218717921}"/>
    <cellStyle name="Normal 2 3" xfId="10988" xr:uid="{5B7F0F8C-D1E1-4863-9E68-E5B6AF82C8E8}"/>
    <cellStyle name="Normal 2 3 10" xfId="35672" xr:uid="{77B583A2-4A85-414F-A855-99C71D0C8BA4}"/>
    <cellStyle name="Normal 2 3 10 2" xfId="35673" xr:uid="{9C8CF0C5-63DD-4BD4-9659-06DF4147E2CF}"/>
    <cellStyle name="Normal 2 3 10 2 2" xfId="35674" xr:uid="{725FCCBE-F9A4-4E52-B14F-789FE1C25ABF}"/>
    <cellStyle name="Normal 2 3 10 3" xfId="35675" xr:uid="{58205BA3-FAD5-4C0A-BE37-26D8967968A0}"/>
    <cellStyle name="Normal 2 3 11" xfId="35676" xr:uid="{EB20382D-F50D-4010-B93E-FD1F55E58A02}"/>
    <cellStyle name="Normal 2 3 11 2" xfId="35677" xr:uid="{3A333846-EA53-43CB-88A6-FA69146EDA7C}"/>
    <cellStyle name="Normal 2 3 11 2 2" xfId="35678" xr:uid="{40B8C943-4467-4365-BADE-13ACCC6C53CD}"/>
    <cellStyle name="Normal 2 3 11 3" xfId="35679" xr:uid="{90CF0AC2-0C63-4E16-AC19-6DD56A8E5FE2}"/>
    <cellStyle name="Normal 2 3 12" xfId="35680" xr:uid="{42F86000-F1F9-498F-9E56-37B9E3AB6DCE}"/>
    <cellStyle name="Normal 2 3 12 2" xfId="26224" xr:uid="{C45D9698-B777-4BB3-BF11-0CB8D9FDC3F8}"/>
    <cellStyle name="Normal 2 3 12 2 2" xfId="26227" xr:uid="{74494A7D-FF5E-413A-8BB0-56EF109E562A}"/>
    <cellStyle name="Normal 2 3 12 3" xfId="26256" xr:uid="{9F5C739E-5239-42C5-BEC8-B6B94F07CA1D}"/>
    <cellStyle name="Normal 2 3 13" xfId="35681" xr:uid="{4943A8BC-9958-45CF-8DE6-4934741EEFFA}"/>
    <cellStyle name="Normal 2 3 13 2" xfId="26355" xr:uid="{9AB679FC-581D-42B6-94E4-B7AB3E3C1C20}"/>
    <cellStyle name="Normal 2 3 13 2 2" xfId="1706" xr:uid="{3C109B9C-3044-4D91-B821-D08C2C7F79E0}"/>
    <cellStyle name="Normal 2 3 13 3" xfId="26358" xr:uid="{29C4F7F0-E77A-4D3C-8A48-148B7D7B969B}"/>
    <cellStyle name="Normal 2 3 14" xfId="31609" xr:uid="{0808F651-0DC1-492D-AAE6-D78E53A4ED32}"/>
    <cellStyle name="Normal 2 3 14 2" xfId="26399" xr:uid="{24DB4EA5-5EAD-4586-A33E-50F9003F7AFE}"/>
    <cellStyle name="Normal 2 3 14 2 2" xfId="6902" xr:uid="{929AD336-A386-4ECD-835E-2BCAAD7307D1}"/>
    <cellStyle name="Normal 2 3 14 3" xfId="26402" xr:uid="{0CA1AFAF-A151-48B3-84FD-731151DB96C5}"/>
    <cellStyle name="Normal 2 3 15" xfId="35682" xr:uid="{B1EEDF58-5E4D-4191-96D2-3D948091FF03}"/>
    <cellStyle name="Normal 2 3 15 2" xfId="26419" xr:uid="{8AA3754C-0B30-4E2D-8AB9-E59110E42CED}"/>
    <cellStyle name="Normal 2 3 15 2 2" xfId="26424" xr:uid="{FD0A38F2-D8FB-4708-9F31-A15441A16997}"/>
    <cellStyle name="Normal 2 3 15 3" xfId="26427" xr:uid="{94ECB773-1D4B-4DDA-ADC3-403E66687846}"/>
    <cellStyle name="Normal 2 3 16" xfId="35684" xr:uid="{95475AA9-D36C-471B-9B7A-A3A98A93FC9D}"/>
    <cellStyle name="Normal 2 3 16 2" xfId="23951" xr:uid="{00486967-DB17-4682-A9C6-62357AF0A133}"/>
    <cellStyle name="Normal 2 3 16 2 2" xfId="27424" xr:uid="{18D99E0E-783E-47C0-9B35-28E00EFFB090}"/>
    <cellStyle name="Normal 2 3 16 3" xfId="27427" xr:uid="{CBDD38D8-4FDB-4A30-B32A-2D06EB50759B}"/>
    <cellStyle name="Normal 2 3 17" xfId="35686" xr:uid="{C4C93495-C76E-46EF-953F-D2F5A61D0BBA}"/>
    <cellStyle name="Normal 2 3 17 2" xfId="27444" xr:uid="{ABBECF46-AD9E-42B3-BAC0-D187618132D0}"/>
    <cellStyle name="Normal 2 3 17 2 2" xfId="35688" xr:uid="{58AA33DB-FFD0-4EA0-8FAC-B9EED2C7C866}"/>
    <cellStyle name="Normal 2 3 17 3" xfId="35690" xr:uid="{72F2ACC7-C4F3-44AB-ADD8-6700EB1031C8}"/>
    <cellStyle name="Normal 2 3 18" xfId="35692" xr:uid="{3785D323-692B-4730-ADCC-52538F8C8E1D}"/>
    <cellStyle name="Normal 2 3 18 2" xfId="35697" xr:uid="{1EA1B7F6-D395-4AC8-8B15-853B1E66EEBF}"/>
    <cellStyle name="Normal 2 3 18 2 2" xfId="35702" xr:uid="{08381C9B-F0CA-4273-B07A-59DBA882F518}"/>
    <cellStyle name="Normal 2 3 18 3" xfId="35707" xr:uid="{A2E86F42-C0CD-4CD5-B1E4-52705C35CD95}"/>
    <cellStyle name="Normal 2 3 19" xfId="35709" xr:uid="{B3307956-7B53-45EE-B09E-7C0AF561FB64}"/>
    <cellStyle name="Normal 2 3 19 2" xfId="35714" xr:uid="{7F821735-D00F-42FC-805E-A373F44CF9A1}"/>
    <cellStyle name="Normal 2 3 19 2 2" xfId="35719" xr:uid="{B8D8512D-7A41-448A-9605-5AD593D1350D}"/>
    <cellStyle name="Normal 2 3 19 3" xfId="35724" xr:uid="{6E697223-6F6E-4BB5-A4BF-FBB52EDA1C6C}"/>
    <cellStyle name="Normal 2 3 2" xfId="33469" xr:uid="{40F5D29A-A5B0-4EDA-970E-AACAF0D44A0A}"/>
    <cellStyle name="Normal 2 3 2 2" xfId="35726" xr:uid="{F5AC377F-8A22-4FFF-B820-1E3F2C74CA1C}"/>
    <cellStyle name="Normal 2 3 2 2 2" xfId="25206" xr:uid="{9F51EA7C-066C-4068-BDC1-D3A831C85613}"/>
    <cellStyle name="Normal 2 3 2 2 2 2" xfId="24511" xr:uid="{3A13B570-0570-433B-8EF6-D80B571ADB78}"/>
    <cellStyle name="Normal 2 3 2 2 3" xfId="25209" xr:uid="{698185D7-CDAE-41DD-862A-27D7C6DE96F1}"/>
    <cellStyle name="Normal 2 3 2 3" xfId="35727" xr:uid="{49996A9A-5A9D-4588-9AEE-2F1124A0C39A}"/>
    <cellStyle name="Normal 2 3 2 3 2" xfId="35728" xr:uid="{67762F9B-3F61-4540-8D4D-139FA32F22DF}"/>
    <cellStyle name="Normal 2 3 2 3 2 2" xfId="31470" xr:uid="{85FD5AEF-C7D7-44C0-85E4-6079ED077FBE}"/>
    <cellStyle name="Normal 2 3 2 3 3" xfId="16432" xr:uid="{6BF84004-B0C1-46FF-A2A1-351CAD5A154F}"/>
    <cellStyle name="Normal 2 3 2 4" xfId="35729" xr:uid="{B308B247-3193-4258-AAB3-FE84D4F5AEB1}"/>
    <cellStyle name="Normal 2 3 20" xfId="35683" xr:uid="{32E03C50-BC11-4B74-B857-22FA36C60036}"/>
    <cellStyle name="Normal 2 3 20 2" xfId="26420" xr:uid="{D443A0C1-DA3D-49C3-B7FA-4EBF22DEB780}"/>
    <cellStyle name="Normal 2 3 20 2 2" xfId="26425" xr:uid="{BDBBDB6A-28D9-42E8-BF22-1E2F227EE51A}"/>
    <cellStyle name="Normal 2 3 20 3" xfId="26428" xr:uid="{A8D990B9-8171-464F-B109-6709C67234C8}"/>
    <cellStyle name="Normal 2 3 21" xfId="35685" xr:uid="{C33E8275-38B5-4F72-9798-F0626E8311AF}"/>
    <cellStyle name="Normal 2 3 21 2" xfId="23952" xr:uid="{8CAB3B37-A6E9-448C-B9FA-8C3B6AC70418}"/>
    <cellStyle name="Normal 2 3 21 2 2" xfId="27425" xr:uid="{99843AE9-1B07-4929-8DB6-559A4F6C046A}"/>
    <cellStyle name="Normal 2 3 21 3" xfId="27428" xr:uid="{FC2BCCDA-C3F5-46F8-9D41-5AB22518E792}"/>
    <cellStyle name="Normal 2 3 22" xfId="35687" xr:uid="{16D6A362-B39D-4FA9-AF8F-531D95B6F4EE}"/>
    <cellStyle name="Normal 2 3 22 2" xfId="27445" xr:uid="{997AB844-A7AC-4F05-B511-9389E0E9AF82}"/>
    <cellStyle name="Normal 2 3 22 2 2" xfId="35689" xr:uid="{D4A7CDB6-ADE8-4E1F-B7F6-83A1B1E974E6}"/>
    <cellStyle name="Normal 2 3 22 3" xfId="35691" xr:uid="{1144C890-5508-4D35-A74E-B44A028180CC}"/>
    <cellStyle name="Normal 2 3 23" xfId="35693" xr:uid="{D06D7FE2-0CA6-483E-B934-0F9171280734}"/>
    <cellStyle name="Normal 2 3 23 2" xfId="35698" xr:uid="{64AC24EB-81A3-42BB-92D1-AFEBDFEED7BF}"/>
    <cellStyle name="Normal 2 3 23 2 2" xfId="35703" xr:uid="{386CD127-EE27-473D-AF6B-742A07546E0E}"/>
    <cellStyle name="Normal 2 3 23 3" xfId="35708" xr:uid="{4A42C710-15D8-4A33-8911-ACC58E9DF031}"/>
    <cellStyle name="Normal 2 3 24" xfId="35710" xr:uid="{B31FB7E1-AF5D-4C06-8F6B-171C5F8920B0}"/>
    <cellStyle name="Normal 2 3 24 2" xfId="35715" xr:uid="{4D237318-665E-43E3-BFEB-A58FD4B4C06B}"/>
    <cellStyle name="Normal 2 3 24 2 2" xfId="35720" xr:uid="{D2FF3736-7C17-4983-AEC6-20F7983BE8EA}"/>
    <cellStyle name="Normal 2 3 24 3" xfId="35725" xr:uid="{7A7CD8EB-14C1-4584-9375-2572236ACDE3}"/>
    <cellStyle name="Normal 2 3 25" xfId="35730" xr:uid="{036B0D09-8F40-4F37-8C4C-60B5373DDF64}"/>
    <cellStyle name="Normal 2 3 25 2" xfId="35732" xr:uid="{95D004BC-AF3D-49B1-A159-EB2ABE8095E2}"/>
    <cellStyle name="Normal 2 3 25 2 2" xfId="35734" xr:uid="{61EE90AD-940E-4F98-B936-5AEB91C1A613}"/>
    <cellStyle name="Normal 2 3 25 3" xfId="35736" xr:uid="{AB6B6DB6-653B-4F29-9C7C-8B977719F820}"/>
    <cellStyle name="Normal 2 3 26" xfId="35738" xr:uid="{43AA72BC-7DBA-4B7C-B9AB-2683A8883246}"/>
    <cellStyle name="Normal 2 3 26 2" xfId="35740" xr:uid="{3ADF1058-4712-47C6-96B5-97E99CE6F8BC}"/>
    <cellStyle name="Normal 2 3 26 2 2" xfId="35742" xr:uid="{EFBED74C-6292-422D-B3F2-530F28A67FE4}"/>
    <cellStyle name="Normal 2 3 26 3" xfId="35744" xr:uid="{936F4792-2B6D-4076-AACD-510C6266A2F7}"/>
    <cellStyle name="Normal 2 3 27" xfId="35746" xr:uid="{D43454CD-BC6A-4E33-A7BC-6EE7D37CA30B}"/>
    <cellStyle name="Normal 2 3 27 2" xfId="35748" xr:uid="{6F1EA4F5-5A5E-4274-9F95-07DFEAC0397E}"/>
    <cellStyle name="Normal 2 3 27 2 2" xfId="35750" xr:uid="{7FF5A97D-3C44-479F-9599-B3A91E01986F}"/>
    <cellStyle name="Normal 2 3 27 3" xfId="35752" xr:uid="{AB1EE079-258B-4F86-B729-21E44969C97A}"/>
    <cellStyle name="Normal 2 3 28" xfId="35754" xr:uid="{8E0FEB19-5EEF-405D-B9C7-ECD7C4B12990}"/>
    <cellStyle name="Normal 2 3 28 2" xfId="35756" xr:uid="{E8366C9E-8E8A-4D82-9033-93E10A7024EF}"/>
    <cellStyle name="Normal 2 3 28 2 2" xfId="35758" xr:uid="{E57C4033-EBBE-4366-907F-699AE09A5595}"/>
    <cellStyle name="Normal 2 3 28 3" xfId="35760" xr:uid="{E2140312-9360-439C-B15D-E4B61C5CF9D4}"/>
    <cellStyle name="Normal 2 3 29" xfId="3698" xr:uid="{D74CEA18-AA10-4BF3-BCEF-F89BF518C2C4}"/>
    <cellStyle name="Normal 2 3 29 2" xfId="2907" xr:uid="{579E5FEB-7320-4867-99DD-50414D24F56B}"/>
    <cellStyle name="Normal 2 3 29 2 2" xfId="2915" xr:uid="{9237A64A-24B8-44DF-893D-B9A677F585DF}"/>
    <cellStyle name="Normal 2 3 29 3" xfId="2921" xr:uid="{CA27CA63-30E4-4EBB-87A0-2AEA8545529B}"/>
    <cellStyle name="Normal 2 3 3" xfId="35762" xr:uid="{E971320B-BF9D-4332-9459-C2AB0B5C98FD}"/>
    <cellStyle name="Normal 2 3 3 2" xfId="35763" xr:uid="{CC6DF507-0343-483F-BDFC-2E2CC81C2E47}"/>
    <cellStyle name="Normal 2 3 3 2 2" xfId="35764" xr:uid="{900C3058-AB81-432F-8A0E-3D95C0A87F0A}"/>
    <cellStyle name="Normal 2 3 3 2 2 2" xfId="31509" xr:uid="{5B2CF961-FD57-4E80-A921-E60CA1D8B87B}"/>
    <cellStyle name="Normal 2 3 3 2 3" xfId="78" xr:uid="{3585515F-16F0-4D44-89E1-B3AA363F76A3}"/>
    <cellStyle name="Normal 2 3 3 3" xfId="35765" xr:uid="{F4BAC2CA-852D-4868-8B59-4909879C5627}"/>
    <cellStyle name="Normal 2 3 30" xfId="35731" xr:uid="{EE42F299-C81F-4DAC-A394-C2CCCC8F095C}"/>
    <cellStyle name="Normal 2 3 30 2" xfId="35733" xr:uid="{43D18B96-3040-4D31-8FAA-D01EB4D348BD}"/>
    <cellStyle name="Normal 2 3 30 2 2" xfId="35735" xr:uid="{700769F5-B618-4F0F-862A-8E92F61FDD43}"/>
    <cellStyle name="Normal 2 3 30 3" xfId="35737" xr:uid="{247E9031-B46B-429D-8088-EF6CA11257D2}"/>
    <cellStyle name="Normal 2 3 31" xfId="35739" xr:uid="{5A1ADCAB-0A20-45E2-A660-38B78F87E506}"/>
    <cellStyle name="Normal 2 3 31 2" xfId="35741" xr:uid="{7123705B-9D43-47AB-A09A-A4F0F6ED7999}"/>
    <cellStyle name="Normal 2 3 31 2 2" xfId="35743" xr:uid="{AF398C08-E10D-48E3-B64E-81CE42619DAB}"/>
    <cellStyle name="Normal 2 3 31 3" xfId="35745" xr:uid="{11144EAA-B8DE-469C-8E73-A10342C20313}"/>
    <cellStyle name="Normal 2 3 32" xfId="35747" xr:uid="{104642E5-A0D6-46F5-9761-A7917432DDEB}"/>
    <cellStyle name="Normal 2 3 32 2" xfId="35749" xr:uid="{E7DF266D-0919-4098-B8FE-6CB74B6D77FF}"/>
    <cellStyle name="Normal 2 3 32 2 2" xfId="35751" xr:uid="{36B6FB05-1EB5-40B1-BB21-5E3062718CA8}"/>
    <cellStyle name="Normal 2 3 32 3" xfId="35753" xr:uid="{96368669-24CF-4BBE-8567-304B0661188D}"/>
    <cellStyle name="Normal 2 3 33" xfId="35755" xr:uid="{E9B9209E-DC1E-4367-BA50-CB8CE1F02875}"/>
    <cellStyle name="Normal 2 3 33 2" xfId="35757" xr:uid="{D4F52B16-0082-4CDD-914B-C84AD3299F91}"/>
    <cellStyle name="Normal 2 3 33 2 2" xfId="35759" xr:uid="{153EF2CA-1A48-499C-AB33-0C9DE0704918}"/>
    <cellStyle name="Normal 2 3 33 3" xfId="35761" xr:uid="{DFC75054-7B53-4B12-B95E-B9A98A7BBC97}"/>
    <cellStyle name="Normal 2 3 34" xfId="3699" xr:uid="{D79F7C7B-090B-4DAE-AD21-9B5E44351430}"/>
    <cellStyle name="Normal 2 3 34 2" xfId="2908" xr:uid="{A1A49EE9-9EBD-4F80-9094-C83FE51A091F}"/>
    <cellStyle name="Normal 2 3 34 2 2" xfId="2916" xr:uid="{C76DDD79-5A4E-448D-AA19-189EFA0FD8D0}"/>
    <cellStyle name="Normal 2 3 34 3" xfId="2922" xr:uid="{424B4080-374E-4133-8A87-EE88DE140054}"/>
    <cellStyle name="Normal 2 3 35" xfId="3704" xr:uid="{DC16FA59-992D-4551-BC95-AB4C209F74ED}"/>
    <cellStyle name="Normal 2 3 35 2" xfId="2947" xr:uid="{92F5AEDA-2AAA-41F4-8542-C9668D7AE20F}"/>
    <cellStyle name="Normal 2 3 35 2 2" xfId="15345" xr:uid="{3D53CB48-7C1D-4CA6-A5FB-43155B4C401B}"/>
    <cellStyle name="Normal 2 3 35 3" xfId="15350" xr:uid="{55B2DDDC-8418-4BC6-9739-1A069FEE3745}"/>
    <cellStyle name="Normal 2 3 36" xfId="3717" xr:uid="{AEC3AFBF-0BBE-4EEB-AA9B-1949A424CD33}"/>
    <cellStyle name="Normal 2 3 36 2" xfId="15354" xr:uid="{5F8320DC-6EF2-4CF6-B6C6-CFCDD2716760}"/>
    <cellStyle name="Normal 2 3 36 2 2" xfId="32458" xr:uid="{4A4DB20A-2980-4E74-A6E5-95D5DDA315F3}"/>
    <cellStyle name="Normal 2 3 36 3" xfId="32468" xr:uid="{ED6B94D9-BA3E-46F4-A0CC-918D44011939}"/>
    <cellStyle name="Normal 2 3 37" xfId="15358" xr:uid="{AC1CA7EF-54D4-4D60-9496-8503AC8F4FBB}"/>
    <cellStyle name="Normal 2 3 37 2" xfId="32526" xr:uid="{D82969AF-5FF8-4047-802A-174DDD2F4A37}"/>
    <cellStyle name="Normal 2 3 37 2 2" xfId="32531" xr:uid="{2C03ED61-1B6C-4A8F-9CC7-A453981278BB}"/>
    <cellStyle name="Normal 2 3 37 3" xfId="153" xr:uid="{E6A7D388-5134-4578-A1C4-7FB7645B5791}"/>
    <cellStyle name="Normal 2 3 38" xfId="8078" xr:uid="{4E2C2581-D4F3-4AA6-A66A-93B190A6B45C}"/>
    <cellStyle name="Normal 2 3 38 2" xfId="32633" xr:uid="{A6FB7B87-77E4-4B65-9D59-7BED031AE304}"/>
    <cellStyle name="Normal 2 3 38 2 2" xfId="32638" xr:uid="{BB70AD14-47D4-4BC1-88CB-6E22FC19AC65}"/>
    <cellStyle name="Normal 2 3 38 3" xfId="32654" xr:uid="{246CA40B-22EA-4A26-95B2-345FB85FA113}"/>
    <cellStyle name="Normal 2 3 39" xfId="32702" xr:uid="{E9614F58-27F7-4B3B-BA16-7511C5B56BF5}"/>
    <cellStyle name="Normal 2 3 39 2" xfId="32715" xr:uid="{46599AFD-BB21-4164-97D9-E963B1C50C50}"/>
    <cellStyle name="Normal 2 3 39 2 2" xfId="32718" xr:uid="{BCEC97B8-F462-4107-A0FA-495D5555DE2F}"/>
    <cellStyle name="Normal 2 3 39 3" xfId="32733" xr:uid="{01B4E91D-6EAF-4C58-BC1D-5ACAF78C45BF}"/>
    <cellStyle name="Normal 2 3 4" xfId="35766" xr:uid="{1EDACD25-9ECE-4345-9E67-AC6D329AC81D}"/>
    <cellStyle name="Normal 2 3 4 2" xfId="35767" xr:uid="{AB353CC0-E80C-4805-8B5B-7B85846B20F2}"/>
    <cellStyle name="Normal 2 3 4 2 2" xfId="35768" xr:uid="{4F01D1AE-EDD7-4A69-8A8B-07EDF273F4A7}"/>
    <cellStyle name="Normal 2 3 4 2 2 2" xfId="35770" xr:uid="{7CAD6A7B-8FFD-4D75-BAD7-85823ECAD6D5}"/>
    <cellStyle name="Normal 2 3 4 2 3" xfId="35771" xr:uid="{5E45FDCB-7C59-4ACE-9DD1-A33AB05B4A16}"/>
    <cellStyle name="Normal 2 3 40" xfId="3705" xr:uid="{F970BEBB-EE78-4AA4-8CFC-067819839659}"/>
    <cellStyle name="Normal 2 3 40 2" xfId="2948" xr:uid="{6C03DC28-DD13-4CD9-98BE-67443FEB4B47}"/>
    <cellStyle name="Normal 2 3 40 2 2" xfId="15346" xr:uid="{49A3A95A-A202-4C9D-B16C-982B1AD68047}"/>
    <cellStyle name="Normal 2 3 40 3" xfId="15351" xr:uid="{78B5DD5D-0257-46E9-B68D-D379AAE57E9C}"/>
    <cellStyle name="Normal 2 3 41" xfId="3718" xr:uid="{F3364D79-AF2E-42CD-AC2A-D4C180860D78}"/>
    <cellStyle name="Normal 2 3 41 2" xfId="15355" xr:uid="{955CD5C9-5EA6-4590-9C69-CE8597D4DB47}"/>
    <cellStyle name="Normal 2 3 41 2 2" xfId="32459" xr:uid="{9E829B43-A2E0-4B11-9C60-5F993DD295A0}"/>
    <cellStyle name="Normal 2 3 41 3" xfId="32469" xr:uid="{784E433D-9C4C-459A-BFCF-20C42EB7DCFA}"/>
    <cellStyle name="Normal 2 3 42" xfId="15359" xr:uid="{79838D9E-5AEA-4E85-92FF-6572139BA6BE}"/>
    <cellStyle name="Normal 2 3 42 2" xfId="32527" xr:uid="{5AF3993C-B6AB-4C4B-8DD3-4E4DAE0541B7}"/>
    <cellStyle name="Normal 2 3 42 2 2" xfId="32532" xr:uid="{B394463D-C4DE-4514-A54A-9A53B853233A}"/>
    <cellStyle name="Normal 2 3 42 3" xfId="154" xr:uid="{1D196806-01FB-4561-A13C-C5416DD46D0F}"/>
    <cellStyle name="Normal 2 3 43" xfId="8079" xr:uid="{D9297C77-B9B1-46F4-9E7C-2345DDE547BB}"/>
    <cellStyle name="Normal 2 3 43 2" xfId="32634" xr:uid="{9FD8FB9D-7B3B-4C4E-BC5D-7FDAC2DDC40A}"/>
    <cellStyle name="Normal 2 3 43 2 2" xfId="32639" xr:uid="{D252B71D-96CB-445F-AEF3-22CEA7017D70}"/>
    <cellStyle name="Normal 2 3 43 3" xfId="32655" xr:uid="{B1C46D17-83F5-49DC-8E99-6F9B0C449D6B}"/>
    <cellStyle name="Normal 2 3 44" xfId="32703" xr:uid="{C9F78C4F-6639-4BC2-8A06-3AC2F27DEA49}"/>
    <cellStyle name="Normal 2 3 44 2" xfId="32716" xr:uid="{97A5335E-DB1D-4193-ADDD-157647F24700}"/>
    <cellStyle name="Normal 2 3 44 2 2" xfId="32719" xr:uid="{FF7A1F80-DE46-4EB1-AACC-1BE64727BE98}"/>
    <cellStyle name="Normal 2 3 44 3" xfId="32734" xr:uid="{A16902F0-8E82-4D58-AF5D-FE2C00AD4442}"/>
    <cellStyle name="Normal 2 3 45" xfId="32779" xr:uid="{19CFFEFA-23FB-4155-947F-849F9FC20B87}"/>
    <cellStyle name="Normal 2 3 45 2" xfId="19893" xr:uid="{A141D0E2-7338-482D-A9DD-2488FC108074}"/>
    <cellStyle name="Normal 2 3 45 2 2" xfId="19899" xr:uid="{25559FD7-868A-42C6-AFC2-6349460D1B83}"/>
    <cellStyle name="Normal 2 3 45 3" xfId="19905" xr:uid="{A0FC67FC-8CC9-4E2E-81ED-B8999B75E3F3}"/>
    <cellStyle name="Normal 2 3 46" xfId="32852" xr:uid="{A353579F-8F51-49A7-9AE2-5C2F3FA0776A}"/>
    <cellStyle name="Normal 2 3 46 2" xfId="19914" xr:uid="{46AD7599-D7D9-42AD-96B7-2B7436077AEC}"/>
    <cellStyle name="Normal 2 3 46 2 2" xfId="32869" xr:uid="{6C1A2D03-0E31-466C-855D-47EE08F8312C}"/>
    <cellStyle name="Normal 2 3 46 3" xfId="32877" xr:uid="{59C74B30-4251-427C-80B6-ADA285C67F69}"/>
    <cellStyle name="Normal 2 3 47" xfId="32947" xr:uid="{6EC094FA-755D-4FEB-B629-B7C408BB7436}"/>
    <cellStyle name="Normal 2 3 47 2" xfId="32965" xr:uid="{442604A8-1EE4-4A80-BBD7-AACD92925306}"/>
    <cellStyle name="Normal 2 3 47 2 2" xfId="32969" xr:uid="{64851C5B-1A36-46D2-87E8-017900CC755A}"/>
    <cellStyle name="Normal 2 3 47 3" xfId="32980" xr:uid="{D4F91550-7EB3-4B4C-98C7-C6698ACA9527}"/>
    <cellStyle name="Normal 2 3 48" xfId="34838" xr:uid="{313F3140-9665-466A-9E9B-AF18C3B32F69}"/>
    <cellStyle name="Normal 2 3 48 2" xfId="34856" xr:uid="{40E85A67-E396-4EDC-B6E0-D855820DEB25}"/>
    <cellStyle name="Normal 2 3 48 2 2" xfId="34860" xr:uid="{83B27E88-B458-4A96-9C20-47051F5BF6CB}"/>
    <cellStyle name="Normal 2 3 48 3" xfId="3647" xr:uid="{1A34A9C3-D736-4F18-9D14-2082ED9B0BA6}"/>
    <cellStyle name="Normal 2 3 49" xfId="28780" xr:uid="{FB56FF5A-188D-4E00-8D53-5E6E09060333}"/>
    <cellStyle name="Normal 2 3 49 2" xfId="598" xr:uid="{9D8406A5-47DA-442B-B85E-FD315A8D55D9}"/>
    <cellStyle name="Normal 2 3 49 2 2" xfId="34898" xr:uid="{C20C1FDB-95AB-4AB2-944C-BB726AB36B5C}"/>
    <cellStyle name="Normal 2 3 49 3" xfId="611" xr:uid="{963D0131-DD10-40D0-B373-7AEFEDA32327}"/>
    <cellStyle name="Normal 2 3 5" xfId="34933" xr:uid="{0F8BE1F3-F751-4B8D-9260-9656BC31F2FC}"/>
    <cellStyle name="Normal 2 3 5 2" xfId="14263" xr:uid="{B9857DCE-422E-43E0-B0A7-25CE354E5E9E}"/>
    <cellStyle name="Normal 2 3 5 2 2" xfId="14266" xr:uid="{B4B0152D-EEA4-4564-8EC9-FD9EB57C7F69}"/>
    <cellStyle name="Normal 2 3 5 2 2 2" xfId="35482" xr:uid="{154CD29D-6B43-42B8-ADEB-9E3C03EDB64A}"/>
    <cellStyle name="Normal 2 3 5 2 3" xfId="35516" xr:uid="{1E971CA1-3C21-4F8B-8D7C-FBD08775D375}"/>
    <cellStyle name="Normal 2 3 50" xfId="32780" xr:uid="{6AF74DE0-4655-42AD-B456-B855F93EAA26}"/>
    <cellStyle name="Normal 2 3 50 2" xfId="19894" xr:uid="{04E46DCA-3F99-4FDD-90D7-B60730CAFF09}"/>
    <cellStyle name="Normal 2 3 50 2 2" xfId="19900" xr:uid="{D2C3E977-8882-4B15-A03D-A09F70C4673F}"/>
    <cellStyle name="Normal 2 3 50 3" xfId="19906" xr:uid="{75CECDA2-49E4-40D9-ABDE-6B796093065B}"/>
    <cellStyle name="Normal 2 3 51" xfId="32853" xr:uid="{59789292-DC12-43B5-9B3F-26868B12B2CB}"/>
    <cellStyle name="Normal 2 3 51 2" xfId="19915" xr:uid="{85FB7283-428D-4C85-A22C-3572B0F29160}"/>
    <cellStyle name="Normal 2 3 51 2 2" xfId="32870" xr:uid="{73FA4329-868B-465D-870C-DC8A8E018D11}"/>
    <cellStyle name="Normal 2 3 51 3" xfId="32878" xr:uid="{C5AC0513-3BE2-423E-B836-CC3CB235E2B0}"/>
    <cellStyle name="Normal 2 3 52" xfId="32948" xr:uid="{3A573B9E-1207-48EE-AFD1-C708A3AE3569}"/>
    <cellStyle name="Normal 2 3 52 2" xfId="32966" xr:uid="{6BCABB9B-0149-4C67-BA11-6172C0AAFA1E}"/>
    <cellStyle name="Normal 2 3 52 2 2" xfId="32970" xr:uid="{D029445F-DAFC-471B-8B4C-D6881E2ECC38}"/>
    <cellStyle name="Normal 2 3 52 3" xfId="32981" xr:uid="{9B66D297-18FF-48DB-A407-FBEF3E885C46}"/>
    <cellStyle name="Normal 2 3 53" xfId="34839" xr:uid="{1CC1D520-3B69-442F-B1D7-A2A297B4FDB9}"/>
    <cellStyle name="Normal 2 3 53 2" xfId="34857" xr:uid="{C5288239-CD8D-4D26-B321-9D45DE38C0D3}"/>
    <cellStyle name="Normal 2 3 53 2 2" xfId="34861" xr:uid="{369FEDCD-86C5-4D7E-AAAA-18B19CF24E8A}"/>
    <cellStyle name="Normal 2 3 53 3" xfId="3648" xr:uid="{2AECE238-B433-4705-9214-55788EEC88A4}"/>
    <cellStyle name="Normal 2 3 54" xfId="28781" xr:uid="{E769C34E-9911-4575-9B6A-482F169942CF}"/>
    <cellStyle name="Normal 2 3 54 2" xfId="599" xr:uid="{7F3CCF4A-9BBC-4AB2-8E98-8D74C88AC2DB}"/>
    <cellStyle name="Normal 2 3 54 2 2" xfId="34899" xr:uid="{5F1BB7F7-C06E-4FA4-B837-6DCFFFF7CDCB}"/>
    <cellStyle name="Normal 2 3 54 3" xfId="612" xr:uid="{43547AA5-F6E6-4262-A3AF-20CB8A2E14A1}"/>
    <cellStyle name="Normal 2 3 55" xfId="35032" xr:uid="{9E7B62DB-1184-4A84-98A2-0539430DA94B}"/>
    <cellStyle name="Normal 2 3 55 2" xfId="35772" xr:uid="{40BE1CF1-EF37-46BE-A8A1-A9E93249A330}"/>
    <cellStyle name="Normal 2 3 55 2 2" xfId="35774" xr:uid="{C1C9D699-85C6-4992-B2A9-CE831812CABB}"/>
    <cellStyle name="Normal 2 3 55 3" xfId="35776" xr:uid="{4D33C888-5A76-441C-9A03-C5133F1BE417}"/>
    <cellStyle name="Normal 2 3 56" xfId="6332" xr:uid="{5512F9D7-4573-4765-83FC-1006AEC58AAD}"/>
    <cellStyle name="Normal 2 3 56 2" xfId="35778" xr:uid="{B134ADB2-3686-4D40-91AF-028532569F31}"/>
    <cellStyle name="Normal 2 3 56 2 2" xfId="35780" xr:uid="{E640C588-9148-4831-8E12-DBD643928587}"/>
    <cellStyle name="Normal 2 3 56 3" xfId="35782" xr:uid="{46B99E9E-9AAB-4AEB-8F49-CE703A5720D1}"/>
    <cellStyle name="Normal 2 3 57" xfId="24141" xr:uid="{E4D3012E-05C3-404C-ACD2-966EED8D8381}"/>
    <cellStyle name="Normal 2 3 57 2" xfId="24146" xr:uid="{AE6B32D3-1116-40A7-B85F-161D7D081136}"/>
    <cellStyle name="Normal 2 3 57 2 2" xfId="8323" xr:uid="{C50EA4EA-D4A9-44D5-85B9-AF81837A8614}"/>
    <cellStyle name="Normal 2 3 57 3" xfId="24153" xr:uid="{184F728D-8C33-4BA2-B05C-EEB2020C8DF0}"/>
    <cellStyle name="Normal 2 3 58" xfId="24164" xr:uid="{2608AA55-8B8E-4A39-B271-6D92B397B87D}"/>
    <cellStyle name="Normal 2 3 58 2" xfId="24169" xr:uid="{B918DAE9-8214-4D96-94BD-0A5267745EE8}"/>
    <cellStyle name="Normal 2 3 58 2 2" xfId="11850" xr:uid="{D26E4E4E-7415-409B-ADFB-F10DE7C02E59}"/>
    <cellStyle name="Normal 2 3 58 3" xfId="24178" xr:uid="{FC762BA8-4B1B-4EC5-AD9B-8D96212232B0}"/>
    <cellStyle name="Normal 2 3 59" xfId="24187" xr:uid="{63AFA68C-8409-4630-925B-FF1F69421702}"/>
    <cellStyle name="Normal 2 3 59 2" xfId="24192" xr:uid="{166C6964-CFC6-43F9-9489-EA043EC99B9C}"/>
    <cellStyle name="Normal 2 3 59 2 2" xfId="14746" xr:uid="{EAF09555-C3E3-4613-B0FD-98F7F843B7A1}"/>
    <cellStyle name="Normal 2 3 59 3" xfId="26595" xr:uid="{6E10C8F1-2181-4EB9-8B4D-CBB949433595}"/>
    <cellStyle name="Normal 2 3 6" xfId="16119" xr:uid="{32FD71DF-4513-442E-871D-18FF1AEBA134}"/>
    <cellStyle name="Normal 2 3 6 2" xfId="14276" xr:uid="{5C3F32DC-DB98-4E70-B030-A1720D537D52}"/>
    <cellStyle name="Normal 2 3 6 2 2" xfId="33432" xr:uid="{7A2179AB-24DA-4A0F-B490-F8A2D210E01D}"/>
    <cellStyle name="Normal 2 3 6 2 2 2" xfId="33435" xr:uid="{48F9AC1E-3824-4FF8-953A-BC243F57607A}"/>
    <cellStyle name="Normal 2 3 6 2 2 2 2" xfId="33762" xr:uid="{ED2945FE-379B-4D77-BAA4-87AC43C2286B}"/>
    <cellStyle name="Normal 2 3 6 2 2 2 2 2" xfId="33766" xr:uid="{B1A6DC1B-DDE0-4B70-87B7-E87C39358504}"/>
    <cellStyle name="Normal 2 3 6 2 2 2 3" xfId="33815" xr:uid="{B7BF4027-6319-42D7-B051-327BF8EF93DA}"/>
    <cellStyle name="Normal 2 3 6 2 2 3" xfId="35784" xr:uid="{62A372A1-0CA7-4DFF-BFF7-EE18C345A216}"/>
    <cellStyle name="Normal 2 3 6 2 2 3 2" xfId="32597" xr:uid="{64175295-B515-41E6-AA78-5E29D976F856}"/>
    <cellStyle name="Normal 2 3 6 2 2 3 2 2" xfId="32603" xr:uid="{2B6F475A-8D69-4B11-A8EF-77BE7E2CB68F}"/>
    <cellStyle name="Normal 2 3 6 2 2 3 3" xfId="16455" xr:uid="{57B0BBDB-693E-480A-B0DD-D2E0D4537300}"/>
    <cellStyle name="Normal 2 3 6 2 2 4" xfId="35785" xr:uid="{46028088-8394-425E-BBD8-3C4A93E778C0}"/>
    <cellStyle name="Normal 2 3 6 2 2 4 2" xfId="34163" xr:uid="{9979CB88-1F66-4F6D-B351-36EF2289127C}"/>
    <cellStyle name="Normal 2 3 6 2 2 5" xfId="35786" xr:uid="{20B0A548-2E33-49BA-A86C-A8290B225E54}"/>
    <cellStyle name="Normal 2 3 6 2 3" xfId="33438" xr:uid="{4AFBF06A-5BE9-4582-A9DA-8317AA4AD967}"/>
    <cellStyle name="Normal 2 3 6 2 3 2" xfId="35787" xr:uid="{ECB61255-3E98-411F-AF05-470AB92166C8}"/>
    <cellStyle name="Normal 2 3 6 2 3 2 2" xfId="34639" xr:uid="{EEBFC966-B660-4C8E-B32B-1963835BE7EB}"/>
    <cellStyle name="Normal 2 3 6 2 3 3" xfId="35788" xr:uid="{70CA77D5-A43B-45CA-A249-65D16668DED8}"/>
    <cellStyle name="Normal 2 3 6 2 4" xfId="35789" xr:uid="{09517935-59A1-4D10-ABE5-761FACE046CD}"/>
    <cellStyle name="Normal 2 3 6 2 4 2" xfId="35790" xr:uid="{AA1E57C5-D82F-4AE2-B4FA-905232CDFA38}"/>
    <cellStyle name="Normal 2 3 6 2 4 2 2" xfId="35791" xr:uid="{123783B4-C252-4A22-8E10-76FE9D14374F}"/>
    <cellStyle name="Normal 2 3 6 2 4 3" xfId="35792" xr:uid="{28DF4C03-99DB-4856-9D02-B9A04551A18F}"/>
    <cellStyle name="Normal 2 3 6 2 5" xfId="35793" xr:uid="{6ECF2319-E4E5-4359-8FA4-383570052A87}"/>
    <cellStyle name="Normal 2 3 6 2 5 2" xfId="35794" xr:uid="{6B3E2990-9BB4-47AA-9175-E48A51101ACE}"/>
    <cellStyle name="Normal 2 3 6 2 6" xfId="35795" xr:uid="{503A4C1C-A5AC-4AC7-82EF-54D9C9DBA7EB}"/>
    <cellStyle name="Normal 2 3 6 3" xfId="33442" xr:uid="{1CDC132C-E5FD-44C1-8BDD-97F5E471084E}"/>
    <cellStyle name="Normal 2 3 6 3 2" xfId="33446" xr:uid="{7A01F453-0956-4C9E-9074-6411C876F209}"/>
    <cellStyle name="Normal 2 3 6 3 2 2" xfId="35796" xr:uid="{67CFD885-8996-4565-94B5-A681C57DA6AE}"/>
    <cellStyle name="Normal 2 3 6 3 2 2 2" xfId="35797" xr:uid="{B9A35040-9475-4F80-AF1E-E9183E7760DB}"/>
    <cellStyle name="Normal 2 3 6 3 2 3" xfId="23272" xr:uid="{0CBA1F4D-99E5-4DF5-813C-C04ED4EC4938}"/>
    <cellStyle name="Normal 2 3 6 3 3" xfId="35798" xr:uid="{18667B6B-5D69-4977-B1F2-377F2A651513}"/>
    <cellStyle name="Normal 2 3 6 3 3 2" xfId="35799" xr:uid="{64C2F944-9CE6-401D-9D62-EB719BBEC2D7}"/>
    <cellStyle name="Normal 2 3 6 3 3 2 2" xfId="35800" xr:uid="{731CDDEE-D70A-46A3-954D-ADBC9224B0B4}"/>
    <cellStyle name="Normal 2 3 6 3 3 3" xfId="35801" xr:uid="{786C9F13-395F-47EB-A26C-EE7D01C018DB}"/>
    <cellStyle name="Normal 2 3 6 3 4" xfId="35802" xr:uid="{E0164147-60A0-46FE-B94D-F91FBEDB6E8E}"/>
    <cellStyle name="Normal 2 3 6 3 4 2" xfId="35803" xr:uid="{1AEBE1D4-8270-405A-82B4-BA9845197987}"/>
    <cellStyle name="Normal 2 3 6 3 5" xfId="35804" xr:uid="{2689BC8A-1E52-455D-BB13-541FC28DD80E}"/>
    <cellStyle name="Normal 2 3 6 4" xfId="20615" xr:uid="{FE7F6101-16B6-4F6E-80B7-3840C4BEC5A0}"/>
    <cellStyle name="Normal 2 3 6 4 2" xfId="35806" xr:uid="{33C7A110-4076-470D-95D6-E7D3F252571A}"/>
    <cellStyle name="Normal 2 3 6 4 2 2" xfId="35807" xr:uid="{85C29704-2035-4F63-B325-FFA65DE14EF1}"/>
    <cellStyle name="Normal 2 3 6 4 3" xfId="3808" xr:uid="{71BE9E4C-066F-4938-9CDC-314D4E833348}"/>
    <cellStyle name="Normal 2 3 6 5" xfId="28844" xr:uid="{E24D2070-134E-41EE-99FE-AFFC9A3B143B}"/>
    <cellStyle name="Normal 2 3 6 5 2" xfId="35808" xr:uid="{86E59EA9-E75E-4EC0-A704-5F5BE1961485}"/>
    <cellStyle name="Normal 2 3 6 5 2 2" xfId="35809" xr:uid="{39E23EEB-2721-4DA0-BD45-088F0F770E09}"/>
    <cellStyle name="Normal 2 3 6 5 3" xfId="3836" xr:uid="{0708C4F7-6D44-4229-93FD-4408A6CA8894}"/>
    <cellStyle name="Normal 2 3 6 6" xfId="35810" xr:uid="{5E753023-708F-43F9-9558-EA1420D58BEE}"/>
    <cellStyle name="Normal 2 3 6 6 2" xfId="35811" xr:uid="{2D1C2885-490B-4F69-B8B8-AA3B6F5C50EB}"/>
    <cellStyle name="Normal 2 3 6 7" xfId="9249" xr:uid="{7C38F7FF-20D6-4A92-A423-2B591F3B5995}"/>
    <cellStyle name="Normal 2 3 60" xfId="35033" xr:uid="{E09F843E-8EDA-4732-AA0A-0C48016F0E1E}"/>
    <cellStyle name="Normal 2 3 60 2" xfId="35773" xr:uid="{A80C3916-B9E6-4A2E-8322-7C8BB022F49F}"/>
    <cellStyle name="Normal 2 3 60 2 2" xfId="35775" xr:uid="{65101E8C-95EB-460C-9603-EE586F6DF3A1}"/>
    <cellStyle name="Normal 2 3 60 3" xfId="35777" xr:uid="{EAA5A3E0-25C6-4CC0-9144-82E664FD5C98}"/>
    <cellStyle name="Normal 2 3 61" xfId="6333" xr:uid="{7A599064-3D1D-4DFE-8086-9AC259444A64}"/>
    <cellStyle name="Normal 2 3 61 2" xfId="35779" xr:uid="{53C7B095-757A-4A8E-A5B6-9A0F1CA0A3C1}"/>
    <cellStyle name="Normal 2 3 61 2 2" xfId="35781" xr:uid="{A4C56A30-8499-40B6-8005-39CF5D617506}"/>
    <cellStyle name="Normal 2 3 61 3" xfId="35783" xr:uid="{707B6981-AAEA-47D2-B495-C536F4F27A99}"/>
    <cellStyle name="Normal 2 3 62" xfId="24142" xr:uid="{6B54C3FC-A7F0-42E6-AC34-0D020A5E28F0}"/>
    <cellStyle name="Normal 2 3 62 2" xfId="24147" xr:uid="{19638C7C-6942-45A9-984F-B396E1D452B2}"/>
    <cellStyle name="Normal 2 3 62 2 2" xfId="8324" xr:uid="{0CEA4757-7585-4403-9D07-F186E36508F8}"/>
    <cellStyle name="Normal 2 3 62 3" xfId="24154" xr:uid="{55643585-F752-4FE5-AAFA-28DF83E8D802}"/>
    <cellStyle name="Normal 2 3 63" xfId="24165" xr:uid="{85C342C1-30CD-41A5-8F14-16C1AE1E25F5}"/>
    <cellStyle name="Normal 2 3 63 2" xfId="24170" xr:uid="{3D6653E3-A43A-4C6A-A97E-36E69A1C71B1}"/>
    <cellStyle name="Normal 2 3 63 2 2" xfId="11851" xr:uid="{C3758E9B-1CA3-442B-98F8-1D46C27622C0}"/>
    <cellStyle name="Normal 2 3 63 3" xfId="24179" xr:uid="{A436AE07-B185-476F-AA27-5394A84195B3}"/>
    <cellStyle name="Normal 2 3 64" xfId="24188" xr:uid="{BC08F2F1-2D92-4430-879B-4C7A9FCBAA69}"/>
    <cellStyle name="Normal 2 3 64 2" xfId="24193" xr:uid="{69C66FC4-856B-4871-B9B6-9253A2374381}"/>
    <cellStyle name="Normal 2 3 64 2 2" xfId="14747" xr:uid="{D5A13C3E-19C6-4337-BBD5-D763D15CE78F}"/>
    <cellStyle name="Normal 2 3 64 3" xfId="26596" xr:uid="{54C623BA-4F60-421A-A069-2CA678DF6989}"/>
    <cellStyle name="Normal 2 3 65" xfId="23547" xr:uid="{95022E59-6A81-42A6-A346-FA4736D9097C}"/>
    <cellStyle name="Normal 2 3 65 2" xfId="26609" xr:uid="{AB5B99F7-A21E-48D9-80E8-A9A7764B90B3}"/>
    <cellStyle name="Normal 2 3 65 2 2" xfId="35812" xr:uid="{7F60F425-814C-4936-A944-30D2D28AE560}"/>
    <cellStyle name="Normal 2 3 65 3" xfId="29210" xr:uid="{DD7D803F-0E89-42C4-AFF2-DDDACC53CC6F}"/>
    <cellStyle name="Normal 2 3 66" xfId="35036" xr:uid="{F4A1E9B0-EC2D-4675-9EC6-A26753785C64}"/>
    <cellStyle name="Normal 2 3 66 2" xfId="27495" xr:uid="{561351B9-EF19-4AF5-A8F8-96860D6BEB77}"/>
    <cellStyle name="Normal 2 3 66 2 2" xfId="15993" xr:uid="{DEB33928-85F3-4A5F-860E-153FB32FE81E}"/>
    <cellStyle name="Normal 2 3 66 3" xfId="13957" xr:uid="{49828DFA-0A15-48D5-A3F2-79F172EA9373}"/>
    <cellStyle name="Normal 2 3 67" xfId="35040" xr:uid="{E8FBA79D-06F6-4076-9097-16B86518D348}"/>
    <cellStyle name="Normal 2 3 67 2" xfId="35814" xr:uid="{360F58E6-0CCA-44BD-8917-C5339A5CA32A}"/>
    <cellStyle name="Normal 2 3 67 2 2" xfId="16483" xr:uid="{11364D3B-12B4-4F4D-9AE0-4749E3ADA8AD}"/>
    <cellStyle name="Normal 2 3 67 3" xfId="35816" xr:uid="{C21C31FC-AC19-414E-ABE2-668A21A13EEF}"/>
    <cellStyle name="Normal 2 3 68" xfId="35044" xr:uid="{D7F7C785-2C47-42F2-9919-A722F20503BD}"/>
    <cellStyle name="Normal 2 3 68 2" xfId="35818" xr:uid="{EFD65ADB-6339-488E-8A8F-0953F02146B5}"/>
    <cellStyle name="Normal 2 3 68 2 2" xfId="16845" xr:uid="{3E018518-A2A0-4F1D-9076-4D4DA27D0B66}"/>
    <cellStyle name="Normal 2 3 68 3" xfId="26234" xr:uid="{6ADFEB1B-8BDC-48CD-AD57-69B146ACE763}"/>
    <cellStyle name="Normal 2 3 69" xfId="35048" xr:uid="{80801DDC-255D-4B6F-9E63-8C1F24F819F8}"/>
    <cellStyle name="Normal 2 3 69 2" xfId="35820" xr:uid="{45BD01A9-EF36-447F-A627-2659F6D0AC9A}"/>
    <cellStyle name="Normal 2 3 69 2 2" xfId="17017" xr:uid="{DDC27F02-5DC2-48B6-AF1B-6916317D1AAA}"/>
    <cellStyle name="Normal 2 3 69 3" xfId="35822" xr:uid="{BD4C550D-593F-44F4-8F6C-0A6C7C81792C}"/>
    <cellStyle name="Normal 2 3 7" xfId="16121" xr:uid="{364F59F2-CB50-4C3B-90A3-7C1B8F2E748F}"/>
    <cellStyle name="Normal 2 3 7 2" xfId="33847" xr:uid="{EFE99857-B91D-4FB4-BEE4-074C1DF75149}"/>
    <cellStyle name="Normal 2 3 7 2 2" xfId="29196" xr:uid="{CC70D274-E775-4AC8-937C-947AC0A31EE7}"/>
    <cellStyle name="Normal 2 3 7 3" xfId="30354" xr:uid="{3F58F0DA-B421-4B21-8637-ECF1EC7A2E35}"/>
    <cellStyle name="Normal 2 3 70" xfId="23548" xr:uid="{3B14BEE9-38CF-4BC6-9CA0-AF6A276F55A7}"/>
    <cellStyle name="Normal 2 3 70 2" xfId="26610" xr:uid="{64DF8378-5953-46D0-9001-4EEA7557BCEB}"/>
    <cellStyle name="Normal 2 3 70 2 2" xfId="35813" xr:uid="{4181813F-79E0-492A-A93A-3E5DA39F4FC0}"/>
    <cellStyle name="Normal 2 3 70 3" xfId="29211" xr:uid="{B4A5789C-F0DD-4710-9DFC-26AD105577B3}"/>
    <cellStyle name="Normal 2 3 71" xfId="35037" xr:uid="{7D3B435F-D2DA-462A-8A45-FC1F851C27BD}"/>
    <cellStyle name="Normal 2 3 71 2" xfId="27496" xr:uid="{5BDAAC53-319A-4DE3-9FEA-697AECAD57D0}"/>
    <cellStyle name="Normal 2 3 71 2 2" xfId="15994" xr:uid="{12B8C844-A635-40F4-B0DF-F5DACBBE09DB}"/>
    <cellStyle name="Normal 2 3 71 3" xfId="13958" xr:uid="{F6B7DC76-7FB7-44D5-83CC-43FDDCA0046B}"/>
    <cellStyle name="Normal 2 3 72" xfId="35041" xr:uid="{70A20F11-F2FE-411B-8015-9FE0EAFD9E70}"/>
    <cellStyle name="Normal 2 3 72 2" xfId="35815" xr:uid="{37251601-0F2A-492A-B8CA-579C6D682FFD}"/>
    <cellStyle name="Normal 2 3 72 2 2" xfId="16484" xr:uid="{D9014EB0-33B6-494B-9ABA-565495D0A377}"/>
    <cellStyle name="Normal 2 3 72 3" xfId="35817" xr:uid="{8DB52293-569B-422A-8E78-4C0AFC5DD7DB}"/>
    <cellStyle name="Normal 2 3 73" xfId="35045" xr:uid="{80054820-F18D-4AC9-A4E4-CA76A5CE6C26}"/>
    <cellStyle name="Normal 2 3 73 2" xfId="35819" xr:uid="{CFE7EC2E-8095-4CE9-B275-03984146B8E4}"/>
    <cellStyle name="Normal 2 3 73 2 2" xfId="16846" xr:uid="{7B93504C-B85B-4193-A12A-9660FD5C5D27}"/>
    <cellStyle name="Normal 2 3 73 3" xfId="26235" xr:uid="{C2584FD2-33DD-4083-B63F-3DD758802706}"/>
    <cellStyle name="Normal 2 3 74" xfId="35049" xr:uid="{254C15ED-9A62-4A45-AF31-EFFC2BCC0D92}"/>
    <cellStyle name="Normal 2 3 74 2" xfId="35821" xr:uid="{DF130422-F41D-42BE-AE07-2A3005188641}"/>
    <cellStyle name="Normal 2 3 74 2 2" xfId="17018" xr:uid="{ACEDC122-4536-4FE5-BBB5-E9B46B79405C}"/>
    <cellStyle name="Normal 2 3 74 3" xfId="35823" xr:uid="{98B02F64-638C-4CC9-A0F6-B3E855145623}"/>
    <cellStyle name="Normal 2 3 75" xfId="10810" xr:uid="{15F41BC7-C23B-462F-93A3-400E4B0231A6}"/>
    <cellStyle name="Normal 2 3 75 2" xfId="35824" xr:uid="{68F868C7-1C50-4EBF-B974-6C0B58D08AF8}"/>
    <cellStyle name="Normal 2 3 75 2 2" xfId="30964" xr:uid="{EA36E654-7E81-408E-8B2C-37A4A02EDB9B}"/>
    <cellStyle name="Normal 2 3 75 3" xfId="35826" xr:uid="{A8BA974F-C4B3-4D3E-AE6F-6163CAC9F3DF}"/>
    <cellStyle name="Normal 2 3 76" xfId="35051" xr:uid="{43FD3F19-BCC5-4151-A841-43E1BF699CC2}"/>
    <cellStyle name="Normal 2 3 76 2" xfId="35828" xr:uid="{3CC7E4A0-3DFA-4129-B35E-C7AB86A0A519}"/>
    <cellStyle name="Normal 2 3 76 2 2" xfId="31128" xr:uid="{FC92DD7D-3A13-4497-B348-9B387474F691}"/>
    <cellStyle name="Normal 2 3 76 3" xfId="35830" xr:uid="{E8FA0765-A3CE-4E2C-9517-DE1832D4F65D}"/>
    <cellStyle name="Normal 2 3 77" xfId="35054" xr:uid="{4CD14E68-710A-4CB4-B415-78C83F3D91F5}"/>
    <cellStyle name="Normal 2 3 77 2" xfId="35832" xr:uid="{AF081B85-8FAC-429A-8AD3-2AF3094B21A2}"/>
    <cellStyle name="Normal 2 3 77 2 2" xfId="31226" xr:uid="{7869A453-9293-4AB2-98B2-4D8DE285A6E4}"/>
    <cellStyle name="Normal 2 3 77 3" xfId="35833" xr:uid="{7614FE39-9BC7-4D61-AF4D-4E41C6F95787}"/>
    <cellStyle name="Normal 2 3 78" xfId="35057" xr:uid="{45FB7E82-2B6A-4406-BBD3-6F5754DE443A}"/>
    <cellStyle name="Normal 2 3 78 2" xfId="35834" xr:uid="{27D8EB31-BED2-4AEA-B97C-B831FCD8A024}"/>
    <cellStyle name="Normal 2 3 78 2 2" xfId="35835" xr:uid="{0D403F95-A65E-4407-BE7C-1FFF13E192A5}"/>
    <cellStyle name="Normal 2 3 78 3" xfId="35836" xr:uid="{12A2C90D-30A7-4CDB-A53E-A076837F6588}"/>
    <cellStyle name="Normal 2 3 79" xfId="3730" xr:uid="{1712714F-4666-4F69-91F4-00B0F475C3EF}"/>
    <cellStyle name="Normal 2 3 79 2" xfId="3005" xr:uid="{FAE43FC6-1AE1-416B-B9E6-E0126E44EEE0}"/>
    <cellStyle name="Normal 2 3 79 2 2" xfId="35837" xr:uid="{408CC265-AC4C-4B54-81E5-77ED5598D6E1}"/>
    <cellStyle name="Normal 2 3 79 3" xfId="35838" xr:uid="{529B2B48-9675-4A99-AA84-6D2BA8EF4DC7}"/>
    <cellStyle name="Normal 2 3 8" xfId="35839" xr:uid="{3D40FECE-F4AB-4087-BEB6-45B6361709D8}"/>
    <cellStyle name="Normal 2 3 8 2" xfId="32693" xr:uid="{923D2DEA-D712-4FA7-A924-CCCEE1EB8F29}"/>
    <cellStyle name="Normal 2 3 8 2 2" xfId="29353" xr:uid="{6CC2BB65-6FC0-4701-A45E-1687ABC68536}"/>
    <cellStyle name="Normal 2 3 8 3" xfId="30398" xr:uid="{D621FB8E-6290-4B00-BE7D-3DAE5F7E3005}"/>
    <cellStyle name="Normal 2 3 80" xfId="10811" xr:uid="{3C467C2F-A6A8-423D-9A82-935A01AA0208}"/>
    <cellStyle name="Normal 2 3 80 2" xfId="35825" xr:uid="{802B274D-53AC-434F-BBE5-53B1BA48C2BD}"/>
    <cellStyle name="Normal 2 3 80 2 2" xfId="30965" xr:uid="{7BA77B23-49E7-4E40-9D19-424D2F556845}"/>
    <cellStyle name="Normal 2 3 80 3" xfId="35827" xr:uid="{CE9CA45E-E3DB-4977-AA6D-231C3580674A}"/>
    <cellStyle name="Normal 2 3 81" xfId="35052" xr:uid="{6B363214-9B82-456C-9510-864C4D294713}"/>
    <cellStyle name="Normal 2 3 81 2" xfId="35829" xr:uid="{C0F1D7EA-BBF9-4E0E-8FEF-B0A58C4CDD94}"/>
    <cellStyle name="Normal 2 3 81 2 2" xfId="31129" xr:uid="{B3F174BB-7865-414D-8932-224316521620}"/>
    <cellStyle name="Normal 2 3 81 3" xfId="35831" xr:uid="{8C9AA0D9-484A-4145-BE83-969EDFDF3559}"/>
    <cellStyle name="Normal 2 3 82" xfId="35055" xr:uid="{E48B44D6-FE4B-4623-9800-D869ACB2FF0F}"/>
    <cellStyle name="Normal 2 3 83" xfId="35058" xr:uid="{D50C1CBD-07C0-4FA3-9B1D-170EC68476C9}"/>
    <cellStyle name="Normal 2 3 84" xfId="3731" xr:uid="{26C74BAF-C727-4D93-8B56-0DFBE3C29F00}"/>
    <cellStyle name="Normal 2 3 84 2" xfId="3006" xr:uid="{B73E8308-D1F9-4026-84EE-281510149E5D}"/>
    <cellStyle name="Normal 2 3 85" xfId="3734" xr:uid="{1BD0E67A-6690-4500-8D3F-087A3B4849BA}"/>
    <cellStyle name="Normal 2 3 86" xfId="15369" xr:uid="{3C0F2A6B-30A3-4362-922C-D42E3B677B23}"/>
    <cellStyle name="Normal 2 3 87" xfId="33974" xr:uid="{9410F384-FB4A-4A23-95CB-EFAF4C05BE81}"/>
    <cellStyle name="Normal 2 3 9" xfId="25753" xr:uid="{27249BC8-5C52-4927-9C70-C6BC5556440F}"/>
    <cellStyle name="Normal 2 3 9 2" xfId="34214" xr:uid="{9E99929C-5679-49E1-8938-832F680DA93F}"/>
    <cellStyle name="Normal 2 3 9 2 2" xfId="34874" xr:uid="{6E0D5019-E708-4445-B4B5-6F1C14949210}"/>
    <cellStyle name="Normal 2 3 9 3" xfId="20447" xr:uid="{4BAE27FE-E033-4B85-8267-BD1A79C6CFC2}"/>
    <cellStyle name="Normal 2 3_RANGKA QSS 2" xfId="14026" xr:uid="{04B3A53A-DC22-442F-9FF1-1EFD27A3908D}"/>
    <cellStyle name="Normal 2 30" xfId="35668" xr:uid="{2298D70E-F8F8-443E-AB3C-0909E4CF18DC}"/>
    <cellStyle name="Normal 2 30 2" xfId="28536" xr:uid="{61B6B3F2-ED38-4440-BFBF-D9F394AD65B1}"/>
    <cellStyle name="Normal 2 31" xfId="35671" xr:uid="{18B655DD-CF15-48BC-95F9-E017551C3385}"/>
    <cellStyle name="Normal 2 31 2" xfId="28559" xr:uid="{68365D53-693B-476B-9E17-C933CA476685}"/>
    <cellStyle name="Normal 2 32" xfId="13995" xr:uid="{98E879A6-11CA-44FA-B5C5-A26AF37401D7}"/>
    <cellStyle name="Normal 2 32 2" xfId="13998" xr:uid="{87F72BB0-1CA8-4109-A2BE-D5AA78BA20EF}"/>
    <cellStyle name="Normal 2 32 3" xfId="9653" xr:uid="{7F15BB7B-8E23-450A-977D-83FDD4B5A8FE}"/>
    <cellStyle name="Normal 2 33" xfId="14002" xr:uid="{42256DB1-4424-4047-8FBF-211448FE87A6}"/>
    <cellStyle name="Normal 2 33 2" xfId="14005" xr:uid="{055132BE-C3DC-4B5E-9C67-196FE7E7BAD7}"/>
    <cellStyle name="Normal 2 34" xfId="14014" xr:uid="{40ECA75F-A51F-4DE3-A30C-F6ADB27A8C29}"/>
    <cellStyle name="Normal 2 34 2" xfId="27452" xr:uid="{CA438DFE-0B2A-4BD8-9903-806952F58584}"/>
    <cellStyle name="Normal 2 35" xfId="26455" xr:uid="{5284B802-D076-4E55-9335-C78BA477223E}"/>
    <cellStyle name="Normal 2 35 2" xfId="1840" xr:uid="{62B00A69-E845-4BE3-B55A-09D3CDF08102}"/>
    <cellStyle name="Normal 2 36" xfId="16163" xr:uid="{A1F589CD-DC2E-46A6-9A1B-36CFF6C06BE0}"/>
    <cellStyle name="Normal 2 36 2" xfId="35841" xr:uid="{CE3F4947-3A3C-4C59-9170-37FBCFFFB419}"/>
    <cellStyle name="Normal 2 37" xfId="35695" xr:uid="{A21B31B9-AAAB-4800-A660-757112A4C859}"/>
    <cellStyle name="Normal 2 37 2" xfId="35700" xr:uid="{7D7C3232-C18B-49C9-9C02-93CC04F87811}"/>
    <cellStyle name="Normal 2 38" xfId="35705" xr:uid="{783093BB-415A-47BF-BAAD-A79C3EF6BD6B}"/>
    <cellStyle name="Normal 2 38 2" xfId="35844" xr:uid="{F7538DAC-C832-4E8B-A8A5-A8BD94E1987F}"/>
    <cellStyle name="Normal 2 39" xfId="35849" xr:uid="{7F8D1835-5393-45E3-95AC-6755B72489D8}"/>
    <cellStyle name="Normal 2 39 2" xfId="35852" xr:uid="{EA13DFD2-EF80-4C5D-9881-859CCEF6509B}"/>
    <cellStyle name="Normal 2 4" xfId="33471" xr:uid="{FDEF0447-F025-4ABA-9F7F-CAE321FE65EF}"/>
    <cellStyle name="Normal 2 4 10" xfId="35854" xr:uid="{DB80869D-CC34-44EB-B3D6-17FD2BF46716}"/>
    <cellStyle name="Normal 2 4 11" xfId="7052" xr:uid="{FD1D9426-6A03-4043-9A95-F6B7C0AE388A}"/>
    <cellStyle name="Normal 2 4 12" xfId="35855" xr:uid="{807291D0-F64E-455B-A5AB-486B167AC640}"/>
    <cellStyle name="Normal 2 4 13" xfId="20417" xr:uid="{DB7B2E86-A25B-4797-95B0-6C5E592AFBA9}"/>
    <cellStyle name="Normal 2 4 14" xfId="7929" xr:uid="{1E48880D-E056-49EE-85EF-71C98782DB80}"/>
    <cellStyle name="Normal 2 4 15" xfId="331" xr:uid="{CE089E01-F1CC-4478-9983-DCD1227D7391}"/>
    <cellStyle name="Normal 2 4 16" xfId="20460" xr:uid="{451A8EC7-D083-4174-92CD-9973EF43726C}"/>
    <cellStyle name="Normal 2 4 17" xfId="20464" xr:uid="{CAC891BA-11A3-459D-B86E-7F06DA553969}"/>
    <cellStyle name="Normal 2 4 18" xfId="20467" xr:uid="{B00C3412-4FFF-4504-A6F7-5A38308B68B5}"/>
    <cellStyle name="Normal 2 4 19" xfId="35856" xr:uid="{1B066BD7-6C4C-4C7F-A39D-86F206947F23}"/>
    <cellStyle name="Normal 2 4 2" xfId="35858" xr:uid="{289B9E4F-BE4C-4724-8297-96CF72A1B4E5}"/>
    <cellStyle name="Normal 2 4 2 2" xfId="35861" xr:uid="{4EE35917-83BE-4289-9B47-B14D8D77F365}"/>
    <cellStyle name="Normal 2 4 2 2 2" xfId="35862" xr:uid="{B4D901DE-7764-4BFE-9B1B-64D8DAD121A3}"/>
    <cellStyle name="Normal 2 4 2 2 2 2" xfId="31636" xr:uid="{DCEAE9D9-274D-49D9-949C-770A61F754A2}"/>
    <cellStyle name="Normal 2 4 2 2 2 2 2" xfId="35863" xr:uid="{ABE5C982-306B-4715-BF55-B1B73936448B}"/>
    <cellStyle name="Normal 2 4 2 2 2 2 2 2" xfId="35864" xr:uid="{3286B35D-8317-4D16-BA02-DDB3F8AA334A}"/>
    <cellStyle name="Normal 2 4 2 2 2 2 3" xfId="35865" xr:uid="{90DE6CF6-53AF-4D79-A541-E6C869E0AD10}"/>
    <cellStyle name="Normal 2 4 2 2 2 3" xfId="35866" xr:uid="{560C7CA0-D372-45BC-9566-930EEF4C6728}"/>
    <cellStyle name="Normal 2 4 2 2 2 3 2" xfId="35867" xr:uid="{18F8D532-4FCD-4290-B120-12CCA91E5D3C}"/>
    <cellStyle name="Normal 2 4 2 2 2 3 2 2" xfId="35868" xr:uid="{50EBB80E-761C-413F-AF13-82B92B307CD6}"/>
    <cellStyle name="Normal 2 4 2 2 2 3 3" xfId="35869" xr:uid="{F1F5525B-97D9-4B62-9A88-00C0B66C5234}"/>
    <cellStyle name="Normal 2 4 2 2 2 4" xfId="24083" xr:uid="{720332A0-32CA-4DD8-A2B7-7577E2D892D1}"/>
    <cellStyle name="Normal 2 4 2 2 2 4 2" xfId="16464" xr:uid="{796A9014-411F-471D-9AC4-459667EFFEF7}"/>
    <cellStyle name="Normal 2 4 2 2 2 5" xfId="24085" xr:uid="{7CF76A6F-327C-4569-B479-749550806E30}"/>
    <cellStyle name="Normal 2 4 2 2 3" xfId="35870" xr:uid="{E2694D2B-18A0-4EB2-BBC4-0B452B75AC15}"/>
    <cellStyle name="Normal 2 4 2 2 3 2" xfId="35871" xr:uid="{69437EB2-9240-4EEF-B4D1-92EA14C8CB88}"/>
    <cellStyle name="Normal 2 4 2 2 3 2 2" xfId="35872" xr:uid="{97A87B34-42D9-4D4C-BC1C-040C3D2E0C69}"/>
    <cellStyle name="Normal 2 4 2 2 3 3" xfId="35873" xr:uid="{201A1729-FEA8-4BEF-881A-7FDB565CFE33}"/>
    <cellStyle name="Normal 2 4 2 2 4" xfId="35874" xr:uid="{5580BCF3-DCF0-4ECA-BD47-90506840C442}"/>
    <cellStyle name="Normal 2 4 2 2 4 2" xfId="35875" xr:uid="{423B5BE3-6141-446D-86AD-366531921F98}"/>
    <cellStyle name="Normal 2 4 2 2 4 2 2" xfId="29927" xr:uid="{1AC2B530-6A50-4BF6-B686-B58AD22677B4}"/>
    <cellStyle name="Normal 2 4 2 2 4 3" xfId="35876" xr:uid="{D2B98D6B-ABAA-4DE0-805F-84D0610F8D0E}"/>
    <cellStyle name="Normal 2 4 2 2 5" xfId="34382" xr:uid="{7F2B7F0D-8DE6-4732-A719-42AFA4EFD244}"/>
    <cellStyle name="Normal 2 4 2 2 5 2" xfId="35877" xr:uid="{5B641417-D521-4DCD-8836-CE8AA886A329}"/>
    <cellStyle name="Normal 2 4 2 2 6" xfId="35878" xr:uid="{0F610868-CF0A-4A04-8FBE-3D12005A5A0E}"/>
    <cellStyle name="Normal 2 4 2 3" xfId="35881" xr:uid="{66018D1A-B896-4882-A7A3-B5FC8F04FC5C}"/>
    <cellStyle name="Normal 2 4 2 3 2" xfId="35882" xr:uid="{CD79E01C-556C-4486-8A6B-46A6CA1828E2}"/>
    <cellStyle name="Normal 2 4 2 3 2 2" xfId="35883" xr:uid="{4FE10619-C460-4217-9C79-5BA02161FBA4}"/>
    <cellStyle name="Normal 2 4 2 3 2 2 2" xfId="35884" xr:uid="{0061CD70-914B-46D0-9289-C5ECB4EB908A}"/>
    <cellStyle name="Normal 2 4 2 3 2 3" xfId="35885" xr:uid="{A68A5BF3-B8C3-4E8A-AF02-0AF4AB2EED5F}"/>
    <cellStyle name="Normal 2 4 2 3 3" xfId="35886" xr:uid="{B4E20C3D-51B0-4392-A0A6-9302683DDD34}"/>
    <cellStyle name="Normal 2 4 2 3 3 2" xfId="1055" xr:uid="{3BA2D397-AB82-403B-B5E8-11AC30C40C0E}"/>
    <cellStyle name="Normal 2 4 2 3 3 2 2" xfId="35887" xr:uid="{574CBE4E-ED0D-42E4-82B8-0A09FA94F259}"/>
    <cellStyle name="Normal 2 4 2 3 3 3" xfId="1062" xr:uid="{133A3642-8A40-46C2-AD38-B6A21323FDC7}"/>
    <cellStyle name="Normal 2 4 2 3 4" xfId="35888" xr:uid="{CD8E54D5-096E-44C6-8385-EA74B24EA0B6}"/>
    <cellStyle name="Normal 2 4 2 3 4 2" xfId="35889" xr:uid="{75C56568-FBA9-437F-8586-DFDFDFD116A7}"/>
    <cellStyle name="Normal 2 4 2 3 5" xfId="21792" xr:uid="{5541967E-FAD7-4BB0-9DE6-BF1BDC60DA26}"/>
    <cellStyle name="Normal 2 4 2 4" xfId="35892" xr:uid="{15F972D3-8A16-4CE0-959A-D7AE42330ECB}"/>
    <cellStyle name="Normal 2 4 2 4 2" xfId="20533" xr:uid="{239371B1-AB31-4BF1-9E4D-A50DC50BF88A}"/>
    <cellStyle name="Normal 2 4 2 4 2 2" xfId="35893" xr:uid="{DCEC939D-DF51-48AF-9CBF-259415098F96}"/>
    <cellStyle name="Normal 2 4 2 4 3" xfId="35896" xr:uid="{76B24BF3-D69A-4220-9497-D7AC90EB8053}"/>
    <cellStyle name="Normal 2 4 2 5" xfId="35900" xr:uid="{5BC73A96-96A1-420D-8E86-12979FFBE1AE}"/>
    <cellStyle name="Normal 2 4 2 5 2" xfId="24880" xr:uid="{9B2A5FF3-B648-42F9-BB03-9EEF6D09ED27}"/>
    <cellStyle name="Normal 2 4 2 5 2 2" xfId="20429" xr:uid="{BD3B3DA2-D806-4612-89AD-BAC31E98AF99}"/>
    <cellStyle name="Normal 2 4 2 5 3" xfId="24886" xr:uid="{C42F9A8B-12FA-4413-A944-E7DB0569EDFF}"/>
    <cellStyle name="Normal 2 4 2 6" xfId="35903" xr:uid="{D1454861-24B6-407C-96E7-A91FB8864310}"/>
    <cellStyle name="Normal 2 4 2 6 2" xfId="25316" xr:uid="{F6FEBA34-61B8-46EF-82F2-B42D89DA26AF}"/>
    <cellStyle name="Normal 2 4 2 7" xfId="35906" xr:uid="{D75EFB76-5E9D-4489-9950-B26BB4BBED42}"/>
    <cellStyle name="Normal 2 4 20" xfId="332" xr:uid="{1C709EDE-BF6B-4B42-9E9F-67251A086415}"/>
    <cellStyle name="Normal 2 4 21" xfId="20461" xr:uid="{ADF43C4A-2D68-4D79-AB1E-D90864E04A19}"/>
    <cellStyle name="Normal 2 4 22" xfId="20465" xr:uid="{84B3C58B-2CCF-4972-8930-AB662A5C7F89}"/>
    <cellStyle name="Normal 2 4 23" xfId="20468" xr:uid="{4F4E8030-FC08-403B-9387-D1A150843E45}"/>
    <cellStyle name="Normal 2 4 24" xfId="35857" xr:uid="{9BEEA05F-A277-4E35-ABD6-53F79BF38150}"/>
    <cellStyle name="Normal 2 4 25" xfId="35907" xr:uid="{FC1BD8A6-26F4-436A-9D85-CB0DD83E52CF}"/>
    <cellStyle name="Normal 2 4 26" xfId="35859" xr:uid="{509FDB77-ADCD-437A-8599-BF704B837266}"/>
    <cellStyle name="Normal 2 4 27" xfId="35879" xr:uid="{96CAC9E4-DD40-4F78-BEE5-CAE26349BD4D}"/>
    <cellStyle name="Normal 2 4 28" xfId="35890" xr:uid="{D32F3A20-14BA-4EE6-AD59-274C13216E21}"/>
    <cellStyle name="Normal 2 4 29" xfId="35897" xr:uid="{4932131E-3EEB-4EB7-B46A-478E00CE6880}"/>
    <cellStyle name="Normal 2 4 3" xfId="35909" xr:uid="{5DB665AF-635E-4A98-A4B9-2DEB4058CE67}"/>
    <cellStyle name="Normal 2 4 3 2" xfId="35910" xr:uid="{8DC72919-51DE-4FFD-B6C7-DC365F1C6DD4}"/>
    <cellStyle name="Normal 2 4 3 3" xfId="35911" xr:uid="{A17196C8-2E9E-48F7-84D1-8A3A4B71CF9E}"/>
    <cellStyle name="Normal 2 4 30" xfId="35908" xr:uid="{B969182E-EAFB-44C5-A068-FED9BD524558}"/>
    <cellStyle name="Normal 2 4 31" xfId="35860" xr:uid="{13C06F75-B02B-4762-8ADC-0918107C1B02}"/>
    <cellStyle name="Normal 2 4 32" xfId="35880" xr:uid="{99D7DB48-5A3A-48F6-8E2B-35BB60EB4513}"/>
    <cellStyle name="Normal 2 4 33" xfId="35891" xr:uid="{B367FCC3-9C7C-4310-9D1F-1B08632E537F}"/>
    <cellStyle name="Normal 2 4 34" xfId="35898" xr:uid="{D4324512-1CC6-4BF0-8CFB-459F3BFB2A11}"/>
    <cellStyle name="Normal 2 4 35" xfId="35901" xr:uid="{7ED6F244-2099-4A4C-8DA7-CBEA7B62843C}"/>
    <cellStyle name="Normal 2 4 36" xfId="35904" xr:uid="{000DCE95-1B20-4CBA-84C3-73ADA4FEF924}"/>
    <cellStyle name="Normal 2 4 37" xfId="6573" xr:uid="{21411575-CF5C-47D3-98F3-188535F965C0}"/>
    <cellStyle name="Normal 2 4 38" xfId="4244" xr:uid="{89A1D605-48DD-483C-96E1-EC3A5AB12360}"/>
    <cellStyle name="Normal 2 4 39" xfId="35080" xr:uid="{EC532935-59AA-463E-A425-DD15387CDE14}"/>
    <cellStyle name="Normal 2 4 4" xfId="35912" xr:uid="{53927150-248D-4818-B1DE-EB85C2DAA0B6}"/>
    <cellStyle name="Normal 2 4 4 2" xfId="35913" xr:uid="{3D0ED04D-847B-4266-8387-51F1A12D2BF1}"/>
    <cellStyle name="Normal 2 4 40" xfId="35902" xr:uid="{C91F084C-29C4-46DF-9311-3A177789350A}"/>
    <cellStyle name="Normal 2 4 41" xfId="35905" xr:uid="{497F1A5D-A47C-409B-98DD-22722AFD9803}"/>
    <cellStyle name="Normal 2 4 42" xfId="6574" xr:uid="{E004196B-5A84-46E5-BAF2-C654957DA229}"/>
    <cellStyle name="Normal 2 4 43" xfId="4245" xr:uid="{DA790BC8-F781-46EC-B1D0-038E7FA92EBF}"/>
    <cellStyle name="Normal 2 4 44" xfId="35081" xr:uid="{D432727F-8F69-4E5E-BA15-D75DDEE58D27}"/>
    <cellStyle name="Normal 2 4 45" xfId="35084" xr:uid="{A1F68FAA-8FB7-4B58-8840-FFD2CB187E96}"/>
    <cellStyle name="Normal 2 4 46" xfId="35088" xr:uid="{2BB1CFA8-A953-4E60-844C-814B6728BECD}"/>
    <cellStyle name="Normal 2 4 47" xfId="35092" xr:uid="{DB0637E6-DBA7-4678-A3C2-A6075F4F82F3}"/>
    <cellStyle name="Normal 2 4 48" xfId="35096" xr:uid="{66C928D6-3384-4158-84E1-7C3417DF4458}"/>
    <cellStyle name="Normal 2 4 49" xfId="35100" xr:uid="{0068444D-9D9C-4779-8A90-CAF745764910}"/>
    <cellStyle name="Normal 2 4 5" xfId="35001" xr:uid="{F9241625-077F-4907-A1F7-F3EE561D3B19}"/>
    <cellStyle name="Normal 2 4 50" xfId="35085" xr:uid="{1B2D5EA3-EDCE-4C33-9B94-4E12C457DB06}"/>
    <cellStyle name="Normal 2 4 51" xfId="35089" xr:uid="{EA466DC6-1877-42A5-B0D7-7F8B1C299609}"/>
    <cellStyle name="Normal 2 4 52" xfId="35093" xr:uid="{255ED57D-360B-48F8-A0CB-72F07813BFEA}"/>
    <cellStyle name="Normal 2 4 53" xfId="35097" xr:uid="{7F120703-DE8A-4616-B859-D56D8C88EE89}"/>
    <cellStyle name="Normal 2 4 54" xfId="35101" xr:uid="{77C6C7F6-E7AC-4E5A-95B9-AE03EC9D77E8}"/>
    <cellStyle name="Normal 2 4 55" xfId="35104" xr:uid="{9CDE68C9-1467-4785-9652-9684A15960F2}"/>
    <cellStyle name="Normal 2 4 56" xfId="35107" xr:uid="{9477B8BC-1434-4CD5-9304-B54DED1FCD33}"/>
    <cellStyle name="Normal 2 4 57" xfId="35110" xr:uid="{B82BCCB9-0058-4104-A675-D7A31888DB2A}"/>
    <cellStyle name="Normal 2 4 58" xfId="20473" xr:uid="{0952E78F-235B-4B9D-A014-20B62047CEF4}"/>
    <cellStyle name="Normal 2 4 6" xfId="16124" xr:uid="{405EA596-3F8F-446D-9444-715997D82133}"/>
    <cellStyle name="Normal 2 4 7" xfId="35008" xr:uid="{6BF8DB73-7AB4-4222-97E4-28B254F6A46F}"/>
    <cellStyle name="Normal 2 4 8" xfId="35012" xr:uid="{65290CA3-7ADE-41E5-B049-B246EDC1388E}"/>
    <cellStyle name="Normal 2 4 9" xfId="25762" xr:uid="{3E38FACA-06AA-4867-B6D4-2A6282D9D2A3}"/>
    <cellStyle name="Normal 2 40" xfId="26456" xr:uid="{CE88744D-38C5-47F7-B7BB-ED426F3BC3F5}"/>
    <cellStyle name="Normal 2 40 2" xfId="1841" xr:uid="{C8B1C12B-E10F-43D0-934E-C2ECC64D13B5}"/>
    <cellStyle name="Normal 2 41" xfId="16164" xr:uid="{7E905FBE-8005-431D-955A-163E3CAF735A}"/>
    <cellStyle name="Normal 2 41 2" xfId="35842" xr:uid="{0B3CF3FF-0604-437A-9D0E-65C7FED87BCD}"/>
    <cellStyle name="Normal 2 42" xfId="35696" xr:uid="{1A8B2A63-43D5-481D-AC18-080CD8A780AA}"/>
    <cellStyle name="Normal 2 42 2" xfId="35701" xr:uid="{968E3FFC-2ABD-4D59-BF16-63812BAB5778}"/>
    <cellStyle name="Normal 2 43" xfId="35706" xr:uid="{F2FB7DDC-48C7-4E7A-8217-D2453236E6D5}"/>
    <cellStyle name="Normal 2 43 2" xfId="35845" xr:uid="{F722B205-EDD9-4E36-AB81-13BC9742CB53}"/>
    <cellStyle name="Normal 2 44" xfId="35850" xr:uid="{1A7B8A28-BC0C-4EB1-8D03-A92C048B3179}"/>
    <cellStyle name="Normal 2 44 2" xfId="35853" xr:uid="{725644AE-8968-467C-8697-DB16DB3A12A9}"/>
    <cellStyle name="Normal 2 45" xfId="35915" xr:uid="{44C0E0D2-29EB-4A2A-8337-535B2DE6599A}"/>
    <cellStyle name="Normal 2 45 2" xfId="35918" xr:uid="{1445311A-99C3-4383-AD73-565729EBF4C4}"/>
    <cellStyle name="Normal 2 46" xfId="35921" xr:uid="{84B6708F-CCBB-4DC0-9358-7D81D99BDEA5}"/>
    <cellStyle name="Normal 2 46 2" xfId="35923" xr:uid="{CA72714B-C1FC-4363-8D49-D8317EB36A29}"/>
    <cellStyle name="Normal 2 47" xfId="35926" xr:uid="{E3B49AA9-8CC0-47ED-8D49-17D359961D16}"/>
    <cellStyle name="Normal 2 47 2" xfId="35928" xr:uid="{5FE18F97-2523-436B-8689-D1CB90CBDB8C}"/>
    <cellStyle name="Normal 2 48" xfId="33980" xr:uid="{A127DC96-42EB-413F-850A-59FBE508DF2D}"/>
    <cellStyle name="Normal 2 48 2" xfId="33984" xr:uid="{8361480F-17F9-4267-ABC4-04C94328EAED}"/>
    <cellStyle name="Normal 2 49" xfId="29908" xr:uid="{E035C74F-99B6-409F-AB18-5425ED462DD1}"/>
    <cellStyle name="Normal 2 49 2" xfId="29912" xr:uid="{F120D68E-89D4-44EE-8528-1012EBD7B582}"/>
    <cellStyle name="Normal 2 5" xfId="35930" xr:uid="{55553A59-AEC0-4990-99D5-9F5E24E29239}"/>
    <cellStyle name="Normal 2 5 10" xfId="31486" xr:uid="{7D135963-7646-4AF2-97CD-ACC158509854}"/>
    <cellStyle name="Normal 2 5 11" xfId="31489" xr:uid="{210C4775-0401-4E05-8A1B-FB7E0FB3CE2F}"/>
    <cellStyle name="Normal 2 5 12" xfId="35932" xr:uid="{BF8EA875-0D95-442F-90EC-FF291256DD59}"/>
    <cellStyle name="Normal 2 5 13" xfId="35934" xr:uid="{58B72A23-A12C-406B-A107-794604CFCE34}"/>
    <cellStyle name="Normal 2 5 14" xfId="35935" xr:uid="{92296050-9CE9-4360-AF6D-F0A3FFF2F214}"/>
    <cellStyle name="Normal 2 5 15" xfId="33887" xr:uid="{D3BEC014-5B69-4E37-BC28-7D4E8058050C}"/>
    <cellStyle name="Normal 2 5 16" xfId="33893" xr:uid="{13AA61B1-5B5B-4FF4-9C8A-D24E0C2873C0}"/>
    <cellStyle name="Normal 2 5 17" xfId="33899" xr:uid="{4728A716-4059-4523-987F-CFD8F7A487F0}"/>
    <cellStyle name="Normal 2 5 18" xfId="34637" xr:uid="{20FBF502-D3D0-4CFC-9BF7-94D6AC43AC6F}"/>
    <cellStyle name="Normal 2 5 19" xfId="34655" xr:uid="{F1A9997F-648A-4050-806F-F2FCB37EC66D}"/>
    <cellStyle name="Normal 2 5 2" xfId="35211" xr:uid="{85E5CC81-6524-4C5C-B0C1-A69610891226}"/>
    <cellStyle name="Normal 2 5 2 2" xfId="17304" xr:uid="{A71A1A39-E137-419E-A6B9-468721845D2C}"/>
    <cellStyle name="Normal 2 5 2 2 2" xfId="17308" xr:uid="{C4C5878A-B57B-4EC6-9DEA-55D52C4B2EA0}"/>
    <cellStyle name="Normal 2 5 2 2 2 2" xfId="7033" xr:uid="{0283B88A-14DC-4DCC-8728-F2BA2935B52F}"/>
    <cellStyle name="Normal 2 5 2 2 2 2 2" xfId="873" xr:uid="{F3709432-F835-4847-AA51-9B38B64F8A32}"/>
    <cellStyle name="Normal 2 5 2 2 2 2 2 2" xfId="4709" xr:uid="{574E8879-4FB8-4A91-B6D5-4648C795C053}"/>
    <cellStyle name="Normal 2 5 2 2 2 2 3" xfId="4713" xr:uid="{F9D7431B-52B8-4828-B819-1829D2ED871F}"/>
    <cellStyle name="Normal 2 5 2 2 2 3" xfId="7037" xr:uid="{9213708F-6B0D-42DB-9B89-B0A81CD34ECC}"/>
    <cellStyle name="Normal 2 5 2 2 2 3 2" xfId="3864" xr:uid="{F5F21E45-3C41-409D-A70E-185F226AD49E}"/>
    <cellStyle name="Normal 2 5 2 2 2 3 2 2" xfId="8184" xr:uid="{49EB7D47-A480-44BB-A15D-6053B215E0EA}"/>
    <cellStyle name="Normal 2 5 2 2 2 3 3" xfId="5177" xr:uid="{70A76DA7-8526-453F-BD34-9235245644FE}"/>
    <cellStyle name="Normal 2 5 2 2 2 4" xfId="8321" xr:uid="{9CEF87CB-C3AF-42B3-B9A0-E3E970CD1637}"/>
    <cellStyle name="Normal 2 5 2 2 2 4 2" xfId="8329" xr:uid="{47818085-606B-4F3A-B609-727FB7C21CC7}"/>
    <cellStyle name="Normal 2 5 2 2 2 5" xfId="886" xr:uid="{06706B02-49FF-4005-A1DA-B5F0B7D86357}"/>
    <cellStyle name="Normal 2 5 2 2 3" xfId="17312" xr:uid="{2B8DC5FE-E670-4D6A-BF61-B159B39E52C5}"/>
    <cellStyle name="Normal 2 5 2 2 3 2" xfId="8936" xr:uid="{8847E8CF-D102-4E33-8168-ECBF9239A16E}"/>
    <cellStyle name="Normal 2 5 2 2 3 2 2" xfId="8938" xr:uid="{1DEDFBC2-824D-4017-A768-D1E4326CB89B}"/>
    <cellStyle name="Normal 2 5 2 2 3 3" xfId="9166" xr:uid="{AFD68250-CA2D-4DE0-9E9E-59D4418D01CD}"/>
    <cellStyle name="Normal 2 5 2 2 4" xfId="20712" xr:uid="{01990D7A-88C5-4BB9-BFC9-D1DD8DD7E988}"/>
    <cellStyle name="Normal 2 5 2 2 4 2" xfId="9668" xr:uid="{4EC6106A-4B78-48EB-BC23-F0216FA7FF0C}"/>
    <cellStyle name="Normal 2 5 2 2 4 2 2" xfId="9670" xr:uid="{D8F99040-BE32-472D-902F-1EDA6FAAFD17}"/>
    <cellStyle name="Normal 2 5 2 2 4 3" xfId="9818" xr:uid="{170CD20B-FE6C-4469-B56A-DDB3FBD74AD0}"/>
    <cellStyle name="Normal 2 5 2 2 5" xfId="35936" xr:uid="{3CD15B6D-F093-4237-8C9B-869F408300E7}"/>
    <cellStyle name="Normal 2 5 2 2 5 2" xfId="10049" xr:uid="{FA157AE3-AB2D-45F1-9D56-4A8940FDF227}"/>
    <cellStyle name="Normal 2 5 2 2 6" xfId="35937" xr:uid="{B44DF557-DE1C-4ACE-B6B4-FFC4BE7D9689}"/>
    <cellStyle name="Normal 2 5 2 3" xfId="17390" xr:uid="{D643CDA2-BA2F-4652-BB52-FA902FF397FD}"/>
    <cellStyle name="Normal 2 5 2 3 2" xfId="17392" xr:uid="{917B8B8C-9E8A-4CF1-A2F2-1186E21CC2B4}"/>
    <cellStyle name="Normal 2 5 2 3 2 2" xfId="11197" xr:uid="{FA0901C5-43E0-4BEE-8743-0CFE7491AD30}"/>
    <cellStyle name="Normal 2 5 2 3 2 2 2" xfId="11200" xr:uid="{976833D2-3E04-4EA9-863E-C757FFBA5A99}"/>
    <cellStyle name="Normal 2 5 2 3 2 3" xfId="11634" xr:uid="{FDE0F28F-BBDA-481B-8BEB-33351681AC33}"/>
    <cellStyle name="Normal 2 5 2 3 3" xfId="17394" xr:uid="{E942E101-A447-4D37-A258-31781D5E2997}"/>
    <cellStyle name="Normal 2 5 2 3 3 2" xfId="12492" xr:uid="{4FBDAD23-0B03-4131-839A-4F1506967DFB}"/>
    <cellStyle name="Normal 2 5 2 3 3 2 2" xfId="12494" xr:uid="{52572B49-8C28-41CB-891E-218FC90F64F0}"/>
    <cellStyle name="Normal 2 5 2 3 3 3" xfId="12729" xr:uid="{A2B03938-BE9A-4C68-8E29-5852175D2E76}"/>
    <cellStyle name="Normal 2 5 2 3 4" xfId="35938" xr:uid="{B00AE189-7531-4289-8B00-BCE164FBDF75}"/>
    <cellStyle name="Normal 2 5 2 3 4 2" xfId="13225" xr:uid="{9EEAFE99-BC6A-4D38-A735-8F2B429E1A9C}"/>
    <cellStyle name="Normal 2 5 2 3 5" xfId="35939" xr:uid="{8F4C4162-4965-4994-B8EE-53A409DDC743}"/>
    <cellStyle name="Normal 2 5 2 4" xfId="17441" xr:uid="{6AE0C133-C9B0-459F-9C41-97E9890ACF5F}"/>
    <cellStyle name="Normal 2 5 2 4 2" xfId="17443" xr:uid="{725CAE2F-0EFD-4CE2-A6D8-ECEE0A63AC81}"/>
    <cellStyle name="Normal 2 5 2 4 2 2" xfId="14419" xr:uid="{85862383-9997-47AA-90DC-A5F8819A285E}"/>
    <cellStyle name="Normal 2 5 2 4 3" xfId="17445" xr:uid="{5A917B9A-E7D2-4600-B385-29972187AC7E}"/>
    <cellStyle name="Normal 2 5 2 5" xfId="17493" xr:uid="{8997CB5D-A1D5-45EB-8D18-0F27CBB59D80}"/>
    <cellStyle name="Normal 2 5 2 5 2" xfId="17496" xr:uid="{6D9D4A83-0E4C-4C7C-AEF8-44E8CA863620}"/>
    <cellStyle name="Normal 2 5 2 5 2 2" xfId="30311" xr:uid="{3E9750DA-34B9-4E76-B885-CCA96F4FF632}"/>
    <cellStyle name="Normal 2 5 2 5 3" xfId="17501" xr:uid="{2DCD14AE-7E95-4EC3-8325-B1D3EA2D633E}"/>
    <cellStyle name="Normal 2 5 2 6" xfId="17545" xr:uid="{0BB3A058-43F1-461B-9F71-621CB24CE793}"/>
    <cellStyle name="Normal 2 5 2 6 2" xfId="17548" xr:uid="{2518072E-2B14-423C-8E18-7D5CEAA3F035}"/>
    <cellStyle name="Normal 2 5 2 7" xfId="17604" xr:uid="{99AF1E95-2990-4231-B686-00ECA568E408}"/>
    <cellStyle name="Normal 2 5 20" xfId="33888" xr:uid="{9CA4DED1-966C-4430-9431-264087DE3225}"/>
    <cellStyle name="Normal 2 5 21" xfId="33894" xr:uid="{C81186D7-8868-4840-8D2B-5BAC188D093F}"/>
    <cellStyle name="Normal 2 5 22" xfId="33900" xr:uid="{F47EEF95-4172-4D2D-B925-05F90764AB7F}"/>
    <cellStyle name="Normal 2 5 23" xfId="34638" xr:uid="{8BD88014-ECAB-4749-B890-5280D7630490}"/>
    <cellStyle name="Normal 2 5 24" xfId="34656" xr:uid="{7BDEAC01-CCF9-47AC-96BF-8E4C573F254C}"/>
    <cellStyle name="Normal 2 5 25" xfId="34669" xr:uid="{EED16640-63C1-4647-8029-F7E1752B0669}"/>
    <cellStyle name="Normal 2 5 26" xfId="34673" xr:uid="{13CB8CDA-982D-49C2-975B-C89C944F732F}"/>
    <cellStyle name="Normal 2 5 27" xfId="15037" xr:uid="{0243D2CC-AC26-437F-A5F9-54142CFC715A}"/>
    <cellStyle name="Normal 2 5 28" xfId="15048" xr:uid="{C77A4403-F246-47D2-977D-23E753A7F634}"/>
    <cellStyle name="Normal 2 5 29" xfId="15056" xr:uid="{DF78B71E-4FB4-4BB7-BF44-F1F57F3C9CFE}"/>
    <cellStyle name="Normal 2 5 3" xfId="35215" xr:uid="{7DB62CA2-4F3B-4F77-A79F-3E2EEBCDF690}"/>
    <cellStyle name="Normal 2 5 3 2" xfId="25039" xr:uid="{E6E3B12A-9365-455F-8629-97B5B0F9FA79}"/>
    <cellStyle name="Normal 2 5 30" xfId="34670" xr:uid="{089CED3E-F614-46F3-9085-E7758AF074D6}"/>
    <cellStyle name="Normal 2 5 31" xfId="34674" xr:uid="{D172104F-63AC-455B-8CB3-ED890D94609F}"/>
    <cellStyle name="Normal 2 5 32" xfId="15038" xr:uid="{9D23B518-0C50-4F21-9B80-88E7A75D8E26}"/>
    <cellStyle name="Normal 2 5 33" xfId="15049" xr:uid="{A2EAC00A-12A0-4ECE-98BC-86C0D5D2777A}"/>
    <cellStyle name="Normal 2 5 34" xfId="15057" xr:uid="{5620ABC4-69DC-4A88-9720-E95D008409AC}"/>
    <cellStyle name="Normal 2 5 35" xfId="30491" xr:uid="{BC0A5F69-5A82-4786-AD41-720C80E648CF}"/>
    <cellStyle name="Normal 2 5 36" xfId="31058" xr:uid="{BC83D8B2-A3BB-44E7-B8E1-6ABD72720F1D}"/>
    <cellStyle name="Normal 2 5 37" xfId="31064" xr:uid="{9F51B2FA-254F-4047-9D84-E014408CA487}"/>
    <cellStyle name="Normal 2 5 38" xfId="35382" xr:uid="{F1EAA43B-44AF-49C9-890D-9904949F8D9C}"/>
    <cellStyle name="Normal 2 5 39" xfId="35182" xr:uid="{5D907EC4-E64C-4D19-96F4-E7A440E50108}"/>
    <cellStyle name="Normal 2 5 4" xfId="35220" xr:uid="{2BC3DF80-4AE1-4F7A-ACAD-D45B09BED076}"/>
    <cellStyle name="Normal 2 5 40" xfId="30492" xr:uid="{3E550683-558A-48C0-99F3-2A5541F4C791}"/>
    <cellStyle name="Normal 2 5 41" xfId="31059" xr:uid="{CE7E3A94-F1FC-4C9B-B2BF-17F844CF93CB}"/>
    <cellStyle name="Normal 2 5 42" xfId="31065" xr:uid="{B8FF56C2-254B-4DD4-B24E-8C3E922E60A6}"/>
    <cellStyle name="Normal 2 5 43" xfId="35383" xr:uid="{F922A2A3-A201-4317-BFD6-27FD1387A0E5}"/>
    <cellStyle name="Normal 2 5 44" xfId="35183" xr:uid="{8BF63965-73A2-40BA-A9A9-4B1E35C2B15B}"/>
    <cellStyle name="Normal 2 5 45" xfId="31495" xr:uid="{924F3564-BAC9-4420-B20C-FC9C19B31F4B}"/>
    <cellStyle name="Normal 2 5 46" xfId="31518" xr:uid="{8B852BCD-956C-4C41-B412-027076B49585}"/>
    <cellStyle name="Normal 2 5 47" xfId="8361" xr:uid="{2564A4B2-8CDF-4C97-90C7-5F755BC4E1CE}"/>
    <cellStyle name="Normal 2 5 48" xfId="6689" xr:uid="{63DBC527-7472-4638-ACD3-4922A9F498F8}"/>
    <cellStyle name="Normal 2 5 49" xfId="31530" xr:uid="{6FCEAC0D-4728-4F86-AA87-C1CC9E8E1D90}"/>
    <cellStyle name="Normal 2 5 5" xfId="35247" xr:uid="{35624753-CF24-42B5-9429-C9F09124C437}"/>
    <cellStyle name="Normal 2 5 50" xfId="31496" xr:uid="{2012F5C8-B3FF-410B-87BF-FC6C7D65B4D6}"/>
    <cellStyle name="Normal 2 5 51" xfId="31519" xr:uid="{0689D1D2-5550-4D56-AF40-ADCDD8B8E3E1}"/>
    <cellStyle name="Normal 2 5 52" xfId="8362" xr:uid="{21A94DF1-9778-47A2-AC15-F40B8E27067F}"/>
    <cellStyle name="Normal 2 5 6" xfId="35251" xr:uid="{425C0972-A193-436A-8EE1-1C24A497475D}"/>
    <cellStyle name="Normal 2 5 7" xfId="35257" xr:uid="{45A7CE6B-FA85-4D92-9B47-31618784342C}"/>
    <cellStyle name="Normal 2 5 8" xfId="35264" xr:uid="{FF8EB301-C9E6-4828-889B-DB17DE9F7521}"/>
    <cellStyle name="Normal 2 5 9" xfId="25777" xr:uid="{328605B0-5093-4878-8EA1-55796EB7D9B0}"/>
    <cellStyle name="Normal 2 50" xfId="35916" xr:uid="{E3C22C5C-0EDB-492E-8D44-2C8A6D6B52D6}"/>
    <cellStyle name="Normal 2 50 2" xfId="35919" xr:uid="{E286FAD3-EC71-48B3-BA58-3695B8D5A1D0}"/>
    <cellStyle name="Normal 2 51" xfId="35922" xr:uid="{B6266DDD-F312-47BB-AB02-1A614387143A}"/>
    <cellStyle name="Normal 2 51 2" xfId="35924" xr:uid="{A7471A54-92E6-41B1-8E6F-CF8471B23964}"/>
    <cellStyle name="Normal 2 52" xfId="35927" xr:uid="{E34E9C10-1D73-4FAC-943B-E3FC02BB3F3B}"/>
    <cellStyle name="Normal 2 52 2" xfId="35929" xr:uid="{C351C8E5-E5E4-42E9-8566-C0A3CA8D5E6D}"/>
    <cellStyle name="Normal 2 53" xfId="33981" xr:uid="{C0D61AE9-C003-45CD-8C5A-40D7B4725017}"/>
    <cellStyle name="Normal 2 53 2" xfId="33985" xr:uid="{1EB9260C-20B9-45F5-8713-DC7D712C5971}"/>
    <cellStyle name="Normal 2 54" xfId="29909" xr:uid="{4217BE7D-33F8-4718-AF33-89870F71D611}"/>
    <cellStyle name="Normal 2 54 2" xfId="29913" xr:uid="{EA4465C2-6B52-40A3-9B8B-2E56E53B24A1}"/>
    <cellStyle name="Normal 2 55" xfId="6577" xr:uid="{02673DB0-31EC-464D-83A4-3DBBBF2595FC}"/>
    <cellStyle name="Normal 2 55 2" xfId="6581" xr:uid="{FC7120D7-39FF-474F-AB28-53BD1BE808AB}"/>
    <cellStyle name="Normal 2 56" xfId="6587" xr:uid="{4697143B-8510-434F-A216-27DFD647C8A7}"/>
    <cellStyle name="Normal 2 56 2" xfId="6590" xr:uid="{AA9AD5A2-C62A-4CEC-BC96-B20D4DCF77E9}"/>
    <cellStyle name="Normal 2 57" xfId="2114" xr:uid="{B951A55C-A240-480D-9975-AA271B08B976}"/>
    <cellStyle name="Normal 2 57 2" xfId="6595" xr:uid="{51116499-8ADA-4690-9681-7DA103A0A283}"/>
    <cellStyle name="Normal 2 58" xfId="6598" xr:uid="{9EA0D3AB-8DBB-47B7-8819-CF5C4A9FC1B7}"/>
    <cellStyle name="Normal 2 58 2" xfId="17659" xr:uid="{E702CFE3-57F2-482F-9E14-0732E386BD9F}"/>
    <cellStyle name="Normal 2 59" xfId="35940" xr:uid="{6951FF00-A750-4413-8E06-692DA8D4EDD6}"/>
    <cellStyle name="Normal 2 59 2" xfId="25179" xr:uid="{ED848245-EC48-4B03-836C-ECAEB219AEA6}"/>
    <cellStyle name="Normal 2 6" xfId="21317" xr:uid="{0172053E-F1CB-4B25-99A5-D65B4C1B47A3}"/>
    <cellStyle name="Normal 2 6 10" xfId="35942" xr:uid="{221D8F15-AB5F-49F4-A5C8-AE00592FEF74}"/>
    <cellStyle name="Normal 2 6 11" xfId="35943" xr:uid="{07375FF2-4396-431D-BDA1-4651A9687229}"/>
    <cellStyle name="Normal 2 6 12" xfId="12805" xr:uid="{766EDAD3-41EA-4FCE-88CF-0208E61AEE15}"/>
    <cellStyle name="Normal 2 6 13" xfId="35944" xr:uid="{79774537-657E-43CF-ABE9-C41A82D9DEAB}"/>
    <cellStyle name="Normal 2 6 14" xfId="35945" xr:uid="{93E0B9D5-A327-4103-9FD0-E63691714541}"/>
    <cellStyle name="Normal 2 6 15" xfId="34803" xr:uid="{7017B869-C376-4603-A0F3-411E1D091D19}"/>
    <cellStyle name="Normal 2 6 16" xfId="34809" xr:uid="{2B5BFDCA-B3C5-4139-BE26-4BC401986FB7}"/>
    <cellStyle name="Normal 2 6 17" xfId="35946" xr:uid="{BC6141A9-72DB-43F6-B44C-28A4FEA064C4}"/>
    <cellStyle name="Normal 2 6 18" xfId="35948" xr:uid="{426D5C0C-5A5A-4453-8AE8-1DC99EEEB3A1}"/>
    <cellStyle name="Normal 2 6 19" xfId="31913" xr:uid="{F4B8EF7E-96F7-4AC1-B034-264D892F7360}"/>
    <cellStyle name="Normal 2 6 2" xfId="35396" xr:uid="{E6349BB0-5461-4855-81C6-79AC921BF67F}"/>
    <cellStyle name="Normal 2 6 2 2" xfId="35950" xr:uid="{5CCA2718-286A-4B13-85DE-272CA5166211}"/>
    <cellStyle name="Normal 2 6 2 2 2" xfId="35951" xr:uid="{5C1EC47E-E912-458B-938E-222186BAA14C}"/>
    <cellStyle name="Normal 2 6 2 2 2 2" xfId="35952" xr:uid="{CE570327-CBE9-41C2-8C15-78939DBC38F3}"/>
    <cellStyle name="Normal 2 6 2 2 2 2 2" xfId="35953" xr:uid="{964DF36D-01BF-4AB2-B327-AFC885D8DABA}"/>
    <cellStyle name="Normal 2 6 2 2 2 2 2 2" xfId="35954" xr:uid="{04135C0D-46A7-4216-83CB-D442D9624649}"/>
    <cellStyle name="Normal 2 6 2 2 2 2 3" xfId="35956" xr:uid="{A85521E0-BA2F-4922-AECE-86EB2D434DFF}"/>
    <cellStyle name="Normal 2 6 2 2 2 3" xfId="35957" xr:uid="{BF38DC87-B7E9-499E-AF04-BC8B951CDCF4}"/>
    <cellStyle name="Normal 2 6 2 2 2 3 2" xfId="35958" xr:uid="{BB6261ED-052C-40D1-BDF2-AD622290F169}"/>
    <cellStyle name="Normal 2 6 2 2 2 3 2 2" xfId="35959" xr:uid="{F9CD7106-FC5E-402F-B46B-B764C29C8FF9}"/>
    <cellStyle name="Normal 2 6 2 2 2 3 3" xfId="35960" xr:uid="{3C425F2B-D4AE-43F7-90AF-390FE62DED9B}"/>
    <cellStyle name="Normal 2 6 2 2 2 4" xfId="22240" xr:uid="{B910BA85-5AC0-49C0-BE97-7854715C8262}"/>
    <cellStyle name="Normal 2 6 2 2 2 4 2" xfId="26918" xr:uid="{84AE03F6-30B1-493E-B88E-475C729D4D6E}"/>
    <cellStyle name="Normal 2 6 2 2 2 5" xfId="26920" xr:uid="{5B689E0E-EE99-4E97-857A-DB6AA624C455}"/>
    <cellStyle name="Normal 2 6 2 2 3" xfId="11265" xr:uid="{197E2DD6-F177-4AA3-BD13-C09DE99D8C8C}"/>
    <cellStyle name="Normal 2 6 2 2 3 2" xfId="35961" xr:uid="{CE87E439-A107-4BA8-8982-8F2322B25113}"/>
    <cellStyle name="Normal 2 6 2 2 3 2 2" xfId="35962" xr:uid="{D0357564-88A0-4911-B96A-FF371C1BC1B1}"/>
    <cellStyle name="Normal 2 6 2 2 3 3" xfId="35963" xr:uid="{FE8E5B98-D305-4BF4-8DA2-DF150C9466A7}"/>
    <cellStyle name="Normal 2 6 2 2 4" xfId="35964" xr:uid="{7A9A6E32-C5EE-408A-97F3-BCC54B73E184}"/>
    <cellStyle name="Normal 2 6 2 2 4 2" xfId="35965" xr:uid="{C2B851FA-448D-4BAA-A344-DD5AED724AB3}"/>
    <cellStyle name="Normal 2 6 2 2 4 2 2" xfId="35966" xr:uid="{A0E95CD4-4BD7-4FD7-8EDA-774DF34E5BBF}"/>
    <cellStyle name="Normal 2 6 2 2 4 3" xfId="35967" xr:uid="{0ACBE931-8825-45E1-8CF9-961E62DDF7C8}"/>
    <cellStyle name="Normal 2 6 2 2 5" xfId="20122" xr:uid="{917EA5DF-E9F1-4F96-A929-8755B3807AB8}"/>
    <cellStyle name="Normal 2 6 2 2 5 2" xfId="21045" xr:uid="{DB508700-ABC7-4FC4-A6EF-CF3A95F12F5C}"/>
    <cellStyle name="Normal 2 6 2 2 6" xfId="26436" xr:uid="{69403C9E-E75C-49E4-A026-447510DB41A7}"/>
    <cellStyle name="Normal 2 6 2 3" xfId="35968" xr:uid="{31E79586-25EB-4017-AEE7-BE343E2B4AC8}"/>
    <cellStyle name="Normal 2 6 2 3 2" xfId="35969" xr:uid="{08477ABC-897E-4C1F-9C00-737B7620A7B0}"/>
    <cellStyle name="Normal 2 6 2 3 2 2" xfId="35970" xr:uid="{79A6E243-3366-40EB-B28B-D641C56DB0C0}"/>
    <cellStyle name="Normal 2 6 2 3 2 2 2" xfId="35972" xr:uid="{62AC0080-2DCE-4923-A46F-19DCD1592A5E}"/>
    <cellStyle name="Normal 2 6 2 3 2 3" xfId="35973" xr:uid="{24BA3356-D29E-4BC7-9B0A-5DEFDC5AFBCE}"/>
    <cellStyle name="Normal 2 6 2 3 3" xfId="35974" xr:uid="{5A65BF98-F363-4211-8614-F58AB60D7CE5}"/>
    <cellStyle name="Normal 2 6 2 3 3 2" xfId="35975" xr:uid="{3595E877-0DB9-44F9-AF9E-92E2B455EA0E}"/>
    <cellStyle name="Normal 2 6 2 3 3 2 2" xfId="35976" xr:uid="{D6F63AF6-4DFE-4523-8F3F-5AC09A3CEB41}"/>
    <cellStyle name="Normal 2 6 2 3 3 3" xfId="35977" xr:uid="{2CE636CF-4EE7-4DED-B5AC-D4C93627E267}"/>
    <cellStyle name="Normal 2 6 2 3 4" xfId="35978" xr:uid="{C707617B-5209-4B0D-A589-64003F5ABF06}"/>
    <cellStyle name="Normal 2 6 2 3 4 2" xfId="35979" xr:uid="{4B45DE7A-2531-4A53-A0A4-1A6577266310}"/>
    <cellStyle name="Normal 2 6 2 3 5" xfId="35980" xr:uid="{99CC1E23-71D8-49FC-9031-FB6A01135885}"/>
    <cellStyle name="Normal 2 6 2 4" xfId="35981" xr:uid="{4B812455-56A2-49D8-8DCE-C482EE3330C9}"/>
    <cellStyle name="Normal 2 6 2 4 2" xfId="35982" xr:uid="{9BBE92D0-7819-4A7E-AC52-5B568EB1B811}"/>
    <cellStyle name="Normal 2 6 2 4 2 2" xfId="35983" xr:uid="{826393EB-49C3-46CA-9720-E9C40286F548}"/>
    <cellStyle name="Normal 2 6 2 4 3" xfId="35984" xr:uid="{CFA8CFA5-A42B-4E10-B60F-CBBD02B7BA5F}"/>
    <cellStyle name="Normal 2 6 2 5" xfId="30318" xr:uid="{BD01A9CB-6C84-4A40-8182-1E0CB5741B6E}"/>
    <cellStyle name="Normal 2 6 2 5 2" xfId="30320" xr:uid="{342CC623-D170-4CF9-AA3F-B151418ED377}"/>
    <cellStyle name="Normal 2 6 2 5 2 2" xfId="35985" xr:uid="{1D3A6CEB-D37B-421F-AEB0-92DE4B45A717}"/>
    <cellStyle name="Normal 2 6 2 5 3" xfId="35986" xr:uid="{17AE0A6D-52F8-4759-8029-724036FAB29F}"/>
    <cellStyle name="Normal 2 6 2 6" xfId="30322" xr:uid="{1ED92173-89B7-4C43-B469-D3E54EB32E93}"/>
    <cellStyle name="Normal 2 6 2 6 2" xfId="35987" xr:uid="{A8865EA3-52CC-4B9A-A94C-3D7A0AA090B8}"/>
    <cellStyle name="Normal 2 6 2 7" xfId="35988" xr:uid="{A7CF9C23-CCF5-422E-B85D-AC4D4111D4BD}"/>
    <cellStyle name="Normal 2 6 20" xfId="34804" xr:uid="{9E2D200A-582F-4288-9986-A889E88ACA9D}"/>
    <cellStyle name="Normal 2 6 21" xfId="34810" xr:uid="{15E81D17-00AE-4533-A973-964521345729}"/>
    <cellStyle name="Normal 2 6 22" xfId="35947" xr:uid="{3624734B-5873-439A-8DB6-5CD580DAA37E}"/>
    <cellStyle name="Normal 2 6 23" xfId="35949" xr:uid="{6A8D92B8-4AD2-4338-B174-EDD97DCCF2C3}"/>
    <cellStyle name="Normal 2 6 24" xfId="31914" xr:uid="{4D0CEDA7-8DC1-410F-BF22-53ABDAD2581D}"/>
    <cellStyle name="Normal 2 6 25" xfId="35989" xr:uid="{6379503F-3780-4043-8D21-75445888421E}"/>
    <cellStyle name="Normal 2 6 26" xfId="1759" xr:uid="{5E9DE201-AD4A-474D-ACB5-00802A7D36A4}"/>
    <cellStyle name="Normal 2 6 27" xfId="1765" xr:uid="{CD063F44-6C64-4F2D-9E47-9F5C9BE2242E}"/>
    <cellStyle name="Normal 2 6 28" xfId="35991" xr:uid="{36588263-B84E-40C1-975C-9943E8550FB0}"/>
    <cellStyle name="Normal 2 6 29" xfId="35993" xr:uid="{052B5655-0C2C-4D00-9615-F08881CA914A}"/>
    <cellStyle name="Normal 2 6 3" xfId="35401" xr:uid="{0F736512-25FC-49E6-AD54-D4468508E6DE}"/>
    <cellStyle name="Normal 2 6 3 2" xfId="35995" xr:uid="{DF0D719F-57BE-4FB7-9551-9A3B3DFEFA11}"/>
    <cellStyle name="Normal 2 6 30" xfId="35990" xr:uid="{66D59787-9526-448B-9BA6-8E7649A6775F}"/>
    <cellStyle name="Normal 2 6 31" xfId="1760" xr:uid="{9506D95E-134B-45A9-B086-5833E417F116}"/>
    <cellStyle name="Normal 2 6 32" xfId="1766" xr:uid="{AB5BE9CE-D10B-42B7-AE9A-41B3892C1A30}"/>
    <cellStyle name="Normal 2 6 33" xfId="35992" xr:uid="{13DB4473-F4C9-40C1-9C90-00E0787C366B}"/>
    <cellStyle name="Normal 2 6 34" xfId="35994" xr:uid="{8E7C7EEA-7458-4B57-844F-1E35027DB882}"/>
    <cellStyle name="Normal 2 6 35" xfId="35996" xr:uid="{FC8A53A0-7AEB-4386-8073-6B07DA1BAB41}"/>
    <cellStyle name="Normal 2 6 36" xfId="28575" xr:uid="{EEFCA8DB-2A40-4EF0-9EB6-94672E6E3A55}"/>
    <cellStyle name="Normal 2 6 37" xfId="14006" xr:uid="{AFE1D6A8-B21B-4C8A-B2B8-3F8AC9785735}"/>
    <cellStyle name="Normal 2 6 38" xfId="35999" xr:uid="{F34D52B9-B1E3-470F-81E4-A9C5A071946E}"/>
    <cellStyle name="Normal 2 6 39" xfId="35223" xr:uid="{FD51392E-ED6C-485F-8750-54BFC61EC742}"/>
    <cellStyle name="Normal 2 6 4" xfId="35406" xr:uid="{FC2C9524-DFC6-4900-BB67-697576E801BA}"/>
    <cellStyle name="Normal 2 6 40" xfId="35997" xr:uid="{B93ACC29-3109-42DC-B373-A633454EEAD7}"/>
    <cellStyle name="Normal 2 6 41" xfId="28576" xr:uid="{089BFA23-B7E6-47FE-BF2C-2D178A5F3537}"/>
    <cellStyle name="Normal 2 6 42" xfId="14007" xr:uid="{42610ED8-5CF0-4ADF-B19B-211486EB4D04}"/>
    <cellStyle name="Normal 2 6 43" xfId="36000" xr:uid="{EB9613B5-2E02-4E57-8815-04153C9A0239}"/>
    <cellStyle name="Normal 2 6 44" xfId="35224" xr:uid="{813B9E46-2B90-4A9D-B865-E847D428C38E}"/>
    <cellStyle name="Normal 2 6 45" xfId="8222" xr:uid="{2F0EE199-4ADE-4AD7-8A3E-73C8578A6D75}"/>
    <cellStyle name="Normal 2 6 46" xfId="33677" xr:uid="{BC4ACEC1-D765-4223-9ED9-6BE1BD227828}"/>
    <cellStyle name="Normal 2 6 47" xfId="35226" xr:uid="{6DE88000-AA86-4415-86E8-2DD61F7018DB}"/>
    <cellStyle name="Normal 2 6 48" xfId="35228" xr:uid="{2D2EFEE4-E349-42E8-B6C8-C232DD089733}"/>
    <cellStyle name="Normal 2 6 49" xfId="35230" xr:uid="{F7B944D3-3F49-4C56-A969-43C6D762C63B}"/>
    <cellStyle name="Normal 2 6 5" xfId="35422" xr:uid="{62B9F8B8-648D-42E7-B648-CD8D68C5C6E1}"/>
    <cellStyle name="Normal 2 6 50" xfId="8223" xr:uid="{FD3EE5D4-8DBA-4586-8D1D-C010E782D886}"/>
    <cellStyle name="Normal 2 6 6" xfId="35426" xr:uid="{5392B215-8B69-44C0-83CD-25445C584911}"/>
    <cellStyle name="Normal 2 6 7" xfId="35430" xr:uid="{F7251FA6-C8AB-4090-923E-A76AFB156602}"/>
    <cellStyle name="Normal 2 6 8" xfId="14816" xr:uid="{898053E9-DA8A-4F0D-AB8E-2830594B6BB3}"/>
    <cellStyle name="Normal 2 6 9" xfId="14822" xr:uid="{3965C802-1BA0-41DA-802C-670ECA74F07F}"/>
    <cellStyle name="Normal 2 60" xfId="6578" xr:uid="{733055C8-66CC-48D0-B041-3B0E1C25CE5C}"/>
    <cellStyle name="Normal 2 60 2" xfId="6582" xr:uid="{6D22C4C2-8560-4F10-9582-29C6B7BF7729}"/>
    <cellStyle name="Normal 2 61" xfId="6588" xr:uid="{F2FB21E2-A389-414F-88D8-55437313F525}"/>
    <cellStyle name="Normal 2 61 2" xfId="6591" xr:uid="{E64909C1-B7D6-4721-8395-BC554086E2E3}"/>
    <cellStyle name="Normal 2 61 2 2" xfId="6282" xr:uid="{DF163DB5-CF0F-4FAB-B467-E800672B048D}"/>
    <cellStyle name="Normal 2 61 3" xfId="6593" xr:uid="{05311210-2D70-4E1D-A823-1CAA3848EEEF}"/>
    <cellStyle name="Normal 2 61 4" xfId="36001" xr:uid="{E8EC5859-72B3-4A20-8EF8-79BE2F115232}"/>
    <cellStyle name="Normal 2 61 5" xfId="36002" xr:uid="{A9D1656C-F259-4203-B6E1-B1FF31959A0E}"/>
    <cellStyle name="Normal 2 61 5 2" xfId="7602" xr:uid="{551530C1-CC41-4D55-B06C-2EE2AB113B97}"/>
    <cellStyle name="Normal 2 61 6" xfId="36003" xr:uid="{24FFB58D-7E98-4708-8B60-222C2876489F}"/>
    <cellStyle name="Normal 2 61 7" xfId="36004" xr:uid="{C2A578D2-7B6C-4B45-BAD8-0BFC75C2851B}"/>
    <cellStyle name="Normal 2 61 8" xfId="26198" xr:uid="{5704578C-D7EA-44A7-A122-4DE733E892C3}"/>
    <cellStyle name="Normal 2 62" xfId="2115" xr:uid="{D92708B1-1512-41E6-AB1B-155523D1A315}"/>
    <cellStyle name="Normal 2 62 2" xfId="6596" xr:uid="{11F77702-FCD1-45D7-BE06-E1E5B438F3EB}"/>
    <cellStyle name="Normal 2 63" xfId="6599" xr:uid="{9B9EFAED-0552-434A-BD25-5B9753E0F929}"/>
    <cellStyle name="Normal 2 63 2" xfId="17660" xr:uid="{570468D3-CAFD-4DBD-83C3-EF20BFEAF212}"/>
    <cellStyle name="Normal 2 64" xfId="35941" xr:uid="{97337ECA-8B2C-4720-9790-4821D043D836}"/>
    <cellStyle name="Normal 2 64 2" xfId="25180" xr:uid="{380CF318-D1E3-445B-890A-9DD8B781BA97}"/>
    <cellStyle name="Normal 2 65" xfId="36005" xr:uid="{BA7907B1-E3B5-42B4-AF7E-2EA80DBB8924}"/>
    <cellStyle name="Normal 2 65 2" xfId="15105" xr:uid="{8DD245AF-051A-4E60-8859-9E772D7F31C4}"/>
    <cellStyle name="Normal 2 66" xfId="36007" xr:uid="{DC1F0C77-2C2B-4970-BB43-7E7D7833CD58}"/>
    <cellStyle name="Normal 2 66 2" xfId="35664" xr:uid="{C20364B7-0886-46E0-8BDB-A671DFA56028}"/>
    <cellStyle name="Normal 2 67" xfId="36009" xr:uid="{4FB83DE1-F43A-4113-B71D-37E0AC74337B}"/>
    <cellStyle name="Normal 2 67 2" xfId="30618" xr:uid="{A15020C9-4B64-49AF-82A5-F58B8A509957}"/>
    <cellStyle name="Normal 2 68" xfId="3469" xr:uid="{B76F7218-CD8E-4168-BE45-C136E715F804}"/>
    <cellStyle name="Normal 2 68 2" xfId="25662" xr:uid="{BDE08A5F-78E9-47A0-A515-63AF2363E6A6}"/>
    <cellStyle name="Normal 2 69" xfId="36011" xr:uid="{4826CA70-E385-40A9-8754-F1AF1A37BE65}"/>
    <cellStyle name="Normal 2 69 2" xfId="25905" xr:uid="{69200C0D-339B-4916-8EF0-066F0C88D77F}"/>
    <cellStyle name="Normal 2 7" xfId="9242" xr:uid="{04EA9F12-E1A5-4139-8998-44294760E45C}"/>
    <cellStyle name="Normal 2 7 10" xfId="6036" xr:uid="{93651361-C626-46C9-8511-A52B14C1C1F6}"/>
    <cellStyle name="Normal 2 7 11" xfId="6057" xr:uid="{C7786B86-56E8-4643-8946-2279BB4107A2}"/>
    <cellStyle name="Normal 2 7 12" xfId="6066" xr:uid="{321F37EF-2009-426B-B749-1EE0D09B809A}"/>
    <cellStyle name="Normal 2 7 13" xfId="6073" xr:uid="{A09AF7F3-57B4-4BCD-80F9-DBCE50760446}"/>
    <cellStyle name="Normal 2 7 14" xfId="4912" xr:uid="{32C4EBEA-3894-4254-8B56-A2556B07E671}"/>
    <cellStyle name="Normal 2 7 15" xfId="13203" xr:uid="{0ADB6B84-C013-4C60-A43C-5E1038D54875}"/>
    <cellStyle name="Normal 2 7 16" xfId="20422" xr:uid="{E2EA2D2C-7402-431D-8683-555DBCA714B5}"/>
    <cellStyle name="Normal 2 7 17" xfId="20436" xr:uid="{5471258D-1CC5-4788-B3BA-F22AF19A0FF7}"/>
    <cellStyle name="Normal 2 7 18" xfId="20441" xr:uid="{5A065472-0D6F-4355-AAF1-57B27238424D}"/>
    <cellStyle name="Normal 2 7 19" xfId="8608" xr:uid="{70E98B8C-BF4D-4FA7-92FF-A38E879A8539}"/>
    <cellStyle name="Normal 2 7 2" xfId="9244" xr:uid="{B958423D-CB47-4B5A-BF5A-B459465BA84C}"/>
    <cellStyle name="Normal 2 7 2 2" xfId="36013" xr:uid="{BF433548-670F-4D6F-B011-EF1A79728BB4}"/>
    <cellStyle name="Normal 2 7 2 2 2" xfId="36014" xr:uid="{6136A04D-7BB5-46E0-92D9-6979D6635301}"/>
    <cellStyle name="Normal 2 7 2 2 2 2" xfId="36015" xr:uid="{F6485588-4576-4011-B505-A13FA55E88EA}"/>
    <cellStyle name="Normal 2 7 2 2 2 2 2" xfId="13359" xr:uid="{95B07F6D-3C55-4334-BCF0-6FDBAF3D4B0D}"/>
    <cellStyle name="Normal 2 7 2 2 2 2 2 2" xfId="13361" xr:uid="{33E9250E-19E8-4416-852C-7892E12FF544}"/>
    <cellStyle name="Normal 2 7 2 2 2 2 3" xfId="13433" xr:uid="{0CFF4E58-E58A-4E79-BFC2-DCBDDCF2298A}"/>
    <cellStyle name="Normal 2 7 2 2 2 3" xfId="36016" xr:uid="{E152EDD6-B5F9-4169-B6B5-ED993368AD9C}"/>
    <cellStyle name="Normal 2 7 2 2 2 3 2" xfId="13764" xr:uid="{ED361C81-5C46-4701-8614-A8CDC70958B6}"/>
    <cellStyle name="Normal 2 7 2 2 2 3 2 2" xfId="13766" xr:uid="{471C681C-04AB-4A42-B1F6-357AD8A52BAF}"/>
    <cellStyle name="Normal 2 7 2 2 2 3 3" xfId="13792" xr:uid="{69D10E46-86C6-404B-9941-2F9FA0B93257}"/>
    <cellStyle name="Normal 2 7 2 2 2 4" xfId="27076" xr:uid="{47337874-1F98-4A40-9BD8-DBA10927918D}"/>
    <cellStyle name="Normal 2 7 2 2 2 4 2" xfId="13915" xr:uid="{2009B255-750E-4B5D-B818-D8889852A2EE}"/>
    <cellStyle name="Normal 2 7 2 2 2 5" xfId="36017" xr:uid="{DB38C79B-5D14-468D-8358-7EC69D956DBF}"/>
    <cellStyle name="Normal 2 7 2 2 3" xfId="36018" xr:uid="{C5F60309-0955-4059-B022-6407143393FB}"/>
    <cellStyle name="Normal 2 7 2 2 3 2" xfId="36019" xr:uid="{8372CE7E-F074-4CDA-A716-3A73F85F30DC}"/>
    <cellStyle name="Normal 2 7 2 2 3 2 2" xfId="15451" xr:uid="{E652304F-B25E-4DE6-BA95-97EEA07431CF}"/>
    <cellStyle name="Normal 2 7 2 2 3 3" xfId="36020" xr:uid="{1D261CDA-2DA0-4A33-B23C-1F0DA65FD1FC}"/>
    <cellStyle name="Normal 2 7 2 2 4" xfId="36021" xr:uid="{E31A67E2-4167-4CC8-AD88-9200C743DE97}"/>
    <cellStyle name="Normal 2 7 2 2 4 2" xfId="36022" xr:uid="{89F781E1-4080-4545-AB4E-8292F9DB0954}"/>
    <cellStyle name="Normal 2 7 2 2 4 2 2" xfId="36023" xr:uid="{599FDC23-EE4E-499C-BC6A-536A61B1B39F}"/>
    <cellStyle name="Normal 2 7 2 2 4 3" xfId="36024" xr:uid="{7E46A5CC-0AB1-40F7-98A3-F00B8BB45604}"/>
    <cellStyle name="Normal 2 7 2 2 5" xfId="36025" xr:uid="{95D57CA9-5313-4030-8A30-67C4FCBDB13E}"/>
    <cellStyle name="Normal 2 7 2 2 5 2" xfId="36026" xr:uid="{4728BA9D-7E25-44C1-A51D-293841E7E76E}"/>
    <cellStyle name="Normal 2 7 2 2 6" xfId="26620" xr:uid="{43905EFC-553B-43EF-BDE9-DA9952450260}"/>
    <cellStyle name="Normal 2 7 2 3" xfId="36027" xr:uid="{80AB4E80-9A8F-4144-8DB7-F33269107A68}"/>
    <cellStyle name="Normal 2 7 2 3 2" xfId="36028" xr:uid="{62D7157A-8167-460E-A9F5-89EB58123188}"/>
    <cellStyle name="Normal 2 7 2 3 2 2" xfId="36029" xr:uid="{C2CF5989-527A-43A9-AFAB-C4F077FB6582}"/>
    <cellStyle name="Normal 2 7 2 3 2 2 2" xfId="36030" xr:uid="{1DD092EB-7C5C-4CA4-8A27-CD84F84536FA}"/>
    <cellStyle name="Normal 2 7 2 3 2 3" xfId="36031" xr:uid="{87F78E40-2EF3-47C6-A296-1A7D103FC288}"/>
    <cellStyle name="Normal 2 7 2 3 3" xfId="36032" xr:uid="{D18E184D-00A9-4D6A-B3C4-59A48F872164}"/>
    <cellStyle name="Normal 2 7 2 3 3 2" xfId="36033" xr:uid="{493125D6-A36F-4236-AF85-0E6F986CA628}"/>
    <cellStyle name="Normal 2 7 2 3 3 2 2" xfId="36034" xr:uid="{34DBD8AF-1710-4346-AD4E-137098F6CC3D}"/>
    <cellStyle name="Normal 2 7 2 3 3 3" xfId="36035" xr:uid="{423461FE-B372-4ABE-AF38-A270F3368475}"/>
    <cellStyle name="Normal 2 7 2 3 4" xfId="36036" xr:uid="{FFBBCA69-7DE3-49DE-8E25-E9EA81B5BF09}"/>
    <cellStyle name="Normal 2 7 2 3 4 2" xfId="36037" xr:uid="{C4DDF1DF-5AD5-4ECA-875E-C16DD9BF7B93}"/>
    <cellStyle name="Normal 2 7 2 3 5" xfId="36038" xr:uid="{BDE031EF-95A2-4478-9FB7-B9E4749E02B7}"/>
    <cellStyle name="Normal 2 7 2 4" xfId="36039" xr:uid="{49C33ABB-66BB-4CD9-B42B-99A767CD5C27}"/>
    <cellStyle name="Normal 2 7 2 4 2" xfId="36040" xr:uid="{CF6FEFC1-8A9F-430C-88A4-C7C1B7ABCF10}"/>
    <cellStyle name="Normal 2 7 2 4 2 2" xfId="36041" xr:uid="{DB98F508-EF75-47B2-B3AB-BC086ADB0878}"/>
    <cellStyle name="Normal 2 7 2 4 3" xfId="15723" xr:uid="{0D118C17-FDE7-40AE-B8B1-A31317F6C3C6}"/>
    <cellStyle name="Normal 2 7 2 5" xfId="30330" xr:uid="{70AB6E49-D1C4-4258-8BCF-928D17701850}"/>
    <cellStyle name="Normal 2 7 2 5 2" xfId="36042" xr:uid="{B3984237-8069-4B91-A1B5-EE7B024635CF}"/>
    <cellStyle name="Normal 2 7 2 5 2 2" xfId="36043" xr:uid="{DA3E75C1-8269-4BAC-9194-4C192E05DE4A}"/>
    <cellStyle name="Normal 2 7 2 5 3" xfId="16043" xr:uid="{CDAC9B5C-018A-4EAC-8DCA-B171DD9BC181}"/>
    <cellStyle name="Normal 2 7 2 6" xfId="36044" xr:uid="{4B1F10EA-9825-4440-AA8C-168C7B1FC833}"/>
    <cellStyle name="Normal 2 7 2 6 2" xfId="36045" xr:uid="{4DC4D3D6-AFC1-47AA-930D-3AE3921FDAF6}"/>
    <cellStyle name="Normal 2 7 2 7" xfId="32643" xr:uid="{9E54853D-FB13-4AC1-A8D8-A04505A84C55}"/>
    <cellStyle name="Normal 2 7 20" xfId="13204" xr:uid="{48FE8174-413F-4289-A77D-7B811B6EEA87}"/>
    <cellStyle name="Normal 2 7 21" xfId="20423" xr:uid="{83928A87-CD02-4E99-BDDB-F5AB7E958B50}"/>
    <cellStyle name="Normal 2 7 22" xfId="20437" xr:uid="{B7F45ABC-341B-46D3-AE9B-578E47BF8AAE}"/>
    <cellStyle name="Normal 2 7 23" xfId="20442" xr:uid="{AE71744E-604F-4A33-A70E-408EBC537300}"/>
    <cellStyle name="Normal 2 7 24" xfId="8609" xr:uid="{D213E771-0FCB-4980-A0EF-BAD06FBECF4D}"/>
    <cellStyle name="Normal 2 7 25" xfId="8621" xr:uid="{821DF7B3-4457-420B-AACE-4C08D49CA6C3}"/>
    <cellStyle name="Normal 2 7 26" xfId="3776" xr:uid="{5C964B8E-150A-4EF4-97B2-8D56DC4ECD0D}"/>
    <cellStyle name="Normal 2 7 27" xfId="8632" xr:uid="{D70BB744-165A-42A3-9E80-E0A566EC8197}"/>
    <cellStyle name="Normal 2 7 28" xfId="15202" xr:uid="{3B2DC559-D902-46E7-93C9-06836AAB60AF}"/>
    <cellStyle name="Normal 2 7 29" xfId="8741" xr:uid="{5532EC66-C8B6-4C19-A491-F37514FA6E2E}"/>
    <cellStyle name="Normal 2 7 3" xfId="36046" xr:uid="{F777FCC6-E388-488F-952E-6174E5B983E9}"/>
    <cellStyle name="Normal 2 7 3 2" xfId="36047" xr:uid="{79CAC0A6-4022-4917-9EF2-228DD4EF2BCB}"/>
    <cellStyle name="Normal 2 7 30" xfId="8622" xr:uid="{6FF90C72-843D-4580-B4A7-C78D291BBF86}"/>
    <cellStyle name="Normal 2 7 31" xfId="3777" xr:uid="{174E6F1E-E392-49C7-8F97-5E5F5B1E1D73}"/>
    <cellStyle name="Normal 2 7 32" xfId="8633" xr:uid="{F161888F-A971-4CB7-86AC-7E7F9EAC5C60}"/>
    <cellStyle name="Normal 2 7 33" xfId="15203" xr:uid="{B4300CDD-BFAE-4714-B46F-F00F9157B3EA}"/>
    <cellStyle name="Normal 2 7 34" xfId="8742" xr:uid="{557B8D61-205C-46A9-9689-F7EC6A8F2566}"/>
    <cellStyle name="Normal 2 7 35" xfId="36048" xr:uid="{E5A06719-F2AF-4F56-875E-D09A89D4AF0A}"/>
    <cellStyle name="Normal 2 7 36" xfId="36050" xr:uid="{9F5E0092-A3E9-4332-8759-327A16BA423C}"/>
    <cellStyle name="Normal 2 7 37" xfId="35846" xr:uid="{085BC385-349B-4CAC-8645-809596AFB40B}"/>
    <cellStyle name="Normal 2 7 38" xfId="36053" xr:uid="{D77400D4-F4EF-4C47-B739-BE795295A3EB}"/>
    <cellStyle name="Normal 2 7 39" xfId="35278" xr:uid="{CB1B3757-E953-42C8-ADAE-42CE612D46E1}"/>
    <cellStyle name="Normal 2 7 4" xfId="36055" xr:uid="{ACB6998C-52D8-4433-9AFB-338EA259D589}"/>
    <cellStyle name="Normal 2 7 40" xfId="36049" xr:uid="{126B7AE3-956F-472A-80E3-842AFF52217A}"/>
    <cellStyle name="Normal 2 7 41" xfId="36051" xr:uid="{7EFBD095-FF60-4E59-88D5-7F354F797BE9}"/>
    <cellStyle name="Normal 2 7 42" xfId="35847" xr:uid="{6F2B2C77-E19A-4187-A26F-C6FD8D670A35}"/>
    <cellStyle name="Normal 2 7 43" xfId="36054" xr:uid="{FFEEE910-64CC-4977-9CA0-DDB7973614F5}"/>
    <cellStyle name="Normal 2 7 44" xfId="35279" xr:uid="{AB19A2CF-4B3A-4430-A555-C1917E165F38}"/>
    <cellStyle name="Normal 2 7 45" xfId="35281" xr:uid="{3BFF2597-AAA9-4EA0-B12A-29A18124C02F}"/>
    <cellStyle name="Normal 2 7 46" xfId="35286" xr:uid="{B3ED6C9F-D872-456E-ACA5-357DC0DBF902}"/>
    <cellStyle name="Normal 2 7 47" xfId="35289" xr:uid="{08965831-DC12-447D-AB35-95BBF7EE56A0}"/>
    <cellStyle name="Normal 2 7 48" xfId="35292" xr:uid="{9271C2D7-F643-4051-90E5-EDDBEB2F307C}"/>
    <cellStyle name="Normal 2 7 49" xfId="6077" xr:uid="{298441EF-DB62-419E-BF2E-6D816EEB5B81}"/>
    <cellStyle name="Normal 2 7 5" xfId="36056" xr:uid="{ACB836FE-DEF0-429A-9352-E71FB72DDAF6}"/>
    <cellStyle name="Normal 2 7 50" xfId="35282" xr:uid="{60FFEBF1-745F-4947-B3D0-A1EEC9CBF0F4}"/>
    <cellStyle name="Normal 2 7 6" xfId="36057" xr:uid="{99330F1B-4191-4A41-8E2F-64CEB54B6C30}"/>
    <cellStyle name="Normal 2 7 7" xfId="36058" xr:uid="{B315C6EB-175C-40AB-B68A-5C34B39DAF0C}"/>
    <cellStyle name="Normal 2 7 8" xfId="14835" xr:uid="{54936AA6-75A0-40E5-AC9C-57411BD6CE54}"/>
    <cellStyle name="Normal 2 7 9" xfId="14840" xr:uid="{3A810F59-1AEC-4129-83F7-D5B376B66C05}"/>
    <cellStyle name="Normal 2 70" xfId="36006" xr:uid="{373590C9-2419-4A84-96FC-8B075E5AD732}"/>
    <cellStyle name="Normal 2 70 2" xfId="15106" xr:uid="{203AD276-9015-488F-B6ED-B38E4838157A}"/>
    <cellStyle name="Normal 2 71" xfId="36008" xr:uid="{927541D1-B91D-4789-B824-A3147EBFB9DE}"/>
    <cellStyle name="Normal 2 71 2" xfId="35665" xr:uid="{F87912C2-52C6-4635-975E-629E72006E48}"/>
    <cellStyle name="Normal 2 72" xfId="36010" xr:uid="{8D6D2E88-9988-4470-B5E1-4834CA2149BF}"/>
    <cellStyle name="Normal 2 72 2" xfId="30619" xr:uid="{68632522-6120-44D8-B607-D1F84395145E}"/>
    <cellStyle name="Normal 2 73" xfId="3470" xr:uid="{E56E3A6E-03FF-43A6-9E0C-66D81D3BF6BC}"/>
    <cellStyle name="Normal 2 73 2" xfId="25663" xr:uid="{BC3D44F1-F311-4922-A0A6-8F780E665FF7}"/>
    <cellStyle name="Normal 2 74" xfId="36012" xr:uid="{EFE7BF5E-3943-469B-BD1A-ABDF9D18D462}"/>
    <cellStyle name="Normal 2 74 2" xfId="25906" xr:uid="{6EB0AEC5-8276-4E9A-B586-DD5520EDCFEE}"/>
    <cellStyle name="Normal 2 75" xfId="36059" xr:uid="{872D7970-6FFA-4816-8476-CE5445D69D37}"/>
    <cellStyle name="Normal 2 75 2" xfId="28597" xr:uid="{DF8C7850-46AA-4EF6-925F-D4D7696FD7BD}"/>
    <cellStyle name="Normal 2 76" xfId="36061" xr:uid="{9BB97A9D-D463-45B1-A78E-7C49D4C59A71}"/>
    <cellStyle name="Normal 2 76 2" xfId="28614" xr:uid="{A30E1CDB-089E-4539-ADD8-FC81DDE375B1}"/>
    <cellStyle name="Normal 2 77" xfId="14017" xr:uid="{0AB59866-1AD1-4110-8735-F394FF64614F}"/>
    <cellStyle name="Normal 2 77 2" xfId="14020" xr:uid="{85075482-203E-4D7D-9D7F-0DB37071C563}"/>
    <cellStyle name="Normal 2 78" xfId="14023" xr:uid="{E2940D79-701A-4144-B836-0B665E9FE377}"/>
    <cellStyle name="Normal 2 78 2" xfId="28911" xr:uid="{95B9CAAF-1F28-49F5-932A-EB42BDA1B7E3}"/>
    <cellStyle name="Normal 2 79" xfId="27459" xr:uid="{2D753B11-707A-47ED-BF5B-B489B84B3D7C}"/>
    <cellStyle name="Normal 2 79 2" xfId="27462" xr:uid="{9AD55382-4C4B-4739-B7CE-49FDD3E9FFA4}"/>
    <cellStyle name="Normal 2 8" xfId="9246" xr:uid="{E38A1D48-7214-43A0-A41F-4C776F5924F0}"/>
    <cellStyle name="Normal 2 8 10" xfId="36063" xr:uid="{F4F3FD29-1625-4561-BFB5-486EE6CA1AA0}"/>
    <cellStyle name="Normal 2 8 11" xfId="36064" xr:uid="{129260FB-BE52-4850-8079-8E26F65E85D3}"/>
    <cellStyle name="Normal 2 8 12" xfId="36065" xr:uid="{0F103E51-E10A-40E8-8EF0-5583984B9367}"/>
    <cellStyle name="Normal 2 8 13" xfId="36066" xr:uid="{F3250D3D-74D5-4F79-8C30-A1C3D15B063B}"/>
    <cellStyle name="Normal 2 8 14" xfId="36067" xr:uid="{7DA94DAB-AF1C-4FC8-A1F6-68C0A0D0A515}"/>
    <cellStyle name="Normal 2 8 15" xfId="36068" xr:uid="{0F9E5C2A-0768-4F8F-AA06-6AC9C3D6B192}"/>
    <cellStyle name="Normal 2 8 16" xfId="36070" xr:uid="{627AB90C-C701-4AED-9937-09D3F00C6D3E}"/>
    <cellStyle name="Normal 2 8 17" xfId="36072" xr:uid="{6450C5F9-3122-40D4-AD93-BC48C4731FDE}"/>
    <cellStyle name="Normal 2 8 18" xfId="36074" xr:uid="{C5F64ACA-918F-4A53-93D4-7355B57D8492}"/>
    <cellStyle name="Normal 2 8 19" xfId="36076" xr:uid="{0341DB03-218B-43EF-B1C9-484ABF210986}"/>
    <cellStyle name="Normal 2 8 2" xfId="36078" xr:uid="{D2FC245F-82BE-4381-B842-BAF80C4BE905}"/>
    <cellStyle name="Normal 2 8 2 2" xfId="36079" xr:uid="{A17A596C-B442-4AFD-8BFE-2DAE2589F9E7}"/>
    <cellStyle name="Normal 2 8 2 2 2" xfId="5468" xr:uid="{0E3052FF-01C2-4235-8F81-E172BD727B15}"/>
    <cellStyle name="Normal 2 8 2 2 2 2" xfId="19567" xr:uid="{ADBE2C67-E0F3-4677-A99F-143072EF73D7}"/>
    <cellStyle name="Normal 2 8 2 2 2 2 2" xfId="36080" xr:uid="{87CDA3F8-D0BA-4273-BDA8-8E4512A80A53}"/>
    <cellStyle name="Normal 2 8 2 2 2 2 2 2" xfId="18406" xr:uid="{42BAF32F-3DE4-4220-A0CB-BD827F4F3482}"/>
    <cellStyle name="Normal 2 8 2 2 2 2 3" xfId="36081" xr:uid="{8BB0C95B-B79C-451D-B7FD-690F67319B32}"/>
    <cellStyle name="Normal 2 8 2 2 2 3" xfId="28945" xr:uid="{2517ACE7-3290-46CB-98A9-6DC891616BDE}"/>
    <cellStyle name="Normal 2 8 2 2 2 3 2" xfId="28947" xr:uid="{525B8619-5F1D-4AA6-A7CB-9C63FB3D0E0F}"/>
    <cellStyle name="Normal 2 8 2 2 2 3 2 2" xfId="28950" xr:uid="{43469884-2F82-4941-A555-F78F24DBCFC7}"/>
    <cellStyle name="Normal 2 8 2 2 2 3 3" xfId="36082" xr:uid="{7D3BC7A8-7EA6-40A0-9AA6-A3446BE68C49}"/>
    <cellStyle name="Normal 2 8 2 2 2 4" xfId="36083" xr:uid="{F3D2B3AF-8332-4332-B0AC-BD4EA81301A6}"/>
    <cellStyle name="Normal 2 8 2 2 2 4 2" xfId="36084" xr:uid="{663EF96C-85D6-4404-82F9-E5FDC6251582}"/>
    <cellStyle name="Normal 2 8 2 2 2 5" xfId="36085" xr:uid="{A69F7AB4-CA44-48AB-9596-7DA99DD7CB4A}"/>
    <cellStyle name="Normal 2 8 2 2 3" xfId="19571" xr:uid="{78E007B7-DF2C-48B1-9C70-B2C0F2181513}"/>
    <cellStyle name="Normal 2 8 2 2 3 2" xfId="30650" xr:uid="{A7D5DA8C-1B87-4E0A-8CDF-AC3FB91755B9}"/>
    <cellStyle name="Normal 2 8 2 2 3 2 2" xfId="30652" xr:uid="{A9906843-7206-41FB-A1E9-C2E09D32037E}"/>
    <cellStyle name="Normal 2 8 2 2 3 3" xfId="30654" xr:uid="{852D8F6A-448D-4CA9-B2C0-6CF855AD3776}"/>
    <cellStyle name="Normal 2 8 2 2 4" xfId="30656" xr:uid="{47F5F281-3A4C-48BF-9B32-89DD2696BB76}"/>
    <cellStyle name="Normal 2 8 2 2 4 2" xfId="24259" xr:uid="{03C6E27B-B2CF-47B1-BDC5-B7CCC738A9B3}"/>
    <cellStyle name="Normal 2 8 2 2 4 2 2" xfId="2301" xr:uid="{F46438D7-04E2-41CC-97F2-65B631669B1B}"/>
    <cellStyle name="Normal 2 8 2 2 4 3" xfId="24262" xr:uid="{7149B4A8-C206-4582-A967-D7B589B21016}"/>
    <cellStyle name="Normal 2 8 2 2 5" xfId="30658" xr:uid="{CD69944A-08CF-4B20-BCD0-E66DE0F98CFB}"/>
    <cellStyle name="Normal 2 8 2 2 5 2" xfId="24283" xr:uid="{0784FB50-7247-4C50-AC2D-CD8A1D67E623}"/>
    <cellStyle name="Normal 2 8 2 2 6" xfId="13086" xr:uid="{3757169E-09FC-4050-9A34-561A42EBBB02}"/>
    <cellStyle name="Normal 2 8 2 3" xfId="36086" xr:uid="{F5EA72EE-52A1-4A39-A31A-3EB4C7AEAB18}"/>
    <cellStyle name="Normal 2 8 2 3 2" xfId="19578" xr:uid="{0D17B91D-C720-4F3A-B7D1-7B157EBE2CAF}"/>
    <cellStyle name="Normal 2 8 2 3 2 2" xfId="25392" xr:uid="{04CE1079-1D5A-4E9D-A8F5-2DA3EF027650}"/>
    <cellStyle name="Normal 2 8 2 3 2 2 2" xfId="31844" xr:uid="{7EBF0501-A300-4293-921B-EDE0D83678BB}"/>
    <cellStyle name="Normal 2 8 2 3 2 3" xfId="25396" xr:uid="{27F64335-E48C-4F68-B6A0-9AF85A0A4597}"/>
    <cellStyle name="Normal 2 8 2 3 3" xfId="30661" xr:uid="{65AFFBEA-E489-4D9C-9B50-A24A254242FB}"/>
    <cellStyle name="Normal 2 8 2 3 3 2" xfId="30663" xr:uid="{277D1EC2-43B2-4B03-8A76-52E9BE701005}"/>
    <cellStyle name="Normal 2 8 2 3 3 2 2" xfId="36087" xr:uid="{A83D1EC0-9439-4824-9B05-A5D55E9827F4}"/>
    <cellStyle name="Normal 2 8 2 3 3 3" xfId="36088" xr:uid="{0B8A3251-E311-478C-9AAA-72CC4DE6E7B7}"/>
    <cellStyle name="Normal 2 8 2 3 4" xfId="30666" xr:uid="{167F11B4-C0A0-46B1-B3A7-5EBE73683337}"/>
    <cellStyle name="Normal 2 8 2 3 4 2" xfId="24320" xr:uid="{EF026C32-EB6F-4A7C-8676-B20744A4E9D4}"/>
    <cellStyle name="Normal 2 8 2 3 5" xfId="36089" xr:uid="{4744649D-E97C-4161-A0FA-F7882D704A46}"/>
    <cellStyle name="Normal 2 8 2 4" xfId="36090" xr:uid="{E7112CBD-E796-440E-85ED-9FFCD171FFD6}"/>
    <cellStyle name="Normal 2 8 2 4 2" xfId="36091" xr:uid="{A6279E97-B386-46D2-AD21-FF75D9377D95}"/>
    <cellStyle name="Normal 2 8 2 4 2 2" xfId="36092" xr:uid="{9D9D3434-9A9A-47DA-83A4-AA2FDF4D648A}"/>
    <cellStyle name="Normal 2 8 2 4 3" xfId="30671" xr:uid="{F747B4BB-AB48-4771-B904-C2D13399995B}"/>
    <cellStyle name="Normal 2 8 2 5" xfId="36093" xr:uid="{2DFBC2A8-BBAD-4EDE-9C27-2F0FFE572FC6}"/>
    <cellStyle name="Normal 2 8 2 5 2" xfId="36094" xr:uid="{FC7E55C9-BA36-4B35-A41E-9581EA3BE515}"/>
    <cellStyle name="Normal 2 8 2 5 2 2" xfId="36095" xr:uid="{0A04B7EB-ED1D-4BEC-8CB5-6690640FB392}"/>
    <cellStyle name="Normal 2 8 2 5 3" xfId="36096" xr:uid="{642167E7-8FB0-4E2F-AA0F-6F54CCDDCD40}"/>
    <cellStyle name="Normal 2 8 2 6" xfId="28725" xr:uid="{2265F8B3-5C4A-4035-9CF1-BC8CD7A60DF6}"/>
    <cellStyle name="Normal 2 8 2 6 2" xfId="36097" xr:uid="{78F6B6C4-2F04-497E-A13C-F6F0630917F5}"/>
    <cellStyle name="Normal 2 8 2 7" xfId="36098" xr:uid="{2CA1F231-446E-46F2-8BD6-050CBFA655E8}"/>
    <cellStyle name="Normal 2 8 20" xfId="36069" xr:uid="{A0DE414C-5759-4C52-8944-372F3419F426}"/>
    <cellStyle name="Normal 2 8 21" xfId="36071" xr:uid="{78C7EE4B-9BF0-4830-A91E-41F4B8AB94E5}"/>
    <cellStyle name="Normal 2 8 22" xfId="36073" xr:uid="{89D9D5DD-2D18-44EB-80AD-D17493DD44F8}"/>
    <cellStyle name="Normal 2 8 23" xfId="36075" xr:uid="{780DDE47-B335-4667-9E16-C54E5A80D4AF}"/>
    <cellStyle name="Normal 2 8 24" xfId="36077" xr:uid="{7A05DAA8-3D21-451C-B43F-8F969CA2FD47}"/>
    <cellStyle name="Normal 2 8 25" xfId="36099" xr:uid="{7214AAEC-1628-492A-9525-62EE81E43355}"/>
    <cellStyle name="Normal 2 8 26" xfId="35143" xr:uid="{8B103D50-84FE-452A-BA82-AC8FCC2438B0}"/>
    <cellStyle name="Normal 2 8 27" xfId="35158" xr:uid="{97456210-E50E-4058-B050-72455F18BB30}"/>
    <cellStyle name="Normal 2 8 28" xfId="36101" xr:uid="{B0F15595-A68A-4502-A8C7-3178B08F1B7A}"/>
    <cellStyle name="Normal 2 8 29" xfId="3745" xr:uid="{79EFEF44-D7D0-4831-93FB-26FF606443DB}"/>
    <cellStyle name="Normal 2 8 3" xfId="36103" xr:uid="{82D3B7B0-4732-4517-8005-FCF190BBDDEB}"/>
    <cellStyle name="Normal 2 8 3 2" xfId="36104" xr:uid="{0E7D1026-7D70-4974-949C-E1947BD43999}"/>
    <cellStyle name="Normal 2 8 30" xfId="36100" xr:uid="{4779203E-3782-4499-A856-D1D3763EBBEA}"/>
    <cellStyle name="Normal 2 8 31" xfId="35144" xr:uid="{7CB1EE73-694D-476C-A540-DA0160575B7A}"/>
    <cellStyle name="Normal 2 8 32" xfId="35159" xr:uid="{3712EA83-6E20-4DDF-B866-0594431948C8}"/>
    <cellStyle name="Normal 2 8 33" xfId="36102" xr:uid="{D99C488C-FA40-4693-B1CD-BFFFBC55D834}"/>
    <cellStyle name="Normal 2 8 34" xfId="3746" xr:uid="{061C6163-C1B6-48FC-9F3B-E5F806F65AE3}"/>
    <cellStyle name="Normal 2 8 35" xfId="3752" xr:uid="{CB68FE17-DE00-422B-9A6E-28445CF80A66}"/>
    <cellStyle name="Normal 2 8 36" xfId="15378" xr:uid="{B7DBA6D4-7474-490E-9F5B-D1B28FA1769F}"/>
    <cellStyle name="Normal 2 8 37" xfId="33986" xr:uid="{618EBB30-F0C3-4377-A461-B3AE0825818F}"/>
    <cellStyle name="Normal 2 8 38" xfId="33089" xr:uid="{9FE6C328-AF87-457F-B867-7EAEBD8A3303}"/>
    <cellStyle name="Normal 2 8 39" xfId="35329" xr:uid="{9E0EF9F9-185E-4D63-A928-07D5A87EC553}"/>
    <cellStyle name="Normal 2 8 4" xfId="36105" xr:uid="{20E748C7-127E-47F7-9019-17B2AEEDE27F}"/>
    <cellStyle name="Normal 2 8 4 2" xfId="36106" xr:uid="{DB55E892-54E6-42F6-8E2E-FAEE32571C5A}"/>
    <cellStyle name="Normal 2 8 4 3" xfId="15268" xr:uid="{50CB627F-D447-4826-86A1-F348A04737D3}"/>
    <cellStyle name="Normal 2 8 40" xfId="3753" xr:uid="{75BE7F33-9D45-4E6E-AB9B-FF7C0A0AC334}"/>
    <cellStyle name="Normal 2 8 41" xfId="15379" xr:uid="{BB7BBBB9-02B1-4123-9D52-ACEE79D6E696}"/>
    <cellStyle name="Normal 2 8 42" xfId="33987" xr:uid="{DA46794A-CA6E-4D40-9CBF-40241C2BAD9B}"/>
    <cellStyle name="Normal 2 8 43" xfId="33090" xr:uid="{31FC7572-07AE-427E-AC1E-59A108868760}"/>
    <cellStyle name="Normal 2 8 44" xfId="35330" xr:uid="{79B2D050-4ADE-4BC3-9F75-99E7BCD582C6}"/>
    <cellStyle name="Normal 2 8 45" xfId="35334" xr:uid="{081F96CD-CF80-4FBA-83F3-464F38E9098E}"/>
    <cellStyle name="Normal 2 8 46" xfId="35337" xr:uid="{720D43AF-8A14-4C88-93B5-EF6A31716424}"/>
    <cellStyle name="Normal 2 8 47" xfId="23530" xr:uid="{0E808BE9-CD03-49B0-8E09-A7076AF37ABA}"/>
    <cellStyle name="Normal 2 8 48" xfId="35339" xr:uid="{C9AA0BCA-FC8F-453B-AD55-CE11E98537CB}"/>
    <cellStyle name="Normal 2 8 5" xfId="36107" xr:uid="{A55CC705-953D-4EE3-B9A0-2965DCD8FC86}"/>
    <cellStyle name="Normal 2 8 6" xfId="36108" xr:uid="{39FF7377-8D45-418A-A600-BC5259C9AB6D}"/>
    <cellStyle name="Normal 2 8 7" xfId="36109" xr:uid="{0D0BEDF3-D165-4552-BC88-EA05839AB5EB}"/>
    <cellStyle name="Normal 2 8 8" xfId="14847" xr:uid="{A91B6830-0D9C-462F-9051-47D75D303C4D}"/>
    <cellStyle name="Normal 2 8 9" xfId="25806" xr:uid="{A64B4911-5173-4366-AB72-9E9DF0DA9639}"/>
    <cellStyle name="Normal 2 80" xfId="36060" xr:uid="{54165FF0-5B0B-4CC8-BD19-01EA0DF8ECDE}"/>
    <cellStyle name="Normal 2 80 2" xfId="28598" xr:uid="{0A0067FE-2C35-45EE-8015-A383BA33DF02}"/>
    <cellStyle name="Normal 2 81" xfId="36062" xr:uid="{8B268B7A-3A38-4B63-BE31-33795FA66344}"/>
    <cellStyle name="Normal 2 81 2" xfId="28615" xr:uid="{32DFFEA9-F329-4123-8CCA-5398F566246A}"/>
    <cellStyle name="Normal 2 82" xfId="14018" xr:uid="{E266BA2F-0AD7-4165-8C9B-5A02876A4A3C}"/>
    <cellStyle name="Normal 2 82 2" xfId="14021" xr:uid="{E7C00C5E-D8F1-45D1-8C54-A87CCD037259}"/>
    <cellStyle name="Normal 2 83" xfId="14024" xr:uid="{F66A2D56-E0C2-41DB-8E86-8CA17593E066}"/>
    <cellStyle name="Normal 2 83 2" xfId="28912" xr:uid="{D7DA02D9-C33F-4BCB-BF3E-2B6E1A00528E}"/>
    <cellStyle name="Normal 2 84" xfId="27460" xr:uid="{0314A401-09E4-4314-8EF8-62CDF1DED7D1}"/>
    <cellStyle name="Normal 2 84 2" xfId="27463" xr:uid="{F74E5EBC-16AC-4D43-9697-72BCAB46AD4A}"/>
    <cellStyle name="Normal 2 85" xfId="27467" xr:uid="{BBDF485B-B783-496C-9E77-6EBE92283C2F}"/>
    <cellStyle name="Normal 2 85 2" xfId="36110" xr:uid="{BC6CABBA-8CDD-4D17-8193-6CE39F9C0743}"/>
    <cellStyle name="Normal 2 86" xfId="36113" xr:uid="{054DBC55-4549-4AA8-8038-52C7CDD19404}"/>
    <cellStyle name="Normal 2 86 2" xfId="36116" xr:uid="{64BBFA43-5AFC-46AB-97D2-E54BA77FB06A}"/>
    <cellStyle name="Normal 2 86 2 2" xfId="36119" xr:uid="{EC01C5D9-A8F2-4F5F-B684-A86BDC2E8530}"/>
    <cellStyle name="Normal 2 86 2 2 2" xfId="36122" xr:uid="{338693F8-B3B1-4B29-A995-5CDC553EB3B5}"/>
    <cellStyle name="Normal 2 86 2 3" xfId="36125" xr:uid="{096FD7E0-F58E-41D1-80A1-220D9E9BAF95}"/>
    <cellStyle name="Normal 2 86 3" xfId="36128" xr:uid="{8B282BC2-F9A1-4F09-96DD-EBD0051D7626}"/>
    <cellStyle name="Normal 2 87" xfId="35712" xr:uid="{87C2FA59-4E0F-4C4A-B003-BF9889C1678C}"/>
    <cellStyle name="Normal 2 87 2" xfId="35717" xr:uid="{6C38E36C-4D4E-4697-A685-10E4B00284FA}"/>
    <cellStyle name="Normal 2 87 2 2" xfId="36131" xr:uid="{87775124-4090-46CD-8D99-16E58ED943A7}"/>
    <cellStyle name="Normal 2 87 2 2 2" xfId="36134" xr:uid="{2733B28F-14EC-4F23-A563-D226402357DE}"/>
    <cellStyle name="Normal 2 87 2 3" xfId="16543" xr:uid="{3D0B0982-D8EA-4300-954E-B5B11A0EC4EC}"/>
    <cellStyle name="Normal 2 87 3" xfId="32406" xr:uid="{CCA82B06-FFED-4CF5-8A1B-8EA7194C98F0}"/>
    <cellStyle name="Normal 2 88" xfId="35722" xr:uid="{30CA8EB3-1BC8-49A2-914A-1852C3127648}"/>
    <cellStyle name="Normal 2 88 2" xfId="31803" xr:uid="{EE09A194-372B-491B-8AA0-7949878DAEEF}"/>
    <cellStyle name="Normal 2 88 2 2" xfId="31808" xr:uid="{ADF6CD96-C266-4CFB-A531-FEA28161A066}"/>
    <cellStyle name="Normal 2 88 2 2 2" xfId="32627" xr:uid="{4F659786-4BAE-4F63-A60D-D3CD8CBD0002}"/>
    <cellStyle name="Normal 2 88 2 3" xfId="16571" xr:uid="{8DEA80C1-B6C6-4A33-8CB0-3EF799866650}"/>
    <cellStyle name="Normal 2 88 3" xfId="31813" xr:uid="{470984A7-68D6-4587-9DBC-BF948639392F}"/>
    <cellStyle name="Normal 2 89" xfId="36137" xr:uid="{9964404D-4113-410D-9BED-8630D005FBE3}"/>
    <cellStyle name="Normal 2 89 2" xfId="31888" xr:uid="{3D28569B-23A2-42A2-A9FD-FF96EA41BE14}"/>
    <cellStyle name="Normal 2 89 2 2" xfId="31892" xr:uid="{562C7B5D-C493-490C-AA84-574AD720E667}"/>
    <cellStyle name="Normal 2 89 2 2 2" xfId="36139" xr:uid="{E665FF65-C218-48BF-B951-BAFF3E7D5F89}"/>
    <cellStyle name="Normal 2 89 2 3" xfId="36141" xr:uid="{C939FF61-80BE-4998-BEBD-8932C769CF4B}"/>
    <cellStyle name="Normal 2 89 3" xfId="31896" xr:uid="{E3766648-E801-4703-BD56-A4460288E574}"/>
    <cellStyle name="Normal 2 9" xfId="33293" xr:uid="{D5786774-C1F3-4EE2-B37F-6796E9D1E81C}"/>
    <cellStyle name="Normal 2 9 10" xfId="36143" xr:uid="{1071891E-87C5-46A0-B3DC-CC8181436583}"/>
    <cellStyle name="Normal 2 9 11" xfId="36144" xr:uid="{5D19C60F-938B-4C20-967E-3588CB4AF35B}"/>
    <cellStyle name="Normal 2 9 12" xfId="36145" xr:uid="{07ACCBE4-4425-49D3-87EB-065F94A4FEDD}"/>
    <cellStyle name="Normal 2 9 13" xfId="20515" xr:uid="{B5263821-89DF-4C60-A2EF-A39E3C65B637}"/>
    <cellStyle name="Normal 2 9 14" xfId="8272" xr:uid="{F80196EE-F9D3-4FF9-9FB3-A3987BBF201B}"/>
    <cellStyle name="Normal 2 9 15" xfId="20527" xr:uid="{E3FBBD5B-C749-45A1-ABF9-CC876D452E96}"/>
    <cellStyle name="Normal 2 9 16" xfId="20530" xr:uid="{D5A812E3-A989-4250-B854-6AA8355A9C69}"/>
    <cellStyle name="Normal 2 9 17" xfId="35894" xr:uid="{F933512E-2F12-4A68-A983-A054677C6780}"/>
    <cellStyle name="Normal 2 9 18" xfId="36146" xr:uid="{49061F28-B74D-404E-9533-C84B321E6825}"/>
    <cellStyle name="Normal 2 9 19" xfId="36149" xr:uid="{0E8A4D50-0E9E-42D5-9095-9A9385747D3A}"/>
    <cellStyle name="Normal 2 9 2" xfId="36151" xr:uid="{B40BE7F9-88E2-42EA-B42B-974E84F1DC5D}"/>
    <cellStyle name="Normal 2 9 2 2" xfId="36152" xr:uid="{96BE3A7B-EEEF-4B48-AAC9-7CABD890417F}"/>
    <cellStyle name="Normal 2 9 2 2 2" xfId="19639" xr:uid="{D4F961D8-2A41-457B-B10A-78F7938E4592}"/>
    <cellStyle name="Normal 2 9 2 2 2 2" xfId="36153" xr:uid="{F9D694B7-19B0-44D4-AF8D-2E78504AC1DB}"/>
    <cellStyle name="Normal 2 9 2 2 2 2 2" xfId="36154" xr:uid="{C5550455-4A32-4E15-9350-2FEF3C51796F}"/>
    <cellStyle name="Normal 2 9 2 2 2 2 2 2" xfId="26005" xr:uid="{DFA5E1BE-A37A-4EC4-9E91-9302406D4518}"/>
    <cellStyle name="Normal 2 9 2 2 2 2 3" xfId="36155" xr:uid="{61E5FB54-C98C-467E-8896-CA650290DFEA}"/>
    <cellStyle name="Normal 2 9 2 2 2 3" xfId="36156" xr:uid="{6DD7FF5A-1458-4483-868C-B5001E6A381D}"/>
    <cellStyle name="Normal 2 9 2 2 2 3 2" xfId="36157" xr:uid="{9DE4AEB4-D06C-4A88-938E-9681E7F34834}"/>
    <cellStyle name="Normal 2 9 2 2 2 3 2 2" xfId="8241" xr:uid="{0164CE1C-D1A7-4C2F-B6D7-9A5BF589C95F}"/>
    <cellStyle name="Normal 2 9 2 2 2 3 3" xfId="36158" xr:uid="{9B8CFA6D-09F0-4AEE-90A9-58CF59282F9F}"/>
    <cellStyle name="Normal 2 9 2 2 2 4" xfId="20626" xr:uid="{212F344E-7104-4F3A-8C59-DD012770B807}"/>
    <cellStyle name="Normal 2 9 2 2 2 4 2" xfId="20630" xr:uid="{2DF2E8C5-9926-4E63-999B-F536F5213753}"/>
    <cellStyle name="Normal 2 9 2 2 2 5" xfId="20633" xr:uid="{61245C69-F843-4D34-8CE5-5AE042D15F52}"/>
    <cellStyle name="Normal 2 9 2 2 3" xfId="30700" xr:uid="{15E1B9AB-186D-4719-AB75-8BADF3C0DCA7}"/>
    <cellStyle name="Normal 2 9 2 2 3 2" xfId="30702" xr:uid="{18AE53F8-04B5-420D-933D-128FB7CDE659}"/>
    <cellStyle name="Normal 2 9 2 2 3 2 2" xfId="36159" xr:uid="{110C6183-F125-4BCF-8443-E3FEB09EE37B}"/>
    <cellStyle name="Normal 2 9 2 2 3 3" xfId="36160" xr:uid="{6CF24888-2386-4134-8E37-76268E5A6EDA}"/>
    <cellStyle name="Normal 2 9 2 2 4" xfId="30705" xr:uid="{9E985536-D83B-434A-BEC2-E742A0701C88}"/>
    <cellStyle name="Normal 2 9 2 2 4 2" xfId="36161" xr:uid="{19A65872-31AC-48E1-9C50-1E68308060A8}"/>
    <cellStyle name="Normal 2 9 2 2 4 2 2" xfId="15320" xr:uid="{32FFC8A8-5E7F-4984-9AE4-0623F462E9F1}"/>
    <cellStyle name="Normal 2 9 2 2 4 3" xfId="36162" xr:uid="{6AEB2F46-9B2E-4D6C-A04F-4492B639AD04}"/>
    <cellStyle name="Normal 2 9 2 2 5" xfId="36163" xr:uid="{E3B69707-7419-4E1E-8AE8-B3A149C1FC88}"/>
    <cellStyle name="Normal 2 9 2 2 5 2" xfId="36164" xr:uid="{A90BAB30-0FF4-409F-B9F0-1C486F338D1B}"/>
    <cellStyle name="Normal 2 9 2 2 6" xfId="31573" xr:uid="{C2533BFE-A59C-4952-A8DE-091C1AAFB298}"/>
    <cellStyle name="Normal 2 9 2 3" xfId="36165" xr:uid="{DBCE3358-10D9-4426-B102-B1D8A5EF67FA}"/>
    <cellStyle name="Normal 2 9 2 3 2" xfId="36166" xr:uid="{A1D80C01-4598-4E08-8622-B09F6F6D30A7}"/>
    <cellStyle name="Normal 2 9 2 3 2 2" xfId="20911" xr:uid="{7ACE00B4-037C-41F4-9723-70CAB23684EB}"/>
    <cellStyle name="Normal 2 9 2 3 2 2 2" xfId="5995" xr:uid="{BEE59930-B121-4490-B312-5FB87FD5A851}"/>
    <cellStyle name="Normal 2 9 2 3 2 3" xfId="36167" xr:uid="{A10FCBDD-7F67-4B4E-86FF-04D56A3171D3}"/>
    <cellStyle name="Normal 2 9 2 3 3" xfId="30709" xr:uid="{7BDF270A-EB30-45CC-9C10-3D59A702323A}"/>
    <cellStyle name="Normal 2 9 2 3 3 2" xfId="36168" xr:uid="{9CA7B5FD-F95C-47D8-A365-367C88EC9967}"/>
    <cellStyle name="Normal 2 9 2 3 3 2 2" xfId="7198" xr:uid="{C926BDC1-6CC5-474E-89B4-239A4DFF944E}"/>
    <cellStyle name="Normal 2 9 2 3 3 3" xfId="36169" xr:uid="{717F914B-C9B6-41EF-8118-419D87DFB0EB}"/>
    <cellStyle name="Normal 2 9 2 3 4" xfId="36170" xr:uid="{599B09DC-5793-4099-8CEF-0913B3F12AF5}"/>
    <cellStyle name="Normal 2 9 2 3 4 2" xfId="36171" xr:uid="{ED61747A-8750-4166-8242-4182F79A7E1B}"/>
    <cellStyle name="Normal 2 9 2 3 5" xfId="36172" xr:uid="{D4D539AA-BF10-4810-85C0-C3B573003D16}"/>
    <cellStyle name="Normal 2 9 2 4" xfId="23502" xr:uid="{FD43189F-E955-4BFB-B212-D416D917E8E8}"/>
    <cellStyle name="Normal 2 9 2 4 2" xfId="36173" xr:uid="{7F16B268-84B3-43CF-9D05-44E0657780D3}"/>
    <cellStyle name="Normal 2 9 2 4 2 2" xfId="36174" xr:uid="{259F7A7B-F808-46E0-94B7-599740B1E981}"/>
    <cellStyle name="Normal 2 9 2 4 3" xfId="36175" xr:uid="{EAADFFB1-F659-4685-AC95-D3C5C571458A}"/>
    <cellStyle name="Normal 2 9 2 5" xfId="36176" xr:uid="{C7BCC570-B273-4B6B-808C-A8CC5A397D58}"/>
    <cellStyle name="Normal 2 9 2 5 2" xfId="9992" xr:uid="{A06E1072-220E-4918-B375-0EEA108E4C27}"/>
    <cellStyle name="Normal 2 9 2 5 2 2" xfId="9994" xr:uid="{3DAF922E-9B72-4503-9CB0-782311883FEB}"/>
    <cellStyle name="Normal 2 9 2 5 3" xfId="10020" xr:uid="{747E5953-5CA6-4138-A7B9-2F66D91D5771}"/>
    <cellStyle name="Normal 2 9 2 6" xfId="36177" xr:uid="{FB230C40-45AF-4EC2-9043-90C5FDA53B89}"/>
    <cellStyle name="Normal 2 9 2 6 2" xfId="10077" xr:uid="{C5592E18-1BE0-4FD0-8E94-DA0E6BC3EE8A}"/>
    <cellStyle name="Normal 2 9 2 7" xfId="36178" xr:uid="{B873DD67-D8A1-4836-8775-492DFE06C154}"/>
    <cellStyle name="Normal 2 9 20" xfId="20528" xr:uid="{7D7DAD0B-C8F4-48C3-9657-F3E4A26355DC}"/>
    <cellStyle name="Normal 2 9 21" xfId="20531" xr:uid="{A2CB8831-C7D7-47A4-9D43-75E364DFE12A}"/>
    <cellStyle name="Normal 2 9 22" xfId="35895" xr:uid="{08211227-6B6E-4D2B-BFB5-E7D62B170DD8}"/>
    <cellStyle name="Normal 2 9 23" xfId="36147" xr:uid="{64FCAF5E-B5B3-4196-9750-222D124D858D}"/>
    <cellStyle name="Normal 2 9 24" xfId="36150" xr:uid="{CFD944C9-CDA4-44AF-899A-420355E3685B}"/>
    <cellStyle name="Normal 2 9 25" xfId="36179" xr:uid="{9546A51A-E04E-4B66-B280-7CBF09A6E0D8}"/>
    <cellStyle name="Normal 2 9 26" xfId="17300" xr:uid="{335F468F-14DE-4AB8-8304-646EFB95CB63}"/>
    <cellStyle name="Normal 2 9 27" xfId="17386" xr:uid="{7213901F-B5A0-44F7-BC0C-18F8A3AC9E90}"/>
    <cellStyle name="Normal 2 9 28" xfId="17439" xr:uid="{9DE8C706-00BE-494E-9A3E-57A4E602C15E}"/>
    <cellStyle name="Normal 2 9 29" xfId="17491" xr:uid="{7F72400E-3C8A-4F2B-9D9B-59F056C18B3A}"/>
    <cellStyle name="Normal 2 9 3" xfId="36181" xr:uid="{A8B034BF-F276-4625-932C-B759E7597E40}"/>
    <cellStyle name="Normal 2 9 3 2" xfId="36182" xr:uid="{E533372B-FE63-4D1A-B257-E8DCF72E105B}"/>
    <cellStyle name="Normal 2 9 30" xfId="36180" xr:uid="{36F557FD-1B6A-482E-9196-C72C4377B221}"/>
    <cellStyle name="Normal 2 9 31" xfId="17301" xr:uid="{90795C94-94B5-4CA0-B95A-5F9424BCB91C}"/>
    <cellStyle name="Normal 2 9 32" xfId="17387" xr:uid="{CC70327B-CF2B-42BF-A4F4-DFB489835D3D}"/>
    <cellStyle name="Normal 2 9 33" xfId="17440" xr:uid="{D674BFDA-A463-4405-9F6E-7AFB027C99C0}"/>
    <cellStyle name="Normal 2 9 34" xfId="17492" xr:uid="{4C11DF64-1B8D-4469-A385-B3DE2E7E3E8D}"/>
    <cellStyle name="Normal 2 9 35" xfId="17543" xr:uid="{85E2B672-B7D6-42A2-AB24-424A828C2B3A}"/>
    <cellStyle name="Normal 2 9 36" xfId="17602" xr:uid="{A99E7E77-5D6E-42AE-86CF-7CF7BB7D0454}"/>
    <cellStyle name="Normal 2 9 37" xfId="17661" xr:uid="{5586E6EE-670A-4B4F-A4CA-8F028E022DAD}"/>
    <cellStyle name="Normal 2 9 38" xfId="17669" xr:uid="{3A9944BA-F23C-4643-8AB7-B7A201FCD8CD}"/>
    <cellStyle name="Normal 2 9 39" xfId="17705" xr:uid="{11D5348E-B438-4900-BA96-FB7CE1A07430}"/>
    <cellStyle name="Normal 2 9 4" xfId="36183" xr:uid="{706C4DA8-B61B-4A72-9DB3-2C7234DAED67}"/>
    <cellStyle name="Normal 2 9 40" xfId="17544" xr:uid="{0A8F23AB-101E-4DAD-9060-F37FE61BCDD7}"/>
    <cellStyle name="Normal 2 9 41" xfId="17603" xr:uid="{2A148533-9473-48F3-B794-5D3F63A241A2}"/>
    <cellStyle name="Normal 2 9 42" xfId="17662" xr:uid="{4BCC3E17-7279-4DCC-B65B-4099DE813D1D}"/>
    <cellStyle name="Normal 2 9 43" xfId="17670" xr:uid="{0B45A585-7CED-4F2F-8D9D-F387A55D7451}"/>
    <cellStyle name="Normal 2 9 5" xfId="36184" xr:uid="{438A21F4-86A9-4004-B4DF-B3FB1C54E1D0}"/>
    <cellStyle name="Normal 2 9 6" xfId="36185" xr:uid="{E6C5524E-F0DB-4EF1-89D5-0A41D71ED7A7}"/>
    <cellStyle name="Normal 2 9 7" xfId="36186" xr:uid="{80DBFCB1-60B4-4240-A62C-9A31D4D80D55}"/>
    <cellStyle name="Normal 2 9 8" xfId="36187" xr:uid="{BC079BCD-4E65-46AE-B1E7-D68D88DB63E8}"/>
    <cellStyle name="Normal 2 9 9" xfId="25813" xr:uid="{0A7B5CDC-F1A2-40A6-B1DE-FE4FACF2272A}"/>
    <cellStyle name="Normal 2 90" xfId="27468" xr:uid="{314CA190-7950-484B-B675-8D92CD434119}"/>
    <cellStyle name="Normal 2 90 2" xfId="36111" xr:uid="{3E2B2B88-C7BE-4617-9A52-A5315D817923}"/>
    <cellStyle name="Normal 2 90 2 2" xfId="36188" xr:uid="{4EA2EDBB-A510-4C10-A306-E398C2D79B73}"/>
    <cellStyle name="Normal 2 90 2 2 2" xfId="32048" xr:uid="{300377D3-1F16-40AD-BEFF-C327E05D1640}"/>
    <cellStyle name="Normal 2 90 2 3" xfId="36189" xr:uid="{F3287602-6CD2-4FB2-9A7F-644DAE89964D}"/>
    <cellStyle name="Normal 2 90 3" xfId="36190" xr:uid="{216506B8-8A81-4235-B929-85B5FD9D32CB}"/>
    <cellStyle name="Normal 2 91" xfId="36114" xr:uid="{7A9F513B-BF27-454C-A02A-6271825A7210}"/>
    <cellStyle name="Normal 2 91 2" xfId="36117" xr:uid="{B627AE52-C116-4E02-BFE9-F382BE4067CA}"/>
    <cellStyle name="Normal 2 91 2 2" xfId="36120" xr:uid="{99E6DAA2-F002-4922-80E4-79026218334F}"/>
    <cellStyle name="Normal 2 91 2 2 2" xfId="36123" xr:uid="{096FB259-0754-4095-B018-4CE4C0DCC5DD}"/>
    <cellStyle name="Normal 2 91 2 3" xfId="36126" xr:uid="{62777990-1119-4395-A2F3-60704C375025}"/>
    <cellStyle name="Normal 2 91 3" xfId="36129" xr:uid="{B8B2B349-0C80-4614-A1E5-81A30FA59258}"/>
    <cellStyle name="Normal 2 92" xfId="35713" xr:uid="{24FCF769-CFCD-4738-9BC6-309609DEEED8}"/>
    <cellStyle name="Normal 2 92 2" xfId="35718" xr:uid="{63FF0014-D4C5-49F8-AA0A-68FC58850FF3}"/>
    <cellStyle name="Normal 2 92 2 2" xfId="36132" xr:uid="{3799CB08-4792-408F-BEEF-359033A9A08C}"/>
    <cellStyle name="Normal 2 92 2 2 2" xfId="36135" xr:uid="{7129163C-187C-4B63-9089-CB1D2A867CE7}"/>
    <cellStyle name="Normal 2 92 2 3" xfId="16544" xr:uid="{00526541-27E6-4F3F-8D00-F0709F459D63}"/>
    <cellStyle name="Normal 2 92 3" xfId="32407" xr:uid="{27898BC4-E51A-4635-8160-6A11F5D9D7CE}"/>
    <cellStyle name="Normal 2 93" xfId="35723" xr:uid="{0E7CE7AF-EBA2-4A80-A912-5D6D8A5D7BE0}"/>
    <cellStyle name="Normal 2 93 2" xfId="31804" xr:uid="{D779CB48-EDD0-46A5-BFBA-6530AA1EB508}"/>
    <cellStyle name="Normal 2 93 2 2" xfId="31809" xr:uid="{56B2C05D-27BC-48EF-B219-043FD424EF59}"/>
    <cellStyle name="Normal 2 93 2 2 2" xfId="32628" xr:uid="{EA130E1A-DDC5-47BD-BB53-BC65AE587F8B}"/>
    <cellStyle name="Normal 2 93 2 3" xfId="16572" xr:uid="{44CC1E8C-7CEC-467E-A9E7-B1235382E6BD}"/>
    <cellStyle name="Normal 2 93 3" xfId="31814" xr:uid="{9BE4F41C-1945-4CB3-A798-DACC716CAF21}"/>
    <cellStyle name="Normal 2 94" xfId="36138" xr:uid="{3D2954C5-2B30-4187-A2AE-B3BACA04C4C9}"/>
    <cellStyle name="Normal 2 94 2" xfId="31889" xr:uid="{33E5D329-1DF7-4AB9-8245-C5C98A8755A5}"/>
    <cellStyle name="Normal 2 94 2 2" xfId="31893" xr:uid="{0DF9DFEC-98C1-4B7D-9CC8-FA665474D35F}"/>
    <cellStyle name="Normal 2 94 2 2 2" xfId="36140" xr:uid="{BB448D2A-E9A4-4239-BF0B-C6C7A26125B7}"/>
    <cellStyle name="Normal 2 94 2 3" xfId="36142" xr:uid="{0370D143-92E6-4178-9BD1-F4C4460EC5B6}"/>
    <cellStyle name="Normal 2 94 3" xfId="31897" xr:uid="{8A8AA038-7828-40E1-86E4-E57D66F7B2BF}"/>
    <cellStyle name="Normal 2 95" xfId="36192" xr:uid="{FFA33D68-58E3-4124-8CE6-C93CF276B89C}"/>
    <cellStyle name="Normal 2 95 2" xfId="36193" xr:uid="{92B67C85-7D84-4C77-AAB4-C842CF174A52}"/>
    <cellStyle name="Normal 2 95 2 2" xfId="36194" xr:uid="{AD26F658-BE75-4373-98B7-57DF68F1CDFF}"/>
    <cellStyle name="Normal 2 95 2 2 2" xfId="36195" xr:uid="{99B6D94B-0AB0-4E46-B84C-01D9D8F7601C}"/>
    <cellStyle name="Normal 2 95 2 3" xfId="36196" xr:uid="{1D9E6D4E-4827-4079-B89F-629616F72D7C}"/>
    <cellStyle name="Normal 2 95 3" xfId="36197" xr:uid="{6DFA6215-29E7-4E4F-8B2E-B78659404204}"/>
    <cellStyle name="Normal 2 96" xfId="21080" xr:uid="{99A45A98-FA7E-40CB-A9D2-FE896C112363}"/>
    <cellStyle name="Normal 2 96 2" xfId="36198" xr:uid="{4C649DA1-389B-40E7-B6E8-F85369172075}"/>
    <cellStyle name="Normal 2 96 2 2" xfId="36199" xr:uid="{D579A22F-88A5-4389-9936-082CB450EF83}"/>
    <cellStyle name="Normal 2 96 2 2 2" xfId="36200" xr:uid="{B6ACC6A4-0432-4E5B-A7D4-7B58C884AFF0}"/>
    <cellStyle name="Normal 2 96 2 3" xfId="36201" xr:uid="{010D0F99-454D-4050-B613-002BE26D3BB6}"/>
    <cellStyle name="Normal 2 96 3" xfId="36202" xr:uid="{92FF22F1-E391-42F2-A2AC-FF8CABB313A3}"/>
    <cellStyle name="Normal 2 97" xfId="36203" xr:uid="{4E0BBC4D-EE6E-4F8C-AE1C-8209145C287F}"/>
    <cellStyle name="Normal 2 97 2" xfId="36204" xr:uid="{F8B3DA7D-BE6A-445F-AE24-79127CEED6D4}"/>
    <cellStyle name="Normal 2 97 2 2" xfId="36205" xr:uid="{702D7955-AEA3-4F09-AD2F-B12874D311A8}"/>
    <cellStyle name="Normal 2 97 2 2 2" xfId="36206" xr:uid="{33CCDECB-67F5-473A-8F83-2CCB0D14773C}"/>
    <cellStyle name="Normal 2 97 2 3" xfId="36207" xr:uid="{7A72CA32-8D61-47B8-A83E-BB61708BC8B2}"/>
    <cellStyle name="Normal 2 97 3" xfId="33093" xr:uid="{D67D60AA-C5F8-4A4B-AC45-D96ADEB51A75}"/>
    <cellStyle name="Normal 2 98" xfId="21254" xr:uid="{987B4EEB-DEEB-47C9-BA59-92884CEA52B7}"/>
    <cellStyle name="Normal 2 98 2" xfId="21257" xr:uid="{D6CD9ED2-E632-416D-8C95-4ED705AF9729}"/>
    <cellStyle name="Normal 2 98 2 2" xfId="6885" xr:uid="{D043E77F-2EED-47EF-A397-569CDC7FF99D}"/>
    <cellStyle name="Normal 2 98 2 2 2" xfId="21259" xr:uid="{8204207B-DBC9-4418-8A48-9A69BF2D7B9E}"/>
    <cellStyle name="Normal 2 98 2 3" xfId="6802" xr:uid="{B8AF32B1-6C0E-43D8-9804-CFEF647E193D}"/>
    <cellStyle name="Normal 2 98 3" xfId="21262" xr:uid="{2656A8EE-1D6E-4E68-AE4C-A091D435A34C}"/>
    <cellStyle name="Normal 2 99" xfId="8289" xr:uid="{E8528898-55A4-4342-BD36-42036500FBC7}"/>
    <cellStyle name="Normal 2 99 2" xfId="21266" xr:uid="{F520F423-6694-4CAC-AA6E-2DB7BB8ACD59}"/>
    <cellStyle name="Normal 2 99 2 2" xfId="21268" xr:uid="{A30864A4-A6FA-4B95-9B7E-AA998824812C}"/>
    <cellStyle name="Normal 2 99 2 2 2" xfId="25033" xr:uid="{CC273EE6-07DD-4C8A-998A-416F369D7765}"/>
    <cellStyle name="Normal 2 99 2 3" xfId="36208" xr:uid="{2B5F9B5F-7A86-4653-BF7B-0EBDFB6BB3E3}"/>
    <cellStyle name="Normal 2 99 3" xfId="10657" xr:uid="{3E22DBD7-1D2B-4293-9CB0-D58AED67359A}"/>
    <cellStyle name="Normal 2_Bilangan Kes A11 berbanding dengan data bersih JP Negeri_alam sekitar_p190112" xfId="36209" xr:uid="{4FBD2E15-2D78-4DF0-8C25-7AB1CFD727CB}"/>
    <cellStyle name="Normal 20" xfId="32778" xr:uid="{CD4E0F8D-BF43-40CA-8D81-F87FA2B90A4E}"/>
    <cellStyle name="Normal 20 10" xfId="36210" xr:uid="{D960353F-0E51-4D9B-BF62-C56632A01DC7}"/>
    <cellStyle name="Normal 20 11" xfId="36211" xr:uid="{5E6CBC55-A54E-41C8-A10C-385AA02EB406}"/>
    <cellStyle name="Normal 20 12" xfId="36212" xr:uid="{CB40481A-8295-445C-8789-6BB980180A04}"/>
    <cellStyle name="Normal 20 13" xfId="36213" xr:uid="{B7A3911E-4EB9-422B-BA83-243B5536DF70}"/>
    <cellStyle name="Normal 20 14" xfId="11605" xr:uid="{108F9B3F-0DF3-4C1B-A239-BA8FD9C1EEF4}"/>
    <cellStyle name="Normal 20 15" xfId="36214" xr:uid="{658E75F0-1D1C-41CC-AB07-11291F0E6AAD}"/>
    <cellStyle name="Normal 20 16" xfId="36215" xr:uid="{37761401-80A8-4843-A8CB-1C6E6D3AE2A9}"/>
    <cellStyle name="Normal 20 17" xfId="36216" xr:uid="{5D73EBC6-475B-4605-9177-E05B81390359}"/>
    <cellStyle name="Normal 20 18" xfId="36217" xr:uid="{9C8A441C-571C-456C-9C94-61C4EBA029F5}"/>
    <cellStyle name="Normal 20 19" xfId="36218" xr:uid="{34AF2369-681A-46E7-A039-BA4E427753B1}"/>
    <cellStyle name="Normal 20 2" xfId="19892" xr:uid="{F690BD68-5166-4393-9959-B1FF661E4997}"/>
    <cellStyle name="Normal 20 2 2" xfId="19898" xr:uid="{6DF18B20-6CA9-4B30-A1D6-D1A538379AB7}"/>
    <cellStyle name="Normal 20 3" xfId="19904" xr:uid="{5056E2EE-F5F5-4736-98E7-AD86F58E52BD}"/>
    <cellStyle name="Normal 20 3 2" xfId="19363" xr:uid="{9F04B0F2-4043-4FFA-8BD7-9B6B24394563}"/>
    <cellStyle name="Normal 20 4" xfId="23633" xr:uid="{4178C940-6B0B-4F1B-91E5-093675C1216D}"/>
    <cellStyle name="Normal 20 5" xfId="32785" xr:uid="{01D89E12-7FB6-4E8A-A528-AE8DBE090CA9}"/>
    <cellStyle name="Normal 20 6" xfId="13596" xr:uid="{2192BBED-0790-4788-9BA0-0F32A2528914}"/>
    <cellStyle name="Normal 20 7" xfId="31658" xr:uid="{1EE93A2D-D951-4F60-8C7A-E3CBC8773FA4}"/>
    <cellStyle name="Normal 20 8" xfId="31661" xr:uid="{57BF2E8E-88E5-4914-972E-1BA66F3AB28D}"/>
    <cellStyle name="Normal 20 9" xfId="36219" xr:uid="{EC596C2E-F281-4A6F-A2E2-75CBD87A8967}"/>
    <cellStyle name="Normal 200" xfId="30427" xr:uid="{542E5D53-7B5B-4792-935B-165D5F0914AA}"/>
    <cellStyle name="Normal 200 2" xfId="30432" xr:uid="{B0365F01-C0F6-4A2C-B298-B04317D4270D}"/>
    <cellStyle name="Normal 200 2 2" xfId="16019" xr:uid="{52A46639-75E9-48F6-8E33-C3BF28DCE162}"/>
    <cellStyle name="Normal 200 3" xfId="32746" xr:uid="{F0E296EA-561F-43BA-9C96-7B25D71D7574}"/>
    <cellStyle name="Normal 201" xfId="29723" xr:uid="{39F8153C-B97D-4CA1-B766-AA210A1DF221}"/>
    <cellStyle name="Normal 201 2" xfId="29729" xr:uid="{E6F7646A-1691-45FF-8AE1-8BC7B349B45C}"/>
    <cellStyle name="Normal 201 2 2" xfId="16498" xr:uid="{1A70286C-C3F2-47D4-BAF7-F94F1BBA8A95}"/>
    <cellStyle name="Normal 201 3" xfId="32750" xr:uid="{74AEB2D3-A28E-4786-B4A9-9BEC5EBC6BE3}"/>
    <cellStyle name="Normal 202" xfId="29734" xr:uid="{F40E282E-6F21-4CE5-A726-9675DBC81972}"/>
    <cellStyle name="Normal 202 2" xfId="31049" xr:uid="{42DD595C-F2C6-4E4A-A6B4-3548BBA22232}"/>
    <cellStyle name="Normal 202 2 2" xfId="16858" xr:uid="{9E54F3E8-B4FD-4DE4-9B18-192C53009980}"/>
    <cellStyle name="Normal 202 3" xfId="32754" xr:uid="{B7A04AFD-1D2E-41E3-A1A5-51B548004B79}"/>
    <cellStyle name="Normal 203" xfId="31054" xr:uid="{A5EA90A5-868B-4B10-8782-4E1E92073257}"/>
    <cellStyle name="Normal 203 2" xfId="32759" xr:uid="{A5B4C432-8C9F-43A6-BD4C-DCFC7F1DE686}"/>
    <cellStyle name="Normal 203 2 2" xfId="17024" xr:uid="{E4549791-F738-4A0C-BD82-3FF5DC054A3A}"/>
    <cellStyle name="Normal 203 3" xfId="32763" xr:uid="{7E751378-DD3D-45F4-B3F5-0ABC261288D0}"/>
    <cellStyle name="Normal 204" xfId="32767" xr:uid="{BA666D3B-146A-4E24-B49B-575D9A227FF8}"/>
    <cellStyle name="Normal 204 2" xfId="32772" xr:uid="{41662CB2-6AF0-4454-B2C4-51CB05078D89}"/>
    <cellStyle name="Normal 204 2 2" xfId="30973" xr:uid="{15B00AB1-6784-4CBF-8FFE-1094FF4BB09F}"/>
    <cellStyle name="Normal 204 3" xfId="32776" xr:uid="{C9D7E183-C273-4028-B765-BA66CEC0E99E}"/>
    <cellStyle name="Normal 205" xfId="32791" xr:uid="{C2CFE39E-80A2-45A9-AC29-3B6E8CE678A8}"/>
    <cellStyle name="Normal 205 2" xfId="11902" xr:uid="{C2094A0C-CD5F-40BF-99DA-12CDF97A8B57}"/>
    <cellStyle name="Normal 205 2 2" xfId="11909" xr:uid="{317FEDE2-ED96-4E87-ACB3-26DAB0FC8648}"/>
    <cellStyle name="Normal 205 3" xfId="2706" xr:uid="{42AEAFB0-A2E1-4759-BF45-D85309A57D54}"/>
    <cellStyle name="Normal 206" xfId="32795" xr:uid="{EBE1ACCC-5113-413F-97AA-AD4AE8DC8955}"/>
    <cellStyle name="Normal 206 2" xfId="11944" xr:uid="{FB859842-86E1-414B-9897-4AF5E559AA8F}"/>
    <cellStyle name="Normal 206 2 2" xfId="31232" xr:uid="{23F8B933-76A4-4C16-ABE6-27EB9F7B0B03}"/>
    <cellStyle name="Normal 206 3" xfId="32800" xr:uid="{24CFC66D-62E8-4111-9964-3C605E9ACD0D}"/>
    <cellStyle name="Normal 207" xfId="32804" xr:uid="{464182F0-3473-4832-8D2F-5D71E4F238F8}"/>
    <cellStyle name="Normal 207 2" xfId="1213" xr:uid="{655AE28C-DCA7-45E6-A1E1-3CBF7174E5D5}"/>
    <cellStyle name="Normal 207 2 2" xfId="32809" xr:uid="{C5C8E3BE-922F-4B42-9182-9BE009C4A14B}"/>
    <cellStyle name="Normal 207 3" xfId="1228" xr:uid="{BC4BACB0-091A-49F2-8E7A-FF68BE94EEA3}"/>
    <cellStyle name="Normal 208" xfId="32813" xr:uid="{4BF82163-9868-4CD5-BC4D-E045542A2B62}"/>
    <cellStyle name="Normal 208 2" xfId="32818" xr:uid="{190E69B5-BD53-4943-A438-7680C498D510}"/>
    <cellStyle name="Normal 208 2 2" xfId="32823" xr:uid="{4A26CC92-29B1-48A1-9268-AFB30FED0D20}"/>
    <cellStyle name="Normal 208 3" xfId="32829" xr:uid="{4751E41B-0F1C-4251-9D02-D4A9E0B49FB0}"/>
    <cellStyle name="Normal 209" xfId="32833" xr:uid="{833E5ECC-4149-442D-8913-A92337799E0F}"/>
    <cellStyle name="Normal 209 2" xfId="32838" xr:uid="{9FB41291-3721-496B-B18C-2A84DAC1D2E0}"/>
    <cellStyle name="Normal 209 2 2" xfId="32843" xr:uid="{FA05E57A-1D42-49BD-A93F-DF31CE650015}"/>
    <cellStyle name="Normal 209 3" xfId="32849" xr:uid="{EBC02253-4723-4E0A-9A07-8867856304C6}"/>
    <cellStyle name="Normal 21" xfId="32851" xr:uid="{8581FBCE-9DEB-4515-897F-DD224A9BC8E2}"/>
    <cellStyle name="Normal 21 10" xfId="32856" xr:uid="{DCDB6C6B-436A-4BB4-974D-E921A6AA09A6}"/>
    <cellStyle name="Normal 21 10 2" xfId="36220" xr:uid="{3D60423C-59BD-4B7A-A489-BF329C39A0AE}"/>
    <cellStyle name="Normal 21 10 2 2" xfId="27086" xr:uid="{964E618B-574C-48F4-875D-419BA142DCDF}"/>
    <cellStyle name="Normal 21 10 2 2 2" xfId="27088" xr:uid="{EE7221D4-D790-4E41-B905-434EE4AD6FFE}"/>
    <cellStyle name="Normal 21 10 2 2 2 2" xfId="11145" xr:uid="{756D720E-F3C2-4022-89ED-3D4ACE834512}"/>
    <cellStyle name="Normal 21 10 2 2 3" xfId="22175" xr:uid="{ACFA2824-0779-4DAF-8578-D3EBA342EC6B}"/>
    <cellStyle name="Normal 21 10 2 3" xfId="25683" xr:uid="{34B61504-5E86-49A4-9488-01228405C239}"/>
    <cellStyle name="Normal 21 10 2 3 2" xfId="13532" xr:uid="{C596A9E8-D2E8-4815-BC5E-A172D5D78E5A}"/>
    <cellStyle name="Normal 21 10 2 4" xfId="25689" xr:uid="{E6089E10-5DF9-4379-92A5-C7BD98D1E8FA}"/>
    <cellStyle name="Normal 21 10 3" xfId="36221" xr:uid="{85E5367A-A573-4778-83C0-A99482500E2C}"/>
    <cellStyle name="Normal 21 10 3 2" xfId="13388" xr:uid="{3B0FEB6D-554F-4823-8E26-AD99D273E2B8}"/>
    <cellStyle name="Normal 21 10 3 2 2" xfId="13390" xr:uid="{6344F074-BBF5-4D93-AD61-E5EFEE0EFAFB}"/>
    <cellStyle name="Normal 21 10 3 3" xfId="13393" xr:uid="{C1552D7E-E35D-4FF8-BD56-B7FB8111B48A}"/>
    <cellStyle name="Normal 21 10 4" xfId="34520" xr:uid="{DBEE9798-EDE3-43DE-898F-0E50D97979CF}"/>
    <cellStyle name="Normal 21 10 4 2" xfId="13415" xr:uid="{C65B4538-EA77-4D63-84AF-CE130441378F}"/>
    <cellStyle name="Normal 21 10 5" xfId="34523" xr:uid="{04F661D3-45D1-49FA-9D75-092BDD1FF87D}"/>
    <cellStyle name="Normal 21 11" xfId="32858" xr:uid="{3F203223-1E1C-4752-8ADE-AF1A4461F44B}"/>
    <cellStyle name="Normal 21 11 2" xfId="36222" xr:uid="{2404AADB-4B0B-40DC-AB15-F08862661082}"/>
    <cellStyle name="Normal 21 11 2 2" xfId="27224" xr:uid="{2832955F-6042-4092-90E5-97278A9656A0}"/>
    <cellStyle name="Normal 21 11 2 2 2" xfId="29034" xr:uid="{833B644B-6930-403E-8AC9-43DF9238455D}"/>
    <cellStyle name="Normal 21 11 2 3" xfId="25923" xr:uid="{EC8DFDFA-C42D-4562-9BF8-77F88A64B05B}"/>
    <cellStyle name="Normal 21 11 3" xfId="36223" xr:uid="{C1643AA6-7B7B-4FB1-BE30-7B7258A8B8C5}"/>
    <cellStyle name="Normal 21 11 3 2" xfId="13452" xr:uid="{B7125E88-0D59-4ED4-9FAA-D8B99B7366E2}"/>
    <cellStyle name="Normal 21 11 4" xfId="34528" xr:uid="{A3A6CFEB-7498-4830-B4A3-3F74CAE05567}"/>
    <cellStyle name="Normal 21 12" xfId="13032" xr:uid="{33AC8A57-6A81-4490-91D0-9A7412D5EE4E}"/>
    <cellStyle name="Normal 21 12 2" xfId="23208" xr:uid="{5596E3BE-817A-4C50-9A2F-74191357A0D4}"/>
    <cellStyle name="Normal 21 12 2 2" xfId="23210" xr:uid="{DF0567F6-795B-4877-80A1-EFE51E11FDE9}"/>
    <cellStyle name="Normal 21 12 3" xfId="23214" xr:uid="{11FEA785-64D4-43F0-B1CC-EF95C7C5B1FC}"/>
    <cellStyle name="Normal 21 13" xfId="23217" xr:uid="{E427BC50-FD72-4E1D-A1F4-D9A1FF71F274}"/>
    <cellStyle name="Normal 21 13 2" xfId="23219" xr:uid="{3B3B482C-D682-42D6-A846-FE634DA1B1AD}"/>
    <cellStyle name="Normal 21 14" xfId="23222" xr:uid="{9F823954-73F4-4FAC-A7BE-15DE03A94824}"/>
    <cellStyle name="Normal 21 15" xfId="32861" xr:uid="{B9FC871A-F985-45B9-B7B8-9AA985AE828D}"/>
    <cellStyle name="Normal 21 16" xfId="32864" xr:uid="{D323ABCA-616F-41D0-9C6C-6BDC92AB2363}"/>
    <cellStyle name="Normal 21 2" xfId="19913" xr:uid="{D2913551-B758-491C-A97C-6103718BDAC3}"/>
    <cellStyle name="Normal 21 2 2" xfId="32868" xr:uid="{7321FBB4-7D39-49C3-B6A9-4DD3092ABBF9}"/>
    <cellStyle name="Normal 21 2 3" xfId="32550" xr:uid="{6A65AAF1-E4D5-4809-A749-5764CB2E7E3A}"/>
    <cellStyle name="Normal 21 3" xfId="32876" xr:uid="{E368126E-1886-4ED6-9493-AF5BF23BFF0F}"/>
    <cellStyle name="Normal 21 3 10" xfId="14422" xr:uid="{C795E4CA-DE42-475C-9A1B-187D91EF8F16}"/>
    <cellStyle name="Normal 21 3 10 2" xfId="14425" xr:uid="{8D67B8DE-A0E5-4834-8B45-9B31994B25BD}"/>
    <cellStyle name="Normal 21 3 11" xfId="10943" xr:uid="{94697C85-F57F-4795-8A8F-C835C23E9156}"/>
    <cellStyle name="Normal 21 3 12" xfId="14594" xr:uid="{B06D3B90-6C7D-48B2-92A6-004E03425524}"/>
    <cellStyle name="Normal 21 3 13" xfId="11237" xr:uid="{20BA2D4D-D649-403C-BDC6-FBE8E7F7B3CB}"/>
    <cellStyle name="Normal 21 3 2" xfId="32880" xr:uid="{AF15E0EA-74D5-4EBA-9332-68632B73302C}"/>
    <cellStyle name="Normal 21 3 2 10" xfId="11919" xr:uid="{DC2ACF20-C19E-4317-81D6-EE575518DDE4}"/>
    <cellStyle name="Normal 21 3 2 11" xfId="36226" xr:uid="{09333ABA-F02F-4546-BA09-9FDC59224490}"/>
    <cellStyle name="Normal 21 3 2 12" xfId="36229" xr:uid="{3E8C0067-773C-46F1-8303-A3488235DDAB}"/>
    <cellStyle name="Normal 21 3 2 2" xfId="19867" xr:uid="{40DFC8F3-CC9F-40BB-9D15-406754136A64}"/>
    <cellStyle name="Normal 21 3 2 2 10" xfId="36230" xr:uid="{58A8C03E-E594-4710-BA91-F23361F8D04A}"/>
    <cellStyle name="Normal 21 3 2 2 2" xfId="36231" xr:uid="{3EC271D8-E131-4605-8068-33FA31D2B253}"/>
    <cellStyle name="Normal 21 3 2 2 2 2" xfId="36232" xr:uid="{61841060-785A-42A3-A340-72B6142DBF1F}"/>
    <cellStyle name="Normal 21 3 2 2 2 2 2" xfId="36233" xr:uid="{7ADD024D-6A9B-4631-B467-266C2C07F747}"/>
    <cellStyle name="Normal 21 3 2 2 2 2 2 2" xfId="36234" xr:uid="{F3258A30-B847-49DB-86F9-6AD0AAC9508E}"/>
    <cellStyle name="Normal 21 3 2 2 2 2 2 2 2" xfId="36235" xr:uid="{47866950-88E4-4CD8-A2B4-B2FED586321F}"/>
    <cellStyle name="Normal 21 3 2 2 2 2 2 2 2 2" xfId="36236" xr:uid="{B052212B-FB53-4C4A-856E-1542809EF52F}"/>
    <cellStyle name="Normal 21 3 2 2 2 2 2 2 2 2 2" xfId="36237" xr:uid="{1549D41B-6A1C-477A-8114-F589E2C38A85}"/>
    <cellStyle name="Normal 21 3 2 2 2 2 2 2 2 2 2 2" xfId="21053" xr:uid="{0891616C-3B02-455D-822B-0B7A89530A28}"/>
    <cellStyle name="Normal 21 3 2 2 2 2 2 2 2 2 3" xfId="36238" xr:uid="{2AD8C3D8-51F6-4EBB-BC49-306E550BB870}"/>
    <cellStyle name="Normal 21 3 2 2 2 2 2 2 2 3" xfId="8039" xr:uid="{C56B02D9-9FB6-488A-8E3D-393DFF6C39F7}"/>
    <cellStyle name="Normal 21 3 2 2 2 2 2 2 2 3 2" xfId="14756" xr:uid="{A319CCDC-E4BC-4192-AC62-A0754D43D865}"/>
    <cellStyle name="Normal 21 3 2 2 2 2 2 2 2 4" xfId="14759" xr:uid="{6B5AD31E-98F3-467E-8BD5-700893D42053}"/>
    <cellStyle name="Normal 21 3 2 2 2 2 2 2 3" xfId="36239" xr:uid="{B79392A1-B4FB-4648-B99F-1124BC17B3A3}"/>
    <cellStyle name="Normal 21 3 2 2 2 2 2 2 3 2" xfId="18936" xr:uid="{307109FB-39F2-48A8-B313-11015AE4814D}"/>
    <cellStyle name="Normal 21 3 2 2 2 2 2 2 3 2 2" xfId="17831" xr:uid="{CD22F789-B7B0-4A74-B48C-E0F4FF11E100}"/>
    <cellStyle name="Normal 21 3 2 2 2 2 2 2 3 3" xfId="14761" xr:uid="{83F27A99-6077-448E-891E-0F2611AE472F}"/>
    <cellStyle name="Normal 21 3 2 2 2 2 2 2 4" xfId="1442" xr:uid="{C67973F4-C662-45E4-BF39-32CC4A58EABD}"/>
    <cellStyle name="Normal 21 3 2 2 2 2 2 2 4 2" xfId="12213" xr:uid="{16221844-6EB0-4E90-B4F6-5C41EE077A82}"/>
    <cellStyle name="Normal 21 3 2 2 2 2 2 2 5" xfId="12227" xr:uid="{1BA431B2-DCE3-40C3-AB1A-650EECD2A50A}"/>
    <cellStyle name="Normal 21 3 2 2 2 2 2 3" xfId="36240" xr:uid="{DBC3D31F-725B-49A9-983D-7F9E423A1DA2}"/>
    <cellStyle name="Normal 21 3 2 2 2 2 2 3 2" xfId="36241" xr:uid="{FBC50B79-0352-4604-8308-AD6DD7325537}"/>
    <cellStyle name="Normal 21 3 2 2 2 2 2 3 2 2" xfId="36242" xr:uid="{649D32D0-4182-4C9A-894D-77CDF04E3D80}"/>
    <cellStyle name="Normal 21 3 2 2 2 2 2 3 2 2 2" xfId="36243" xr:uid="{FA0F9DD1-817B-455C-9B52-3A5F3D4B4E12}"/>
    <cellStyle name="Normal 21 3 2 2 2 2 2 3 2 3" xfId="14768" xr:uid="{D2158756-F974-400B-ABE8-62F9196558A0}"/>
    <cellStyle name="Normal 21 3 2 2 2 2 2 3 3" xfId="36244" xr:uid="{A61566E2-8D65-46FF-B378-23ACA66CEE17}"/>
    <cellStyle name="Normal 21 3 2 2 2 2 2 3 3 2" xfId="19196" xr:uid="{409C4B13-643F-4361-A115-4685FBC7F01B}"/>
    <cellStyle name="Normal 21 3 2 2 2 2 2 3 4" xfId="3311" xr:uid="{9343F412-B85E-46FA-A0D6-8549C111CFDD}"/>
    <cellStyle name="Normal 21 3 2 2 2 2 2 4" xfId="36245" xr:uid="{768E8CC3-5ED0-4AB3-B8DE-FACE69E2A453}"/>
    <cellStyle name="Normal 21 3 2 2 2 2 2 4 2" xfId="36246" xr:uid="{5DCBC3E6-B253-4C30-AE27-566D641BD8F4}"/>
    <cellStyle name="Normal 21 3 2 2 2 2 2 4 2 2" xfId="36247" xr:uid="{E1CBB37C-5F34-4C8D-8DE8-CE9D2FC25FF6}"/>
    <cellStyle name="Normal 21 3 2 2 2 2 2 4 3" xfId="35971" xr:uid="{BC0D66CC-35CA-4C9D-B5F9-613A526FC966}"/>
    <cellStyle name="Normal 21 3 2 2 2 2 2 5" xfId="36248" xr:uid="{C26E7333-F07A-4DCE-BAA7-1F61727541F7}"/>
    <cellStyle name="Normal 21 3 2 2 2 2 2 5 2" xfId="36249" xr:uid="{773C9E04-1F52-4259-95D9-D0C543D388F1}"/>
    <cellStyle name="Normal 21 3 2 2 2 2 2 6" xfId="36251" xr:uid="{F29D0D7A-5714-47E8-A853-BD700299DE38}"/>
    <cellStyle name="Normal 21 3 2 2 2 2 2 7" xfId="36252" xr:uid="{006BD050-B67F-4602-854B-60BA737DE00A}"/>
    <cellStyle name="Normal 21 3 2 2 2 2 3" xfId="36253" xr:uid="{380DD134-8331-4C72-A734-011784FB55D9}"/>
    <cellStyle name="Normal 21 3 2 2 2 2 3 2" xfId="36254" xr:uid="{A22C6A77-541B-4ECC-830A-924C19EA7D82}"/>
    <cellStyle name="Normal 21 3 2 2 2 2 3 2 2" xfId="36255" xr:uid="{E1F00358-A72F-41C0-9A26-FB30D142FE95}"/>
    <cellStyle name="Normal 21 3 2 2 2 2 3 2 2 2" xfId="36256" xr:uid="{16559E71-7312-415C-BBCA-DB94AD82EAB8}"/>
    <cellStyle name="Normal 21 3 2 2 2 2 3 2 2 2 2" xfId="32251" xr:uid="{7E61D293-DB66-4CF5-A2EE-319B3394DBB2}"/>
    <cellStyle name="Normal 21 3 2 2 2 2 3 2 2 3" xfId="14777" xr:uid="{35983736-9B59-4ACA-97F4-EAFA34C1BFD6}"/>
    <cellStyle name="Normal 21 3 2 2 2 2 3 2 3" xfId="36257" xr:uid="{4CC61A0D-9B38-486E-86F6-D425AF014E49}"/>
    <cellStyle name="Normal 21 3 2 2 2 2 3 2 3 2" xfId="36258" xr:uid="{5DEF5240-2E69-4F49-978A-F8B7B87B359F}"/>
    <cellStyle name="Normal 21 3 2 2 2 2 3 2 4" xfId="12265" xr:uid="{2CCAEBFE-F0C2-48E0-ADCD-5E713AE89227}"/>
    <cellStyle name="Normal 21 3 2 2 2 2 3 3" xfId="36259" xr:uid="{BF4C90F0-0C27-446E-8666-2668281E151D}"/>
    <cellStyle name="Normal 21 3 2 2 2 2 3 3 2" xfId="36260" xr:uid="{5BAE2D08-048B-4160-82A5-D1BB590DBC0D}"/>
    <cellStyle name="Normal 21 3 2 2 2 2 3 3 2 2" xfId="36261" xr:uid="{73269393-158A-40F9-A5FF-4C83B402653C}"/>
    <cellStyle name="Normal 21 3 2 2 2 2 3 3 3" xfId="36262" xr:uid="{92804757-30E0-40EB-9D51-6AFD861E2D90}"/>
    <cellStyle name="Normal 21 3 2 2 2 2 3 4" xfId="36263" xr:uid="{23697F2E-E118-4BAE-B97E-766FCF6F79DF}"/>
    <cellStyle name="Normal 21 3 2 2 2 2 3 4 2" xfId="36264" xr:uid="{BC8F26F0-30D9-4680-AD3F-EC5DB8EA6DE7}"/>
    <cellStyle name="Normal 21 3 2 2 2 2 3 5" xfId="36265" xr:uid="{A8C029B6-9D2E-4CF2-915D-6C0DFF7669C0}"/>
    <cellStyle name="Normal 21 3 2 2 2 2 4" xfId="30261" xr:uid="{A6F45310-59FB-4BB7-81E4-600A5FB71BDB}"/>
    <cellStyle name="Normal 21 3 2 2 2 2 4 2" xfId="30263" xr:uid="{157356E8-912D-4BB6-835F-5030799B4EA0}"/>
    <cellStyle name="Normal 21 3 2 2 2 2 4 2 2" xfId="30265" xr:uid="{82145C12-2F9B-4F61-B666-0D00EE8A34F2}"/>
    <cellStyle name="Normal 21 3 2 2 2 2 4 2 2 2" xfId="25623" xr:uid="{52AA3C6C-77E1-4780-A780-E87433AA5207}"/>
    <cellStyle name="Normal 21 3 2 2 2 2 4 2 3" xfId="36266" xr:uid="{A25E5F90-6FA0-4800-B44E-C0DCF07EDC06}"/>
    <cellStyle name="Normal 21 3 2 2 2 2 4 3" xfId="30267" xr:uid="{A4F6645A-223D-4C9C-8116-E30799C3888E}"/>
    <cellStyle name="Normal 21 3 2 2 2 2 4 3 2" xfId="36267" xr:uid="{1335B5D4-01BF-4BA4-99A6-497DC14C8DB3}"/>
    <cellStyle name="Normal 21 3 2 2 2 2 4 4" xfId="36268" xr:uid="{33B95F75-C054-4374-B6E7-9FB063A696D3}"/>
    <cellStyle name="Normal 21 3 2 2 2 2 5" xfId="30269" xr:uid="{4F0119B4-E0B1-46CD-8F5E-67F274C136CA}"/>
    <cellStyle name="Normal 21 3 2 2 2 2 5 2" xfId="30272" xr:uid="{D7D3743F-B743-48AF-980D-AD3D7676E3FD}"/>
    <cellStyle name="Normal 21 3 2 2 2 2 5 2 2" xfId="36269" xr:uid="{C6666C54-AE0D-463B-A521-0D2948C72246}"/>
    <cellStyle name="Normal 21 3 2 2 2 2 5 3" xfId="36270" xr:uid="{8542D4E6-EEC5-4CE4-B3DA-0CF335A0826C}"/>
    <cellStyle name="Normal 21 3 2 2 2 2 6" xfId="30274" xr:uid="{6C772AE5-889D-494C-8538-29BB6E2288E7}"/>
    <cellStyle name="Normal 21 3 2 2 2 2 6 2" xfId="36271" xr:uid="{C696B2A3-F6C1-4777-AF69-7BEF4AACF616}"/>
    <cellStyle name="Normal 21 3 2 2 2 2 7" xfId="36272" xr:uid="{25A1DA28-7A26-4222-80EB-E1B742E0900E}"/>
    <cellStyle name="Normal 21 3 2 2 2 2 8" xfId="36273" xr:uid="{974F7BEB-CE6A-4631-A4D4-3288D023184B}"/>
    <cellStyle name="Normal 21 3 2 2 2 3" xfId="14421" xr:uid="{F91A52AD-AADC-4777-81EE-B48529F3D4BA}"/>
    <cellStyle name="Normal 21 3 2 2 2 3 2" xfId="14424" xr:uid="{EB374FE3-EF28-465F-90D6-6D7F7D806C9E}"/>
    <cellStyle name="Normal 21 3 2 2 2 3 2 2" xfId="14427" xr:uid="{CF6D0D93-3FD5-4C97-9328-D0EE9CE59158}"/>
    <cellStyle name="Normal 21 3 2 2 2 3 2 2 2" xfId="14429" xr:uid="{EC2D2357-9D9E-47B9-BCEC-D9117CAD919D}"/>
    <cellStyle name="Normal 21 3 2 2 2 3 2 2 2 2" xfId="14431" xr:uid="{5ACB9926-2151-42C4-8077-6D496E521199}"/>
    <cellStyle name="Normal 21 3 2 2 2 3 2 2 2 2 2" xfId="14434" xr:uid="{9E585986-571F-48AC-93FA-DC018A0B5499}"/>
    <cellStyle name="Normal 21 3 2 2 2 3 2 2 2 3" xfId="14439" xr:uid="{60953021-8223-443C-8810-802BD2E6D835}"/>
    <cellStyle name="Normal 21 3 2 2 2 3 2 2 3" xfId="14447" xr:uid="{F6DCE3E5-A298-4DA7-BFF1-E9C3FB610426}"/>
    <cellStyle name="Normal 21 3 2 2 2 3 2 2 3 2" xfId="14449" xr:uid="{ED3760B5-5069-418A-8223-E3D75434050C}"/>
    <cellStyle name="Normal 21 3 2 2 2 3 2 2 4" xfId="12336" xr:uid="{15993527-FC8F-404B-8072-0CF04A05F795}"/>
    <cellStyle name="Normal 21 3 2 2 2 3 2 3" xfId="14454" xr:uid="{CE7820FA-001E-4AB7-A923-6FFFAC2C36FA}"/>
    <cellStyle name="Normal 21 3 2 2 2 3 2 3 2" xfId="14456" xr:uid="{04B703C6-6113-4B4A-A97A-330A4E2F82DD}"/>
    <cellStyle name="Normal 21 3 2 2 2 3 2 3 2 2" xfId="14458" xr:uid="{B2DEE47F-B6E4-4AD1-9FF3-F75FE56747A8}"/>
    <cellStyle name="Normal 21 3 2 2 2 3 2 3 3" xfId="14463" xr:uid="{3A808459-2558-424C-BBF8-F7094AEBF736}"/>
    <cellStyle name="Normal 21 3 2 2 2 3 2 4" xfId="14466" xr:uid="{A803CF9E-0DA0-4AE4-A167-AA2FED90E373}"/>
    <cellStyle name="Normal 21 3 2 2 2 3 2 4 2" xfId="14470" xr:uid="{3A8A049B-938A-4FC4-BBD0-5CDF8A059B92}"/>
    <cellStyle name="Normal 21 3 2 2 2 3 2 5" xfId="14480" xr:uid="{9DB56E75-2432-4E3D-8C5A-966DAEA3D258}"/>
    <cellStyle name="Normal 21 3 2 2 2 3 3" xfId="14495" xr:uid="{ED9EA3D1-CB34-444E-BDAB-B69AB27B63FC}"/>
    <cellStyle name="Normal 21 3 2 2 2 3 3 2" xfId="14497" xr:uid="{91E7BC19-E33D-4884-919E-7FD55A662DE5}"/>
    <cellStyle name="Normal 21 3 2 2 2 3 3 2 2" xfId="14499" xr:uid="{44B547FE-6121-4F15-8EA6-AE0E593E4508}"/>
    <cellStyle name="Normal 21 3 2 2 2 3 3 2 2 2" xfId="14501" xr:uid="{27838860-3AF7-4324-9C75-9ADCE14987CE}"/>
    <cellStyle name="Normal 21 3 2 2 2 3 3 2 3" xfId="14505" xr:uid="{AA09B634-DB30-44D3-A9D9-97A06904FE8A}"/>
    <cellStyle name="Normal 21 3 2 2 2 3 3 3" xfId="8428" xr:uid="{2251DF0A-94A7-40BA-BE31-2A07BCD3FD17}"/>
    <cellStyle name="Normal 21 3 2 2 2 3 3 3 2" xfId="8431" xr:uid="{70D94638-D34E-4352-830B-CB4089D421AC}"/>
    <cellStyle name="Normal 21 3 2 2 2 3 3 4" xfId="6532" xr:uid="{3C8E0813-78F3-44CC-89D6-07858DB38C3B}"/>
    <cellStyle name="Normal 21 3 2 2 2 3 4" xfId="14510" xr:uid="{C697674D-321F-4BB5-808B-C4210CCD30EC}"/>
    <cellStyle name="Normal 21 3 2 2 2 3 4 2" xfId="14513" xr:uid="{92E28ACE-832B-45F3-ACC6-52996EA7ADD8}"/>
    <cellStyle name="Normal 21 3 2 2 2 3 4 2 2" xfId="14516" xr:uid="{F65873BA-172A-456F-A8CA-67DE60CA44D2}"/>
    <cellStyle name="Normal 21 3 2 2 2 3 4 3" xfId="8455" xr:uid="{207EE210-2397-45C2-B782-F621180A5D49}"/>
    <cellStyle name="Normal 21 3 2 2 2 3 5" xfId="10312" xr:uid="{E18775DA-44EB-4CD9-A399-9C2653862EE7}"/>
    <cellStyle name="Normal 21 3 2 2 2 3 5 2" xfId="10315" xr:uid="{0938B432-7BD0-4172-83AE-24E36F7C408E}"/>
    <cellStyle name="Normal 21 3 2 2 2 3 6" xfId="9133" xr:uid="{C36BE91C-4F21-4AD5-836D-B38C010BB05E}"/>
    <cellStyle name="Normal 21 3 2 2 2 3 7" xfId="9139" xr:uid="{2A04F849-E26A-48C3-A488-BA0C0ED23BE4}"/>
    <cellStyle name="Normal 21 3 2 2 2 4" xfId="10940" xr:uid="{E5A12468-052D-4B96-AA9F-D8DF669B7838}"/>
    <cellStyle name="Normal 21 3 2 2 2 4 2" xfId="14524" xr:uid="{8D4F195F-7403-48A2-9DAE-C9A327AF4AE9}"/>
    <cellStyle name="Normal 21 3 2 2 2 4 2 2" xfId="14527" xr:uid="{D1F24A8C-3D9A-482F-A408-85E15CA2CA83}"/>
    <cellStyle name="Normal 21 3 2 2 2 4 2 2 2" xfId="14529" xr:uid="{94A17838-869C-4CAC-8CC9-F1BB3FBC0249}"/>
    <cellStyle name="Normal 21 3 2 2 2 4 2 2 2 2" xfId="14531" xr:uid="{8A9FA77E-88ED-4CA5-8AA1-B10089E1F36E}"/>
    <cellStyle name="Normal 21 3 2 2 2 4 2 2 3" xfId="14535" xr:uid="{C161455B-77EA-41BE-9437-E9809A1A5205}"/>
    <cellStyle name="Normal 21 3 2 2 2 4 2 3" xfId="14540" xr:uid="{79AB29F9-2509-4ABB-921B-44DA4D0939BB}"/>
    <cellStyle name="Normal 21 3 2 2 2 4 2 3 2" xfId="14542" xr:uid="{81ED44A5-B797-4CDB-B66B-D633CB6E5569}"/>
    <cellStyle name="Normal 21 3 2 2 2 4 2 4" xfId="14547" xr:uid="{0F75FC23-DFDC-4650-BCD7-7F90350E5494}"/>
    <cellStyle name="Normal 21 3 2 2 2 4 3" xfId="14563" xr:uid="{1DAE15D5-93B0-4EC0-B69E-DE3B7496C5E0}"/>
    <cellStyle name="Normal 21 3 2 2 2 4 3 2" xfId="14566" xr:uid="{A7A9E73C-F66E-48B9-8381-13B27DAE9251}"/>
    <cellStyle name="Normal 21 3 2 2 2 4 3 2 2" xfId="14569" xr:uid="{D77FF6A6-D9E0-44CA-BF0D-00CA5594B866}"/>
    <cellStyle name="Normal 21 3 2 2 2 4 3 3" xfId="8489" xr:uid="{04AB3113-4532-4053-B4D2-6CC5FF07CC03}"/>
    <cellStyle name="Normal 21 3 2 2 2 4 4" xfId="14575" xr:uid="{5910EC29-B0C7-4043-80EA-D4E91D71521A}"/>
    <cellStyle name="Normal 21 3 2 2 2 4 4 2" xfId="14579" xr:uid="{91E00959-4F39-4855-A79F-4E69C2666ECF}"/>
    <cellStyle name="Normal 21 3 2 2 2 4 5" xfId="10320" xr:uid="{D62DDE9C-FACB-4288-9AE6-8CA39F26CE5D}"/>
    <cellStyle name="Normal 21 3 2 2 2 5" xfId="14592" xr:uid="{4897ACFA-445F-4995-8D4E-9B7C48709623}"/>
    <cellStyle name="Normal 21 3 2 2 2 5 2" xfId="14596" xr:uid="{8356DB82-EE8F-4C01-8C4E-90A92B334512}"/>
    <cellStyle name="Normal 21 3 2 2 2 5 2 2" xfId="14598" xr:uid="{0D68FACC-8CCA-4E38-9119-8CD5D6CC7BFF}"/>
    <cellStyle name="Normal 21 3 2 2 2 5 2 2 2" xfId="14600" xr:uid="{A047A93D-3D9C-4B07-8420-993579A9CFAE}"/>
    <cellStyle name="Normal 21 3 2 2 2 5 2 3" xfId="14605" xr:uid="{BC63A8A9-45FD-49B1-AF32-58CF7B004A48}"/>
    <cellStyle name="Normal 21 3 2 2 2 5 3" xfId="14615" xr:uid="{64BF3FAF-79A8-43AD-9E46-D10D0674CBF3}"/>
    <cellStyle name="Normal 21 3 2 2 2 5 3 2" xfId="14617" xr:uid="{5DD26874-9C4B-469B-BBDD-A22CF83C3317}"/>
    <cellStyle name="Normal 21 3 2 2 2 5 4" xfId="14620" xr:uid="{924F6439-8685-4C5F-A8D5-5E50D492744D}"/>
    <cellStyle name="Normal 21 3 2 2 2 6" xfId="11236" xr:uid="{573C083D-9B4B-4263-962C-BC9C35B0CD94}"/>
    <cellStyle name="Normal 21 3 2 2 2 6 2" xfId="14630" xr:uid="{6A01BD82-86A9-4D5F-9817-44B1607F196F}"/>
    <cellStyle name="Normal 21 3 2 2 2 6 2 2" xfId="14632" xr:uid="{A242302E-C176-4B08-BB38-ACD333C60801}"/>
    <cellStyle name="Normal 21 3 2 2 2 6 3" xfId="14636" xr:uid="{ABB153F0-387D-42AC-8E66-64B8EF20E19D}"/>
    <cellStyle name="Normal 21 3 2 2 2 7" xfId="14642" xr:uid="{D0292550-DE9B-4F2E-86EE-F4DD187B047E}"/>
    <cellStyle name="Normal 21 3 2 2 2 7 2" xfId="14645" xr:uid="{09834340-8033-44C7-AAB3-1627CCA234D8}"/>
    <cellStyle name="Normal 21 3 2 2 2 8" xfId="14651" xr:uid="{991C3DB0-8F87-44C5-85A0-E462C6545DE6}"/>
    <cellStyle name="Normal 21 3 2 2 2 9" xfId="14656" xr:uid="{62D58C14-CFF4-415E-91BE-367F5261ADF4}"/>
    <cellStyle name="Normal 21 3 2 2 3" xfId="36274" xr:uid="{BC2A734F-BBA5-4B65-AA3C-500EBBE65F1E}"/>
    <cellStyle name="Normal 21 3 2 2 3 2" xfId="36275" xr:uid="{98149C9C-155E-45F6-B476-CD4CDEFC9CFA}"/>
    <cellStyle name="Normal 21 3 2 2 3 2 2" xfId="36276" xr:uid="{4B65F8C4-A343-4728-8DFF-FB9DD1A6F41D}"/>
    <cellStyle name="Normal 21 3 2 2 3 2 2 2" xfId="36277" xr:uid="{8AF2179A-834C-42F4-99B6-2DAA62814B43}"/>
    <cellStyle name="Normal 21 3 2 2 3 2 2 2 2" xfId="66" xr:uid="{CBCF95CF-499F-4B34-85A1-C11B60F928DE}"/>
    <cellStyle name="Normal 21 3 2 2 3 2 2 2 2 2" xfId="36278" xr:uid="{FBADC842-14C3-469F-AB81-2D1FA702A96F}"/>
    <cellStyle name="Normal 21 3 2 2 3 2 2 2 2 2 2" xfId="36279" xr:uid="{BE7F5457-ADCE-4247-8B08-6DC83E47D424}"/>
    <cellStyle name="Normal 21 3 2 2 3 2 2 2 2 3" xfId="15240" xr:uid="{CD549BD0-F44F-449E-A44C-67318F9DAA19}"/>
    <cellStyle name="Normal 21 3 2 2 3 2 2 2 3" xfId="111" xr:uid="{F3A82D6E-C930-482E-A495-4696E5087601}"/>
    <cellStyle name="Normal 21 3 2 2 3 2 2 2 3 2" xfId="33525" xr:uid="{47A21828-8A94-4965-9258-6A66CD034288}"/>
    <cellStyle name="Normal 21 3 2 2 3 2 2 2 4" xfId="129" xr:uid="{2F56FE52-30F8-47D5-9E2C-A2D5C946DF29}"/>
    <cellStyle name="Normal 21 3 2 2 3 2 2 3" xfId="36280" xr:uid="{969BE525-939D-47CF-9F99-D65E7636BD4F}"/>
    <cellStyle name="Normal 21 3 2 2 3 2 2 3 2" xfId="36281" xr:uid="{7C70DEBB-03AB-4AA0-8651-BE05EE4C272C}"/>
    <cellStyle name="Normal 21 3 2 2 3 2 2 3 2 2" xfId="25503" xr:uid="{67183871-636C-4103-86BA-442118E97853}"/>
    <cellStyle name="Normal 21 3 2 2 3 2 2 3 3" xfId="36282" xr:uid="{FC5753DC-1AA7-46D4-B620-EC932E0EED60}"/>
    <cellStyle name="Normal 21 3 2 2 3 2 2 4" xfId="36283" xr:uid="{62379585-89ED-449F-91DF-46EA9F4F782F}"/>
    <cellStyle name="Normal 21 3 2 2 3 2 2 4 2" xfId="36284" xr:uid="{2A00A182-E696-4184-8430-2210578DBAA7}"/>
    <cellStyle name="Normal 21 3 2 2 3 2 2 5" xfId="34572" xr:uid="{40146C80-371C-4158-BABE-2BEEAD42B14B}"/>
    <cellStyle name="Normal 21 3 2 2 3 2 3" xfId="36285" xr:uid="{ADE3A652-55B4-4BE4-A512-1D69530EF68C}"/>
    <cellStyle name="Normal 21 3 2 2 3 2 3 2" xfId="36286" xr:uid="{F30E1BC2-342B-4395-A45C-127181D57025}"/>
    <cellStyle name="Normal 21 3 2 2 3 2 3 2 2" xfId="666" xr:uid="{A61133A7-9E1F-4B1B-B846-A664870FEAF6}"/>
    <cellStyle name="Normal 21 3 2 2 3 2 3 2 2 2" xfId="11676" xr:uid="{952C17A8-8EFE-4613-8789-FFCBE027A36C}"/>
    <cellStyle name="Normal 21 3 2 2 3 2 3 2 3" xfId="668" xr:uid="{780A10D3-5A36-48A1-AD9A-127F2A45959C}"/>
    <cellStyle name="Normal 21 3 2 2 3 2 3 3" xfId="36287" xr:uid="{1F76B1AF-51B5-44D9-82C8-B8A42A2E0ADC}"/>
    <cellStyle name="Normal 21 3 2 2 3 2 3 3 2" xfId="36288" xr:uid="{FBFC6DDE-1279-44A5-89DC-F7B5D6354B9B}"/>
    <cellStyle name="Normal 21 3 2 2 3 2 3 4" xfId="178" xr:uid="{CCD33CAF-E4F3-4841-9894-5FFEA1A22E86}"/>
    <cellStyle name="Normal 21 3 2 2 3 2 4" xfId="30286" xr:uid="{487F1C3F-EC34-48B0-B7DE-7D98CF1C28F5}"/>
    <cellStyle name="Normal 21 3 2 2 3 2 4 2" xfId="30288" xr:uid="{29D74956-481C-492E-82D0-34E25EA9C046}"/>
    <cellStyle name="Normal 21 3 2 2 3 2 4 2 2" xfId="797" xr:uid="{41A87C32-F963-4FC0-9060-9788782C7821}"/>
    <cellStyle name="Normal 21 3 2 2 3 2 4 3" xfId="36289" xr:uid="{66B7D361-E9A5-4B89-B481-94CEB316189C}"/>
    <cellStyle name="Normal 21 3 2 2 3 2 5" xfId="30290" xr:uid="{B073990C-487F-4F36-A9D7-C2406659425C}"/>
    <cellStyle name="Normal 21 3 2 2 3 2 5 2" xfId="20269" xr:uid="{7F237DAB-107A-40EE-A28F-F478D47C8F23}"/>
    <cellStyle name="Normal 21 3 2 2 3 2 6" xfId="36290" xr:uid="{8CC46098-9075-4F4C-8DDA-52B19E935C1B}"/>
    <cellStyle name="Normal 21 3 2 2 3 2 7" xfId="36291" xr:uid="{0391D992-09A0-42EB-87DD-25D94896A375}"/>
    <cellStyle name="Normal 21 3 2 2 3 3" xfId="14660" xr:uid="{37BD958B-A884-40FD-8EF1-FC8C8F886272}"/>
    <cellStyle name="Normal 21 3 2 2 3 3 2" xfId="14662" xr:uid="{054FC68E-AF3D-43AD-8433-B75C15DDAE31}"/>
    <cellStyle name="Normal 21 3 2 2 3 3 2 2" xfId="7481" xr:uid="{23C945A6-2CA1-4DB0-BA1F-AC7A0226DAE9}"/>
    <cellStyle name="Normal 21 3 2 2 3 3 2 2 2" xfId="7484" xr:uid="{A8D48E85-AFFD-466B-A9B1-2ED0C419805B}"/>
    <cellStyle name="Normal 21 3 2 2 3 3 2 2 2 2" xfId="5761" xr:uid="{0953C53E-1738-46B4-B22F-E00F03D7230A}"/>
    <cellStyle name="Normal 21 3 2 2 3 3 2 2 3" xfId="7487" xr:uid="{163EBF5C-02EC-4CD6-B03B-AABA2E1F3661}"/>
    <cellStyle name="Normal 21 3 2 2 3 3 2 3" xfId="7490" xr:uid="{CDA8AE45-8C33-4F48-8B6F-172750EAC828}"/>
    <cellStyle name="Normal 21 3 2 2 3 3 2 3 2" xfId="7493" xr:uid="{98CDE9F8-F294-43AE-92A9-786983BEB6DE}"/>
    <cellStyle name="Normal 21 3 2 2 3 3 2 4" xfId="7498" xr:uid="{F0BE8F7A-6E3C-4F7E-AB85-4DF2316C34DF}"/>
    <cellStyle name="Normal 21 3 2 2 3 3 3" xfId="14678" xr:uid="{34544F40-C5E6-4249-94C8-4B326817EA2D}"/>
    <cellStyle name="Normal 21 3 2 2 3 3 3 2" xfId="6475" xr:uid="{9BC7D3CF-894B-4F76-9A67-2F30109D792E}"/>
    <cellStyle name="Normal 21 3 2 2 3 3 3 2 2" xfId="7552" xr:uid="{2DA5082C-1CEB-419C-B556-1B8D288CEC85}"/>
    <cellStyle name="Normal 21 3 2 2 3 3 3 3" xfId="7556" xr:uid="{3AAFCB6C-3606-4A47-8432-6879239E3FB0}"/>
    <cellStyle name="Normal 21 3 2 2 3 3 4" xfId="14682" xr:uid="{9074E0E7-E60B-4D20-97D1-4524621ABD18}"/>
    <cellStyle name="Normal 21 3 2 2 3 3 4 2" xfId="6723" xr:uid="{69942D81-9239-44B9-965C-5B7B9A5FD5BE}"/>
    <cellStyle name="Normal 21 3 2 2 3 3 5" xfId="10328" xr:uid="{5655A8A6-4FD1-4F9E-A7CD-AAD128599763}"/>
    <cellStyle name="Normal 21 3 2 2 3 4" xfId="14689" xr:uid="{3A7F1201-E675-4E7B-8439-DC259FC005A1}"/>
    <cellStyle name="Normal 21 3 2 2 3 4 2" xfId="14692" xr:uid="{72EA1C44-BFCE-4864-AA39-49ED1365C9B9}"/>
    <cellStyle name="Normal 21 3 2 2 3 4 2 2" xfId="7720" xr:uid="{EAE9210E-A942-433D-95A3-4D8474681B81}"/>
    <cellStyle name="Normal 21 3 2 2 3 4 2 2 2" xfId="7727" xr:uid="{BF3EF3B9-202D-4B5C-827A-38AA7963E1FF}"/>
    <cellStyle name="Normal 21 3 2 2 3 4 2 3" xfId="43" xr:uid="{1B4E4F48-673B-4194-BACF-05CFB0A6A7C3}"/>
    <cellStyle name="Normal 21 3 2 2 3 4 3" xfId="14705" xr:uid="{0EAF0B04-08A1-4FAA-A301-47F1CEC749C2}"/>
    <cellStyle name="Normal 21 3 2 2 3 4 3 2" xfId="7788" xr:uid="{B298156B-8163-4CDC-9788-A388A61465F0}"/>
    <cellStyle name="Normal 21 3 2 2 3 4 4" xfId="14710" xr:uid="{4FF2FAB5-0CBF-44A0-AE13-CA400BA8A9EB}"/>
    <cellStyle name="Normal 21 3 2 2 3 5" xfId="14722" xr:uid="{381E7736-AFD1-48AA-ADF0-0F1520A69C7E}"/>
    <cellStyle name="Normal 21 3 2 2 3 5 2" xfId="14724" xr:uid="{A078A800-AE5E-46BF-BA25-7073BF781324}"/>
    <cellStyle name="Normal 21 3 2 2 3 5 2 2" xfId="1454" xr:uid="{02877BAE-024F-4CA5-A2CF-55B0C9FDD127}"/>
    <cellStyle name="Normal 21 3 2 2 3 5 3" xfId="14729" xr:uid="{1EC3F895-9E39-4706-B9F4-65D306374906}"/>
    <cellStyle name="Normal 21 3 2 2 3 6" xfId="14734" xr:uid="{CB4F010A-99D9-462F-ABC2-671018167132}"/>
    <cellStyle name="Normal 21 3 2 2 3 6 2" xfId="14736" xr:uid="{5182BCB0-2C92-4D1B-99D3-03475F3DD29B}"/>
    <cellStyle name="Normal 21 3 2 2 3 7" xfId="14744" xr:uid="{DA9080FE-93A7-4CDB-8594-E3A5B983200D}"/>
    <cellStyle name="Normal 21 3 2 2 3 8" xfId="8612" xr:uid="{91943933-CD87-487A-B065-11850B8BE375}"/>
    <cellStyle name="Normal 21 3 2 2 4" xfId="36292" xr:uid="{B561CCCF-2D17-4376-AE53-0F831583EF74}"/>
    <cellStyle name="Normal 21 3 2 2 4 2" xfId="36293" xr:uid="{0670D67E-7A5C-438C-BF29-499DED2269B5}"/>
    <cellStyle name="Normal 21 3 2 2 4 2 2" xfId="36294" xr:uid="{F1B9D7EC-B278-48CE-860B-B880FA2D3DFB}"/>
    <cellStyle name="Normal 21 3 2 2 4 2 2 2" xfId="36295" xr:uid="{48E5C8A4-0C0D-42CF-80CC-DE174B2799FE}"/>
    <cellStyle name="Normal 21 3 2 2 4 2 2 2 2" xfId="36296" xr:uid="{29F3585D-6AD9-45DD-81F4-935A4E05716A}"/>
    <cellStyle name="Normal 21 3 2 2 4 2 2 2 2 2" xfId="32198" xr:uid="{45600C49-6EF7-4828-A955-23215F3BE184}"/>
    <cellStyle name="Normal 21 3 2 2 4 2 2 2 3" xfId="36297" xr:uid="{89A38724-8E33-4E69-80EE-66D179DF2FD8}"/>
    <cellStyle name="Normal 21 3 2 2 4 2 2 3" xfId="14644" xr:uid="{534C54FF-21B6-49C7-A115-64E11C95E7B5}"/>
    <cellStyle name="Normal 21 3 2 2 4 2 2 3 2" xfId="14647" xr:uid="{839F7E19-3174-4CBC-83D7-91B29BE2ACC3}"/>
    <cellStyle name="Normal 21 3 2 2 4 2 2 4" xfId="14649" xr:uid="{8ACBF474-593C-48A7-A7F8-4F954D7B5E32}"/>
    <cellStyle name="Normal 21 3 2 2 4 2 3" xfId="36298" xr:uid="{C9891155-D76F-49E9-890A-645B614E040E}"/>
    <cellStyle name="Normal 21 3 2 2 4 2 3 2" xfId="36299" xr:uid="{AFCEC72C-03AE-4527-9306-DCC64826AD62}"/>
    <cellStyle name="Normal 21 3 2 2 4 2 3 2 2" xfId="36300" xr:uid="{79AFF0DB-CE74-4703-8C09-27AA710005F9}"/>
    <cellStyle name="Normal 21 3 2 2 4 2 3 3" xfId="14654" xr:uid="{4B54C65C-8D7D-4D67-B1E3-3B61F23DEABA}"/>
    <cellStyle name="Normal 21 3 2 2 4 2 4" xfId="30302" xr:uid="{297B9A9F-142B-4425-8960-F7C822F329F8}"/>
    <cellStyle name="Normal 21 3 2 2 4 2 4 2" xfId="36301" xr:uid="{BD6283A3-A5AA-4BA2-8D85-35B4A4BEBAAF}"/>
    <cellStyle name="Normal 21 3 2 2 4 2 5" xfId="36302" xr:uid="{8D7CF539-4383-4C96-A04E-1413AB6DC8F2}"/>
    <cellStyle name="Normal 21 3 2 2 4 3" xfId="14752" xr:uid="{8BFC3A26-8ACF-4771-912B-9128E21B60E8}"/>
    <cellStyle name="Normal 21 3 2 2 4 3 2" xfId="14754" xr:uid="{EA58764F-76E4-4E81-A571-9A4DCCC7DFE1}"/>
    <cellStyle name="Normal 21 3 2 2 4 3 2 2" xfId="5744" xr:uid="{1346CB44-5BCE-4EFF-B30D-E1A0C45A7B01}"/>
    <cellStyle name="Normal 21 3 2 2 4 3 2 2 2" xfId="8038" xr:uid="{22905EC0-980F-46D3-968C-18C46F942415}"/>
    <cellStyle name="Normal 21 3 2 2 4 3 2 3" xfId="8042" xr:uid="{9272FA94-AE32-4BCC-B9E0-064D7F2F7DDE}"/>
    <cellStyle name="Normal 21 3 2 2 4 3 3" xfId="14765" xr:uid="{151CC2E8-7AF3-4C14-B572-7592DCAD7845}"/>
    <cellStyle name="Normal 21 3 2 2 4 3 3 2" xfId="8048" xr:uid="{6B9A0100-BEAB-4C57-8F17-645465B610A2}"/>
    <cellStyle name="Normal 21 3 2 2 4 3 4" xfId="14770" xr:uid="{CA445AAE-509B-4B58-BAAB-8DA60FBBA189}"/>
    <cellStyle name="Normal 21 3 2 2 4 4" xfId="14773" xr:uid="{CCCB9830-3FB0-4F93-BAFF-08467E0D449D}"/>
    <cellStyle name="Normal 21 3 2 2 4 4 2" xfId="14775" xr:uid="{17053BC9-854E-45BB-BE48-7372F89E46C1}"/>
    <cellStyle name="Normal 21 3 2 2 4 4 2 2" xfId="8100" xr:uid="{1354839B-0CB7-4F7B-BCBD-DF482E246012}"/>
    <cellStyle name="Normal 21 3 2 2 4 4 3" xfId="14781" xr:uid="{1C200F64-529C-4041-A46A-1A65C9C20B88}"/>
    <cellStyle name="Normal 21 3 2 2 4 5" xfId="14789" xr:uid="{0800EB86-8E8B-49EB-ACED-773B0EE0F913}"/>
    <cellStyle name="Normal 21 3 2 2 4 5 2" xfId="14791" xr:uid="{6C4A2E4E-5940-41A9-931E-3F7CF3141869}"/>
    <cellStyle name="Normal 21 3 2 2 4 6" xfId="14798" xr:uid="{91BF72B0-23AA-4CFD-A8D6-E72C7B04CCA4}"/>
    <cellStyle name="Normal 21 3 2 2 4 7" xfId="14801" xr:uid="{315A6EA3-31E3-4093-BC8A-854555511663}"/>
    <cellStyle name="Normal 21 3 2 2 5" xfId="36303" xr:uid="{5632A897-474A-4AE1-B537-2A4955513DCF}"/>
    <cellStyle name="Normal 21 3 2 2 5 2" xfId="36304" xr:uid="{7EFCB7FA-7330-49DF-833A-FAD1523F8BC8}"/>
    <cellStyle name="Normal 21 3 2 2 5 2 2" xfId="35260" xr:uid="{F302F0DE-B832-4697-AEFE-CE6859070253}"/>
    <cellStyle name="Normal 21 3 2 2 5 2 2 2" xfId="25867" xr:uid="{91B50CF9-631B-4500-B1E9-A050CC64C716}"/>
    <cellStyle name="Normal 21 3 2 2 5 2 2 2 2" xfId="25873" xr:uid="{ED1043BC-8BF5-4A78-B7C3-899BA3AE5037}"/>
    <cellStyle name="Normal 21 3 2 2 5 2 2 3" xfId="15174" xr:uid="{904B949E-E365-432D-94AF-EB9C94AF619E}"/>
    <cellStyle name="Normal 21 3 2 2 5 2 3" xfId="25773" xr:uid="{5B6F860B-2AB7-4736-8832-A8BA5557F975}"/>
    <cellStyle name="Normal 21 3 2 2 5 2 3 2" xfId="35267" xr:uid="{3778A24F-30A8-4525-B3A0-B164E5A0332B}"/>
    <cellStyle name="Normal 21 3 2 2 5 2 4" xfId="25780" xr:uid="{445E0474-91A1-4C64-B4C5-5AC675D0F63F}"/>
    <cellStyle name="Normal 21 3 2 2 5 3" xfId="14808" xr:uid="{74895489-543D-4A51-AC78-5729873356AD}"/>
    <cellStyle name="Normal 21 3 2 2 5 3 2" xfId="14811" xr:uid="{22A7891E-FCBA-49A0-B716-7879835C4A35}"/>
    <cellStyle name="Normal 21 3 2 2 5 3 2 2" xfId="5791" xr:uid="{A5CDD1CE-F7EF-4F3F-BE8E-DF32BE53179D}"/>
    <cellStyle name="Normal 21 3 2 2 5 3 3" xfId="14817" xr:uid="{F354D5A8-4688-4F64-BF24-F5599C9855DE}"/>
    <cellStyle name="Normal 21 3 2 2 5 4" xfId="14831" xr:uid="{564AFF10-13A2-44D8-B58C-EEE8E3CC2A54}"/>
    <cellStyle name="Normal 21 3 2 2 5 4 2" xfId="14833" xr:uid="{6AC90D80-C1D3-49AA-BF6C-972762BAABDA}"/>
    <cellStyle name="Normal 21 3 2 2 5 5" xfId="14844" xr:uid="{99352F9A-4727-4EF6-8483-732ECC9485DA}"/>
    <cellStyle name="Normal 21 3 2 2 6" xfId="36305" xr:uid="{2506C862-859D-4074-AC9D-D8F9D8247A26}"/>
    <cellStyle name="Normal 21 3 2 2 6 2" xfId="36306" xr:uid="{56433A6C-26D4-40C8-A692-A4B1129E23BA}"/>
    <cellStyle name="Normal 21 3 2 2 6 2 2" xfId="36307" xr:uid="{34F1DB99-225F-4C16-BE20-691D15AEC1AA}"/>
    <cellStyle name="Normal 21 3 2 2 6 2 2 2" xfId="25009" xr:uid="{7DB66757-E42F-48A4-8846-09C573F362A8}"/>
    <cellStyle name="Normal 21 3 2 2 6 2 3" xfId="25983" xr:uid="{F03D0D2E-5978-48F5-A4FC-308E870A9F0E}"/>
    <cellStyle name="Normal 21 3 2 2 6 3" xfId="14854" xr:uid="{9F105757-8071-46F7-97B3-4B7F3EF58D73}"/>
    <cellStyle name="Normal 21 3 2 2 6 3 2" xfId="14856" xr:uid="{51D88B96-29A6-49C6-8953-D152046C7E1F}"/>
    <cellStyle name="Normal 21 3 2 2 6 4" xfId="14863" xr:uid="{13151079-6D0C-46EA-9500-65F4D30B01E7}"/>
    <cellStyle name="Normal 21 3 2 2 7" xfId="36308" xr:uid="{361E456F-B8ED-457B-AA87-88B9F9CAF76E}"/>
    <cellStyle name="Normal 21 3 2 2 7 2" xfId="30857" xr:uid="{4A9546EA-CD2D-47E9-A15B-D63AB73914B8}"/>
    <cellStyle name="Normal 21 3 2 2 7 2 2" xfId="5864" xr:uid="{07E0AFD9-2E2C-438D-8FD9-584C34C239A3}"/>
    <cellStyle name="Normal 21 3 2 2 7 3" xfId="14869" xr:uid="{AA359E6D-11AC-4283-B132-CC37B4CF3C98}"/>
    <cellStyle name="Normal 21 3 2 2 8" xfId="36309" xr:uid="{F6235A4B-7A77-44FF-B542-4F75178BECC0}"/>
    <cellStyle name="Normal 21 3 2 2 8 2" xfId="36310" xr:uid="{1CFDA1BD-A036-4F02-A19D-B6F90E605DC1}"/>
    <cellStyle name="Normal 21 3 2 2 9" xfId="36311" xr:uid="{9AC6F6AB-1740-47C8-9ACE-DFDA56B38742}"/>
    <cellStyle name="Normal 21 3 2 3" xfId="6414" xr:uid="{F6B0495A-B3C5-4FAA-8030-94013D4A5015}"/>
    <cellStyle name="Normal 21 3 2 3 2" xfId="6416" xr:uid="{5724B455-D1AA-4F1F-9C66-10CA49795BEA}"/>
    <cellStyle name="Normal 21 3 2 3 2 2" xfId="1410" xr:uid="{3AC62884-9BE0-46D7-B4BA-3CA3AE8E1F94}"/>
    <cellStyle name="Normal 21 3 2 3 2 2 2" xfId="25050" xr:uid="{7C9F2916-B708-4DEA-A636-B22A6534D379}"/>
    <cellStyle name="Normal 21 3 2 3 2 2 2 2" xfId="25055" xr:uid="{8FB1AE54-5C81-45C7-BB8C-9F598085A082}"/>
    <cellStyle name="Normal 21 3 2 3 2 2 2 2 2" xfId="36312" xr:uid="{C8D7F34E-261D-401B-8F2A-38F38FF3FCB2}"/>
    <cellStyle name="Normal 21 3 2 3 2 2 2 2 2 2" xfId="36313" xr:uid="{204117F4-35C5-4E15-A5C6-14079BD37D4D}"/>
    <cellStyle name="Normal 21 3 2 3 2 2 2 2 2 2 2" xfId="36314" xr:uid="{6C0C26AE-0F47-482C-AB2C-D4A4F06884EB}"/>
    <cellStyle name="Normal 21 3 2 3 2 2 2 2 2 3" xfId="11310" xr:uid="{CEA58391-EFAE-4348-A98C-C768B7FE7AF5}"/>
    <cellStyle name="Normal 21 3 2 3 2 2 2 2 3" xfId="36315" xr:uid="{FEC2B80C-02BF-4951-A3B5-94395C37BE2A}"/>
    <cellStyle name="Normal 21 3 2 3 2 2 2 2 3 2" xfId="21967" xr:uid="{04ED40EE-DB71-4BD7-9D64-00C2D50B93B7}"/>
    <cellStyle name="Normal 21 3 2 3 2 2 2 2 4" xfId="13005" xr:uid="{5345D9DC-84D9-4460-9418-5EF166D14EF4}"/>
    <cellStyle name="Normal 21 3 2 3 2 2 2 3" xfId="25058" xr:uid="{56E2CF1A-9BF3-4523-9D1A-F16FEA94950E}"/>
    <cellStyle name="Normal 21 3 2 3 2 2 2 3 2" xfId="36316" xr:uid="{5A42D378-6760-458F-8FC8-4C86C4B15A72}"/>
    <cellStyle name="Normal 21 3 2 3 2 2 2 3 2 2" xfId="36317" xr:uid="{28C64D28-A1C9-428E-A5D4-06348D4C5E69}"/>
    <cellStyle name="Normal 21 3 2 3 2 2 2 3 3" xfId="36318" xr:uid="{AF946344-5003-4F22-A95C-4CB14EBD6CCD}"/>
    <cellStyle name="Normal 21 3 2 3 2 2 2 4" xfId="36319" xr:uid="{9EA7AD9C-2EAE-41DF-8CEC-4B29C6F1E4C3}"/>
    <cellStyle name="Normal 21 3 2 3 2 2 2 4 2" xfId="36320" xr:uid="{626DF668-E3DC-47D0-8540-13867D45645E}"/>
    <cellStyle name="Normal 21 3 2 3 2 2 2 5" xfId="36321" xr:uid="{6151827C-8763-4243-A1C3-33479349725A}"/>
    <cellStyle name="Normal 21 3 2 3 2 2 3" xfId="25061" xr:uid="{46FA1FDA-12FA-4CC4-B86C-94C713C33673}"/>
    <cellStyle name="Normal 21 3 2 3 2 2 3 2" xfId="25064" xr:uid="{BAD8512A-88EE-4EF3-A483-F5693D2353E9}"/>
    <cellStyle name="Normal 21 3 2 3 2 2 3 2 2" xfId="36322" xr:uid="{24583102-1F53-485C-86F9-82C3D497B3B6}"/>
    <cellStyle name="Normal 21 3 2 3 2 2 3 2 2 2" xfId="18396" xr:uid="{B9F4AE10-70E6-4235-9009-B5DBF3C762E3}"/>
    <cellStyle name="Normal 21 3 2 3 2 2 3 2 3" xfId="36323" xr:uid="{7664F1AC-E5A9-491B-B9B8-7DAE1FF54461}"/>
    <cellStyle name="Normal 21 3 2 3 2 2 3 3" xfId="25067" xr:uid="{009C46DA-41F6-46B3-8759-18304C8D7046}"/>
    <cellStyle name="Normal 21 3 2 3 2 2 3 3 2" xfId="36324" xr:uid="{6E5EF81C-2360-4AEB-8918-AEF8BFE3FC11}"/>
    <cellStyle name="Normal 21 3 2 3 2 2 3 4" xfId="36325" xr:uid="{2B7E4760-A74D-4E43-B028-D5ABF1EE214E}"/>
    <cellStyle name="Normal 21 3 2 3 2 2 4" xfId="25071" xr:uid="{DF7508B5-ADE7-47FC-9AA2-B05C30C3B63C}"/>
    <cellStyle name="Normal 21 3 2 3 2 2 4 2" xfId="25075" xr:uid="{9F149E4A-B4A3-43BA-9E50-8002BE0C5093}"/>
    <cellStyle name="Normal 21 3 2 3 2 2 4 2 2" xfId="30643" xr:uid="{D00704BF-4913-4B94-9670-04CB564E2EEB}"/>
    <cellStyle name="Normal 21 3 2 3 2 2 4 3" xfId="25078" xr:uid="{88CB8E78-C97B-4A2B-A84D-EFCBF89C29B5}"/>
    <cellStyle name="Normal 21 3 2 3 2 2 5" xfId="25082" xr:uid="{4DA57BFB-06CC-4FC9-B97B-2818C61D8A41}"/>
    <cellStyle name="Normal 21 3 2 3 2 2 5 2" xfId="25085" xr:uid="{E806519C-47F9-439D-AA2D-A5C65775C193}"/>
    <cellStyle name="Normal 21 3 2 3 2 2 6" xfId="25170" xr:uid="{3B4B9165-A33B-4A66-81C1-FBB743F86FBE}"/>
    <cellStyle name="Normal 21 3 2 3 2 2 7" xfId="25178" xr:uid="{94CA2FEA-4B05-4760-B91F-2DBBAD2D1522}"/>
    <cellStyle name="Normal 21 3 2 3 2 3" xfId="15076" xr:uid="{BEEFA79E-F214-4C23-ACA2-FB02574BDEC8}"/>
    <cellStyle name="Normal 21 3 2 3 2 3 2" xfId="15078" xr:uid="{995CB4AF-6A83-44C7-B256-C5ECFE521C68}"/>
    <cellStyle name="Normal 21 3 2 3 2 3 2 2" xfId="3245" xr:uid="{E53F9B86-2DED-442E-9E38-F545B0E63B0D}"/>
    <cellStyle name="Normal 21 3 2 3 2 3 2 2 2" xfId="1446" xr:uid="{34333E08-2B69-47BE-B789-FAB0E69713A3}"/>
    <cellStyle name="Normal 21 3 2 3 2 3 2 2 2 2" xfId="15082" xr:uid="{428EE176-10C2-45FD-93EB-CBC6C40E89B7}"/>
    <cellStyle name="Normal 21 3 2 3 2 3 2 2 3" xfId="15087" xr:uid="{4FFD027C-025E-4A08-9015-41B03C6AC25C}"/>
    <cellStyle name="Normal 21 3 2 3 2 3 2 3" xfId="3253" xr:uid="{7F7C9162-0684-48B5-99CD-1FD5C419FF5E}"/>
    <cellStyle name="Normal 21 3 2 3 2 3 2 3 2" xfId="3308" xr:uid="{4F599908-7475-4824-BBD2-05A1D34F320F}"/>
    <cellStyle name="Normal 21 3 2 3 2 3 2 4" xfId="15090" xr:uid="{803E3A18-9DD9-4974-A326-108134A63CBA}"/>
    <cellStyle name="Normal 21 3 2 3 2 3 3" xfId="15092" xr:uid="{75F23410-4E20-4FE3-8C70-DEC67F3398B8}"/>
    <cellStyle name="Normal 21 3 2 3 2 3 3 2" xfId="3270" xr:uid="{0AFD9454-1306-4C4E-8551-A777CEDD1CED}"/>
    <cellStyle name="Normal 21 3 2 3 2 3 3 2 2" xfId="15094" xr:uid="{3F9681D0-59DB-4C42-965C-4F2D0B0C6BDA}"/>
    <cellStyle name="Normal 21 3 2 3 2 3 3 3" xfId="8671" xr:uid="{BDC47D9E-AC10-4396-BFCE-990AFCE80A5D}"/>
    <cellStyle name="Normal 21 3 2 3 2 3 4" xfId="15099" xr:uid="{359EDB2B-2102-432C-8FAB-AEA99D3D41F9}"/>
    <cellStyle name="Normal 21 3 2 3 2 3 4 2" xfId="15101" xr:uid="{6DA00A39-F932-4152-8FAF-BD80376BBCFB}"/>
    <cellStyle name="Normal 21 3 2 3 2 3 5" xfId="10345" xr:uid="{76BF0134-74A0-4C62-8032-DAE5EF9F14B7}"/>
    <cellStyle name="Normal 21 3 2 3 2 4" xfId="15109" xr:uid="{FD1E0C03-1598-4943-876F-AC3157B0797B}"/>
    <cellStyle name="Normal 21 3 2 3 2 4 2" xfId="6834" xr:uid="{B6EC119B-7AAA-4FE0-AD57-86BD4CE81374}"/>
    <cellStyle name="Normal 21 3 2 3 2 4 2 2" xfId="3373" xr:uid="{9EBBEEB4-53B7-4B25-8BFB-88410D725516}"/>
    <cellStyle name="Normal 21 3 2 3 2 4 2 2 2" xfId="10573" xr:uid="{B674755C-72AB-4AD0-8061-37B422581EC2}"/>
    <cellStyle name="Normal 21 3 2 3 2 4 2 3" xfId="15112" xr:uid="{86EFD186-0E27-44A5-91A7-A9D5A1B68ACC}"/>
    <cellStyle name="Normal 21 3 2 3 2 4 3" xfId="6843" xr:uid="{1919532A-ADA2-4FE4-BBAD-90A97BB0C1A9}"/>
    <cellStyle name="Normal 21 3 2 3 2 4 3 2" xfId="15118" xr:uid="{E22BA73F-CCFF-4916-A6DE-D62F3428A943}"/>
    <cellStyle name="Normal 21 3 2 3 2 4 4" xfId="15121" xr:uid="{DDF2463F-9893-4F23-9F74-D424F0B159C4}"/>
    <cellStyle name="Normal 21 3 2 3 2 5" xfId="15134" xr:uid="{505BF34A-6780-484A-BCB2-D68D07710E9B}"/>
    <cellStyle name="Normal 21 3 2 3 2 5 2" xfId="6856" xr:uid="{1002B2E8-19DB-4E24-BFFD-8D435022CC60}"/>
    <cellStyle name="Normal 21 3 2 3 2 5 2 2" xfId="15136" xr:uid="{06675668-6146-48D1-B9AE-6F353936D556}"/>
    <cellStyle name="Normal 21 3 2 3 2 5 3" xfId="15138" xr:uid="{48E7CBBD-34DF-4514-B580-AAED391BE84B}"/>
    <cellStyle name="Normal 21 3 2 3 2 6" xfId="15148" xr:uid="{60132D07-8DEE-4E68-AF09-5FB22B3267DE}"/>
    <cellStyle name="Normal 21 3 2 3 2 6 2" xfId="15152" xr:uid="{72B5B7D5-2944-4A0D-AAE5-CD0A36B091F1}"/>
    <cellStyle name="Normal 21 3 2 3 2 7" xfId="15168" xr:uid="{2F390B5D-68BD-4FB8-B38D-866E66EEBBE8}"/>
    <cellStyle name="Normal 21 3 2 3 2 8" xfId="15181" xr:uid="{A10A966A-905F-40A8-8DA3-5DB0EB88B474}"/>
    <cellStyle name="Normal 21 3 2 3 3" xfId="6418" xr:uid="{B7032134-0B59-455F-AC18-20ABC842D5FA}"/>
    <cellStyle name="Normal 21 3 2 3 3 2" xfId="36326" xr:uid="{183068F3-8331-4B99-9E16-2CABBF2052B2}"/>
    <cellStyle name="Normal 21 3 2 3 3 2 2" xfId="36327" xr:uid="{C8FF545C-30CB-400E-89AE-510D53A5317B}"/>
    <cellStyle name="Normal 21 3 2 3 3 2 2 2" xfId="36328" xr:uid="{CE86A99C-D7BA-4CAF-9361-6F3AEB0F4686}"/>
    <cellStyle name="Normal 21 3 2 3 3 2 2 2 2" xfId="36329" xr:uid="{1C5F791F-A64E-4E80-8322-E81F3286CF11}"/>
    <cellStyle name="Normal 21 3 2 3 3 2 2 2 2 2" xfId="36330" xr:uid="{3A6E9B36-869F-4D2A-85BA-2AC13EC7F352}"/>
    <cellStyle name="Normal 21 3 2 3 3 2 2 2 3" xfId="36331" xr:uid="{0EE97047-A7C8-4A4E-8345-0A8FC83B0030}"/>
    <cellStyle name="Normal 21 3 2 3 3 2 2 3" xfId="36332" xr:uid="{83546A87-CDB8-4CDE-80F7-8A392E78C88C}"/>
    <cellStyle name="Normal 21 3 2 3 3 2 2 3 2" xfId="36333" xr:uid="{A4FC8388-4CC8-448D-B0C1-6240E4857E1B}"/>
    <cellStyle name="Normal 21 3 2 3 3 2 2 4" xfId="36334" xr:uid="{4A544E68-7A8A-4F16-BDDE-3DBAB12D98E4}"/>
    <cellStyle name="Normal 21 3 2 3 3 2 3" xfId="36335" xr:uid="{37E0147E-F500-46E9-B4E2-153F46966F4D}"/>
    <cellStyle name="Normal 21 3 2 3 3 2 3 2" xfId="36336" xr:uid="{1CD5C050-9B9E-4CDD-AD1C-AA7C0859E64F}"/>
    <cellStyle name="Normal 21 3 2 3 3 2 3 2 2" xfId="36337" xr:uid="{CA9D307A-82AF-427A-BF45-3E6FD23BA3AB}"/>
    <cellStyle name="Normal 21 3 2 3 3 2 3 3" xfId="36338" xr:uid="{555CE00E-23F5-4AAB-8A06-74EDAFBDF693}"/>
    <cellStyle name="Normal 21 3 2 3 3 2 4" xfId="30326" xr:uid="{6D090F3A-BFA9-4569-8BD8-15D75298E639}"/>
    <cellStyle name="Normal 21 3 2 3 3 2 4 2" xfId="35503" xr:uid="{026B2C1A-CE3F-4A3C-8AD0-ED9CD21F81E4}"/>
    <cellStyle name="Normal 21 3 2 3 3 2 5" xfId="36339" xr:uid="{3C48A3AE-4EEF-426F-BADE-1A7AA73F1506}"/>
    <cellStyle name="Normal 21 3 2 3 3 3" xfId="15189" xr:uid="{125E5E59-510A-4917-BD5B-6EFF6F99C35A}"/>
    <cellStyle name="Normal 21 3 2 3 3 3 2" xfId="15191" xr:uid="{BEB9C26F-961F-45BD-86FB-DFB33664C2AE}"/>
    <cellStyle name="Normal 21 3 2 3 3 3 2 2" xfId="288" xr:uid="{B3A8F70E-45A8-4B39-A132-BED9D3887364}"/>
    <cellStyle name="Normal 21 3 2 3 3 3 2 2 2" xfId="8543" xr:uid="{9D695F44-0831-4CFA-B553-2054FABD4911}"/>
    <cellStyle name="Normal 21 3 2 3 3 3 2 3" xfId="8546" xr:uid="{9E41B777-4636-427B-9011-97CF2AE5BF52}"/>
    <cellStyle name="Normal 21 3 2 3 3 3 3" xfId="15197" xr:uid="{DED75BA9-32F9-4FC2-9F16-B5CD0464341D}"/>
    <cellStyle name="Normal 21 3 2 3 3 3 3 2" xfId="8601" xr:uid="{DA5F3153-8ED1-4478-9C6F-C1E60B8E6221}"/>
    <cellStyle name="Normal 21 3 2 3 3 3 4" xfId="15200" xr:uid="{F8A8F160-B4A8-4CBE-9554-FE59ED129180}"/>
    <cellStyle name="Normal 21 3 2 3 3 4" xfId="15206" xr:uid="{44D56FB4-0FC6-4EB1-884D-6A6EA026E259}"/>
    <cellStyle name="Normal 21 3 2 3 3 4 2" xfId="1681" xr:uid="{780635EA-9920-486E-9FAD-E67AA6D1D19E}"/>
    <cellStyle name="Normal 21 3 2 3 3 4 2 2" xfId="8726" xr:uid="{64D19191-8F4E-4DE4-A188-0E0C5323AA4F}"/>
    <cellStyle name="Normal 21 3 2 3 3 4 3" xfId="15208" xr:uid="{D1D71E16-3B10-4E4B-A95B-347374359CD2}"/>
    <cellStyle name="Normal 21 3 2 3 3 5" xfId="15216" xr:uid="{1B3AEAE4-A1A6-4003-A2F8-CB6113588611}"/>
    <cellStyle name="Normal 21 3 2 3 3 5 2" xfId="15218" xr:uid="{5B21D547-6B68-406E-BE37-E4936C01DAFC}"/>
    <cellStyle name="Normal 21 3 2 3 3 6" xfId="15226" xr:uid="{282F72E2-9491-4869-BA27-594866890376}"/>
    <cellStyle name="Normal 21 3 2 3 3 7" xfId="15231" xr:uid="{14AA918B-D1DC-43D2-A954-437780F18D04}"/>
    <cellStyle name="Normal 21 3 2 3 4" xfId="36340" xr:uid="{225F378A-0272-4A39-9200-2E64F4086581}"/>
    <cellStyle name="Normal 21 3 2 3 4 2" xfId="36341" xr:uid="{F67912F0-11A0-45B2-ACBB-A67225B0FC13}"/>
    <cellStyle name="Normal 21 3 2 3 4 2 2" xfId="36342" xr:uid="{52DE8D45-ACDC-4666-9797-9FF9E02D1084}"/>
    <cellStyle name="Normal 21 3 2 3 4 2 2 2" xfId="36343" xr:uid="{F64B9BC2-364D-48B6-94DF-FB92836B67EE}"/>
    <cellStyle name="Normal 21 3 2 3 4 2 2 2 2" xfId="36344" xr:uid="{587C809D-2058-43BF-BDEF-AC7271935F0C}"/>
    <cellStyle name="Normal 21 3 2 3 4 2 2 3" xfId="36345" xr:uid="{DD4FD9A6-752C-4D2D-BCF1-5E24FAC6BDEF}"/>
    <cellStyle name="Normal 21 3 2 3 4 2 3" xfId="36346" xr:uid="{162C2D08-95A6-44FC-B339-079479AA0842}"/>
    <cellStyle name="Normal 21 3 2 3 4 2 3 2" xfId="321" xr:uid="{71650D78-7A7F-48B9-A3A6-9F9468BE1748}"/>
    <cellStyle name="Normal 21 3 2 3 4 2 4" xfId="36347" xr:uid="{D286BEA2-A5B7-4097-82CC-FD99EDED3ED3}"/>
    <cellStyle name="Normal 21 3 2 3 4 3" xfId="15236" xr:uid="{722E3A6E-5EC2-4D1F-8864-55DA709213B9}"/>
    <cellStyle name="Normal 21 3 2 3 4 3 2" xfId="15238" xr:uid="{6F46A971-F5C4-4D7C-B06D-8947CD3F78B2}"/>
    <cellStyle name="Normal 21 3 2 3 4 3 2 2" xfId="8989" xr:uid="{FCE95D38-CEF9-47BB-8A8A-4025DFF5E809}"/>
    <cellStyle name="Normal 21 3 2 3 4 3 3" xfId="15242" xr:uid="{278FEBC6-19F7-4C88-A305-5BF1E9CC4C62}"/>
    <cellStyle name="Normal 21 3 2 3 4 4" xfId="15247" xr:uid="{4FE0ED3E-6FAD-44AB-9768-EE4BA90DB680}"/>
    <cellStyle name="Normal 21 3 2 3 4 4 2" xfId="15250" xr:uid="{0D58DC1B-E83D-43CD-9226-97196AECBDDF}"/>
    <cellStyle name="Normal 21 3 2 3 4 5" xfId="15257" xr:uid="{2D636256-93F6-4638-831E-E33968AC5185}"/>
    <cellStyle name="Normal 21 3 2 3 5" xfId="29471" xr:uid="{83BB12CD-8A05-4F1B-BE2A-9F74D3EFD723}"/>
    <cellStyle name="Normal 21 3 2 3 5 2" xfId="29473" xr:uid="{E65754E4-2FF5-40AD-A2BE-ABC1613DED57}"/>
    <cellStyle name="Normal 21 3 2 3 5 2 2" xfId="29475" xr:uid="{58D2C414-0DCC-4EB9-AE77-F6EB877A47FE}"/>
    <cellStyle name="Normal 21 3 2 3 5 2 2 2" xfId="29477" xr:uid="{D87FA101-7D78-4F6D-92F1-2847F3883F73}"/>
    <cellStyle name="Normal 21 3 2 3 5 2 3" xfId="29480" xr:uid="{81C9680D-C53A-4C95-8C41-456BE225F9B6}"/>
    <cellStyle name="Normal 21 3 2 3 5 3" xfId="15264" xr:uid="{57C5BE3F-B8B9-4378-85BC-76D6F1D774FC}"/>
    <cellStyle name="Normal 21 3 2 3 5 3 2" xfId="15267" xr:uid="{105D39E1-A6D8-4272-A23A-7DBB8B7B8764}"/>
    <cellStyle name="Normal 21 3 2 3 5 4" xfId="15276" xr:uid="{A972810B-361A-4EE7-A8ED-94AB2379F7F9}"/>
    <cellStyle name="Normal 21 3 2 3 6" xfId="1103" xr:uid="{AF2DAD20-F68A-40DC-944C-E4EDD2B35977}"/>
    <cellStyle name="Normal 21 3 2 3 6 2" xfId="29483" xr:uid="{03FED60E-0104-4665-85C7-0ACDFD13FFCF}"/>
    <cellStyle name="Normal 21 3 2 3 6 2 2" xfId="29485" xr:uid="{5C1D9FD4-0273-459C-A2C9-844AF8CFD8A9}"/>
    <cellStyle name="Normal 21 3 2 3 6 3" xfId="15287" xr:uid="{37C88F60-2495-4581-B127-4CC8D6CBAF76}"/>
    <cellStyle name="Normal 21 3 2 3 7" xfId="148" xr:uid="{5E504116-79E7-4125-8946-F6AC93ACE47A}"/>
    <cellStyle name="Normal 21 3 2 3 7 2" xfId="29490" xr:uid="{A7DC3F97-CA06-4F0B-A7B3-6046583D552A}"/>
    <cellStyle name="Normal 21 3 2 3 8" xfId="1117" xr:uid="{4EAE68C8-81A0-44C3-9164-5F3758D4F5C0}"/>
    <cellStyle name="Normal 21 3 2 3 9" xfId="1126" xr:uid="{B13D7A47-518E-4464-98EA-83998525A670}"/>
    <cellStyle name="Normal 21 3 2 4" xfId="6420" xr:uid="{AD368F17-05E8-464D-935B-18ED0722DC18}"/>
    <cellStyle name="Normal 21 3 2 4 2" xfId="6423" xr:uid="{2A7B6972-7A0A-49E9-9C47-E25CCA6D7F8A}"/>
    <cellStyle name="Normal 21 3 2 4 2 2" xfId="36348" xr:uid="{AF52F538-1CE2-4BF6-A110-86426E32EBBD}"/>
    <cellStyle name="Normal 21 3 2 4 2 2 2" xfId="24838" xr:uid="{DFEB15E5-380A-43C8-A0A2-B845BCB54266}"/>
    <cellStyle name="Normal 21 3 2 4 2 2 2 2" xfId="23613" xr:uid="{47B92402-8EC6-46F9-8763-3DCED88A99F1}"/>
    <cellStyle name="Normal 21 3 2 4 2 2 2 2 2" xfId="23615" xr:uid="{56EE489A-F987-4636-AE29-BD0B09953507}"/>
    <cellStyle name="Normal 21 3 2 4 2 2 2 2 2 2" xfId="36349" xr:uid="{5F61D7C3-45FF-4BA5-B6C6-02BD4C2A7440}"/>
    <cellStyle name="Normal 21 3 2 4 2 2 2 2 3" xfId="36350" xr:uid="{D81A37A3-6D7D-4CC3-A5BB-7A0CEE39BDA7}"/>
    <cellStyle name="Normal 21 3 2 4 2 2 2 3" xfId="23617" xr:uid="{B1ECACB9-E9E8-45EA-A3BF-1DCA3C29A084}"/>
    <cellStyle name="Normal 21 3 2 4 2 2 2 3 2" xfId="36351" xr:uid="{D45E09B2-A47E-4501-A56E-BF892940AC81}"/>
    <cellStyle name="Normal 21 3 2 4 2 2 2 4" xfId="36352" xr:uid="{B58DF387-D742-4BEF-8DB9-9E8EB7F6132B}"/>
    <cellStyle name="Normal 21 3 2 4 2 2 3" xfId="24841" xr:uid="{84F9DF01-D1F0-4266-84A0-4F5D15EE0836}"/>
    <cellStyle name="Normal 21 3 2 4 2 2 3 2" xfId="23627" xr:uid="{6CEBF12F-A870-4EA0-993F-4E995E2393C7}"/>
    <cellStyle name="Normal 21 3 2 4 2 2 3 2 2" xfId="36353" xr:uid="{B3E5FD09-295A-48B1-9F1C-A7B25640468D}"/>
    <cellStyle name="Normal 21 3 2 4 2 2 3 3" xfId="36354" xr:uid="{0B901ED5-7607-45A7-BF28-0A38A8DE7677}"/>
    <cellStyle name="Normal 21 3 2 4 2 2 4" xfId="24845" xr:uid="{A92EEB23-0674-4266-8D35-832F66CAC484}"/>
    <cellStyle name="Normal 21 3 2 4 2 2 4 2" xfId="36355" xr:uid="{1C8B0065-B068-4EDB-A1E3-8F72AFF395C7}"/>
    <cellStyle name="Normal 21 3 2 4 2 2 5" xfId="24848" xr:uid="{BD825CDB-D2DD-4DDF-8DEE-EBFBFE9B6756}"/>
    <cellStyle name="Normal 21 3 2 4 2 3" xfId="15405" xr:uid="{40C8CAE8-6909-4DA0-9AAF-0178F0492EC7}"/>
    <cellStyle name="Normal 21 3 2 4 2 3 2" xfId="15407" xr:uid="{48D534A8-9979-4F26-A039-8AF4AB9342E3}"/>
    <cellStyle name="Normal 21 3 2 4 2 3 2 2" xfId="3824" xr:uid="{9BD4B2D4-973A-496F-A937-685360AE26B6}"/>
    <cellStyle name="Normal 21 3 2 4 2 3 2 2 2" xfId="3833" xr:uid="{1C2A8BAC-4F1E-46A5-B6B7-1906F609CB88}"/>
    <cellStyle name="Normal 21 3 2 4 2 3 2 3" xfId="3850" xr:uid="{054FE5C5-60E0-4689-941F-A698A74E2745}"/>
    <cellStyle name="Normal 21 3 2 4 2 3 3" xfId="15414" xr:uid="{98E5EBDE-E44F-45D2-82A3-27380E7B61B3}"/>
    <cellStyle name="Normal 21 3 2 4 2 3 3 2" xfId="1982" xr:uid="{B8ED525F-C0D1-4DE9-81F7-8F2A696EA22E}"/>
    <cellStyle name="Normal 21 3 2 4 2 3 4" xfId="15418" xr:uid="{A75D671C-0BB5-4D38-848A-2A40FA9EEEC8}"/>
    <cellStyle name="Normal 21 3 2 4 2 4" xfId="15423" xr:uid="{28B6584F-F941-44D6-B42A-FE6F6685872B}"/>
    <cellStyle name="Normal 21 3 2 4 2 4 2" xfId="15425" xr:uid="{9CF1C6A8-4012-4CAE-BB96-35C7475B4C1D}"/>
    <cellStyle name="Normal 21 3 2 4 2 4 2 2" xfId="3859" xr:uid="{65C6FFCD-784E-4F50-A4F0-15E8195653DE}"/>
    <cellStyle name="Normal 21 3 2 4 2 4 3" xfId="15428" xr:uid="{21817584-55C8-486D-A4AC-BD2619AD0514}"/>
    <cellStyle name="Normal 21 3 2 4 2 5" xfId="15431" xr:uid="{E4FE4D95-F81C-4B1B-8FC4-F920A4D19920}"/>
    <cellStyle name="Normal 21 3 2 4 2 5 2" xfId="15433" xr:uid="{DA8EF427-6841-4067-84C3-CEB7D601CD42}"/>
    <cellStyle name="Normal 21 3 2 4 2 6" xfId="15438" xr:uid="{466DCBD5-B8B4-405E-9F6F-4AC39A71934C}"/>
    <cellStyle name="Normal 21 3 2 4 2 7" xfId="15443" xr:uid="{146AA4D9-8D0E-4FE2-899C-9775390704E1}"/>
    <cellStyle name="Normal 21 3 2 4 3" xfId="36356" xr:uid="{7F587EA1-9B6D-48D5-BB18-6691826F39A5}"/>
    <cellStyle name="Normal 21 3 2 4 3 2" xfId="1896" xr:uid="{ADB4CCEB-CEB6-4ACA-8B06-0997A4A1A506}"/>
    <cellStyle name="Normal 21 3 2 4 3 2 2" xfId="2862" xr:uid="{47149D93-7E25-4411-959B-7C2869108449}"/>
    <cellStyle name="Normal 21 3 2 4 3 2 2 2" xfId="23698" xr:uid="{692C50E1-114D-44B2-99C2-EE216911357C}"/>
    <cellStyle name="Normal 21 3 2 4 3 2 2 2 2" xfId="36357" xr:uid="{511B67E8-E1F5-4801-ACD9-265CBD805E65}"/>
    <cellStyle name="Normal 21 3 2 4 3 2 2 3" xfId="29179" xr:uid="{7C6465FD-B1EC-42BA-9018-32A4B8A79D60}"/>
    <cellStyle name="Normal 21 3 2 4 3 2 3" xfId="36358" xr:uid="{BEB4E88D-0339-47FB-9AE6-79D5F9A4DE50}"/>
    <cellStyle name="Normal 21 3 2 4 3 2 3 2" xfId="36359" xr:uid="{E4002870-9295-4191-80A5-EE9FB5DDFE1D}"/>
    <cellStyle name="Normal 21 3 2 4 3 2 4" xfId="36360" xr:uid="{DFE875E8-9447-42EF-90C1-939EFAAD0760}"/>
    <cellStyle name="Normal 21 3 2 4 3 3" xfId="1898" xr:uid="{BA7F4AF4-E47E-4708-80A9-2E3B343FD82B}"/>
    <cellStyle name="Normal 21 3 2 4 3 3 2" xfId="15453" xr:uid="{99857FD5-0D54-45B2-976E-1A140AC694D7}"/>
    <cellStyle name="Normal 21 3 2 4 3 3 2 2" xfId="3950" xr:uid="{52B3088B-C8C6-4656-A8A9-FC0C8D16BC0B}"/>
    <cellStyle name="Normal 21 3 2 4 3 3 3" xfId="15456" xr:uid="{840EBC12-E029-44BF-987C-6BCCB57BDC79}"/>
    <cellStyle name="Normal 21 3 2 4 3 4" xfId="15461" xr:uid="{FDE12006-AD98-46BE-AAAE-5DA165D7DD64}"/>
    <cellStyle name="Normal 21 3 2 4 3 4 2" xfId="15463" xr:uid="{9D5111F7-093D-4F48-BD80-69B9EF375A0F}"/>
    <cellStyle name="Normal 21 3 2 4 3 5" xfId="15469" xr:uid="{DE3BCBFD-1856-4211-AB79-76E05BECDDEC}"/>
    <cellStyle name="Normal 21 3 2 4 4" xfId="36361" xr:uid="{20FF7B08-83EF-4066-9BE1-6D40A110668B}"/>
    <cellStyle name="Normal 21 3 2 4 4 2" xfId="36362" xr:uid="{1D910F9F-6BD9-4142-9451-0A2E3BEA06F5}"/>
    <cellStyle name="Normal 21 3 2 4 4 2 2" xfId="36363" xr:uid="{666E0412-C994-4A69-8025-E22B77F48472}"/>
    <cellStyle name="Normal 21 3 2 4 4 2 2 2" xfId="36364" xr:uid="{FA2DD273-655A-42A6-9706-CCB7CB438157}"/>
    <cellStyle name="Normal 21 3 2 4 4 2 3" xfId="36365" xr:uid="{B7217253-5274-46DA-BDB9-D3A9F7923B99}"/>
    <cellStyle name="Normal 21 3 2 4 4 3" xfId="15475" xr:uid="{4BD9CAC4-8463-46E8-A186-37EC2194551A}"/>
    <cellStyle name="Normal 21 3 2 4 4 3 2" xfId="15477" xr:uid="{3D269F55-DFE0-443D-9847-40170E562C75}"/>
    <cellStyle name="Normal 21 3 2 4 4 4" xfId="15482" xr:uid="{95183684-F549-44A0-B252-87A78FA5DC69}"/>
    <cellStyle name="Normal 21 3 2 4 5" xfId="29495" xr:uid="{7697EBEA-FF67-4E43-B1F9-8672AF88E2F8}"/>
    <cellStyle name="Normal 21 3 2 4 5 2" xfId="29497" xr:uid="{4B89DC8C-BCFC-4EC6-96B6-566D430676B3}"/>
    <cellStyle name="Normal 21 3 2 4 5 2 2" xfId="29499" xr:uid="{BCCD5F19-B2F9-4A2A-AA72-1B5BF5C4949C}"/>
    <cellStyle name="Normal 21 3 2 4 5 3" xfId="15489" xr:uid="{D8D68E82-B68A-4FE8-A2BD-7BFDA5481716}"/>
    <cellStyle name="Normal 21 3 2 4 6" xfId="29503" xr:uid="{14734BE6-0AA6-461D-9A27-CF3385ED91E6}"/>
    <cellStyle name="Normal 21 3 2 4 6 2" xfId="29505" xr:uid="{685E8AA6-39E4-4894-B7F1-75282140864E}"/>
    <cellStyle name="Normal 21 3 2 4 7" xfId="29509" xr:uid="{5C5CC995-88CF-41DE-9484-8D8790113590}"/>
    <cellStyle name="Normal 21 3 2 4 8" xfId="29512" xr:uid="{48EF23F8-4985-4DB9-B062-1A4D1978E7EA}"/>
    <cellStyle name="Normal 21 3 2 5" xfId="6425" xr:uid="{D033BF39-97E1-456F-83AB-6BF4562EA4AF}"/>
    <cellStyle name="Normal 21 3 2 5 2" xfId="22382" xr:uid="{BC9B3114-5D80-4CFD-B555-7C8794C8F9D2}"/>
    <cellStyle name="Normal 21 3 2 5 2 2" xfId="36366" xr:uid="{92A59FD1-91C5-49C2-A3D9-2BDE351DFB0F}"/>
    <cellStyle name="Normal 21 3 2 5 2 2 2" xfId="36367" xr:uid="{253D372B-A3C7-4159-BB1C-ED166C5BF356}"/>
    <cellStyle name="Normal 21 3 2 5 2 2 2 2" xfId="23835" xr:uid="{AEC1D49B-84D5-47F7-BA66-ED9E3CECF595}"/>
    <cellStyle name="Normal 21 3 2 5 2 2 2 2 2" xfId="1720" xr:uid="{52D26A2A-3D12-4CDA-87BF-3DD7460881A0}"/>
    <cellStyle name="Normal 21 3 2 5 2 2 2 3" xfId="36368" xr:uid="{9EE9DA4D-E548-4FFF-A7A9-0BFB202E08BF}"/>
    <cellStyle name="Normal 21 3 2 5 2 2 3" xfId="36369" xr:uid="{72C15EA7-FF66-4266-9559-1CE58BDE71AE}"/>
    <cellStyle name="Normal 21 3 2 5 2 2 3 2" xfId="23303" xr:uid="{34640968-23D7-49ED-B76B-E6259F7F2249}"/>
    <cellStyle name="Normal 21 3 2 5 2 2 4" xfId="36370" xr:uid="{7D550852-B925-42A3-9A37-B0D19EAE78B2}"/>
    <cellStyle name="Normal 21 3 2 5 2 3" xfId="15567" xr:uid="{92E32E9C-F95E-4875-9A92-E168A1F25BBB}"/>
    <cellStyle name="Normal 21 3 2 5 2 3 2" xfId="15569" xr:uid="{7538D591-45AE-4B7F-9668-EB84B94430D2}"/>
    <cellStyle name="Normal 21 3 2 5 2 3 2 2" xfId="4121" xr:uid="{579DA47A-4A4A-4895-A308-444906834D96}"/>
    <cellStyle name="Normal 21 3 2 5 2 3 3" xfId="15574" xr:uid="{5E9A7672-95D3-4F54-B931-1D1CDB8A7C8D}"/>
    <cellStyle name="Normal 21 3 2 5 2 4" xfId="15579" xr:uid="{6BCF35CD-ABE6-4DB1-8645-1FB8DA3E1694}"/>
    <cellStyle name="Normal 21 3 2 5 2 4 2" xfId="15581" xr:uid="{0C344D69-D292-4E75-B5D2-CABA1F5C7EF7}"/>
    <cellStyle name="Normal 21 3 2 5 2 5" xfId="15586" xr:uid="{0A048D51-5BD7-4896-98DC-0D4EEF977AE4}"/>
    <cellStyle name="Normal 21 3 2 5 3" xfId="9729" xr:uid="{48C33922-40B9-47B5-8800-D6CE57C04D91}"/>
    <cellStyle name="Normal 21 3 2 5 3 2" xfId="36371" xr:uid="{4BB89743-C8A1-4FDE-9A66-02DCFFE83928}"/>
    <cellStyle name="Normal 21 3 2 5 3 2 2" xfId="34936" xr:uid="{5B6118C6-3EA5-43F6-A475-BEB8CA78ACDE}"/>
    <cellStyle name="Normal 21 3 2 5 3 2 2 2" xfId="35542" xr:uid="{30684DAF-F0E6-4948-8F18-0C9152C5F3C7}"/>
    <cellStyle name="Normal 21 3 2 5 3 2 3" xfId="34940" xr:uid="{97FF9A2F-FF84-403C-9646-D62BA4AB27F5}"/>
    <cellStyle name="Normal 21 3 2 5 3 3" xfId="15593" xr:uid="{11C2E842-4A95-46C1-9125-50E58AB20CE0}"/>
    <cellStyle name="Normal 21 3 2 5 3 3 2" xfId="15595" xr:uid="{9E377291-6930-499F-9EB1-1C8634B1966F}"/>
    <cellStyle name="Normal 21 3 2 5 3 4" xfId="15600" xr:uid="{10AA8557-116E-4AAE-9A78-823EAA0E5F6F}"/>
    <cellStyle name="Normal 21 3 2 5 4" xfId="36373" xr:uid="{9EF59B6E-6C84-4CC1-9757-FED3ADEAD19E}"/>
    <cellStyle name="Normal 21 3 2 5 4 2" xfId="36374" xr:uid="{C81C802A-D89F-46D6-9454-6E4D50F76F43}"/>
    <cellStyle name="Normal 21 3 2 5 4 2 2" xfId="35276" xr:uid="{9EA737F9-5302-4417-8A33-233438560A92}"/>
    <cellStyle name="Normal 21 3 2 5 4 3" xfId="15605" xr:uid="{3D39E701-B745-4752-88A1-D1C5663AE858}"/>
    <cellStyle name="Normal 21 3 2 5 5" xfId="29515" xr:uid="{605DD867-2751-442F-B928-73CCE2EA82CD}"/>
    <cellStyle name="Normal 21 3 2 5 5 2" xfId="29517" xr:uid="{E96B0644-E12C-4239-B877-BA780F932B24}"/>
    <cellStyle name="Normal 21 3 2 5 6" xfId="9870" xr:uid="{F7D42C72-4233-4344-A337-6346484BB6DE}"/>
    <cellStyle name="Normal 21 3 2 5 7" xfId="9878" xr:uid="{65AE2886-88CC-4D4E-A5D7-0D96F97F2950}"/>
    <cellStyle name="Normal 21 3 2 6" xfId="36375" xr:uid="{1D556CDA-E0FA-4248-8D84-C72133504E95}"/>
    <cellStyle name="Normal 21 3 2 6 2" xfId="36376" xr:uid="{B04C1EB2-8BDD-4CC2-AB08-504F6F9E6ADF}"/>
    <cellStyle name="Normal 21 3 2 6 2 2" xfId="36377" xr:uid="{30F94CDD-1BFF-4735-8CBC-AE3F37411A3B}"/>
    <cellStyle name="Normal 21 3 2 6 2 2 2" xfId="16168" xr:uid="{6867B038-F894-469E-AF9B-1EB2A469FD8D}"/>
    <cellStyle name="Normal 21 3 2 6 2 2 2 2" xfId="16170" xr:uid="{C8D40135-0CF7-4B0B-A7FE-3F5714CFBB6A}"/>
    <cellStyle name="Normal 21 3 2 6 2 2 3" xfId="16172" xr:uid="{27C1FFE1-2854-482A-A17A-55D558D5F3A9}"/>
    <cellStyle name="Normal 21 3 2 6 2 3" xfId="15641" xr:uid="{9F00C80F-E785-41C5-97C8-2DBD61472EA7}"/>
    <cellStyle name="Normal 21 3 2 6 2 3 2" xfId="15644" xr:uid="{87C5B919-4F8C-471B-ACC9-A5774019A885}"/>
    <cellStyle name="Normal 21 3 2 6 2 4" xfId="15652" xr:uid="{8B2C26CA-7EEB-4841-B6D8-0D5B6D8033B3}"/>
    <cellStyle name="Normal 21 3 2 6 3" xfId="36378" xr:uid="{9552473E-A6D9-4DC3-8EDB-FB1DE0C245DB}"/>
    <cellStyle name="Normal 21 3 2 6 3 2" xfId="36379" xr:uid="{F57D95A4-72F1-413A-BBB7-CE8ACEB7515B}"/>
    <cellStyle name="Normal 21 3 2 6 3 2 2" xfId="16591" xr:uid="{7118662B-235F-4884-8755-3BFA34E8DC94}"/>
    <cellStyle name="Normal 21 3 2 6 3 3" xfId="15658" xr:uid="{8781ACE6-6EB7-4223-A7CC-85B06E049D25}"/>
    <cellStyle name="Normal 21 3 2 6 4" xfId="36380" xr:uid="{2FB7D3F7-999B-4287-977E-83B206293C42}"/>
    <cellStyle name="Normal 21 3 2 6 4 2" xfId="20302" xr:uid="{AF4AA420-152C-4B6D-8620-100477D90D54}"/>
    <cellStyle name="Normal 21 3 2 6 5" xfId="18198" xr:uid="{1E62CAAF-31BE-4F2F-81E6-A6B9D894BAD5}"/>
    <cellStyle name="Normal 21 3 2 7" xfId="36381" xr:uid="{4D3A3E62-7722-4C6F-A352-708C2069E010}"/>
    <cellStyle name="Normal 21 3 2 7 2" xfId="36382" xr:uid="{4737C3B1-45EB-4F24-930E-52A1C141527F}"/>
    <cellStyle name="Normal 21 3 2 7 2 2" xfId="36383" xr:uid="{C822F8AA-0D75-4E40-832C-C0FCFC465291}"/>
    <cellStyle name="Normal 21 3 2 7 2 2 2" xfId="36384" xr:uid="{1D15BEB6-BC28-484E-AE99-48E7BCA9CC33}"/>
    <cellStyle name="Normal 21 3 2 7 2 3" xfId="15683" xr:uid="{178A64E6-08D6-407A-9380-C7760C9FEA15}"/>
    <cellStyle name="Normal 21 3 2 7 3" xfId="36385" xr:uid="{915105F1-9F5C-47E4-A3CA-80CE7325CFC9}"/>
    <cellStyle name="Normal 21 3 2 7 3 2" xfId="36386" xr:uid="{A15289C1-D3B7-4BC8-8C83-6B4F38F64FFB}"/>
    <cellStyle name="Normal 21 3 2 7 4" xfId="36387" xr:uid="{0A8FB15A-91CB-4A7E-A84F-C70201F3B6C6}"/>
    <cellStyle name="Normal 21 3 2 8" xfId="16103" xr:uid="{4DD687E3-1205-4DC1-9ECE-8129A19ED4AD}"/>
    <cellStyle name="Normal 21 3 2 8 2" xfId="16105" xr:uid="{4FD49DCF-9C61-4480-9A94-ED5E07DD691B}"/>
    <cellStyle name="Normal 21 3 2 8 2 2" xfId="36388" xr:uid="{135098E5-E4D8-478A-AECD-9202023851F6}"/>
    <cellStyle name="Normal 21 3 2 8 3" xfId="36390" xr:uid="{6E0BA21C-C7FA-4BD6-9BE8-7CAB10A56147}"/>
    <cellStyle name="Normal 21 3 2 9" xfId="10911" xr:uid="{21722C61-071D-4EE2-8031-5BC4EBB7026A}"/>
    <cellStyle name="Normal 21 3 2 9 2" xfId="33463" xr:uid="{9440B999-0618-40DC-BFCD-2A2594594581}"/>
    <cellStyle name="Normal 21 3 3" xfId="32882" xr:uid="{85864645-9F1B-40AF-AB8D-19206BEC3417}"/>
    <cellStyle name="Normal 21 3 3 10" xfId="36391" xr:uid="{A2A14709-F77B-4F5B-AA3B-CFD689155245}"/>
    <cellStyle name="Normal 21 3 3 2" xfId="25217" xr:uid="{76F60031-413E-4452-9C55-FA41176B5B70}"/>
    <cellStyle name="Normal 21 3 3 2 2" xfId="36392" xr:uid="{B7CC0055-0E45-49AD-9D85-0179BF372DA8}"/>
    <cellStyle name="Normal 21 3 3 2 2 2" xfId="36393" xr:uid="{0DC94C12-E8BA-4866-8C3A-28E9DC6AC1CB}"/>
    <cellStyle name="Normal 21 3 3 2 2 2 2" xfId="36394" xr:uid="{214CBEB7-B48B-46B6-A8D6-F62671150E28}"/>
    <cellStyle name="Normal 21 3 3 2 2 2 2 2" xfId="36395" xr:uid="{545ADA3E-84C8-4325-BBBE-1FCC9D397B6B}"/>
    <cellStyle name="Normal 21 3 3 2 2 2 2 2 2" xfId="36396" xr:uid="{41D3B403-91C2-40A2-9A75-A24E47B5C70B}"/>
    <cellStyle name="Normal 21 3 3 2 2 2 2 2 2 2" xfId="36397" xr:uid="{F8005364-D528-4F86-AA2D-56FF0B945CDD}"/>
    <cellStyle name="Normal 21 3 3 2 2 2 2 2 2 2 2" xfId="31534" xr:uid="{2C20D78D-25C8-4645-852D-2850DCEA2096}"/>
    <cellStyle name="Normal 21 3 3 2 2 2 2 2 2 3" xfId="36398" xr:uid="{BFE3104D-AC7C-437B-8C1E-9364FD9C4BA9}"/>
    <cellStyle name="Normal 21 3 3 2 2 2 2 2 3" xfId="36399" xr:uid="{829D3BC3-6F1B-4974-BAD4-9E8AF7487436}"/>
    <cellStyle name="Normal 21 3 3 2 2 2 2 2 3 2" xfId="36400" xr:uid="{ABB771B2-5BFC-4214-A024-C06957F5D756}"/>
    <cellStyle name="Normal 21 3 3 2 2 2 2 2 4" xfId="14909" xr:uid="{B2058938-498A-4D4F-B72C-FC395282A16B}"/>
    <cellStyle name="Normal 21 3 3 2 2 2 2 3" xfId="23054" xr:uid="{B5452D95-270B-4FA2-BC0E-955A9211EAB1}"/>
    <cellStyle name="Normal 21 3 3 2 2 2 2 3 2" xfId="36401" xr:uid="{48818CF3-3B47-462B-AC48-5E0858FA7C78}"/>
    <cellStyle name="Normal 21 3 3 2 2 2 2 3 2 2" xfId="36402" xr:uid="{8D3C6107-B9C3-47DF-8A19-6DE76C2D2FAC}"/>
    <cellStyle name="Normal 21 3 3 2 2 2 2 3 3" xfId="36403" xr:uid="{A2AF13D6-08BD-4276-9A57-06046081E052}"/>
    <cellStyle name="Normal 21 3 3 2 2 2 2 4" xfId="36404" xr:uid="{CE1B5B41-A0EB-4812-A847-76D5EEB40F99}"/>
    <cellStyle name="Normal 21 3 3 2 2 2 2 4 2" xfId="26238" xr:uid="{D78D501A-F3BB-45FE-B6AD-7AD437AABDF7}"/>
    <cellStyle name="Normal 21 3 3 2 2 2 2 5" xfId="36405" xr:uid="{875EDA60-4F69-431F-9383-80767ED8BD2F}"/>
    <cellStyle name="Normal 21 3 3 2 2 2 3" xfId="36406" xr:uid="{5104BAB3-1D6D-4645-91A8-832A5A0CA82D}"/>
    <cellStyle name="Normal 21 3 3 2 2 2 3 2" xfId="36407" xr:uid="{5F668F63-539A-4438-A8FD-4CEC843EF838}"/>
    <cellStyle name="Normal 21 3 3 2 2 2 3 2 2" xfId="17860" xr:uid="{572198F8-D6BD-4B55-994E-6582306AC15D}"/>
    <cellStyle name="Normal 21 3 3 2 2 2 3 2 2 2" xfId="36408" xr:uid="{D4A418E7-C154-43E5-9763-1BBF224EC1CA}"/>
    <cellStyle name="Normal 21 3 3 2 2 2 3 2 3" xfId="17863" xr:uid="{DE2F8D0C-1D8F-43E0-8419-ABE5CFB38985}"/>
    <cellStyle name="Normal 21 3 3 2 2 2 3 3" xfId="36409" xr:uid="{B87F9AF9-E9C9-4743-BE96-759B46DB3E6F}"/>
    <cellStyle name="Normal 21 3 3 2 2 2 3 3 2" xfId="17949" xr:uid="{FC0464AA-9E65-4783-A5A1-F9A0B8104C16}"/>
    <cellStyle name="Normal 21 3 3 2 2 2 3 4" xfId="36410" xr:uid="{C68EF188-E749-416A-BA54-9F08981A37C2}"/>
    <cellStyle name="Normal 21 3 3 2 2 2 4" xfId="28690" xr:uid="{ADFE6B99-35A2-4EDF-B0D3-CEBB2B4F3B93}"/>
    <cellStyle name="Normal 21 3 3 2 2 2 4 2" xfId="28693" xr:uid="{87BF37E7-45B7-467E-8ABA-FC31FD32D1BF}"/>
    <cellStyle name="Normal 21 3 3 2 2 2 4 2 2" xfId="24560" xr:uid="{D24605E0-9846-425D-9814-7E890076A3D6}"/>
    <cellStyle name="Normal 21 3 3 2 2 2 4 3" xfId="28695" xr:uid="{55751A39-9832-443A-8280-EB737A2837AD}"/>
    <cellStyle name="Normal 21 3 3 2 2 2 5" xfId="28698" xr:uid="{1512DE3A-417F-48B2-B96B-BC138CB8236F}"/>
    <cellStyle name="Normal 21 3 3 2 2 2 5 2" xfId="28700" xr:uid="{C25ED4B9-7F36-48A9-B803-3FD32CFF3075}"/>
    <cellStyle name="Normal 21 3 3 2 2 2 6" xfId="28702" xr:uid="{8AA09F1D-E5C3-4967-BA96-4209BCFA6616}"/>
    <cellStyle name="Normal 21 3 3 2 2 2 7" xfId="36411" xr:uid="{FF944356-8141-47C7-B74E-E15D4616ECBC}"/>
    <cellStyle name="Normal 21 3 3 2 2 3" xfId="36412" xr:uid="{34681770-CFD9-457F-8950-D9265006E99C}"/>
    <cellStyle name="Normal 21 3 3 2 2 3 2" xfId="24567" xr:uid="{4BA692B2-CA55-4A92-A2FB-AAA6D8D2D00C}"/>
    <cellStyle name="Normal 21 3 3 2 2 3 2 2" xfId="36413" xr:uid="{1F3D50C9-A238-47B6-8662-3ED9DE270556}"/>
    <cellStyle name="Normal 21 3 3 2 2 3 2 2 2" xfId="3785" xr:uid="{41DEAD46-AA63-420A-9C3F-6823A6A0EBF4}"/>
    <cellStyle name="Normal 21 3 3 2 2 3 2 2 2 2" xfId="3792" xr:uid="{BC20F429-F1A0-41A2-81B2-D424F6C742CD}"/>
    <cellStyle name="Normal 21 3 3 2 2 3 2 2 3" xfId="3926" xr:uid="{60E7EEE3-518C-4791-A176-6D8E0914C218}"/>
    <cellStyle name="Normal 21 3 3 2 2 3 2 3" xfId="36414" xr:uid="{88E66F19-850B-4102-8632-04F3DE7BDA8C}"/>
    <cellStyle name="Normal 21 3 3 2 2 3 2 3 2" xfId="841" xr:uid="{D93FB28F-DB60-4FBD-AB1B-7D2D1041DA5C}"/>
    <cellStyle name="Normal 21 3 3 2 2 3 2 4" xfId="36415" xr:uid="{EDC77B56-0EFF-409C-ADCC-DC1F613D0F7F}"/>
    <cellStyle name="Normal 21 3 3 2 2 3 3" xfId="24570" xr:uid="{30A3E53C-3DA3-4A33-BF52-15F4ACD32888}"/>
    <cellStyle name="Normal 21 3 3 2 2 3 3 2" xfId="32509" xr:uid="{5BB2294B-2108-423E-9ED1-43F2717E07E3}"/>
    <cellStyle name="Normal 21 3 3 2 2 3 3 2 2" xfId="5067" xr:uid="{DCF596D4-C28D-4931-849F-9D85842C362B}"/>
    <cellStyle name="Normal 21 3 3 2 2 3 3 3" xfId="8944" xr:uid="{7CF8AD2B-C9D8-44F5-804B-A2A83BABF580}"/>
    <cellStyle name="Normal 21 3 3 2 2 3 4" xfId="24575" xr:uid="{6A2F02F6-E9D5-4A41-911D-3FA2B4E1472F}"/>
    <cellStyle name="Normal 21 3 3 2 2 3 4 2" xfId="28705" xr:uid="{FCBD84F4-4EE2-48CF-B236-331CA13A3C2C}"/>
    <cellStyle name="Normal 21 3 3 2 2 3 5" xfId="14037" xr:uid="{48CEE589-256E-42E6-B96B-913FDEA38A05}"/>
    <cellStyle name="Normal 21 3 3 2 2 4" xfId="33495" xr:uid="{24AE7869-74F5-4515-814D-8EFCC6E4B9EF}"/>
    <cellStyle name="Normal 21 3 3 2 2 4 2" xfId="24620" xr:uid="{DA2553AF-93B0-40CC-B4A9-9D67D5810854}"/>
    <cellStyle name="Normal 21 3 3 2 2 4 2 2" xfId="36416" xr:uid="{8D1247BA-C9F2-4B9D-AC5A-85DC221B9F05}"/>
    <cellStyle name="Normal 21 3 3 2 2 4 2 2 2" xfId="2779" xr:uid="{09607289-4277-4248-9F46-274EF81CBC02}"/>
    <cellStyle name="Normal 21 3 3 2 2 4 2 3" xfId="36417" xr:uid="{E441AF5B-15EC-4F02-92B2-E1A06E9A210D}"/>
    <cellStyle name="Normal 21 3 3 2 2 4 3" xfId="24623" xr:uid="{DD692453-4151-4AC5-9959-98A62C829DFD}"/>
    <cellStyle name="Normal 21 3 3 2 2 4 3 2" xfId="32954" xr:uid="{1C5948B7-3076-43C8-BCCB-FD88312F6B8E}"/>
    <cellStyle name="Normal 21 3 3 2 2 4 4" xfId="24627" xr:uid="{5E2BCF44-E3C2-4243-9075-DE5174F5869C}"/>
    <cellStyle name="Normal 21 3 3 2 2 5" xfId="36418" xr:uid="{C09EEF45-D9C0-416A-A4B1-489CE25EBC9A}"/>
    <cellStyle name="Normal 21 3 3 2 2 5 2" xfId="36419" xr:uid="{E39888F4-7174-421D-8479-3A3A74BC8B73}"/>
    <cellStyle name="Normal 21 3 3 2 2 5 2 2" xfId="36420" xr:uid="{D51D52B6-206A-4361-B8F2-21E2F9BCB17C}"/>
    <cellStyle name="Normal 21 3 3 2 2 5 3" xfId="34868" xr:uid="{A8DD2092-97BA-4232-AB50-A3C6C68DBE5B}"/>
    <cellStyle name="Normal 21 3 3 2 2 6" xfId="21119" xr:uid="{CC6635A2-8801-46F7-BA79-22905D3AEF29}"/>
    <cellStyle name="Normal 21 3 3 2 2 6 2" xfId="21121" xr:uid="{DA9AFBD0-6606-47AA-B279-BD10856D2D8B}"/>
    <cellStyle name="Normal 21 3 3 2 2 7" xfId="21123" xr:uid="{24E478EC-CC4D-4764-8CBC-97E9A3DE98D9}"/>
    <cellStyle name="Normal 21 3 3 2 2 8" xfId="16310" xr:uid="{463A634A-D74B-4EE8-B2F2-76FAA430B2D1}"/>
    <cellStyle name="Normal 21 3 3 2 3" xfId="36421" xr:uid="{60FF3D65-0605-4E8F-A9E1-77DB5CEF1593}"/>
    <cellStyle name="Normal 21 3 3 2 3 2" xfId="36422" xr:uid="{79066348-3E46-4FC1-A5FE-F9BD17AFA54E}"/>
    <cellStyle name="Normal 21 3 3 2 3 2 2" xfId="36423" xr:uid="{A473E10B-615C-4F24-8085-001822F45F10}"/>
    <cellStyle name="Normal 21 3 3 2 3 2 2 2" xfId="36424" xr:uid="{A1C23630-A392-42F6-A3AB-65B5EB2802EA}"/>
    <cellStyle name="Normal 21 3 3 2 3 2 2 2 2" xfId="4712" xr:uid="{4F8D4C9D-65DA-4BD3-A34D-863863A53E05}"/>
    <cellStyle name="Normal 21 3 3 2 3 2 2 2 2 2" xfId="7316" xr:uid="{8D6A231A-1C02-4F9B-9B78-A47AFD1F593E}"/>
    <cellStyle name="Normal 21 3 3 2 3 2 2 2 3" xfId="7671" xr:uid="{1397E001-3B0F-479E-B16A-9AA0766B0502}"/>
    <cellStyle name="Normal 21 3 3 2 3 2 2 3" xfId="36425" xr:uid="{2A01CED0-A225-4DB9-A81C-8E4377D0BC03}"/>
    <cellStyle name="Normal 21 3 3 2 3 2 2 3 2" xfId="5176" xr:uid="{938F5FDA-001C-4809-87FA-DD3B0031BCDD}"/>
    <cellStyle name="Normal 21 3 3 2 3 2 2 4" xfId="36426" xr:uid="{0E7974A4-8F65-4CB0-8443-EF53616DBCA4}"/>
    <cellStyle name="Normal 21 3 3 2 3 2 3" xfId="36427" xr:uid="{76497D09-FDA1-4D5B-B97C-080EAC63DA7E}"/>
    <cellStyle name="Normal 21 3 3 2 3 2 3 2" xfId="36428" xr:uid="{404EC009-F7AD-4F5E-9B60-47C81080DD93}"/>
    <cellStyle name="Normal 21 3 3 2 3 2 3 2 2" xfId="9052" xr:uid="{30423DFF-FFD9-4F24-8F32-91CA33BAC8D5}"/>
    <cellStyle name="Normal 21 3 3 2 3 2 3 3" xfId="36429" xr:uid="{292677E3-4809-4B8B-AB60-A3DC72A82C53}"/>
    <cellStyle name="Normal 21 3 3 2 3 2 4" xfId="28732" xr:uid="{E268CD67-73C5-4D4F-B551-FB25D348DD49}"/>
    <cellStyle name="Normal 21 3 3 2 3 2 4 2" xfId="28734" xr:uid="{C8C31080-022B-406D-9A3B-01BB2A4F5239}"/>
    <cellStyle name="Normal 21 3 3 2 3 2 5" xfId="28736" xr:uid="{F97BD661-E43B-44A9-A82E-6BBF261B6AEB}"/>
    <cellStyle name="Normal 21 3 3 2 3 3" xfId="36430" xr:uid="{E0B9767B-9206-4CAF-B759-55B426B811BE}"/>
    <cellStyle name="Normal 21 3 3 2 3 3 2" xfId="24757" xr:uid="{FC55400C-68B1-45BD-8BEC-80E98A805562}"/>
    <cellStyle name="Normal 21 3 3 2 3 3 2 2" xfId="10599" xr:uid="{6ADB3927-5A5D-467C-AA3D-ACB8A4894261}"/>
    <cellStyle name="Normal 21 3 3 2 3 3 2 2 2" xfId="10601" xr:uid="{AF72113D-5CEF-458C-B022-36DD3C159388}"/>
    <cellStyle name="Normal 21 3 3 2 3 3 2 3" xfId="10608" xr:uid="{63156C37-AB2D-4CDB-8C6E-D7F1BC96C02D}"/>
    <cellStyle name="Normal 21 3 3 2 3 3 3" xfId="24760" xr:uid="{8D0328D1-AF5F-4B0D-AC73-103FF4A23ECB}"/>
    <cellStyle name="Normal 21 3 3 2 3 3 3 2" xfId="10737" xr:uid="{3B95A7FF-C613-4375-9033-4D6BF1B1F038}"/>
    <cellStyle name="Normal 21 3 3 2 3 3 4" xfId="24764" xr:uid="{5FA3A952-408B-470E-B5C6-98A3C6F5F4EE}"/>
    <cellStyle name="Normal 21 3 3 2 3 4" xfId="36431" xr:uid="{87803C13-C8B0-4107-8B42-0A89EF764C28}"/>
    <cellStyle name="Normal 21 3 3 2 3 4 2" xfId="24804" xr:uid="{B9CBE375-3A83-4D0E-8DAB-2A391FEA2C7E}"/>
    <cellStyle name="Normal 21 3 3 2 3 4 2 2" xfId="10937" xr:uid="{57AC498B-88A6-44B4-838D-7D6546CF3726}"/>
    <cellStyle name="Normal 21 3 3 2 3 4 3" xfId="24807" xr:uid="{6A056C69-FE30-44E8-9CA9-D07876210E93}"/>
    <cellStyle name="Normal 21 3 3 2 3 5" xfId="36432" xr:uid="{D2E0985A-4C0F-488F-879E-ADBB73EC09E2}"/>
    <cellStyle name="Normal 21 3 3 2 3 5 2" xfId="4079" xr:uid="{0776CA7E-0426-421C-B79E-FE1C825647B7}"/>
    <cellStyle name="Normal 21 3 3 2 3 6" xfId="21126" xr:uid="{58286595-1A22-43B1-9436-6A1C44D696E9}"/>
    <cellStyle name="Normal 21 3 3 2 3 7" xfId="36433" xr:uid="{C89D99B0-8285-42CA-B2A0-0D2BD8E86B59}"/>
    <cellStyle name="Normal 21 3 3 2 4" xfId="36434" xr:uid="{0C5F6517-D1FE-4CA8-B7C0-DE63F23503EA}"/>
    <cellStyle name="Normal 21 3 3 2 4 2" xfId="236" xr:uid="{A6B8C1AB-3E2B-4D23-B760-36ED744BC132}"/>
    <cellStyle name="Normal 21 3 3 2 4 2 2" xfId="696" xr:uid="{43494C8D-B29C-424E-A98F-D0619EC29F82}"/>
    <cellStyle name="Normal 21 3 3 2 4 2 2 2" xfId="1400" xr:uid="{69D84C6A-1279-4280-B0B0-EF08193F7237}"/>
    <cellStyle name="Normal 21 3 3 2 4 2 2 2 2" xfId="36435" xr:uid="{5C41A4BB-D4F4-42F6-9B1C-BB3D3AC12C95}"/>
    <cellStyle name="Normal 21 3 3 2 4 2 2 3" xfId="1407" xr:uid="{9F9A9377-849B-48D7-BE7C-38B4E3D7F4E3}"/>
    <cellStyle name="Normal 21 3 3 2 4 2 3" xfId="1432" xr:uid="{87AD7B3C-4929-43EC-BA8A-9A20A140747C}"/>
    <cellStyle name="Normal 21 3 3 2 4 2 3 2" xfId="179" xr:uid="{6489F61B-7C67-4F00-8881-AA08B13FBE4C}"/>
    <cellStyle name="Normal 21 3 3 2 4 2 4" xfId="1333" xr:uid="{F637D645-552D-4D96-A23F-DE4C7B559851}"/>
    <cellStyle name="Normal 21 3 3 2 4 3" xfId="36436" xr:uid="{5B26BDA8-4424-4361-995A-1120549D0DF4}"/>
    <cellStyle name="Normal 21 3 3 2 4 3 2" xfId="24932" xr:uid="{65DB0781-74FB-42AA-BFCA-66A658344260}"/>
    <cellStyle name="Normal 21 3 3 2 4 3 2 2" xfId="11308" xr:uid="{E9562BCF-12AC-4F08-A52C-CCFBE2BF2AFB}"/>
    <cellStyle name="Normal 21 3 3 2 4 3 3" xfId="24935" xr:uid="{96098A89-677F-4136-8747-59C933E3EDBA}"/>
    <cellStyle name="Normal 21 3 3 2 4 4" xfId="36437" xr:uid="{FF96B8CA-C847-47BD-B445-8DC575DD2252}"/>
    <cellStyle name="Normal 21 3 3 2 4 4 2" xfId="24973" xr:uid="{95CF4577-4365-47F8-B743-2F3B7C04B731}"/>
    <cellStyle name="Normal 21 3 3 2 4 5" xfId="36438" xr:uid="{58888B39-218F-4201-BF13-A40BC8E814B0}"/>
    <cellStyle name="Normal 21 3 3 2 5" xfId="36439" xr:uid="{2B7E674B-F3C3-4390-BA8A-494856A6152B}"/>
    <cellStyle name="Normal 21 3 3 2 5 2" xfId="36440" xr:uid="{EEAC0339-508A-4937-95E6-230F92C4309A}"/>
    <cellStyle name="Normal 21 3 3 2 5 2 2" xfId="36441" xr:uid="{FA713E60-A05E-467F-A944-0F98818E196E}"/>
    <cellStyle name="Normal 21 3 3 2 5 2 2 2" xfId="33527" xr:uid="{F6AF0109-74C8-4C9E-AA8A-FE45663A0CF9}"/>
    <cellStyle name="Normal 21 3 3 2 5 2 3" xfId="36442" xr:uid="{D798BD27-2B9E-45E1-8835-0F8A78C8A2CD}"/>
    <cellStyle name="Normal 21 3 3 2 5 3" xfId="36443" xr:uid="{2F675214-502F-4F9E-9C26-0E6C69CFB06F}"/>
    <cellStyle name="Normal 21 3 3 2 5 3 2" xfId="25128" xr:uid="{665E3DCF-EA18-4460-90C2-A0E7F833CF9A}"/>
    <cellStyle name="Normal 21 3 3 2 5 4" xfId="36444" xr:uid="{A8D0B58F-A443-441C-B2C5-DE2457AC7BB5}"/>
    <cellStyle name="Normal 21 3 3 2 6" xfId="36445" xr:uid="{6143717C-FBF8-473B-80E2-06AA71CC1897}"/>
    <cellStyle name="Normal 21 3 3 2 6 2" xfId="36446" xr:uid="{51E3BB3E-BB08-4F62-9902-FB32B5A586F7}"/>
    <cellStyle name="Normal 21 3 3 2 6 2 2" xfId="36447" xr:uid="{91A13B2D-B931-4C43-A331-D49B7C5876F5}"/>
    <cellStyle name="Normal 21 3 3 2 6 3" xfId="36448" xr:uid="{9BE8AD6A-3211-4AED-A34B-01A0B1B54F81}"/>
    <cellStyle name="Normal 21 3 3 2 7" xfId="36449" xr:uid="{F451D2CB-DEC6-470E-9A13-39636418ABE1}"/>
    <cellStyle name="Normal 21 3 3 2 7 2" xfId="36450" xr:uid="{630FE53E-4D56-474A-A3F0-210CCAC3154B}"/>
    <cellStyle name="Normal 21 3 3 2 8" xfId="36451" xr:uid="{2659AAB9-157B-4C51-88F0-77BDF7B6087B}"/>
    <cellStyle name="Normal 21 3 3 2 9" xfId="28221" xr:uid="{5FF88115-0222-401A-A371-A32D01C8E8CB}"/>
    <cellStyle name="Normal 21 3 3 3" xfId="6428" xr:uid="{2A63DFFF-1F88-4579-A9CC-57B11C760FFC}"/>
    <cellStyle name="Normal 21 3 3 3 2" xfId="6432" xr:uid="{90D3A67C-8A0B-4EF6-944B-E18AE248B98D}"/>
    <cellStyle name="Normal 21 3 3 3 2 2" xfId="36452" xr:uid="{8420F0EB-87B7-40B1-8A92-3F29D4C4795A}"/>
    <cellStyle name="Normal 21 3 3 3 2 2 2" xfId="5714" xr:uid="{C572B54B-AAFA-4B92-A817-8113BA6073AB}"/>
    <cellStyle name="Normal 21 3 3 3 2 2 2 2" xfId="5724" xr:uid="{DFD05884-C999-4732-8FA2-E15ED2535429}"/>
    <cellStyle name="Normal 21 3 3 3 2 2 2 2 2" xfId="5728" xr:uid="{6F97A85A-9DDD-4891-95C3-663364EA8E41}"/>
    <cellStyle name="Normal 21 3 3 3 2 2 2 2 2 2" xfId="36453" xr:uid="{6048015D-1C9C-403A-8843-969E71B2B125}"/>
    <cellStyle name="Normal 21 3 3 3 2 2 2 2 3" xfId="36454" xr:uid="{92930F95-37D1-40FE-A449-81DCA7C3FDAD}"/>
    <cellStyle name="Normal 21 3 3 3 2 2 2 3" xfId="5676" xr:uid="{5E722B7C-FC51-454E-8C8E-2F29B91CDCEF}"/>
    <cellStyle name="Normal 21 3 3 3 2 2 2 3 2" xfId="36455" xr:uid="{CD5C473A-7520-4A46-AC6B-4F8E0911387E}"/>
    <cellStyle name="Normal 21 3 3 3 2 2 2 4" xfId="36456" xr:uid="{9FDF16A1-FF79-4999-B967-428252CF8810}"/>
    <cellStyle name="Normal 21 3 3 3 2 2 3" xfId="5732" xr:uid="{04802482-80C0-4A7B-A65C-1809A04D4F3D}"/>
    <cellStyle name="Normal 21 3 3 3 2 2 3 2" xfId="5736" xr:uid="{F33EF3A1-8892-4587-8FAA-3F807FB83938}"/>
    <cellStyle name="Normal 21 3 3 3 2 2 3 2 2" xfId="36457" xr:uid="{85D56754-3227-4789-A8FD-38156AC26CE8}"/>
    <cellStyle name="Normal 21 3 3 3 2 2 3 3" xfId="36458" xr:uid="{D5B16DE3-093B-42D8-95E5-C395AA3F6DFD}"/>
    <cellStyle name="Normal 21 3 3 3 2 2 4" xfId="5742" xr:uid="{C54AE6B4-952C-4559-9F47-BCFFB7184BA7}"/>
    <cellStyle name="Normal 21 3 3 3 2 2 4 2" xfId="28773" xr:uid="{AE5DF07A-2BCC-4BE7-82C7-2D813B1AABBE}"/>
    <cellStyle name="Normal 21 3 3 3 2 2 5" xfId="5748" xr:uid="{341BDC08-53F4-41A5-BF8C-D66677F49047}"/>
    <cellStyle name="Normal 21 3 3 3 2 3" xfId="36459" xr:uid="{6E2AC2D5-4472-416D-8D75-A711EA9C314B}"/>
    <cellStyle name="Normal 21 3 3 3 2 3 2" xfId="5887" xr:uid="{FACAB59B-4F44-4F7B-BADA-639520A11BDB}"/>
    <cellStyle name="Normal 21 3 3 3 2 3 2 2" xfId="2966" xr:uid="{80C106E8-7ACE-4AB9-A88E-70DDB9E9A533}"/>
    <cellStyle name="Normal 21 3 3 3 2 3 2 2 2" xfId="36460" xr:uid="{FFBFA112-2215-4B78-A565-FBD621D2FEB1}"/>
    <cellStyle name="Normal 21 3 3 3 2 3 2 3" xfId="36461" xr:uid="{293CDEC2-1D9E-4F7F-BE31-E05823D508BF}"/>
    <cellStyle name="Normal 21 3 3 3 2 3 3" xfId="5891" xr:uid="{34810F5E-15EA-439E-AA87-08B3FA38B127}"/>
    <cellStyle name="Normal 21 3 3 3 2 3 3 2" xfId="36462" xr:uid="{3FDAAD92-F518-4160-BC6E-6F161030778E}"/>
    <cellStyle name="Normal 21 3 3 3 2 3 4" xfId="5896" xr:uid="{E69A4407-7E7A-4148-AEBC-C50B12D01C9D}"/>
    <cellStyle name="Normal 21 3 3 3 2 4" xfId="12514" xr:uid="{463D515C-1F0E-446E-A5F1-74B242A0CF85}"/>
    <cellStyle name="Normal 21 3 3 3 2 4 2" xfId="1122" xr:uid="{413ACEC8-ABCD-4617-A388-D9461AB34F9B}"/>
    <cellStyle name="Normal 21 3 3 3 2 4 2 2" xfId="36463" xr:uid="{D8EEEE51-FB73-4C6F-9FDA-D4056D9FB4A7}"/>
    <cellStyle name="Normal 21 3 3 3 2 4 3" xfId="1135" xr:uid="{B963FA01-07D8-4E70-82DE-E73D5F6C21ED}"/>
    <cellStyle name="Normal 21 3 3 3 2 5" xfId="36464" xr:uid="{06B09941-85C4-4965-BEC6-B4DCC9236DD4}"/>
    <cellStyle name="Normal 21 3 3 3 2 5 2" xfId="36465" xr:uid="{63984B39-22DD-4A4B-B5A1-64945B71176E}"/>
    <cellStyle name="Normal 21 3 3 3 2 6" xfId="21131" xr:uid="{D516B2BD-C165-4A62-8D76-9DC28B849300}"/>
    <cellStyle name="Normal 21 3 3 3 2 7" xfId="16260" xr:uid="{F96EFAAE-0A15-492F-807C-EE8967F5378D}"/>
    <cellStyle name="Normal 21 3 3 3 3" xfId="36466" xr:uid="{62704219-ACB7-40DC-8AE3-E9B6A1C4C916}"/>
    <cellStyle name="Normal 21 3 3 3 3 2" xfId="36467" xr:uid="{496FBBD6-7FC3-4456-849A-2B7E68DA1384}"/>
    <cellStyle name="Normal 21 3 3 3 3 2 2" xfId="6151" xr:uid="{D2216BB5-CB01-4DEA-8E4F-EDC1CD3B73FF}"/>
    <cellStyle name="Normal 21 3 3 3 3 2 2 2" xfId="6154" xr:uid="{4C89F0A8-CBC0-4214-8E8B-2A63C367B53B}"/>
    <cellStyle name="Normal 21 3 3 3 3 2 2 2 2" xfId="35955" xr:uid="{3D2A9240-B7BC-4A63-9FE3-8837415C2754}"/>
    <cellStyle name="Normal 21 3 3 3 3 2 2 3" xfId="36468" xr:uid="{AEF12BAB-FDC1-49B6-A4FC-E9C1C6B1AF09}"/>
    <cellStyle name="Normal 21 3 3 3 3 2 3" xfId="6159" xr:uid="{E7362DE4-450E-4DBD-B84C-C7AD15937FA8}"/>
    <cellStyle name="Normal 21 3 3 3 3 2 3 2" xfId="36469" xr:uid="{B0C4ED4A-FDD8-4449-B7F1-ED0F133BC398}"/>
    <cellStyle name="Normal 21 3 3 3 3 2 4" xfId="6165" xr:uid="{E8C9DE25-3BEA-43B3-835F-A40DB91C3373}"/>
    <cellStyle name="Normal 21 3 3 3 3 3" xfId="36470" xr:uid="{538239EC-6442-46CD-856B-36C24A1360DB}"/>
    <cellStyle name="Normal 21 3 3 3 3 3 2" xfId="6277" xr:uid="{183CBA76-7767-448E-B41A-9EFD02C2149B}"/>
    <cellStyle name="Normal 21 3 3 3 3 3 2 2" xfId="3319" xr:uid="{0BD83162-38BF-4A64-B66A-9793276E523C}"/>
    <cellStyle name="Normal 21 3 3 3 3 3 3" xfId="6284" xr:uid="{450B5563-C467-4BD0-A3EE-D24560DCEAD2}"/>
    <cellStyle name="Normal 21 3 3 3 3 4" xfId="36471" xr:uid="{D764D0A5-1534-42C8-A413-54ACF5634593}"/>
    <cellStyle name="Normal 21 3 3 3 3 4 2" xfId="36472" xr:uid="{696B8AA0-C6C7-4CD4-837F-D5EAEAEEC0F1}"/>
    <cellStyle name="Normal 21 3 3 3 3 5" xfId="36473" xr:uid="{59F0DF84-2E9B-4835-A26D-7A1D6B38F8F7}"/>
    <cellStyle name="Normal 21 3 3 3 4" xfId="36474" xr:uid="{5AE132E3-272B-4BCF-8D65-298C3F2C3BF5}"/>
    <cellStyle name="Normal 21 3 3 3 4 2" xfId="36475" xr:uid="{387B8E7B-4D49-44E8-9AEE-E4E104896427}"/>
    <cellStyle name="Normal 21 3 3 3 4 2 2" xfId="6404" xr:uid="{01904BCA-1657-4BE6-AC12-FA679B26ED67}"/>
    <cellStyle name="Normal 21 3 3 3 4 2 2 2" xfId="36476" xr:uid="{4924F4BF-12F7-4C14-998F-DD58FD527413}"/>
    <cellStyle name="Normal 21 3 3 3 4 2 3" xfId="6411" xr:uid="{0A9991CC-F8A5-41D0-8853-5805ED13FF4E}"/>
    <cellStyle name="Normal 21 3 3 3 4 3" xfId="36477" xr:uid="{ED05B0D9-8D28-438D-AE22-FC933C9F4502}"/>
    <cellStyle name="Normal 21 3 3 3 4 3 2" xfId="36478" xr:uid="{72000A1B-A3B1-4A35-9124-E0A05670D40B}"/>
    <cellStyle name="Normal 21 3 3 3 4 4" xfId="36480" xr:uid="{7F3FDF50-D87C-4124-A83A-82DA03B81069}"/>
    <cellStyle name="Normal 21 3 3 3 5" xfId="29525" xr:uid="{AAD80C92-0DA9-4EBB-90C5-883DCEBC4D21}"/>
    <cellStyle name="Normal 21 3 3 3 5 2" xfId="29527" xr:uid="{313BE92C-7549-4448-88A3-88C11381D743}"/>
    <cellStyle name="Normal 21 3 3 3 5 2 2" xfId="29529" xr:uid="{AF747C19-39E9-40D8-862D-5879A78725CA}"/>
    <cellStyle name="Normal 21 3 3 3 5 3" xfId="29536" xr:uid="{B879E572-B0E1-410F-9D01-6687FEC30D0C}"/>
    <cellStyle name="Normal 21 3 3 3 6" xfId="29541" xr:uid="{94807DBA-91CB-4ED8-A8BD-48505844ED82}"/>
    <cellStyle name="Normal 21 3 3 3 6 2" xfId="29543" xr:uid="{E968E926-7999-4EC9-B1DA-0975C141FED1}"/>
    <cellStyle name="Normal 21 3 3 3 7" xfId="29549" xr:uid="{9CD14D36-20E5-4486-82B8-3EE892732228}"/>
    <cellStyle name="Normal 21 3 3 3 8" xfId="29552" xr:uid="{2FD098BF-16C0-4ABF-976B-1927087730E0}"/>
    <cellStyle name="Normal 21 3 3 4" xfId="6435" xr:uid="{8AFA7069-975C-49E3-A055-26F286950FBB}"/>
    <cellStyle name="Normal 21 3 3 4 2" xfId="34559" xr:uid="{C889DAAD-40F6-4FE5-B503-CBEB2835B6D7}"/>
    <cellStyle name="Normal 21 3 3 4 2 2" xfId="36481" xr:uid="{76918950-058A-4E10-B67C-C6239E692780}"/>
    <cellStyle name="Normal 21 3 3 4 2 2 2" xfId="7146" xr:uid="{D3EB97A7-5597-46A5-853C-220203391366}"/>
    <cellStyle name="Normal 21 3 3 4 2 2 2 2" xfId="24098" xr:uid="{3B3FD53A-C9B9-4F94-AD98-32474C5B7299}"/>
    <cellStyle name="Normal 21 3 3 4 2 2 2 2 2" xfId="36482" xr:uid="{73CFF7F9-C8E4-4E11-9D73-90B74753316D}"/>
    <cellStyle name="Normal 21 3 3 4 2 2 2 3" xfId="36483" xr:uid="{36DE9997-F57F-46E8-97E8-B1A538F73FCA}"/>
    <cellStyle name="Normal 21 3 3 4 2 2 3" xfId="7153" xr:uid="{4668EBDB-CFF6-44F4-8E76-2CCEA7C728D0}"/>
    <cellStyle name="Normal 21 3 3 4 2 2 3 2" xfId="36484" xr:uid="{9E1E6B5C-4DEE-49DC-97B5-E9BBFC37F364}"/>
    <cellStyle name="Normal 21 3 3 4 2 2 4" xfId="28812" xr:uid="{D07DC94B-F639-48FE-8C2B-E808B6FA7462}"/>
    <cellStyle name="Normal 21 3 3 4 2 3" xfId="36485" xr:uid="{DE48D0B5-C153-410E-A374-4C89B91277BD}"/>
    <cellStyle name="Normal 21 3 3 4 2 3 2" xfId="36486" xr:uid="{ACBAD1FE-8DFF-4532-A3EA-B72B451A21BD}"/>
    <cellStyle name="Normal 21 3 3 4 2 3 2 2" xfId="36487" xr:uid="{E9832899-FF60-42E4-B0AA-89AC5D192716}"/>
    <cellStyle name="Normal 21 3 3 4 2 3 3" xfId="36488" xr:uid="{AAEE95CA-0C8B-45E8-BC45-7BD748544AE7}"/>
    <cellStyle name="Normal 21 3 3 4 2 4" xfId="36489" xr:uid="{2DF15452-DCBA-488A-A5B1-881B941FDD6D}"/>
    <cellStyle name="Normal 21 3 3 4 2 4 2" xfId="36490" xr:uid="{014D1A80-2B3E-4454-9C72-A146DCA31CEA}"/>
    <cellStyle name="Normal 21 3 3 4 2 5" xfId="36491" xr:uid="{18609EEC-23A0-4D9D-84D8-F7ED905CC1E5}"/>
    <cellStyle name="Normal 21 3 3 4 3" xfId="36492" xr:uid="{29929F15-BDF6-4643-95C8-883910883559}"/>
    <cellStyle name="Normal 21 3 3 4 3 2" xfId="36493" xr:uid="{93035463-360E-4D9E-BECC-C27F6A1B8C5A}"/>
    <cellStyle name="Normal 21 3 3 4 3 2 2" xfId="36494" xr:uid="{2C9A780F-2717-4A26-BF9B-18BF7CC19637}"/>
    <cellStyle name="Normal 21 3 3 4 3 2 2 2" xfId="26573" xr:uid="{A7CDAF64-0EFF-4F41-920A-77B9A70B2079}"/>
    <cellStyle name="Normal 21 3 3 4 3 2 3" xfId="36495" xr:uid="{F6A8C7CD-7DC6-41CF-B746-FA9A4010682B}"/>
    <cellStyle name="Normal 21 3 3 4 3 3" xfId="36496" xr:uid="{4C57DC01-6082-49F5-8772-76AE081B3D6C}"/>
    <cellStyle name="Normal 21 3 3 4 3 3 2" xfId="36497" xr:uid="{899DCF13-D85A-4E4E-8CA2-9B251A6F05E5}"/>
    <cellStyle name="Normal 21 3 3 4 3 4" xfId="36498" xr:uid="{6CD3FFCF-C611-42D3-8EF2-3DDB96126855}"/>
    <cellStyle name="Normal 21 3 3 4 4" xfId="36499" xr:uid="{51E556BA-CB3B-4788-BC13-1689DDCCAD0D}"/>
    <cellStyle name="Normal 21 3 3 4 4 2" xfId="36500" xr:uid="{238E20B2-FF41-484C-858D-57D9A62C3154}"/>
    <cellStyle name="Normal 21 3 3 4 4 2 2" xfId="36501" xr:uid="{B515F93D-2568-40AC-A90B-A5C8DE6387B7}"/>
    <cellStyle name="Normal 21 3 3 4 4 3" xfId="36502" xr:uid="{EECC3C28-4860-452C-A9F5-9CC28D08CD34}"/>
    <cellStyle name="Normal 21 3 3 4 5" xfId="29554" xr:uid="{39B811EE-188A-4E00-B43B-0C13E2F7613A}"/>
    <cellStyle name="Normal 21 3 3 4 5 2" xfId="29556" xr:uid="{1C0C15A3-337C-440B-8359-633A738AE717}"/>
    <cellStyle name="Normal 21 3 3 4 6" xfId="29323" xr:uid="{9E20C69D-7C5B-44AE-B91B-B066D9579717}"/>
    <cellStyle name="Normal 21 3 3 4 7" xfId="29329" xr:uid="{196ADCF8-7ABE-4861-A2EF-5B69A9A71955}"/>
    <cellStyle name="Normal 21 3 3 5" xfId="25221" xr:uid="{5D1270DE-446F-4CCD-A057-CE0319066551}"/>
    <cellStyle name="Normal 21 3 3 5 2" xfId="36503" xr:uid="{8635AE52-EF1C-4B7C-997D-280F17258819}"/>
    <cellStyle name="Normal 21 3 3 5 2 2" xfId="35567" xr:uid="{925B8982-BCE3-4C87-A365-8C928B87A500}"/>
    <cellStyle name="Normal 21 3 3 5 2 2 2" xfId="36504" xr:uid="{BBE11C27-F5A5-4F83-86FE-CC3A9DDB9671}"/>
    <cellStyle name="Normal 21 3 3 5 2 2 2 2" xfId="36505" xr:uid="{D8AA3E66-BEC3-486C-BDB1-A4499AFCEE32}"/>
    <cellStyle name="Normal 21 3 3 5 2 2 3" xfId="36506" xr:uid="{B449D2E2-C090-4668-9743-E1EA11A33E04}"/>
    <cellStyle name="Normal 21 3 3 5 2 3" xfId="36507" xr:uid="{815084C8-FF58-448E-85E9-503A0C884624}"/>
    <cellStyle name="Normal 21 3 3 5 2 3 2" xfId="36508" xr:uid="{01CBA31C-78CA-4B4D-9C6A-0540A4522B23}"/>
    <cellStyle name="Normal 21 3 3 5 2 4" xfId="36509" xr:uid="{B6623505-09E4-4F86-B564-59BB406949E4}"/>
    <cellStyle name="Normal 21 3 3 5 3" xfId="36510" xr:uid="{D30B369C-C530-4F7B-8878-7021D538BF9F}"/>
    <cellStyle name="Normal 21 3 3 5 3 2" xfId="35574" xr:uid="{8156AA76-F3EF-48CA-8BFD-D3288FEBAF86}"/>
    <cellStyle name="Normal 21 3 3 5 3 2 2" xfId="36511" xr:uid="{45388EEC-53A5-46FC-83AF-7E716FAA48C3}"/>
    <cellStyle name="Normal 21 3 3 5 3 3" xfId="36512" xr:uid="{9B8AE2C5-EE1E-412C-8CB0-52E0FA8D4600}"/>
    <cellStyle name="Normal 21 3 3 5 4" xfId="36514" xr:uid="{520BBAA8-E060-4E01-A55F-1CE50B1439AF}"/>
    <cellStyle name="Normal 21 3 3 5 4 2" xfId="495" xr:uid="{888D52FA-EB65-46A4-8456-356873141778}"/>
    <cellStyle name="Normal 21 3 3 5 5" xfId="29559" xr:uid="{8653A0B2-37C7-420D-A66A-9F1B23A19FA3}"/>
    <cellStyle name="Normal 21 3 3 6" xfId="25226" xr:uid="{86D1C9F9-AE01-4E33-93C5-63B84C5B359C}"/>
    <cellStyle name="Normal 21 3 3 6 2" xfId="36515" xr:uid="{C25941C4-FDA0-4E4F-9330-88C3DE6040EF}"/>
    <cellStyle name="Normal 21 3 3 6 2 2" xfId="36516" xr:uid="{D83B4817-D84B-4AF0-9AE7-567AAD26B4D6}"/>
    <cellStyle name="Normal 21 3 3 6 2 2 2" xfId="36517" xr:uid="{5887B7CE-A4F6-4A53-A9A6-8F73CAE010F8}"/>
    <cellStyle name="Normal 21 3 3 6 2 3" xfId="36518" xr:uid="{68395C07-2ECE-4D0D-A2D8-A946D0426DE8}"/>
    <cellStyle name="Normal 21 3 3 6 3" xfId="36519" xr:uid="{029D0CDB-0008-4727-B7BA-13D124B5243E}"/>
    <cellStyle name="Normal 21 3 3 6 3 2" xfId="36520" xr:uid="{8129E6DF-2AA7-48AB-A7C8-5C2D2D47EB18}"/>
    <cellStyle name="Normal 21 3 3 6 4" xfId="36521" xr:uid="{B47053F9-B94C-43DE-8410-009FD711AE84}"/>
    <cellStyle name="Normal 21 3 3 7" xfId="25229" xr:uid="{8F67AF1B-6504-4FDA-B427-64CF963AA3F5}"/>
    <cellStyle name="Normal 21 3 3 7 2" xfId="36522" xr:uid="{E29F83DA-853B-44AA-AFBB-0D10E1D45E91}"/>
    <cellStyle name="Normal 21 3 3 7 2 2" xfId="36523" xr:uid="{B6125060-F6E8-429E-B0F7-C999A53050E5}"/>
    <cellStyle name="Normal 21 3 3 7 3" xfId="36524" xr:uid="{10CFD2F1-9ECC-4B68-9222-5F7ADFFEB56C}"/>
    <cellStyle name="Normal 21 3 3 8" xfId="16108" xr:uid="{5194EE2D-FE2F-475C-BAEC-B79A3EFE05E8}"/>
    <cellStyle name="Normal 21 3 3 8 2" xfId="36525" xr:uid="{E55FF079-BC02-40F8-B216-594701EE7085}"/>
    <cellStyle name="Normal 21 3 3 9" xfId="25233" xr:uid="{8C85DE02-2616-454A-8A3D-CD33343C01DC}"/>
    <cellStyle name="Normal 21 3 4" xfId="36526" xr:uid="{FD899000-E0B3-4EA8-A047-9DE9E533CC11}"/>
    <cellStyle name="Normal 21 3 4 2" xfId="3672" xr:uid="{C538FAF5-237F-429F-AE75-112C79E33F17}"/>
    <cellStyle name="Normal 21 3 4 2 2" xfId="3678" xr:uid="{AC9065B8-BF79-4BD6-9D15-C5982560975D}"/>
    <cellStyle name="Normal 21 3 4 2 2 2" xfId="36527" xr:uid="{B860BD71-C31F-471A-AAE9-FB16461F694C}"/>
    <cellStyle name="Normal 21 3 4 2 2 2 2" xfId="9647" xr:uid="{168639BC-8767-4E9B-AB22-D3109B2489F2}"/>
    <cellStyle name="Normal 21 3 4 2 2 2 2 2" xfId="9649" xr:uid="{F184F076-F79B-4457-91F8-C654862B3B0A}"/>
    <cellStyle name="Normal 21 3 4 2 2 2 2 2 2" xfId="9652" xr:uid="{28DAC7DA-1E76-49B4-BDFF-2E935FD7A42B}"/>
    <cellStyle name="Normal 21 3 4 2 2 2 2 2 2 2" xfId="9437" xr:uid="{A089352B-BB96-42BB-A81D-0BB29279B029}"/>
    <cellStyle name="Normal 21 3 4 2 2 2 2 2 3" xfId="36528" xr:uid="{DB735B27-9DDE-48BA-8235-4D1E934B4B62}"/>
    <cellStyle name="Normal 21 3 4 2 2 2 2 3" xfId="9656" xr:uid="{CE2F6F75-31BE-4B3F-AA2B-B06390A74023}"/>
    <cellStyle name="Normal 21 3 4 2 2 2 2 3 2" xfId="35998" xr:uid="{1457A783-B0C1-4816-8FBE-41A4D3ECDD07}"/>
    <cellStyle name="Normal 21 3 4 2 2 2 2 4" xfId="36529" xr:uid="{3C27E5FD-9D97-4CC9-BDCE-4FA314DA6FE7}"/>
    <cellStyle name="Normal 21 3 4 2 2 2 3" xfId="9658" xr:uid="{27857946-B7A8-474B-87DD-94C014318D90}"/>
    <cellStyle name="Normal 21 3 4 2 2 2 3 2" xfId="9660" xr:uid="{71314BFA-DE57-49A5-B97E-9981D89CDC33}"/>
    <cellStyle name="Normal 21 3 4 2 2 2 3 2 2" xfId="36530" xr:uid="{CA061FE2-7E71-4EAB-B5F0-3A253BA75F88}"/>
    <cellStyle name="Normal 21 3 4 2 2 2 3 3" xfId="32649" xr:uid="{A9016EEE-AC11-489E-AB62-DE5A84ED5173}"/>
    <cellStyle name="Normal 21 3 4 2 2 2 4" xfId="9664" xr:uid="{B61A7AF9-506A-4CFD-AC84-FCD1A555F6C4}"/>
    <cellStyle name="Normal 21 3 4 2 2 2 4 2" xfId="36531" xr:uid="{8AD10218-46F9-490F-9F31-0D339F51611B}"/>
    <cellStyle name="Normal 21 3 4 2 2 2 5" xfId="9666" xr:uid="{33283C17-80BD-4E49-86EF-C4FD564497C1}"/>
    <cellStyle name="Normal 21 3 4 2 2 3" xfId="15890" xr:uid="{2B14AF4F-CEE8-4794-B54E-ECFCE64699FC}"/>
    <cellStyle name="Normal 21 3 4 2 2 3 2" xfId="9806" xr:uid="{970748DA-63D4-432D-BB26-75D74A411E7F}"/>
    <cellStyle name="Normal 21 3 4 2 2 3 2 2" xfId="9809" xr:uid="{C67FF6B3-4C80-4677-972F-87BABAC18F84}"/>
    <cellStyle name="Normal 21 3 4 2 2 3 2 2 2" xfId="15894" xr:uid="{389E318C-0BCC-4DDC-B9ED-4D4BE4EA21BC}"/>
    <cellStyle name="Normal 21 3 4 2 2 3 2 3" xfId="15908" xr:uid="{79B51CF5-5BAB-4185-8D64-9B617C837B76}"/>
    <cellStyle name="Normal 21 3 4 2 2 3 3" xfId="9812" xr:uid="{1EC5567E-F7B6-433D-ACBE-CDF3AE0D679C}"/>
    <cellStyle name="Normal 21 3 4 2 2 3 3 2" xfId="15918" xr:uid="{87897A76-93FD-4E78-9FD5-1908E20B6CD8}"/>
    <cellStyle name="Normal 21 3 4 2 2 3 4" xfId="9815" xr:uid="{E3357404-C4EB-449D-B839-3FD0B0C3407E}"/>
    <cellStyle name="Normal 21 3 4 2 2 4" xfId="15932" xr:uid="{7D56B563-A79C-4FC2-B400-6859E3BE1C58}"/>
    <cellStyle name="Normal 21 3 4 2 2 4 2" xfId="9860" xr:uid="{3A28216C-4407-4FD1-80B6-C90DECB3CFB1}"/>
    <cellStyle name="Normal 21 3 4 2 2 4 2 2" xfId="15934" xr:uid="{B97299ED-14E8-425B-9625-B16BD6A349F1}"/>
    <cellStyle name="Normal 21 3 4 2 2 4 3" xfId="9863" xr:uid="{140D2569-D745-440C-BB13-4C78F509C589}"/>
    <cellStyle name="Normal 21 3 4 2 2 5" xfId="15951" xr:uid="{0067C907-87EF-4BFC-B6A2-E2CE402F6C93}"/>
    <cellStyle name="Normal 21 3 4 2 2 5 2" xfId="15953" xr:uid="{46465A1E-6A42-4641-9341-2EC795996EDA}"/>
    <cellStyle name="Normal 21 3 4 2 2 6" xfId="15961" xr:uid="{61FEE7B5-B070-4B5F-A787-C7329A97E5C0}"/>
    <cellStyle name="Normal 21 3 4 2 2 7" xfId="4315" xr:uid="{D063CEA7-7CDA-45A5-8081-1AFDCA1DA602}"/>
    <cellStyle name="Normal 21 3 4 2 3" xfId="36532" xr:uid="{7F5CE5B0-D113-448F-A433-E373186F036D}"/>
    <cellStyle name="Normal 21 3 4 2 3 2" xfId="36533" xr:uid="{2C7B4B7F-94EC-4F44-B4D8-16A304131E78}"/>
    <cellStyle name="Normal 21 3 4 2 3 2 2" xfId="10039" xr:uid="{594F11D6-E95A-48EB-A884-F1E7AB5748AA}"/>
    <cellStyle name="Normal 21 3 4 2 3 2 2 2" xfId="10041" xr:uid="{20DC291D-4D68-4EAE-B40E-69985B51F7CF}"/>
    <cellStyle name="Normal 21 3 4 2 3 2 2 2 2" xfId="32985" xr:uid="{84DD0C1A-8F6F-45A6-8E17-D7021B202B59}"/>
    <cellStyle name="Normal 21 3 4 2 3 2 2 3" xfId="36534" xr:uid="{02A0CA0E-ACBE-4026-96D1-D92A9D5947B7}"/>
    <cellStyle name="Normal 21 3 4 2 3 2 3" xfId="10043" xr:uid="{E7A24B21-206A-48D8-87C9-CDC7DA41B003}"/>
    <cellStyle name="Normal 21 3 4 2 3 2 3 2" xfId="36535" xr:uid="{19ABE927-B382-4794-8649-5BA49ABBC143}"/>
    <cellStyle name="Normal 21 3 4 2 3 2 4" xfId="10047" xr:uid="{767B9107-1AB1-4E89-99F2-37EA81994A12}"/>
    <cellStyle name="Normal 21 3 4 2 3 3" xfId="15969" xr:uid="{7ACCEBED-9761-4B2B-8237-43C6139A6148}"/>
    <cellStyle name="Normal 21 3 4 2 3 3 2" xfId="10100" xr:uid="{C187D86B-AF74-4B76-AA62-07F2267D04FA}"/>
    <cellStyle name="Normal 21 3 4 2 3 3 2 2" xfId="14175" xr:uid="{51EAC3CF-9398-4558-A8E4-2ABA711976F3}"/>
    <cellStyle name="Normal 21 3 4 2 3 3 3" xfId="10103" xr:uid="{758A736E-0D87-4B6D-8763-072162E13E78}"/>
    <cellStyle name="Normal 21 3 4 2 3 4" xfId="15978" xr:uid="{BC1D6FD9-C8E5-4098-BA26-5755362365D3}"/>
    <cellStyle name="Normal 21 3 4 2 3 4 2" xfId="15980" xr:uid="{028FD4CF-6018-459D-8325-2322CCF5A947}"/>
    <cellStyle name="Normal 21 3 4 2 3 5" xfId="15986" xr:uid="{31331E14-7CED-4758-A37F-60C67CA22D76}"/>
    <cellStyle name="Normal 21 3 4 2 4" xfId="36536" xr:uid="{BB930CA6-782D-4679-85B6-CE4780C610EF}"/>
    <cellStyle name="Normal 21 3 4 2 4 2" xfId="36537" xr:uid="{CC7DDDC3-F451-45B9-82D4-8C53D35DBB65}"/>
    <cellStyle name="Normal 21 3 4 2 4 2 2" xfId="10199" xr:uid="{F7BB858A-8A4B-4C26-9C20-31019D3DED6B}"/>
    <cellStyle name="Normal 21 3 4 2 4 2 2 2" xfId="36250" xr:uid="{FED2C3F4-8BD1-416D-B95D-0180ADCD49FF}"/>
    <cellStyle name="Normal 21 3 4 2 4 2 3" xfId="10201" xr:uid="{8F32BCAD-5435-4825-8257-5EEE8EE0CB1A}"/>
    <cellStyle name="Normal 21 3 4 2 4 3" xfId="15996" xr:uid="{F69FFEA5-4B4D-4CB7-BC42-F67D203687D7}"/>
    <cellStyle name="Normal 21 3 4 2 4 3 2" xfId="15998" xr:uid="{0AA09BBF-6D6E-46B9-A9EB-CEBF1F69970C}"/>
    <cellStyle name="Normal 21 3 4 2 4 4" xfId="16005" xr:uid="{33C940D5-E357-41C3-9DA9-C413130C5C31}"/>
    <cellStyle name="Normal 21 3 4 2 5" xfId="36538" xr:uid="{1C693B35-C083-4F18-80D9-087B13BDB0E9}"/>
    <cellStyle name="Normal 21 3 4 2 5 2" xfId="36539" xr:uid="{865C530C-F5ED-4043-B6CE-F17DB8C92223}"/>
    <cellStyle name="Normal 21 3 4 2 5 2 2" xfId="36540" xr:uid="{24B056F6-990C-44F8-B496-FC87EF184286}"/>
    <cellStyle name="Normal 21 3 4 2 5 3" xfId="16021" xr:uid="{621D9468-3DD9-47AD-A62B-FF01FADE6A0C}"/>
    <cellStyle name="Normal 21 3 4 2 6" xfId="36541" xr:uid="{1BA211F2-CD4A-47DA-9AF7-3BD29E08C196}"/>
    <cellStyle name="Normal 21 3 4 2 6 2" xfId="36542" xr:uid="{C47AAEEC-C57F-4358-A6CB-128942057A02}"/>
    <cellStyle name="Normal 21 3 4 2 7" xfId="22018" xr:uid="{37B4A7AD-6C6F-4479-A885-6AF72B374B5C}"/>
    <cellStyle name="Normal 21 3 4 2 8" xfId="23362" xr:uid="{9EFD3346-D9E0-4BCC-B452-5DCB4AABA2C4}"/>
    <cellStyle name="Normal 21 3 4 3" xfId="3683" xr:uid="{4C797954-4EA5-44CF-8648-BC75E95E3AC1}"/>
    <cellStyle name="Normal 21 3 4 3 2" xfId="36543" xr:uid="{922BE258-B110-48F1-B115-6C3CF190524D}"/>
    <cellStyle name="Normal 21 3 4 3 2 2" xfId="36544" xr:uid="{945333F5-4D43-4B84-8563-5D0F86EC0B70}"/>
    <cellStyle name="Normal 21 3 4 3 2 2 2" xfId="13210" xr:uid="{3E57AEAA-2AF2-4143-B5F5-77B40B95869C}"/>
    <cellStyle name="Normal 21 3 4 3 2 2 2 2" xfId="13213" xr:uid="{95984C00-E041-4CBF-AABF-5AF9D007B5E5}"/>
    <cellStyle name="Normal 21 3 4 3 2 2 2 2 2" xfId="10359" xr:uid="{341F3D2F-B871-4357-B7A9-3688A1207C3D}"/>
    <cellStyle name="Normal 21 3 4 3 2 2 2 3" xfId="13216" xr:uid="{30687BC4-7B99-433C-B900-0BD3C76F7D97}"/>
    <cellStyle name="Normal 21 3 4 3 2 2 3" xfId="13218" xr:uid="{1CC8E87F-073D-4B20-917D-66E7DD3E08EE}"/>
    <cellStyle name="Normal 21 3 4 3 2 2 3 2" xfId="13220" xr:uid="{D991CBBC-3B5B-4B39-8E29-E2C19CFA81BF}"/>
    <cellStyle name="Normal 21 3 4 3 2 2 4" xfId="13222" xr:uid="{67430BCB-BA93-45DF-A988-8C2933782827}"/>
    <cellStyle name="Normal 21 3 4 3 2 3" xfId="16101" xr:uid="{F6AE64CA-8519-47AD-BCE9-FBD69CEC1EFD}"/>
    <cellStyle name="Normal 21 3 4 3 2 3 2" xfId="13348" xr:uid="{F0A75642-DBDF-49CC-8C9B-541587D88BE3}"/>
    <cellStyle name="Normal 21 3 4 3 2 3 2 2" xfId="13351" xr:uid="{ABE54B31-1DFF-4BFA-B423-653097457859}"/>
    <cellStyle name="Normal 21 3 4 3 2 3 3" xfId="13354" xr:uid="{F5785CFA-488D-41F1-8011-8D8B83CF6848}"/>
    <cellStyle name="Normal 21 3 4 3 2 4" xfId="16117" xr:uid="{E730FDE0-6961-4912-A6BC-63856AF801F4}"/>
    <cellStyle name="Normal 21 3 4 3 2 4 2" xfId="13428" xr:uid="{01B83615-47DB-4B94-8CA4-F7C0A0F73801}"/>
    <cellStyle name="Normal 21 3 4 3 2 5" xfId="16127" xr:uid="{A041EAE0-E2FF-4DED-BEF5-269C26B7ECCC}"/>
    <cellStyle name="Normal 21 3 4 3 3" xfId="36545" xr:uid="{5F6EC7B6-597E-44AC-9894-E24876482215}"/>
    <cellStyle name="Normal 21 3 4 3 3 2" xfId="36546" xr:uid="{EFFE7EDE-E27E-4994-9B58-A2E21E37D1DC}"/>
    <cellStyle name="Normal 21 3 4 3 3 2 2" xfId="13685" xr:uid="{E7DE8C3F-3BDD-4B98-84FB-85EEA381EACC}"/>
    <cellStyle name="Normal 21 3 4 3 3 2 2 2" xfId="13688" xr:uid="{3600F02F-461A-44E4-8FFD-44DA44D5B85B}"/>
    <cellStyle name="Normal 21 3 4 3 3 2 3" xfId="13691" xr:uid="{7B00C5B0-F758-48D2-A2F4-75403A531C89}"/>
    <cellStyle name="Normal 21 3 4 3 3 3" xfId="16137" xr:uid="{EA4880ED-FE6E-4856-BED2-09C6D1E2C95D}"/>
    <cellStyle name="Normal 21 3 4 3 3 3 2" xfId="13759" xr:uid="{756D34FA-D8BA-4295-B19C-710DEDF4FF0C}"/>
    <cellStyle name="Normal 21 3 4 3 3 4" xfId="16141" xr:uid="{AF8541BF-100E-483D-ACA7-25BB39254733}"/>
    <cellStyle name="Normal 21 3 4 3 4" xfId="36547" xr:uid="{487394BC-B23A-4DB1-9D29-B180DB94592E}"/>
    <cellStyle name="Normal 21 3 4 3 4 2" xfId="36548" xr:uid="{D8BD372D-258D-4E3E-B356-0A2AB9A6CCC7}"/>
    <cellStyle name="Normal 21 3 4 3 4 2 2" xfId="13882" xr:uid="{C5682EAC-2578-4D19-92F0-0781DEAA1677}"/>
    <cellStyle name="Normal 21 3 4 3 4 3" xfId="16150" xr:uid="{67EF285D-0726-4E7A-8028-3E7B37EDF641}"/>
    <cellStyle name="Normal 21 3 4 3 5" xfId="29567" xr:uid="{08EFFB70-536A-46DF-8E6E-2A92F684BB6B}"/>
    <cellStyle name="Normal 21 3 4 3 5 2" xfId="23957" xr:uid="{4127E211-2C99-4FF3-BA9C-0A8669D6C351}"/>
    <cellStyle name="Normal 21 3 4 3 6" xfId="29569" xr:uid="{B9323183-E51C-486B-89BD-A340C380FC3C}"/>
    <cellStyle name="Normal 21 3 4 3 7" xfId="23371" xr:uid="{58F4405F-4466-48DE-B196-303CF72F9F0A}"/>
    <cellStyle name="Normal 21 3 4 4" xfId="25260" xr:uid="{7194E0E7-482D-44B9-9271-C1A9BEDB8DBE}"/>
    <cellStyle name="Normal 21 3 4 4 2" xfId="36549" xr:uid="{2E0367D9-49B4-46F2-BA19-64DF8C11712B}"/>
    <cellStyle name="Normal 21 3 4 4 2 2" xfId="36550" xr:uid="{14F67F69-FC1B-4226-879A-5586A0B38AD2}"/>
    <cellStyle name="Normal 21 3 4 4 2 2 2" xfId="15393" xr:uid="{573515D2-6A54-406C-A12E-12B4BD6D8FE2}"/>
    <cellStyle name="Normal 21 3 4 4 2 2 2 2" xfId="15396" xr:uid="{C7FB0814-9ECB-4E35-8A46-132C5E804B9D}"/>
    <cellStyle name="Normal 21 3 4 4 2 2 3" xfId="15399" xr:uid="{C6CA86B1-9D4F-4614-88ED-596CA43999A9}"/>
    <cellStyle name="Normal 21 3 4 4 2 3" xfId="16222" xr:uid="{613CB964-228F-4733-BFA2-A7B66D44B539}"/>
    <cellStyle name="Normal 21 3 4 4 2 3 2" xfId="15444" xr:uid="{4FB37918-7660-4836-9D55-DF7AAD466831}"/>
    <cellStyle name="Normal 21 3 4 4 2 4" xfId="16236" xr:uid="{227A9BB7-07D4-479D-97F3-24832F12111E}"/>
    <cellStyle name="Normal 21 3 4 4 3" xfId="36551" xr:uid="{76ECDABC-0912-4F13-B237-2CB154D4639B}"/>
    <cellStyle name="Normal 21 3 4 4 3 2" xfId="36552" xr:uid="{876F98B5-19D7-4D1A-BE52-A72C247C9227}"/>
    <cellStyle name="Normal 21 3 4 4 3 2 2" xfId="15561" xr:uid="{48CA8F77-FB1B-4EFB-BC13-4B62DE4F79E9}"/>
    <cellStyle name="Normal 21 3 4 4 3 3" xfId="16246" xr:uid="{6B5B1F30-FF6C-406C-A977-33591D044E87}"/>
    <cellStyle name="Normal 21 3 4 4 4" xfId="36553" xr:uid="{BAA77D0D-319C-4A6E-A686-21F974696FF2}"/>
    <cellStyle name="Normal 21 3 4 4 4 2" xfId="6026" xr:uid="{59E1B4A8-A74F-4451-9EC6-F4DC0A7CBB3D}"/>
    <cellStyle name="Normal 21 3 4 4 5" xfId="29572" xr:uid="{0DBD0709-EAF3-4464-94E8-AAAD01BD0F6E}"/>
    <cellStyle name="Normal 21 3 4 5" xfId="25263" xr:uid="{CE9CD07B-F47A-4E9D-8CB1-2020E5C8CAAA}"/>
    <cellStyle name="Normal 21 3 4 5 2" xfId="13240" xr:uid="{9F48726F-CA35-469F-A2C9-4E69F4695716}"/>
    <cellStyle name="Normal 21 3 4 5 2 2" xfId="36554" xr:uid="{235FFDB7-E4E1-4432-8E32-2A6554FB4C0D}"/>
    <cellStyle name="Normal 21 3 4 5 2 2 2" xfId="30707" xr:uid="{8D046330-EAD3-4EAE-97A2-AEF2CB4D08F6}"/>
    <cellStyle name="Normal 21 3 4 5 2 3" xfId="16288" xr:uid="{F5A64EF7-92EC-4476-84DF-32D787AC84D1}"/>
    <cellStyle name="Normal 21 3 4 5 3" xfId="36555" xr:uid="{DD502AE4-09B3-4C0A-83F4-4034CEDFACC5}"/>
    <cellStyle name="Normal 21 3 4 5 3 2" xfId="36556" xr:uid="{531A900E-A76B-4460-B15A-1C739FD71041}"/>
    <cellStyle name="Normal 21 3 4 5 4" xfId="36557" xr:uid="{ADDA0B0F-FDBE-4935-9C36-6610BDFEF987}"/>
    <cellStyle name="Normal 21 3 4 6" xfId="25266" xr:uid="{11788083-4EFF-4D39-AF64-10A113F2DDDB}"/>
    <cellStyle name="Normal 21 3 4 6 2" xfId="36558" xr:uid="{A6487C53-3FA0-4963-92CA-CBD1375A923C}"/>
    <cellStyle name="Normal 21 3 4 6 2 2" xfId="36559" xr:uid="{83BD53EF-D606-4181-A0AD-F34F46962678}"/>
    <cellStyle name="Normal 21 3 4 6 3" xfId="36560" xr:uid="{FAE9A28B-DAA3-435F-AC23-52E5A850751A}"/>
    <cellStyle name="Normal 21 3 4 7" xfId="25269" xr:uid="{ABE6C225-6620-4D0B-9235-12AE2AB8617D}"/>
    <cellStyle name="Normal 21 3 4 7 2" xfId="36561" xr:uid="{57A0671D-0008-4BD3-A5CC-E54BA0D976B7}"/>
    <cellStyle name="Normal 21 3 4 8" xfId="25273" xr:uid="{3686FBFF-9A09-4B8A-9F21-1980C5C208C9}"/>
    <cellStyle name="Normal 21 3 4 9" xfId="25276" xr:uid="{B6EF3334-DDBA-4ED7-9EF8-737C802B3A17}"/>
    <cellStyle name="Normal 21 3 5" xfId="7512" xr:uid="{8132C1D5-AB25-4627-94B9-09341CAFC712}"/>
    <cellStyle name="Normal 21 3 5 2" xfId="1824" xr:uid="{B43E5939-B29D-4325-8E60-55D590918E62}"/>
    <cellStyle name="Normal 21 3 5 2 2" xfId="5556" xr:uid="{0CC2D995-ED5A-4985-B66E-0BF8561BFD80}"/>
    <cellStyle name="Normal 21 3 5 2 2 2" xfId="7514" xr:uid="{1D893FF1-3F73-4BB1-A88E-1CA43E469920}"/>
    <cellStyle name="Normal 21 3 5 2 2 2 2" xfId="7516" xr:uid="{B980FA6B-244E-4F75-A83F-50CAD8DD47EB}"/>
    <cellStyle name="Normal 21 3 5 2 2 2 2 2" xfId="1242" xr:uid="{CB489D45-5232-4EAD-B6A1-F8EEA129035D}"/>
    <cellStyle name="Normal 21 3 5 2 2 2 2 2 2" xfId="36562" xr:uid="{6CDD3230-2CF4-4AFE-945D-888E1C8D2216}"/>
    <cellStyle name="Normal 21 3 5 2 2 2 2 3" xfId="1247" xr:uid="{DE2C7AC4-80A6-4D58-B484-40ABA01D786D}"/>
    <cellStyle name="Normal 21 3 5 2 2 2 3" xfId="36563" xr:uid="{6BA4B32C-2DDF-4C9B-892F-76C472FA7478}"/>
    <cellStyle name="Normal 21 3 5 2 2 2 3 2" xfId="36565" xr:uid="{9A60620A-A275-4EDD-8CCE-7F3399BBA66D}"/>
    <cellStyle name="Normal 21 3 5 2 2 2 4" xfId="36566" xr:uid="{0B308984-AD0B-47BF-BEFF-4332548AC1DB}"/>
    <cellStyle name="Normal 21 3 5 2 2 3" xfId="7518" xr:uid="{8EBCA900-2D8F-438D-A75F-7AA3988318C8}"/>
    <cellStyle name="Normal 21 3 5 2 2 3 2" xfId="36567" xr:uid="{6B3014B6-ADE7-4EF4-B84F-64687AF3F3B3}"/>
    <cellStyle name="Normal 21 3 5 2 2 3 2 2" xfId="36568" xr:uid="{7D0021F4-E0F7-477E-AC3B-1C38C34FEAFC}"/>
    <cellStyle name="Normal 21 3 5 2 2 3 3" xfId="36569" xr:uid="{4845BBEF-9A97-425C-80EF-B634DB2186E6}"/>
    <cellStyle name="Normal 21 3 5 2 2 4" xfId="36570" xr:uid="{A4A11F5D-64FA-42C4-BF6D-A94AF4BB9506}"/>
    <cellStyle name="Normal 21 3 5 2 2 4 2" xfId="36571" xr:uid="{70C0F729-45DB-4698-BD17-F4715E4F81E7}"/>
    <cellStyle name="Normal 21 3 5 2 2 5" xfId="36572" xr:uid="{AC6CEE00-BE7E-4A5E-BDB7-18F58A6F6D2E}"/>
    <cellStyle name="Normal 21 3 5 2 3" xfId="5546" xr:uid="{BBDF083C-245A-4BDA-A010-6841A24FD968}"/>
    <cellStyle name="Normal 21 3 5 2 3 2" xfId="7520" xr:uid="{05ED8DAE-3038-4AE6-9753-9F0F130A3A9B}"/>
    <cellStyle name="Normal 21 3 5 2 3 2 2" xfId="36573" xr:uid="{A71D81DE-0CD6-4DCF-B6B7-A0B566628EBF}"/>
    <cellStyle name="Normal 21 3 5 2 3 2 2 2" xfId="36574" xr:uid="{2F9EFF65-6E63-49DD-9D0A-9BD2F9863D6A}"/>
    <cellStyle name="Normal 21 3 5 2 3 2 3" xfId="36575" xr:uid="{9D348E4F-9A32-4C03-AB01-80AAC73C1F34}"/>
    <cellStyle name="Normal 21 3 5 2 3 3" xfId="36576" xr:uid="{8E35AD9B-8F43-4287-8330-779C487189A9}"/>
    <cellStyle name="Normal 21 3 5 2 3 3 2" xfId="36577" xr:uid="{4FBE015C-B9C1-41B3-B122-C5B4BC758176}"/>
    <cellStyle name="Normal 21 3 5 2 3 4" xfId="36578" xr:uid="{D0160242-19AE-4CAC-8107-DEA1B50E2D48}"/>
    <cellStyle name="Normal 21 3 5 2 4" xfId="7523" xr:uid="{B356288D-7BFD-4D7E-997D-6AC12B6E7EA1}"/>
    <cellStyle name="Normal 21 3 5 2 4 2" xfId="36579" xr:uid="{E201B8F2-72B3-42DC-B47C-AAAA86C340A2}"/>
    <cellStyle name="Normal 21 3 5 2 4 2 2" xfId="36580" xr:uid="{F54D8F5E-403E-4569-AE25-538F2CBBD7B7}"/>
    <cellStyle name="Normal 21 3 5 2 4 3" xfId="36581" xr:uid="{9C8349CC-3C50-478F-BB46-DC801C04A37A}"/>
    <cellStyle name="Normal 21 3 5 2 5" xfId="36582" xr:uid="{4300616F-0A0F-4F75-BBBF-4B297A46CE03}"/>
    <cellStyle name="Normal 21 3 5 2 5 2" xfId="36583" xr:uid="{92A79070-3993-44D5-80C8-20F171AD8F87}"/>
    <cellStyle name="Normal 21 3 5 2 6" xfId="36584" xr:uid="{75A8C3FE-D70D-4B9A-8469-30B290BC883C}"/>
    <cellStyle name="Normal 21 3 5 2 7" xfId="36585" xr:uid="{7F2E8582-46DB-41E1-AC62-24605158409E}"/>
    <cellStyle name="Normal 21 3 5 3" xfId="1831" xr:uid="{90E40CF2-E4F8-453E-95AB-5DAB582B1736}"/>
    <cellStyle name="Normal 21 3 5 3 2" xfId="7285" xr:uid="{E52B0C3A-9DE8-42AB-8B3E-F65023826168}"/>
    <cellStyle name="Normal 21 3 5 3 2 2" xfId="1308" xr:uid="{2716FD68-F560-41DA-A31F-2582D259B037}"/>
    <cellStyle name="Normal 21 3 5 3 2 2 2" xfId="36586" xr:uid="{5AF43CF7-1769-48EF-88F6-DC166F660AE5}"/>
    <cellStyle name="Normal 21 3 5 3 2 2 2 2" xfId="36588" xr:uid="{D4F751E3-F1EF-4443-80E9-FA4F30416F09}"/>
    <cellStyle name="Normal 21 3 5 3 2 2 3" xfId="36589" xr:uid="{6F6FC58C-891F-4F67-AF21-C81D9F4311DA}"/>
    <cellStyle name="Normal 21 3 5 3 2 3" xfId="36590" xr:uid="{15A2DB12-9BBF-48F7-8E7E-DA9A37E33EE5}"/>
    <cellStyle name="Normal 21 3 5 3 2 3 2" xfId="36591" xr:uid="{B7F5D884-DF5A-4D52-A472-D6A96EB957B1}"/>
    <cellStyle name="Normal 21 3 5 3 2 4" xfId="36592" xr:uid="{5724878A-D414-42A2-B424-79AD5DFBD204}"/>
    <cellStyle name="Normal 21 3 5 3 3" xfId="7287" xr:uid="{E2D45FC9-AEA9-4F75-B0F7-D5F174E46FC3}"/>
    <cellStyle name="Normal 21 3 5 3 3 2" xfId="36593" xr:uid="{C6E8D27F-B860-486E-8860-4089EAF1823E}"/>
    <cellStyle name="Normal 21 3 5 3 3 2 2" xfId="36594" xr:uid="{147A7C11-343D-4623-AEC6-38E0B3E3D24A}"/>
    <cellStyle name="Normal 21 3 5 3 3 3" xfId="36595" xr:uid="{6F267014-82C0-4F4A-AFA7-3EC35AE4A02B}"/>
    <cellStyle name="Normal 21 3 5 3 4" xfId="36596" xr:uid="{CEF8B35D-561F-4762-846E-0E9BEB919633}"/>
    <cellStyle name="Normal 21 3 5 3 4 2" xfId="36597" xr:uid="{5A2EF6AD-3617-429E-A350-A4DD95245107}"/>
    <cellStyle name="Normal 21 3 5 3 5" xfId="36598" xr:uid="{2FB772D7-DF4C-4D6F-A675-693627F9CD75}"/>
    <cellStyle name="Normal 21 3 5 4" xfId="1837" xr:uid="{D347CA95-F393-4E69-82A8-123F04653387}"/>
    <cellStyle name="Normal 21 3 5 4 2" xfId="7527" xr:uid="{E0A19E58-FBC4-4E8D-85B8-D5904EC20EBB}"/>
    <cellStyle name="Normal 21 3 5 4 2 2" xfId="36599" xr:uid="{7CAD741E-D790-40BE-8174-BB872648311B}"/>
    <cellStyle name="Normal 21 3 5 4 2 2 2" xfId="36600" xr:uid="{EB6F7400-C998-4354-A1FC-3D87C87341BA}"/>
    <cellStyle name="Normal 21 3 5 4 2 3" xfId="36601" xr:uid="{70A14E3B-CB06-4286-BA7D-04F9B2F568CE}"/>
    <cellStyle name="Normal 21 3 5 4 3" xfId="36602" xr:uid="{3EB77061-230E-4939-B039-3E7BE5DF5427}"/>
    <cellStyle name="Normal 21 3 5 4 3 2" xfId="36603" xr:uid="{07CF4F8A-5DEE-4DA8-A706-5C069DF8E429}"/>
    <cellStyle name="Normal 21 3 5 4 4" xfId="36604" xr:uid="{0B061D3C-8B37-4EE9-91FA-81C5C5203A4A}"/>
    <cellStyle name="Normal 21 3 5 5" xfId="1844" xr:uid="{9FD6F23E-979E-450D-9611-D7EB9AA536A7}"/>
    <cellStyle name="Normal 21 3 5 5 2" xfId="36605" xr:uid="{28B87579-28AF-4A8F-8DEB-B47AC1913E12}"/>
    <cellStyle name="Normal 21 3 5 5 2 2" xfId="36606" xr:uid="{E16FA78C-A4C6-4BED-BFFB-D281424BF9D7}"/>
    <cellStyle name="Normal 21 3 5 5 3" xfId="36607" xr:uid="{330B2211-E44B-41C0-A5C9-213673798569}"/>
    <cellStyle name="Normal 21 3 5 6" xfId="36608" xr:uid="{700BC925-F7A0-43F9-800E-D0CBC132B02B}"/>
    <cellStyle name="Normal 21 3 5 6 2" xfId="36609" xr:uid="{AA18F67A-0AAC-48D8-8848-842AB8C1912E}"/>
    <cellStyle name="Normal 21 3 5 7" xfId="36610" xr:uid="{9955C59C-AF61-4141-BE50-8A238655AE81}"/>
    <cellStyle name="Normal 21 3 5 8" xfId="36612" xr:uid="{9AA78511-3BA0-4F12-A453-E03025E657C2}"/>
    <cellStyle name="Normal 21 3 6" xfId="4865" xr:uid="{69BCEAFA-6D27-42FB-AD7C-52C7DFA906B3}"/>
    <cellStyle name="Normal 21 3 6 2" xfId="564" xr:uid="{448E7FE4-904D-4C94-AD0D-209A3DE11597}"/>
    <cellStyle name="Normal 21 3 6 2 2" xfId="4871" xr:uid="{94EF8A32-1A71-4728-A5F3-97B0B01431D5}"/>
    <cellStyle name="Normal 21 3 6 2 2 2" xfId="7310" xr:uid="{5147210D-B9C0-49C3-B592-9B008B483D4B}"/>
    <cellStyle name="Normal 21 3 6 2 2 2 2" xfId="36613" xr:uid="{20880704-1C05-4519-8E44-2F5840E3FBBC}"/>
    <cellStyle name="Normal 21 3 6 2 2 2 2 2" xfId="36614" xr:uid="{6C7F1E3F-F96D-4566-991F-D5105E8C4550}"/>
    <cellStyle name="Normal 21 3 6 2 2 2 3" xfId="36615" xr:uid="{3DFAACF2-DAAC-4B9F-B51F-F5C06F568A09}"/>
    <cellStyle name="Normal 21 3 6 2 2 3" xfId="36616" xr:uid="{829E9FD3-6DA0-41F4-998E-5B37D125F345}"/>
    <cellStyle name="Normal 21 3 6 2 2 3 2" xfId="36617" xr:uid="{D62D8E1D-2E22-4B2D-91E9-A07C2631987F}"/>
    <cellStyle name="Normal 21 3 6 2 2 4" xfId="16663" xr:uid="{4CD060CA-E2F1-4B2E-8831-2968F36A1B82}"/>
    <cellStyle name="Normal 21 3 6 2 3" xfId="7529" xr:uid="{21FCCFDE-4C82-40F5-80E8-1CE550EB9E3A}"/>
    <cellStyle name="Normal 21 3 6 2 3 2" xfId="36618" xr:uid="{1F9CC842-E967-43E6-922C-E0C3B1DBDE40}"/>
    <cellStyle name="Normal 21 3 6 2 3 2 2" xfId="36619" xr:uid="{0A840CE4-7F0E-46C3-B7B1-058DD6BAC2B2}"/>
    <cellStyle name="Normal 21 3 6 2 3 3" xfId="36620" xr:uid="{C72C3F57-90DF-4F27-8896-BBFE59E95709}"/>
    <cellStyle name="Normal 21 3 6 2 4" xfId="36621" xr:uid="{6C7F6D4A-EAB0-48D8-A8DB-E0998731F062}"/>
    <cellStyle name="Normal 21 3 6 2 4 2" xfId="36622" xr:uid="{F183D85B-F888-405A-AC5B-C64B98B223BE}"/>
    <cellStyle name="Normal 21 3 6 2 5" xfId="36623" xr:uid="{0B20B627-C053-4C42-B57B-1752E5DFE85F}"/>
    <cellStyle name="Normal 21 3 6 3" xfId="582" xr:uid="{12B99566-A611-42CD-8940-0E2B1A34DD7F}"/>
    <cellStyle name="Normal 21 3 6 3 2" xfId="7531" xr:uid="{E91EB03B-C6B2-464F-90BA-41165A4D80F7}"/>
    <cellStyle name="Normal 21 3 6 3 2 2" xfId="36624" xr:uid="{7F0BFADB-A9C2-423A-BCDD-6ED2A56C1890}"/>
    <cellStyle name="Normal 21 3 6 3 2 2 2" xfId="36625" xr:uid="{F899905E-EDDF-4A77-8D9C-0B453151849D}"/>
    <cellStyle name="Normal 21 3 6 3 2 3" xfId="16909" xr:uid="{E61387C9-D422-4202-8EE1-D0050C61746F}"/>
    <cellStyle name="Normal 21 3 6 3 3" xfId="36626" xr:uid="{54F376A3-6EFA-4A01-8C6C-00407B774C30}"/>
    <cellStyle name="Normal 21 3 6 3 3 2" xfId="36627" xr:uid="{634B502E-0F85-4C51-8AD4-3C156D754D32}"/>
    <cellStyle name="Normal 21 3 6 3 4" xfId="36628" xr:uid="{9C9931A3-B476-4501-A716-9419BA1398E5}"/>
    <cellStyle name="Normal 21 3 6 4" xfId="594" xr:uid="{2926BC19-14EE-4CDB-BF20-6B0C7348355B}"/>
    <cellStyle name="Normal 21 3 6 4 2" xfId="36629" xr:uid="{D12CD589-7592-452C-AEA0-8D28BC5C8EFB}"/>
    <cellStyle name="Normal 21 3 6 4 2 2" xfId="36630" xr:uid="{A5C98A78-A7B6-44A8-86D9-9BE6D767660C}"/>
    <cellStyle name="Normal 21 3 6 4 3" xfId="36631" xr:uid="{5B149A4C-91DA-43D6-BF4B-D0296D4C0DAF}"/>
    <cellStyle name="Normal 21 3 6 5" xfId="36632" xr:uid="{F5F06B79-3966-4800-90FC-FA575BEBAEB9}"/>
    <cellStyle name="Normal 21 3 6 5 2" xfId="36633" xr:uid="{6D75FAC3-44F8-4A4B-83A9-008C3B6A0AA4}"/>
    <cellStyle name="Normal 21 3 6 6" xfId="36634" xr:uid="{00653B51-0F41-4927-9755-68DBA29618AD}"/>
    <cellStyle name="Normal 21 3 6 7" xfId="36635" xr:uid="{4E263C9E-D10F-4D6A-826F-C98F0F7B4DD6}"/>
    <cellStyle name="Normal 21 3 7" xfId="4876" xr:uid="{8E1D06E4-69B6-4C3F-87CE-C5DB30941E08}"/>
    <cellStyle name="Normal 21 3 7 2" xfId="4883" xr:uid="{C0963CA3-CAEE-4277-B256-ED0571A243E4}"/>
    <cellStyle name="Normal 21 3 7 2 2" xfId="7533" xr:uid="{3B364019-08EA-445A-86C8-8B65610DC1EC}"/>
    <cellStyle name="Normal 21 3 7 2 2 2" xfId="7891" xr:uid="{31269E0C-2B8B-442B-94AA-0EE24F1B4E5B}"/>
    <cellStyle name="Normal 21 3 7 2 2 2 2" xfId="7895" xr:uid="{DF20133B-6792-4715-B26D-C8D29A81BADD}"/>
    <cellStyle name="Normal 21 3 7 2 2 3" xfId="6919" xr:uid="{69FCDBB9-0796-4FF0-86BC-F44BC6CFD053}"/>
    <cellStyle name="Normal 21 3 7 2 3" xfId="36636" xr:uid="{F27E0412-AB1C-46CA-A50E-283F3F648527}"/>
    <cellStyle name="Normal 21 3 7 2 3 2" xfId="7918" xr:uid="{120AB352-5175-48DA-8630-CF54BB5A475B}"/>
    <cellStyle name="Normal 21 3 7 2 4" xfId="36637" xr:uid="{221DD8FA-7530-4FBC-BAE4-F793E4743173}"/>
    <cellStyle name="Normal 21 3 7 3" xfId="7535" xr:uid="{AB9B80D4-3C71-4CA2-AAA1-D4CE2FA883DE}"/>
    <cellStyle name="Normal 21 3 7 3 2" xfId="1669" xr:uid="{5F4A9D2C-92CA-4687-AE04-33BE9F7BBA14}"/>
    <cellStyle name="Normal 21 3 7 3 2 2" xfId="8168" xr:uid="{FCA92226-9C00-4D02-A7C0-94145615C580}"/>
    <cellStyle name="Normal 21 3 7 3 3" xfId="1671" xr:uid="{ABCF7BF0-E18F-406C-92B2-3EE9C9BD6F64}"/>
    <cellStyle name="Normal 21 3 7 4" xfId="36638" xr:uid="{43B36E31-B1A1-46FF-8E37-B86849B4CCE4}"/>
    <cellStyle name="Normal 21 3 7 4 2" xfId="377" xr:uid="{8ECCC397-9F01-42EE-98B8-4C9C3F091A5C}"/>
    <cellStyle name="Normal 21 3 7 5" xfId="36639" xr:uid="{E24C273F-1179-4C38-A829-AA50628F9C52}"/>
    <cellStyle name="Normal 21 3 8" xfId="4888" xr:uid="{DC0F2747-65D0-47A8-8AEF-CA11B048650C}"/>
    <cellStyle name="Normal 21 3 8 2" xfId="7537" xr:uid="{9D90255A-B73A-4A0C-A491-EEDB4D73A8BE}"/>
    <cellStyle name="Normal 21 3 8 2 2" xfId="36640" xr:uid="{41487761-E9B8-42B7-8862-CB59CC27FD55}"/>
    <cellStyle name="Normal 21 3 8 2 2 2" xfId="8896" xr:uid="{1A935770-DC05-4FD6-AC6F-E1DBD929882C}"/>
    <cellStyle name="Normal 21 3 8 2 3" xfId="36641" xr:uid="{71644EB0-0D44-44AD-8153-3B9DFD9E2910}"/>
    <cellStyle name="Normal 21 3 8 3" xfId="36642" xr:uid="{258DF215-AA78-4A35-9AEB-38615450D483}"/>
    <cellStyle name="Normal 21 3 8 3 2" xfId="36643" xr:uid="{0D636D8D-0F1E-48DA-BCD7-108D827BFBE2}"/>
    <cellStyle name="Normal 21 3 8 4" xfId="36644" xr:uid="{BF914923-E5C0-4F09-90A3-1DDAD752F3F7}"/>
    <cellStyle name="Normal 21 3 9" xfId="7540" xr:uid="{8173196D-7F86-416D-8F10-94FC89023625}"/>
    <cellStyle name="Normal 21 3 9 2" xfId="36645" xr:uid="{107EBA32-1E83-4A00-AB06-6770B8B14C74}"/>
    <cellStyle name="Normal 21 3 9 2 2" xfId="36646" xr:uid="{8D700143-EF78-4D3F-85FE-F61ABE8A1EB5}"/>
    <cellStyle name="Normal 21 3 9 3" xfId="36647" xr:uid="{753CCE1C-3BA3-4BBF-AA4F-D69E83C5A371}"/>
    <cellStyle name="Normal 21 4" xfId="32883" xr:uid="{5E9D71FF-EB76-4DF4-BDE8-4B4781D8FEB3}"/>
    <cellStyle name="Normal 21 4 10" xfId="36648" xr:uid="{F4A71EFF-1B5E-4A56-9543-6224C1999F96}"/>
    <cellStyle name="Normal 21 4 11" xfId="36649" xr:uid="{147BD684-17BE-4AE8-AF60-62922FC2BFF7}"/>
    <cellStyle name="Normal 21 4 12" xfId="36650" xr:uid="{734F25F2-5A2D-4DEB-8F13-AE171E1F6663}"/>
    <cellStyle name="Normal 21 4 2" xfId="32885" xr:uid="{B2724291-D537-47B8-83F7-C9F004D213A7}"/>
    <cellStyle name="Normal 21 4 2 10" xfId="36651" xr:uid="{8A039FE2-C848-4EB7-99AA-53C22707FFAE}"/>
    <cellStyle name="Normal 21 4 2 2" xfId="36652" xr:uid="{5CBEF4C1-93AB-480F-ACE2-96FE5F674E82}"/>
    <cellStyle name="Normal 21 4 2 2 2" xfId="36653" xr:uid="{488D51D0-2533-475A-B924-45327CF644AD}"/>
    <cellStyle name="Normal 21 4 2 2 2 2" xfId="36654" xr:uid="{9999A851-378C-48F1-BB27-70CC55A472FD}"/>
    <cellStyle name="Normal 21 4 2 2 2 2 2" xfId="36655" xr:uid="{C8515648-6783-4027-9099-ADC82071DE92}"/>
    <cellStyle name="Normal 21 4 2 2 2 2 2 2" xfId="36656" xr:uid="{22C3734E-E47F-49E4-963A-5F2D0F3EC1AA}"/>
    <cellStyle name="Normal 21 4 2 2 2 2 2 2 2" xfId="36657" xr:uid="{68638841-E1C7-430E-AD35-7E0360CFADB0}"/>
    <cellStyle name="Normal 21 4 2 2 2 2 2 2 2 2" xfId="36658" xr:uid="{D129D180-CD65-412B-9347-52DEB1340A94}"/>
    <cellStyle name="Normal 21 4 2 2 2 2 2 2 2 2 2" xfId="36659" xr:uid="{889317FB-BDF7-4DA6-9ED7-833BD4EB1286}"/>
    <cellStyle name="Normal 21 4 2 2 2 2 2 2 2 3" xfId="36660" xr:uid="{07B9530F-7FB6-4E06-8F80-F6E913F92410}"/>
    <cellStyle name="Normal 21 4 2 2 2 2 2 2 3" xfId="36661" xr:uid="{9F8D72EC-9952-4E4C-99D2-FEADE872BFE3}"/>
    <cellStyle name="Normal 21 4 2 2 2 2 2 2 3 2" xfId="36662" xr:uid="{3CEC6170-6C3F-414E-9A43-8AEC7E182A18}"/>
    <cellStyle name="Normal 21 4 2 2 2 2 2 2 4" xfId="14515" xr:uid="{E37BFD7C-3169-48A0-875E-DC92F4C88CBB}"/>
    <cellStyle name="Normal 21 4 2 2 2 2 2 3" xfId="36663" xr:uid="{7ACDCDDB-C4C6-495A-9A3D-5FB83D90357A}"/>
    <cellStyle name="Normal 21 4 2 2 2 2 2 3 2" xfId="36664" xr:uid="{49CE6FD7-C927-452C-B625-72FCA42B5056}"/>
    <cellStyle name="Normal 21 4 2 2 2 2 2 3 2 2" xfId="36665" xr:uid="{9FE8968F-86A8-4FAC-881E-AD006C46580E}"/>
    <cellStyle name="Normal 21 4 2 2 2 2 2 3 3" xfId="36666" xr:uid="{C061F368-A4EA-48AC-B0CE-D369AF548DFD}"/>
    <cellStyle name="Normal 21 4 2 2 2 2 2 4" xfId="36667" xr:uid="{A1C647F9-CB8B-4B44-A869-CAC9A4A85D26}"/>
    <cellStyle name="Normal 21 4 2 2 2 2 2 4 2" xfId="36668" xr:uid="{B0B0C170-0487-41C4-BCCC-86A25B542AFA}"/>
    <cellStyle name="Normal 21 4 2 2 2 2 2 5" xfId="36669" xr:uid="{A46A390D-DCAF-4756-9087-E4B24D8BFCCD}"/>
    <cellStyle name="Normal 21 4 2 2 2 2 3" xfId="36670" xr:uid="{94086A7F-2377-417E-B93B-B328BAA2E9D8}"/>
    <cellStyle name="Normal 21 4 2 2 2 2 3 2" xfId="36671" xr:uid="{688883FB-67AA-4F3F-B34A-D23E30A5DE72}"/>
    <cellStyle name="Normal 21 4 2 2 2 2 3 2 2" xfId="36672" xr:uid="{5018F368-E281-45E0-B329-518DDD8E3A04}"/>
    <cellStyle name="Normal 21 4 2 2 2 2 3 2 2 2" xfId="36673" xr:uid="{3427670A-E81D-4F55-8149-8622AE4E3593}"/>
    <cellStyle name="Normal 21 4 2 2 2 2 3 2 3" xfId="36674" xr:uid="{B0C3D0A6-2AA8-4012-86E9-666341649695}"/>
    <cellStyle name="Normal 21 4 2 2 2 2 3 3" xfId="36675" xr:uid="{9BC2A6BD-3CBE-44B0-AD93-6B27677AEE84}"/>
    <cellStyle name="Normal 21 4 2 2 2 2 3 3 2" xfId="36676" xr:uid="{7CC7D17C-C909-46A5-9D5E-BC90CA7886EC}"/>
    <cellStyle name="Normal 21 4 2 2 2 2 3 4" xfId="36677" xr:uid="{A1B5CF57-436D-468E-AE88-54CFF9FAC6F0}"/>
    <cellStyle name="Normal 21 4 2 2 2 2 4" xfId="36678" xr:uid="{73456299-8F2E-4F59-BE97-314459C61534}"/>
    <cellStyle name="Normal 21 4 2 2 2 2 4 2" xfId="36679" xr:uid="{DFA3B48C-8348-404F-8EA3-04A53ED63DD4}"/>
    <cellStyle name="Normal 21 4 2 2 2 2 4 2 2" xfId="36680" xr:uid="{B8356704-CD88-4F37-89E6-289F5CA7203E}"/>
    <cellStyle name="Normal 21 4 2 2 2 2 4 3" xfId="36681" xr:uid="{A86F3600-2256-4DD1-8EEB-59C6C0E3BE5A}"/>
    <cellStyle name="Normal 21 4 2 2 2 2 5" xfId="36682" xr:uid="{D55DE371-C77E-497A-B5F0-7BE84642E4C7}"/>
    <cellStyle name="Normal 21 4 2 2 2 2 5 2" xfId="12935" xr:uid="{2957DEBF-F47F-4296-AA4F-210823F73041}"/>
    <cellStyle name="Normal 21 4 2 2 2 2 6" xfId="36683" xr:uid="{20ACF25D-45E8-4430-8005-3804598E99E0}"/>
    <cellStyle name="Normal 21 4 2 2 2 2 7" xfId="36684" xr:uid="{FBA5ED2D-EA29-4E6F-8735-2FA399020AF6}"/>
    <cellStyle name="Normal 21 4 2 2 2 3" xfId="36685" xr:uid="{F10CF5B4-E775-4180-9AC2-70158DDE2918}"/>
    <cellStyle name="Normal 21 4 2 2 2 3 2" xfId="36686" xr:uid="{52650C1E-67B5-4F73-87B3-AEAA4F051BDB}"/>
    <cellStyle name="Normal 21 4 2 2 2 3 2 2" xfId="36687" xr:uid="{49C03F80-6AB8-43F2-A817-6A3B62DC35EE}"/>
    <cellStyle name="Normal 21 4 2 2 2 3 2 2 2" xfId="36688" xr:uid="{684C6888-F6BF-44CF-B7EA-5E0CE9AB7142}"/>
    <cellStyle name="Normal 21 4 2 2 2 3 2 2 2 2" xfId="36689" xr:uid="{381083F6-7B66-4307-9F58-469BF6D84FD4}"/>
    <cellStyle name="Normal 21 4 2 2 2 3 2 2 3" xfId="36690" xr:uid="{1F35EAAC-7540-423F-AC02-46A62660EF91}"/>
    <cellStyle name="Normal 21 4 2 2 2 3 2 3" xfId="36691" xr:uid="{477F632A-59C7-46A9-91BF-FF2FCDA84914}"/>
    <cellStyle name="Normal 21 4 2 2 2 3 2 3 2" xfId="36692" xr:uid="{6936D12D-6271-4083-9833-35DC84D1E557}"/>
    <cellStyle name="Normal 21 4 2 2 2 3 2 4" xfId="36693" xr:uid="{4A485E57-BA6C-4164-A10F-D3A7AD741100}"/>
    <cellStyle name="Normal 21 4 2 2 2 3 3" xfId="36694" xr:uid="{26E0F83D-0C84-41C2-BF81-C68A2E359DED}"/>
    <cellStyle name="Normal 21 4 2 2 2 3 3 2" xfId="36695" xr:uid="{033C93A1-9809-4C9E-A2F1-9BACF8786422}"/>
    <cellStyle name="Normal 21 4 2 2 2 3 3 2 2" xfId="36696" xr:uid="{5844B5F0-DA85-4069-870B-4C55F626F26C}"/>
    <cellStyle name="Normal 21 4 2 2 2 3 3 3" xfId="36697" xr:uid="{0A2BEDD8-9FFA-462B-9E78-1DF052481719}"/>
    <cellStyle name="Normal 21 4 2 2 2 3 4" xfId="36698" xr:uid="{0C9620A0-3B22-47C8-A587-A1A02BA2C973}"/>
    <cellStyle name="Normal 21 4 2 2 2 3 4 2" xfId="36699" xr:uid="{80D88921-8E0B-4237-B9E0-A17FAFF06B45}"/>
    <cellStyle name="Normal 21 4 2 2 2 3 5" xfId="36700" xr:uid="{28AC14DC-A071-47DD-A588-D6391221A277}"/>
    <cellStyle name="Normal 21 4 2 2 2 4" xfId="36701" xr:uid="{F20854F4-12D6-4664-8C00-00260DFD8D9C}"/>
    <cellStyle name="Normal 21 4 2 2 2 4 2" xfId="36702" xr:uid="{D1A2B234-9B95-4D84-85EA-4BE1A11AE154}"/>
    <cellStyle name="Normal 21 4 2 2 2 4 2 2" xfId="36703" xr:uid="{85C4291D-4C82-4035-BD1B-6951090FA5C3}"/>
    <cellStyle name="Normal 21 4 2 2 2 4 2 2 2" xfId="36704" xr:uid="{01DCAF01-E468-460B-9CA3-4068E347478C}"/>
    <cellStyle name="Normal 21 4 2 2 2 4 2 3" xfId="36705" xr:uid="{1501A9D5-1586-44CE-963C-849FDAF015BE}"/>
    <cellStyle name="Normal 21 4 2 2 2 4 3" xfId="36706" xr:uid="{500D6466-D02B-428F-802A-6C57F8712DD8}"/>
    <cellStyle name="Normal 21 4 2 2 2 4 3 2" xfId="36707" xr:uid="{2CF4C6B7-5890-4F9E-B5E9-3E53059446D8}"/>
    <cellStyle name="Normal 21 4 2 2 2 4 4" xfId="36708" xr:uid="{ECCDBDBC-AED7-42F1-9734-AE41E7CB7B2E}"/>
    <cellStyle name="Normal 21 4 2 2 2 5" xfId="36709" xr:uid="{C6F0DF39-700A-45DF-BED6-CC680944BEF0}"/>
    <cellStyle name="Normal 21 4 2 2 2 5 2" xfId="36710" xr:uid="{11EA8A39-5AFB-4E92-A980-84CB33A9FE46}"/>
    <cellStyle name="Normal 21 4 2 2 2 5 2 2" xfId="36711" xr:uid="{0A7D702B-A912-4345-AB48-0F60B4E51D86}"/>
    <cellStyle name="Normal 21 4 2 2 2 5 3" xfId="36712" xr:uid="{F0CDD3D5-A715-46C4-BD32-E929E43452ED}"/>
    <cellStyle name="Normal 21 4 2 2 2 6" xfId="36713" xr:uid="{BA3479E1-C93B-464B-9127-23325F69D323}"/>
    <cellStyle name="Normal 21 4 2 2 2 6 2" xfId="36714" xr:uid="{D6C3CAD7-2645-4BF8-96CC-5C3C464C3538}"/>
    <cellStyle name="Normal 21 4 2 2 2 7" xfId="36715" xr:uid="{20F5F0BA-D80F-404E-AAB4-5C5207DD300A}"/>
    <cellStyle name="Normal 21 4 2 2 2 8" xfId="36716" xr:uid="{940459E2-570F-4260-A6FA-8BCA61CA3561}"/>
    <cellStyle name="Normal 21 4 2 2 3" xfId="36717" xr:uid="{6C6791C8-0413-43C2-9FEC-B677B2F21A68}"/>
    <cellStyle name="Normal 21 4 2 2 3 2" xfId="36718" xr:uid="{EB22F1B2-FC1F-4952-ABCB-891F18130C7D}"/>
    <cellStyle name="Normal 21 4 2 2 3 2 2" xfId="36719" xr:uid="{CEA205C3-AB74-4659-872C-D6F452E159D4}"/>
    <cellStyle name="Normal 21 4 2 2 3 2 2 2" xfId="36720" xr:uid="{527AA87B-B03A-4280-A260-250BF7BDA29E}"/>
    <cellStyle name="Normal 21 4 2 2 3 2 2 2 2" xfId="36721" xr:uid="{7CB6983A-C825-4783-AEC5-8C9274D39892}"/>
    <cellStyle name="Normal 21 4 2 2 3 2 2 2 2 2" xfId="36722" xr:uid="{9F55AE51-2CDE-4B9C-93D4-C0EAA33B4618}"/>
    <cellStyle name="Normal 21 4 2 2 3 2 2 2 3" xfId="36723" xr:uid="{34C82CBE-6E6A-4F5D-84FE-7C660E5BE08F}"/>
    <cellStyle name="Normal 21 4 2 2 3 2 2 3" xfId="36724" xr:uid="{EFAF3E7C-2C1D-4429-B038-EA82C4892167}"/>
    <cellStyle name="Normal 21 4 2 2 3 2 2 3 2" xfId="36725" xr:uid="{33CDEEFB-6EDD-4B0F-A76B-1E0E2F5D557C}"/>
    <cellStyle name="Normal 21 4 2 2 3 2 2 4" xfId="36726" xr:uid="{286903CD-D2B0-4794-8A18-805FE3E6E131}"/>
    <cellStyle name="Normal 21 4 2 2 3 2 3" xfId="36727" xr:uid="{76D201F9-C5A4-4099-9EB8-FD6DE2D5F472}"/>
    <cellStyle name="Normal 21 4 2 2 3 2 3 2" xfId="36728" xr:uid="{A4692D21-5145-4A11-9964-2EF5E41C78AF}"/>
    <cellStyle name="Normal 21 4 2 2 3 2 3 2 2" xfId="36729" xr:uid="{833520DD-8455-49D7-8EC0-4CA783D2864B}"/>
    <cellStyle name="Normal 21 4 2 2 3 2 3 3" xfId="36730" xr:uid="{81BC8A9D-34BA-483C-89BB-5FF1D2364AFF}"/>
    <cellStyle name="Normal 21 4 2 2 3 2 4" xfId="36731" xr:uid="{AB27AD55-2974-4656-8AA1-ABAF7DC6CCF8}"/>
    <cellStyle name="Normal 21 4 2 2 3 2 4 2" xfId="36732" xr:uid="{9A12BBC6-E9CF-4E01-B738-77D2F7E937F7}"/>
    <cellStyle name="Normal 21 4 2 2 3 2 5" xfId="36733" xr:uid="{D8F765E5-BD52-4255-A8E7-E29EE3933D34}"/>
    <cellStyle name="Normal 21 4 2 2 3 3" xfId="36734" xr:uid="{E15B6BFE-46C2-4353-B3DD-9F689F977389}"/>
    <cellStyle name="Normal 21 4 2 2 3 3 2" xfId="36735" xr:uid="{376BB86B-1342-467A-AB56-E0EA41DA581C}"/>
    <cellStyle name="Normal 21 4 2 2 3 3 2 2" xfId="36736" xr:uid="{49BE187C-9CA3-4A16-A223-A25F1D943C31}"/>
    <cellStyle name="Normal 21 4 2 2 3 3 2 2 2" xfId="36737" xr:uid="{79D3571C-4EE6-4810-88BC-C64ADE04370A}"/>
    <cellStyle name="Normal 21 4 2 2 3 3 2 3" xfId="36738" xr:uid="{4B5CB3D2-3551-44F9-8605-8C668A0729AE}"/>
    <cellStyle name="Normal 21 4 2 2 3 3 3" xfId="36739" xr:uid="{AC456940-8B5B-4448-9EA3-76F64120ADD6}"/>
    <cellStyle name="Normal 21 4 2 2 3 3 3 2" xfId="36740" xr:uid="{FCA77CBF-30DF-47EA-9A41-A447024E7BD5}"/>
    <cellStyle name="Normal 21 4 2 2 3 3 4" xfId="36741" xr:uid="{1B51538B-AA59-46C2-A068-6608A3E26ABA}"/>
    <cellStyle name="Normal 21 4 2 2 3 4" xfId="36742" xr:uid="{DB695B4A-5C07-4979-8BF3-10041A7CAEA1}"/>
    <cellStyle name="Normal 21 4 2 2 3 4 2" xfId="36743" xr:uid="{FB873FB8-9A2C-4D3A-B796-EA544393FBA1}"/>
    <cellStyle name="Normal 21 4 2 2 3 4 2 2" xfId="34253" xr:uid="{2112E938-39C3-4A2A-92EA-6BBB1A839C33}"/>
    <cellStyle name="Normal 21 4 2 2 3 4 3" xfId="36744" xr:uid="{2B02B76C-C62A-4E83-90F6-D60BCB211BA9}"/>
    <cellStyle name="Normal 21 4 2 2 3 5" xfId="36745" xr:uid="{917E7D25-2F2A-47F9-9D9F-23994699C4D6}"/>
    <cellStyle name="Normal 21 4 2 2 3 5 2" xfId="36746" xr:uid="{2FD29C69-8556-4842-AA08-DA7495688C08}"/>
    <cellStyle name="Normal 21 4 2 2 3 6" xfId="36747" xr:uid="{A1CA67CC-D7BC-4379-A72E-A54447B73507}"/>
    <cellStyle name="Normal 21 4 2 2 3 7" xfId="36748" xr:uid="{F66AC0B2-13C3-47CC-95E3-085F7432A9D7}"/>
    <cellStyle name="Normal 21 4 2 2 4" xfId="36749" xr:uid="{D2FBE495-5FBA-43FE-A9AD-B77B80347E88}"/>
    <cellStyle name="Normal 21 4 2 2 4 2" xfId="36750" xr:uid="{24AB95B3-691B-443D-A36E-1BA5E2545192}"/>
    <cellStyle name="Normal 21 4 2 2 4 2 2" xfId="36751" xr:uid="{561BFF9A-6411-4251-B526-C65091604CBC}"/>
    <cellStyle name="Normal 21 4 2 2 4 2 2 2" xfId="36752" xr:uid="{B4C70CBA-171A-458B-B848-0DBDF47953FC}"/>
    <cellStyle name="Normal 21 4 2 2 4 2 2 2 2" xfId="36753" xr:uid="{F0B3BCA2-B8C1-47B4-B174-2EED0F82DAE3}"/>
    <cellStyle name="Normal 21 4 2 2 4 2 2 3" xfId="36754" xr:uid="{32D57262-7EA9-467B-B3F1-97879300B8EE}"/>
    <cellStyle name="Normal 21 4 2 2 4 2 3" xfId="36755" xr:uid="{CAF4947D-73FD-4C93-B724-65C751F801D6}"/>
    <cellStyle name="Normal 21 4 2 2 4 2 3 2" xfId="36756" xr:uid="{66EF99EF-491F-4FEA-AA36-280197A7F5A8}"/>
    <cellStyle name="Normal 21 4 2 2 4 2 4" xfId="36758" xr:uid="{6DCDCA68-C73E-459F-951C-2251BE8AD5E0}"/>
    <cellStyle name="Normal 21 4 2 2 4 3" xfId="36759" xr:uid="{757F4ED5-2C51-4655-890C-4FDA54EBEE01}"/>
    <cellStyle name="Normal 21 4 2 2 4 3 2" xfId="36760" xr:uid="{77E7F96B-DAE2-4048-992B-2FEC34295E8A}"/>
    <cellStyle name="Normal 21 4 2 2 4 3 2 2" xfId="36761" xr:uid="{ADC41466-3B30-4634-A003-757988E62A04}"/>
    <cellStyle name="Normal 21 4 2 2 4 3 3" xfId="36762" xr:uid="{725E90BD-71F5-4388-9B52-61387EE77634}"/>
    <cellStyle name="Normal 21 4 2 2 4 4" xfId="36763" xr:uid="{FE2627AF-465E-4F87-B42A-29FA7A91930D}"/>
    <cellStyle name="Normal 21 4 2 2 4 4 2" xfId="36764" xr:uid="{58F61B4E-019E-4FCA-A2A5-7D6A5A29065E}"/>
    <cellStyle name="Normal 21 4 2 2 4 5" xfId="36765" xr:uid="{B5725295-256C-4320-A78D-F87C6E60FBB2}"/>
    <cellStyle name="Normal 21 4 2 2 5" xfId="36766" xr:uid="{36FA8511-2898-4030-924F-6A99F82C2E78}"/>
    <cellStyle name="Normal 21 4 2 2 5 2" xfId="36767" xr:uid="{30B6A7C6-EFA4-45BD-A365-458F0216FA79}"/>
    <cellStyle name="Normal 21 4 2 2 5 2 2" xfId="36768" xr:uid="{A438DF3F-333D-4B0E-A77A-AB8AC26C2138}"/>
    <cellStyle name="Normal 21 4 2 2 5 2 2 2" xfId="36769" xr:uid="{3721A3A5-3ECC-4CD6-A8D0-5521C83E6FA0}"/>
    <cellStyle name="Normal 21 4 2 2 5 2 3" xfId="36770" xr:uid="{F2519660-B828-4EEC-8543-9062075FFF6D}"/>
    <cellStyle name="Normal 21 4 2 2 5 3" xfId="36771" xr:uid="{186D194B-6D62-4463-9799-5C8B86A6FAD2}"/>
    <cellStyle name="Normal 21 4 2 2 5 3 2" xfId="36772" xr:uid="{A45ABF51-E778-4E36-8E6E-C618961CB169}"/>
    <cellStyle name="Normal 21 4 2 2 5 4" xfId="36773" xr:uid="{794F96EA-61DF-419F-B521-ECD8DAF3424E}"/>
    <cellStyle name="Normal 21 4 2 2 6" xfId="36774" xr:uid="{62C0EF64-81E1-4136-A083-2C2EF80133FC}"/>
    <cellStyle name="Normal 21 4 2 2 6 2" xfId="36775" xr:uid="{03382C90-667C-4895-95A0-5FCBAA67809E}"/>
    <cellStyle name="Normal 21 4 2 2 6 2 2" xfId="36776" xr:uid="{7459CB88-F1CA-47A7-8C98-7B97C2437595}"/>
    <cellStyle name="Normal 21 4 2 2 6 3" xfId="36777" xr:uid="{70335E88-BC2E-4961-BC60-2572FC36B3F7}"/>
    <cellStyle name="Normal 21 4 2 2 7" xfId="36778" xr:uid="{DAEE3224-5ED3-4DAD-B8EC-04074563419C}"/>
    <cellStyle name="Normal 21 4 2 2 7 2" xfId="36779" xr:uid="{8A663A74-E453-4E7B-A0AD-2F02FA42A827}"/>
    <cellStyle name="Normal 21 4 2 2 8" xfId="36780" xr:uid="{6D12C491-6888-47A9-A599-E23EF72D0DA4}"/>
    <cellStyle name="Normal 21 4 2 2 9" xfId="36781" xr:uid="{EEFE4CC0-A382-4EF5-9B56-1E9580B9AD62}"/>
    <cellStyle name="Normal 21 4 2 3" xfId="36782" xr:uid="{43E053F1-3C5F-4D5B-B4CB-C38454239880}"/>
    <cellStyle name="Normal 21 4 2 3 2" xfId="36783" xr:uid="{A8D50504-821C-4597-B72D-2ABBE89724CB}"/>
    <cellStyle name="Normal 21 4 2 3 2 2" xfId="36784" xr:uid="{888E5D9B-B326-40A8-AFEC-36994528244F}"/>
    <cellStyle name="Normal 21 4 2 3 2 2 2" xfId="36785" xr:uid="{A618CB7A-32E5-416E-9176-9384AA61DEA7}"/>
    <cellStyle name="Normal 21 4 2 3 2 2 2 2" xfId="36786" xr:uid="{D377FD7D-33CE-47A4-BB15-65177B226472}"/>
    <cellStyle name="Normal 21 4 2 3 2 2 2 2 2" xfId="36787" xr:uid="{31573D89-EDED-4113-9709-0EE6028E7DCB}"/>
    <cellStyle name="Normal 21 4 2 3 2 2 2 2 2 2" xfId="36788" xr:uid="{E03ED074-F286-4A97-B769-4B1AE6D6BFD3}"/>
    <cellStyle name="Normal 21 4 2 3 2 2 2 2 3" xfId="36789" xr:uid="{628F83A3-3305-4E44-BF84-D3AEF7C6FC30}"/>
    <cellStyle name="Normal 21 4 2 3 2 2 2 3" xfId="36790" xr:uid="{69A5B9A0-EB41-4A79-9F5E-CEB1DC0972D7}"/>
    <cellStyle name="Normal 21 4 2 3 2 2 2 3 2" xfId="36791" xr:uid="{14D54356-3FAF-4BCC-A051-0A31BE7F21E2}"/>
    <cellStyle name="Normal 21 4 2 3 2 2 2 4" xfId="36792" xr:uid="{314516C8-3E37-49A3-8DBF-0BF1AF8241DA}"/>
    <cellStyle name="Normal 21 4 2 3 2 2 3" xfId="36793" xr:uid="{2564231A-E647-4C5B-9551-CFCFE0676EE0}"/>
    <cellStyle name="Normal 21 4 2 3 2 2 3 2" xfId="36794" xr:uid="{7F88CE03-207B-426D-B583-74EF8A43D4C1}"/>
    <cellStyle name="Normal 21 4 2 3 2 2 3 2 2" xfId="36795" xr:uid="{8380B0FC-76F8-49F8-963B-5725507CFC03}"/>
    <cellStyle name="Normal 21 4 2 3 2 2 3 3" xfId="36796" xr:uid="{A91D3DAC-6F90-4C8F-B908-4C458F88F7F0}"/>
    <cellStyle name="Normal 21 4 2 3 2 2 4" xfId="36797" xr:uid="{6B993287-FF41-4D56-900A-63160900D52E}"/>
    <cellStyle name="Normal 21 4 2 3 2 2 4 2" xfId="36798" xr:uid="{29E8369E-771E-4706-8F20-4A4F757B1A78}"/>
    <cellStyle name="Normal 21 4 2 3 2 2 5" xfId="36799" xr:uid="{98B3A372-8E9E-404F-B5AB-8ECD7AE97DB4}"/>
    <cellStyle name="Normal 21 4 2 3 2 3" xfId="36800" xr:uid="{C225739D-0DB9-4544-8017-50C1F29CF7EF}"/>
    <cellStyle name="Normal 21 4 2 3 2 3 2" xfId="36801" xr:uid="{C7B6A2A7-0325-4AC8-B099-DAE1481685CB}"/>
    <cellStyle name="Normal 21 4 2 3 2 3 2 2" xfId="36802" xr:uid="{2A60DB36-4DBF-42A0-B700-B18821FC6D7E}"/>
    <cellStyle name="Normal 21 4 2 3 2 3 2 2 2" xfId="36803" xr:uid="{E1FE506A-73AC-4C2B-84F3-DBB2BD60E9DE}"/>
    <cellStyle name="Normal 21 4 2 3 2 3 2 3" xfId="36804" xr:uid="{A0F5E925-FC15-4E80-AADC-9DBC1815EAB5}"/>
    <cellStyle name="Normal 21 4 2 3 2 3 3" xfId="36805" xr:uid="{50BE3BDF-9D4D-4B05-A471-DCBD217133E6}"/>
    <cellStyle name="Normal 21 4 2 3 2 3 3 2" xfId="36806" xr:uid="{3C878D26-0E76-4C17-A3DC-293DFBD3EB3E}"/>
    <cellStyle name="Normal 21 4 2 3 2 3 4" xfId="36807" xr:uid="{B9F53295-E50D-4272-9D16-6728A4859691}"/>
    <cellStyle name="Normal 21 4 2 3 2 4" xfId="36808" xr:uid="{DE0A1886-B3CD-4B06-B66B-F88D47B58761}"/>
    <cellStyle name="Normal 21 4 2 3 2 4 2" xfId="36809" xr:uid="{95E9B756-890A-4232-94C8-264560E2C8E6}"/>
    <cellStyle name="Normal 21 4 2 3 2 4 2 2" xfId="36810" xr:uid="{7ED0B1D3-82F8-480E-8FE3-968B078DC6F6}"/>
    <cellStyle name="Normal 21 4 2 3 2 4 3" xfId="36811" xr:uid="{11513118-6141-4BDC-8216-6E7F2E35BA98}"/>
    <cellStyle name="Normal 21 4 2 3 2 5" xfId="36812" xr:uid="{0DA7FA4D-044C-44E6-B2C8-2EDD491BAA04}"/>
    <cellStyle name="Normal 21 4 2 3 2 5 2" xfId="36813" xr:uid="{A09D7FA4-3BC6-4CEE-BEE9-01095F70830F}"/>
    <cellStyle name="Normal 21 4 2 3 2 6" xfId="36814" xr:uid="{699B24DD-1524-4F8C-8601-338A7D8CECFE}"/>
    <cellStyle name="Normal 21 4 2 3 2 7" xfId="36815" xr:uid="{DAF20338-426C-4E9F-A8CE-CDF3A3D30447}"/>
    <cellStyle name="Normal 21 4 2 3 3" xfId="36816" xr:uid="{19ED08B9-52A3-4127-8A08-A16680B42A49}"/>
    <cellStyle name="Normal 21 4 2 3 3 2" xfId="36817" xr:uid="{A41050F8-FD0D-42F9-869C-292E35008B51}"/>
    <cellStyle name="Normal 21 4 2 3 3 2 2" xfId="36818" xr:uid="{AD9DE81A-30AF-4282-8BF3-C2EF28CF10BA}"/>
    <cellStyle name="Normal 21 4 2 3 3 2 2 2" xfId="36819" xr:uid="{E49C97E2-CDAF-48FB-BF24-3E46E00909A6}"/>
    <cellStyle name="Normal 21 4 2 3 3 2 2 2 2" xfId="36820" xr:uid="{B3C99D85-BCF2-42AE-87B9-C58A55AFD5E1}"/>
    <cellStyle name="Normal 21 4 2 3 3 2 2 3" xfId="36821" xr:uid="{01A46C30-4BAE-44F3-90A8-C198276BE465}"/>
    <cellStyle name="Normal 21 4 2 3 3 2 3" xfId="36822" xr:uid="{6E1098BE-18A1-40F9-8500-C9E99DC177D4}"/>
    <cellStyle name="Normal 21 4 2 3 3 2 3 2" xfId="36823" xr:uid="{26A6A7D3-9256-475A-824D-840F8760103D}"/>
    <cellStyle name="Normal 21 4 2 3 3 2 4" xfId="36824" xr:uid="{B0B5F034-D0AE-45FF-BF8F-942717DB89CD}"/>
    <cellStyle name="Normal 21 4 2 3 3 3" xfId="36825" xr:uid="{1492A4E7-E848-47FF-B714-959E2F46B249}"/>
    <cellStyle name="Normal 21 4 2 3 3 3 2" xfId="36826" xr:uid="{54463094-2911-4BB2-902E-DA594E3E525C}"/>
    <cellStyle name="Normal 21 4 2 3 3 3 2 2" xfId="36827" xr:uid="{0A8BFBED-62A4-476F-931C-F6B19C5429BE}"/>
    <cellStyle name="Normal 21 4 2 3 3 3 3" xfId="36828" xr:uid="{C40BC644-42AE-49FD-ADD1-371A0C14E309}"/>
    <cellStyle name="Normal 21 4 2 3 3 4" xfId="36829" xr:uid="{C4F7DC92-55E3-4E39-9464-447DEEC44B68}"/>
    <cellStyle name="Normal 21 4 2 3 3 4 2" xfId="36830" xr:uid="{36447B49-8341-4C4B-BBE5-FB7371F57506}"/>
    <cellStyle name="Normal 21 4 2 3 3 5" xfId="36831" xr:uid="{526819EA-18F0-43DC-8B6A-67AD947972D1}"/>
    <cellStyle name="Normal 21 4 2 3 4" xfId="36832" xr:uid="{1DDA1CAF-1B01-4D2C-9847-6C07B62705A0}"/>
    <cellStyle name="Normal 21 4 2 3 4 2" xfId="36833" xr:uid="{A6C59216-C1FE-41CE-8563-3D4176A0033D}"/>
    <cellStyle name="Normal 21 4 2 3 4 2 2" xfId="36834" xr:uid="{DB72B79D-DF24-437A-93EA-FAB18E60715B}"/>
    <cellStyle name="Normal 21 4 2 3 4 2 2 2" xfId="36835" xr:uid="{63407347-725D-416B-96BC-CDF52CCA3F90}"/>
    <cellStyle name="Normal 21 4 2 3 4 2 3" xfId="36836" xr:uid="{A5F9AB66-B31D-4FBC-BC6B-8226D959DB96}"/>
    <cellStyle name="Normal 21 4 2 3 4 3" xfId="36837" xr:uid="{49AA48CC-70D7-4050-80A5-9C50F9843945}"/>
    <cellStyle name="Normal 21 4 2 3 4 3 2" xfId="36838" xr:uid="{9653660D-963F-4256-9FEF-3DD4930F18A7}"/>
    <cellStyle name="Normal 21 4 2 3 4 4" xfId="36839" xr:uid="{86CB7C36-D1AA-463F-AD9A-AD26EBCE0BD6}"/>
    <cellStyle name="Normal 21 4 2 3 5" xfId="36840" xr:uid="{9038B005-A90A-4A6E-B404-84602873E2D3}"/>
    <cellStyle name="Normal 21 4 2 3 5 2" xfId="36841" xr:uid="{8A1023A6-5DD6-47F8-B437-1D9D4C6EFB38}"/>
    <cellStyle name="Normal 21 4 2 3 5 2 2" xfId="36842" xr:uid="{932122B7-6EA7-480F-973A-E33B4B9A2AB2}"/>
    <cellStyle name="Normal 21 4 2 3 5 3" xfId="36843" xr:uid="{8DA93482-629B-4784-82C3-B0793F3AA176}"/>
    <cellStyle name="Normal 21 4 2 3 6" xfId="36844" xr:uid="{FD657953-222F-4BCC-9751-B3E208C9E02C}"/>
    <cellStyle name="Normal 21 4 2 3 6 2" xfId="36846" xr:uid="{6352CB4F-4D49-4AC2-8129-6BBF25587F83}"/>
    <cellStyle name="Normal 21 4 2 3 7" xfId="36847" xr:uid="{11A994BD-5DB4-433F-82D2-45B1BDFBB208}"/>
    <cellStyle name="Normal 21 4 2 3 8" xfId="36848" xr:uid="{12F7DDB8-68E3-4FA9-8080-20DC0105391E}"/>
    <cellStyle name="Normal 21 4 2 4" xfId="36849" xr:uid="{94F5CB40-E87C-4116-B727-0C475867021B}"/>
    <cellStyle name="Normal 21 4 2 4 2" xfId="36850" xr:uid="{28B287C3-F479-4C6C-B8AC-A9414275D550}"/>
    <cellStyle name="Normal 21 4 2 4 2 2" xfId="36851" xr:uid="{848E530E-0159-4CCE-A91D-F341C7E05129}"/>
    <cellStyle name="Normal 21 4 2 4 2 2 2" xfId="36852" xr:uid="{24F7D9A0-EC1A-49B9-A316-07FB009E7FED}"/>
    <cellStyle name="Normal 21 4 2 4 2 2 2 2" xfId="36853" xr:uid="{C18F8342-E890-41A9-9CDF-8E152037433F}"/>
    <cellStyle name="Normal 21 4 2 4 2 2 2 2 2" xfId="36854" xr:uid="{1D5621F4-4262-4A5A-B21A-E8D415964D53}"/>
    <cellStyle name="Normal 21 4 2 4 2 2 2 3" xfId="36855" xr:uid="{112FD078-0E56-44AF-AA03-3D1D93EDB810}"/>
    <cellStyle name="Normal 21 4 2 4 2 2 3" xfId="36856" xr:uid="{AF4C5803-F56B-4B59-A4E1-1D2DEE78E19D}"/>
    <cellStyle name="Normal 21 4 2 4 2 2 3 2" xfId="36857" xr:uid="{0AB0D6D0-0920-459B-B39B-44F7952472F1}"/>
    <cellStyle name="Normal 21 4 2 4 2 2 4" xfId="36859" xr:uid="{64C6E231-EAF8-439D-8BDC-597323DF962A}"/>
    <cellStyle name="Normal 21 4 2 4 2 3" xfId="36860" xr:uid="{5F01B368-BBBA-47CB-8E53-A20AC4EDAB58}"/>
    <cellStyle name="Normal 21 4 2 4 2 3 2" xfId="36861" xr:uid="{7DD245CC-0B49-4D35-ACEE-41664DE92D62}"/>
    <cellStyle name="Normal 21 4 2 4 2 3 2 2" xfId="36862" xr:uid="{DBB3B4C8-4EA1-408F-A044-D11BE18DF0E3}"/>
    <cellStyle name="Normal 21 4 2 4 2 3 3" xfId="36863" xr:uid="{6AF83B5C-9594-4668-9F81-C5D432562D64}"/>
    <cellStyle name="Normal 21 4 2 4 2 4" xfId="36864" xr:uid="{A8E00083-3227-4292-AABA-9BB35B1AC46A}"/>
    <cellStyle name="Normal 21 4 2 4 2 4 2" xfId="36865" xr:uid="{4BD4048F-2C92-44A2-9580-41EE9ED0C265}"/>
    <cellStyle name="Normal 21 4 2 4 2 5" xfId="36866" xr:uid="{8F881DF2-BB73-4A91-A24D-DC59C778A3FA}"/>
    <cellStyle name="Normal 21 4 2 4 3" xfId="36867" xr:uid="{A23BFE29-97F7-4D26-B5CC-8E6820339CE7}"/>
    <cellStyle name="Normal 21 4 2 4 3 2" xfId="36868" xr:uid="{4BD3BAA9-AEA2-4AAB-BD72-598C39BFB69C}"/>
    <cellStyle name="Normal 21 4 2 4 3 2 2" xfId="36869" xr:uid="{4445A45A-F735-48CB-9D48-07C570CBDEC6}"/>
    <cellStyle name="Normal 21 4 2 4 3 2 2 2" xfId="36870" xr:uid="{4B8EFB66-563E-4328-9DA3-749678FA03FE}"/>
    <cellStyle name="Normal 21 4 2 4 3 2 3" xfId="36871" xr:uid="{D8A1B3A4-C446-4D21-BEF5-BCDF752A906A}"/>
    <cellStyle name="Normal 21 4 2 4 3 3" xfId="36872" xr:uid="{27061257-FF89-4DA9-B1E3-F0671EEE8719}"/>
    <cellStyle name="Normal 21 4 2 4 3 3 2" xfId="36873" xr:uid="{5A756AE8-B870-4312-9EBE-4B1602FBC283}"/>
    <cellStyle name="Normal 21 4 2 4 3 4" xfId="36874" xr:uid="{28BAE9C8-FACE-4D7E-8DE0-97903F6DE693}"/>
    <cellStyle name="Normal 21 4 2 4 4" xfId="36875" xr:uid="{C84D435B-0AEF-455E-9A64-4D750BE1D39E}"/>
    <cellStyle name="Normal 21 4 2 4 4 2" xfId="36876" xr:uid="{90B330DA-CF5C-4E46-B404-0DF27B6D8763}"/>
    <cellStyle name="Normal 21 4 2 4 4 2 2" xfId="36877" xr:uid="{F6C84C32-63A6-42F1-B248-1C5A753A9099}"/>
    <cellStyle name="Normal 21 4 2 4 4 3" xfId="36878" xr:uid="{F882DE0F-A223-46A9-9622-A02B30423A10}"/>
    <cellStyle name="Normal 21 4 2 4 5" xfId="36879" xr:uid="{7B04C4C8-7B70-4D7B-8075-E5A9F49173A6}"/>
    <cellStyle name="Normal 21 4 2 4 5 2" xfId="36880" xr:uid="{CB9FE057-3883-4CDF-AD0E-FD51FC987DE1}"/>
    <cellStyle name="Normal 21 4 2 4 6" xfId="36881" xr:uid="{0D564DA0-7193-493E-B4B7-4F2FEDA69201}"/>
    <cellStyle name="Normal 21 4 2 4 7" xfId="36882" xr:uid="{DED35BE0-AA5C-4057-88D7-DA93FDC1BD5A}"/>
    <cellStyle name="Normal 21 4 2 5" xfId="36883" xr:uid="{B14A212D-BB7A-4978-B6BB-C406F06ECD82}"/>
    <cellStyle name="Normal 21 4 2 5 2" xfId="36884" xr:uid="{F8DC310E-A3F6-4399-9EE2-02CA1ADDC0C3}"/>
    <cellStyle name="Normal 21 4 2 5 2 2" xfId="36885" xr:uid="{9C89CBDA-4EF1-430A-8DF9-7C56204CF0AC}"/>
    <cellStyle name="Normal 21 4 2 5 2 2 2" xfId="36886" xr:uid="{BF83A88F-42A4-43FC-8958-2FA70A8C8B42}"/>
    <cellStyle name="Normal 21 4 2 5 2 2 2 2" xfId="36887" xr:uid="{EBDEA895-AE9E-466F-842E-D4E43AB66820}"/>
    <cellStyle name="Normal 21 4 2 5 2 2 3" xfId="36888" xr:uid="{16C9498F-6368-4670-B7ED-59E8567058EC}"/>
    <cellStyle name="Normal 21 4 2 5 2 3" xfId="36889" xr:uid="{9F8FD4DF-F4D9-4561-A70B-85A1A2C7D6E3}"/>
    <cellStyle name="Normal 21 4 2 5 2 3 2" xfId="36890" xr:uid="{B481DA55-33B8-48AF-B96D-E2DF6E4AB458}"/>
    <cellStyle name="Normal 21 4 2 5 2 4" xfId="36891" xr:uid="{773D62FF-4F3F-412C-AD5D-926D67B50C11}"/>
    <cellStyle name="Normal 21 4 2 5 3" xfId="36892" xr:uid="{6B8151D5-186A-4DD7-ACE6-C85E0A5483BC}"/>
    <cellStyle name="Normal 21 4 2 5 3 2" xfId="36893" xr:uid="{64A44660-2C91-4870-9303-B42D9D67E395}"/>
    <cellStyle name="Normal 21 4 2 5 3 2 2" xfId="36894" xr:uid="{AA135683-C1D0-4634-AA4E-7DDA1D648A1D}"/>
    <cellStyle name="Normal 21 4 2 5 3 3" xfId="36895" xr:uid="{FB811052-00C1-43E7-B36E-0F7A951334C3}"/>
    <cellStyle name="Normal 21 4 2 5 4" xfId="36896" xr:uid="{BF0A8DDF-2373-4364-8840-6D6BD25641C0}"/>
    <cellStyle name="Normal 21 4 2 5 4 2" xfId="36897" xr:uid="{4791F13D-2D03-4DC4-AB3E-9C93D81376A9}"/>
    <cellStyle name="Normal 21 4 2 5 5" xfId="36898" xr:uid="{5FC1333B-CFC2-4F54-903D-0057CB30FC1A}"/>
    <cellStyle name="Normal 21 4 2 6" xfId="36899" xr:uid="{885D77B1-6585-4FBA-9C60-2866BCCF34DF}"/>
    <cellStyle name="Normal 21 4 2 6 2" xfId="36900" xr:uid="{4D1CABA1-914F-4FBD-A58C-22C62D777C25}"/>
    <cellStyle name="Normal 21 4 2 6 2 2" xfId="36901" xr:uid="{AF15A6F6-1995-4020-8FD2-09F654652094}"/>
    <cellStyle name="Normal 21 4 2 6 2 2 2" xfId="36902" xr:uid="{1E4078EF-C3DD-46BD-ADF7-F95774E7D5D9}"/>
    <cellStyle name="Normal 21 4 2 6 2 3" xfId="36903" xr:uid="{AB42D34A-4108-4A09-A116-623B352EFF66}"/>
    <cellStyle name="Normal 21 4 2 6 3" xfId="36904" xr:uid="{0A453AF9-D01C-47B7-B0E3-2683B4B9ADD2}"/>
    <cellStyle name="Normal 21 4 2 6 3 2" xfId="36905" xr:uid="{8AEA82EA-931D-49E3-A4A1-E16122E2C8B1}"/>
    <cellStyle name="Normal 21 4 2 6 4" xfId="36906" xr:uid="{6D2A91D3-BD0B-40AB-B550-0142BF6897B1}"/>
    <cellStyle name="Normal 21 4 2 7" xfId="36907" xr:uid="{C9434FAE-5A68-4E23-87CE-A934FCBF8C88}"/>
    <cellStyle name="Normal 21 4 2 7 2" xfId="36908" xr:uid="{E18367C4-5929-4EEB-B9E3-EC1EE88B3293}"/>
    <cellStyle name="Normal 21 4 2 7 2 2" xfId="36909" xr:uid="{43222581-382D-45F6-8D72-4A7A0D8A214D}"/>
    <cellStyle name="Normal 21 4 2 7 3" xfId="36910" xr:uid="{CD1209A3-ACCB-4A26-A43B-CDC87FB014BF}"/>
    <cellStyle name="Normal 21 4 2 8" xfId="36911" xr:uid="{0267568F-9903-4CDE-860B-84A619CB097E}"/>
    <cellStyle name="Normal 21 4 2 8 2" xfId="36912" xr:uid="{4378C28F-7EFD-47F5-A224-B78C18965758}"/>
    <cellStyle name="Normal 21 4 2 9" xfId="36913" xr:uid="{BA878832-93B7-4FFD-8D7B-2B96FB74C1F2}"/>
    <cellStyle name="Normal 21 4 3" xfId="36914" xr:uid="{279F60E1-815B-479D-B98E-76BC21C7A883}"/>
    <cellStyle name="Normal 21 4 3 2" xfId="36915" xr:uid="{75186BF5-C592-43B1-BC76-96F35ED04B84}"/>
    <cellStyle name="Normal 21 4 3 2 2" xfId="36916" xr:uid="{4CDDA3EA-AE30-4E30-949A-9BB5A60C1FBF}"/>
    <cellStyle name="Normal 21 4 3 2 2 2" xfId="36917" xr:uid="{58BF02CB-5F2C-4F84-9A3F-208068356F14}"/>
    <cellStyle name="Normal 21 4 3 2 2 2 2" xfId="36918" xr:uid="{2208EDAC-0E95-4D83-A80D-75D5E1C9FF37}"/>
    <cellStyle name="Normal 21 4 3 2 2 2 2 2" xfId="36919" xr:uid="{5EAC671F-C5B8-469B-8DB9-E84673C1AE39}"/>
    <cellStyle name="Normal 21 4 3 2 2 2 2 2 2" xfId="36920" xr:uid="{6398BF8B-703B-42E2-9EC6-0B01DF8E747F}"/>
    <cellStyle name="Normal 21 4 3 2 2 2 2 2 2 2" xfId="36921" xr:uid="{F6331D4C-AF12-4C55-9718-135D69AA240E}"/>
    <cellStyle name="Normal 21 4 3 2 2 2 2 2 3" xfId="36922" xr:uid="{F832AF4E-B30F-4C08-9E33-F0AB633F83A6}"/>
    <cellStyle name="Normal 21 4 3 2 2 2 2 3" xfId="36923" xr:uid="{88213F80-70BA-4DCD-9E55-2B1FD71DAEC0}"/>
    <cellStyle name="Normal 21 4 3 2 2 2 2 3 2" xfId="36924" xr:uid="{05F2B13D-9260-480C-ABDE-59EC3F1BD431}"/>
    <cellStyle name="Normal 21 4 3 2 2 2 2 4" xfId="36925" xr:uid="{8A6AC066-3DEE-4970-854C-0D5EFE4CDA87}"/>
    <cellStyle name="Normal 21 4 3 2 2 2 3" xfId="36926" xr:uid="{515F6FAD-F01A-4570-987B-1DBF73813F0A}"/>
    <cellStyle name="Normal 21 4 3 2 2 2 3 2" xfId="36927" xr:uid="{31DDBD0F-67C1-42D0-AE39-FD61DF5C089F}"/>
    <cellStyle name="Normal 21 4 3 2 2 2 3 2 2" xfId="36928" xr:uid="{53B2D52E-244E-443C-AC08-2BF02394BF8E}"/>
    <cellStyle name="Normal 21 4 3 2 2 2 3 3" xfId="36929" xr:uid="{963AAF2B-BF39-4B8B-A8E5-A7B4218B30C5}"/>
    <cellStyle name="Normal 21 4 3 2 2 2 4" xfId="36930" xr:uid="{E52D906E-645B-4AD2-BDC2-2D9AD369A7E9}"/>
    <cellStyle name="Normal 21 4 3 2 2 2 4 2" xfId="36931" xr:uid="{04240C26-3113-49EF-828C-CE5910016821}"/>
    <cellStyle name="Normal 21 4 3 2 2 2 5" xfId="36932" xr:uid="{55EA96FB-4729-405B-9D21-2CF71D6146F9}"/>
    <cellStyle name="Normal 21 4 3 2 2 3" xfId="36933" xr:uid="{50DDE7FF-1A8F-4FD6-8EF1-7F0CD266E8F9}"/>
    <cellStyle name="Normal 21 4 3 2 2 3 2" xfId="36934" xr:uid="{9B815D3D-3F93-4650-BE7B-648BE0ECB6C8}"/>
    <cellStyle name="Normal 21 4 3 2 2 3 2 2" xfId="36935" xr:uid="{6EAC52BC-8C1B-4D35-808B-08BFFE69FF09}"/>
    <cellStyle name="Normal 21 4 3 2 2 3 2 2 2" xfId="36936" xr:uid="{D2A53BEE-2BFD-4775-9E05-33569C4A7B01}"/>
    <cellStyle name="Normal 21 4 3 2 2 3 2 3" xfId="36937" xr:uid="{2EF10004-7E0A-4BE4-9A20-E5CE23399131}"/>
    <cellStyle name="Normal 21 4 3 2 2 3 3" xfId="36938" xr:uid="{35BA973D-A694-44D1-8011-C1965B424700}"/>
    <cellStyle name="Normal 21 4 3 2 2 3 3 2" xfId="36939" xr:uid="{9B400003-E733-48D2-8566-37E56BF26EB9}"/>
    <cellStyle name="Normal 21 4 3 2 2 3 4" xfId="36940" xr:uid="{9ED83A5E-B7C5-4A6F-A27C-ECC1D4DDF1AA}"/>
    <cellStyle name="Normal 21 4 3 2 2 4" xfId="36941" xr:uid="{4C12BF84-78F6-4096-B99F-F768A5B3DAF0}"/>
    <cellStyle name="Normal 21 4 3 2 2 4 2" xfId="36942" xr:uid="{04404238-1FB2-4666-9D6A-42A94F699B70}"/>
    <cellStyle name="Normal 21 4 3 2 2 4 2 2" xfId="36943" xr:uid="{0C1E2A38-0E23-4EBF-8906-F1787E2017D7}"/>
    <cellStyle name="Normal 21 4 3 2 2 4 3" xfId="36944" xr:uid="{F6DB9B91-E147-477E-92CF-1E7C70AF8C6C}"/>
    <cellStyle name="Normal 21 4 3 2 2 5" xfId="36945" xr:uid="{A8C5839F-E823-40EF-AB90-3DB3DDE0C857}"/>
    <cellStyle name="Normal 21 4 3 2 2 5 2" xfId="36946" xr:uid="{C7446033-AEC8-4D42-962A-9248E7ED8CC8}"/>
    <cellStyle name="Normal 21 4 3 2 2 6" xfId="36947" xr:uid="{D1735D85-5768-4640-81E9-A0503544F70A}"/>
    <cellStyle name="Normal 21 4 3 2 2 7" xfId="36948" xr:uid="{B22A7C1D-F603-4BD7-8A83-500401ED7D7A}"/>
    <cellStyle name="Normal 21 4 3 2 3" xfId="36949" xr:uid="{290EE018-80B1-46EB-AA74-3584FE8EE513}"/>
    <cellStyle name="Normal 21 4 3 2 3 2" xfId="36950" xr:uid="{44583E03-6DAC-4C47-8DEA-FD9F730E82D0}"/>
    <cellStyle name="Normal 21 4 3 2 3 2 2" xfId="36951" xr:uid="{F7A1282E-6E09-49A2-9EE4-3AC0BAEB400A}"/>
    <cellStyle name="Normal 21 4 3 2 3 2 2 2" xfId="36952" xr:uid="{14E92149-07DD-4936-B38A-A46566C0456A}"/>
    <cellStyle name="Normal 21 4 3 2 3 2 2 2 2" xfId="36953" xr:uid="{F0339F5E-4D43-4A8C-8BAB-2582E4F76162}"/>
    <cellStyle name="Normal 21 4 3 2 3 2 2 3" xfId="36954" xr:uid="{162D3413-6BD2-4BC6-89E3-3F932AFBEA7F}"/>
    <cellStyle name="Normal 21 4 3 2 3 2 3" xfId="36955" xr:uid="{8FFE6B86-97CB-4D7E-8A38-F5E8F5D4AE50}"/>
    <cellStyle name="Normal 21 4 3 2 3 2 3 2" xfId="36956" xr:uid="{D8D82705-AA4E-40FC-B52D-89694C82050C}"/>
    <cellStyle name="Normal 21 4 3 2 3 2 4" xfId="36957" xr:uid="{5E9C6D16-4966-4721-AD27-336F006A1A3C}"/>
    <cellStyle name="Normal 21 4 3 2 3 3" xfId="36958" xr:uid="{B01FF745-F57E-41F7-8F10-590F6480290F}"/>
    <cellStyle name="Normal 21 4 3 2 3 3 2" xfId="36959" xr:uid="{B72BE120-58C3-475B-8073-110CC5C83DBD}"/>
    <cellStyle name="Normal 21 4 3 2 3 3 2 2" xfId="36960" xr:uid="{8BEA379E-F45C-42DE-993C-27C158DC3FFC}"/>
    <cellStyle name="Normal 21 4 3 2 3 3 3" xfId="36961" xr:uid="{0E4E8DBE-45D4-4540-82B1-99CDD1ADBE09}"/>
    <cellStyle name="Normal 21 4 3 2 3 4" xfId="36962" xr:uid="{C4466A5F-3136-44CC-8032-5711EAFA6945}"/>
    <cellStyle name="Normal 21 4 3 2 3 4 2" xfId="36963" xr:uid="{33699AF9-EC9D-42B6-B598-9F1AA1757286}"/>
    <cellStyle name="Normal 21 4 3 2 3 5" xfId="36964" xr:uid="{C4E1F2A9-A2B8-4BD1-AD0C-67F5CD72BEAF}"/>
    <cellStyle name="Normal 21 4 3 2 4" xfId="36965" xr:uid="{58326BDC-7132-42C3-9131-E1B5BCC40686}"/>
    <cellStyle name="Normal 21 4 3 2 4 2" xfId="36966" xr:uid="{0E6404C0-127E-48F9-B9F7-3F29B81369C7}"/>
    <cellStyle name="Normal 21 4 3 2 4 2 2" xfId="36967" xr:uid="{F63C8151-A8CF-40D2-9AAF-ACFDB692F5A6}"/>
    <cellStyle name="Normal 21 4 3 2 4 2 2 2" xfId="36968" xr:uid="{A55D1A0D-0BAC-44AB-9DCE-F4CDB18D2941}"/>
    <cellStyle name="Normal 21 4 3 2 4 2 3" xfId="36969" xr:uid="{43B13F43-4F24-40FD-A825-BEB5DD3A4952}"/>
    <cellStyle name="Normal 21 4 3 2 4 3" xfId="36970" xr:uid="{258903EA-0B27-4BAE-A1B0-51320BFA5C9E}"/>
    <cellStyle name="Normal 21 4 3 2 4 3 2" xfId="36971" xr:uid="{04F7C77D-9CAB-49E0-8599-CE392360AC35}"/>
    <cellStyle name="Normal 21 4 3 2 4 4" xfId="36972" xr:uid="{3ACDEDFF-B007-4B46-A98E-E7842647E66D}"/>
    <cellStyle name="Normal 21 4 3 2 5" xfId="36973" xr:uid="{D9F57B23-EF4E-4D12-9EC0-CFFB99CA35B4}"/>
    <cellStyle name="Normal 21 4 3 2 5 2" xfId="36974" xr:uid="{E5A551F8-DAE5-4B6C-9480-2D86A9F87467}"/>
    <cellStyle name="Normal 21 4 3 2 5 2 2" xfId="36975" xr:uid="{1B535F86-EAC5-4083-8BC2-A46FBC4407F7}"/>
    <cellStyle name="Normal 21 4 3 2 5 3" xfId="36976" xr:uid="{13028E65-28BD-4E87-B039-DD8411A7DCBE}"/>
    <cellStyle name="Normal 21 4 3 2 6" xfId="36977" xr:uid="{E70F284F-ABF5-43C4-AF52-29704AAB5EB0}"/>
    <cellStyle name="Normal 21 4 3 2 6 2" xfId="36978" xr:uid="{197BC952-88C2-45FD-BEFC-606924716580}"/>
    <cellStyle name="Normal 21 4 3 2 7" xfId="36979" xr:uid="{05CE2376-57C6-4660-B7D7-D139DE100449}"/>
    <cellStyle name="Normal 21 4 3 2 8" xfId="36980" xr:uid="{E28A46AF-139C-4B5A-B49E-1FADB380F81A}"/>
    <cellStyle name="Normal 21 4 3 3" xfId="36981" xr:uid="{C3B2CEC2-F4C8-4911-A981-BE269C9289A7}"/>
    <cellStyle name="Normal 21 4 3 3 2" xfId="36982" xr:uid="{D0E72818-0185-4F0B-95D2-8F9A8860D1B8}"/>
    <cellStyle name="Normal 21 4 3 3 2 2" xfId="36983" xr:uid="{9C27840A-FDCD-4F7A-866C-2A248782F186}"/>
    <cellStyle name="Normal 21 4 3 3 2 2 2" xfId="36984" xr:uid="{0E7DD70E-393C-4ECB-BAB8-D75236C0FCE4}"/>
    <cellStyle name="Normal 21 4 3 3 2 2 2 2" xfId="36985" xr:uid="{0508E932-C63A-4BA2-AEAA-5E489440C307}"/>
    <cellStyle name="Normal 21 4 3 3 2 2 2 2 2" xfId="36986" xr:uid="{E3A053F9-DBEF-4BCC-A5F5-536D6C87F00B}"/>
    <cellStyle name="Normal 21 4 3 3 2 2 2 3" xfId="36987" xr:uid="{20661B6E-7899-4315-8DF4-BB7C03DD9F61}"/>
    <cellStyle name="Normal 21 4 3 3 2 2 3" xfId="36988" xr:uid="{E5A9AD9D-3DF6-41EB-A1F6-4DD1C41F32C2}"/>
    <cellStyle name="Normal 21 4 3 3 2 2 3 2" xfId="36989" xr:uid="{3AB08DFB-C105-4624-A8B5-D8E574EC7B4E}"/>
    <cellStyle name="Normal 21 4 3 3 2 2 4" xfId="36990" xr:uid="{2C04A32A-E585-47BA-BE8C-3F36CF3A2762}"/>
    <cellStyle name="Normal 21 4 3 3 2 3" xfId="36991" xr:uid="{1314C0B6-BE09-470A-9AB3-EE104E422D79}"/>
    <cellStyle name="Normal 21 4 3 3 2 3 2" xfId="36992" xr:uid="{9E78DD3D-E0A7-4270-8105-4259E0FF4B40}"/>
    <cellStyle name="Normal 21 4 3 3 2 3 2 2" xfId="36993" xr:uid="{C567BD14-EDCE-4599-BDC1-8151CAE4EC7E}"/>
    <cellStyle name="Normal 21 4 3 3 2 3 3" xfId="36994" xr:uid="{F2AEC897-C7C6-41C4-82D4-6E8DC164A879}"/>
    <cellStyle name="Normal 21 4 3 3 2 4" xfId="36995" xr:uid="{26E064D0-C595-4F04-A067-486597C13B91}"/>
    <cellStyle name="Normal 21 4 3 3 2 4 2" xfId="36996" xr:uid="{97784982-7D88-4BFF-970C-CEC3D8B3BE7C}"/>
    <cellStyle name="Normal 21 4 3 3 2 5" xfId="36997" xr:uid="{D8EE924D-9D26-4339-91AC-04A70FA80C4F}"/>
    <cellStyle name="Normal 21 4 3 3 3" xfId="36998" xr:uid="{1D77C315-2442-4254-B2D2-68224216EFDB}"/>
    <cellStyle name="Normal 21 4 3 3 3 2" xfId="36999" xr:uid="{2123142A-A688-40DD-A406-823952A15F19}"/>
    <cellStyle name="Normal 21 4 3 3 3 2 2" xfId="37000" xr:uid="{C0DFE26B-F310-4EBD-8759-6001B39C02BD}"/>
    <cellStyle name="Normal 21 4 3 3 3 2 2 2" xfId="37001" xr:uid="{556130A5-5BEA-49B5-A960-F4D850A1FEAB}"/>
    <cellStyle name="Normal 21 4 3 3 3 2 3" xfId="37002" xr:uid="{059B171B-996E-4D06-860A-680B287A674B}"/>
    <cellStyle name="Normal 21 4 3 3 3 3" xfId="37003" xr:uid="{DB067AEA-60A6-475E-A466-90946015A018}"/>
    <cellStyle name="Normal 21 4 3 3 3 3 2" xfId="37004" xr:uid="{3C03C955-D613-406E-9F4E-782D09675F1B}"/>
    <cellStyle name="Normal 21 4 3 3 3 4" xfId="37005" xr:uid="{0EA4CBCE-0E13-4EC7-B67F-90CC8F74FFAB}"/>
    <cellStyle name="Normal 21 4 3 3 4" xfId="37006" xr:uid="{00755461-56D8-419F-BF3C-D8D5E7CEF71F}"/>
    <cellStyle name="Normal 21 4 3 3 4 2" xfId="37007" xr:uid="{D9921783-AB91-4D52-BF16-152977ACE901}"/>
    <cellStyle name="Normal 21 4 3 3 4 2 2" xfId="37008" xr:uid="{C118BB97-B64E-440B-9909-CB054BDE3112}"/>
    <cellStyle name="Normal 21 4 3 3 4 3" xfId="37009" xr:uid="{32F9AD2A-1D95-40C6-BFEF-DA5DC5D71716}"/>
    <cellStyle name="Normal 21 4 3 3 5" xfId="37010" xr:uid="{58F7D8B0-93CD-464D-A9AA-188D408BD61D}"/>
    <cellStyle name="Normal 21 4 3 3 5 2" xfId="37011" xr:uid="{38F590AB-8B5B-4590-B661-2D724EAD0BA4}"/>
    <cellStyle name="Normal 21 4 3 3 6" xfId="37012" xr:uid="{18875DFE-C752-4F22-96CF-A9E54CFDD163}"/>
    <cellStyle name="Normal 21 4 3 3 7" xfId="37013" xr:uid="{9FE8B973-D71F-4512-BBAB-03DDBD6A5BE4}"/>
    <cellStyle name="Normal 21 4 3 4" xfId="37014" xr:uid="{A2CC54B3-443C-4388-9C5C-D5D192F6A231}"/>
    <cellStyle name="Normal 21 4 3 4 2" xfId="37015" xr:uid="{6F046902-5E70-4D0D-9017-18FD9E2407F8}"/>
    <cellStyle name="Normal 21 4 3 4 2 2" xfId="37016" xr:uid="{71222CAC-1826-41CF-9B77-FD0D81143915}"/>
    <cellStyle name="Normal 21 4 3 4 2 2 2" xfId="37017" xr:uid="{AACA0882-023D-466D-B1F7-29D93DA6C51C}"/>
    <cellStyle name="Normal 21 4 3 4 2 2 2 2" xfId="37018" xr:uid="{FB9925AF-6CAD-4A85-B18E-35068EA8EC2A}"/>
    <cellStyle name="Normal 21 4 3 4 2 2 3" xfId="37019" xr:uid="{C5D5921E-C3C1-4462-BD11-06F18A192DA3}"/>
    <cellStyle name="Normal 21 4 3 4 2 3" xfId="37020" xr:uid="{BD43BDBA-AA44-472D-AA8A-327C7ED56E99}"/>
    <cellStyle name="Normal 21 4 3 4 2 3 2" xfId="37021" xr:uid="{47F114F3-CB5F-4A96-AB7B-59E1D542206A}"/>
    <cellStyle name="Normal 21 4 3 4 2 4" xfId="37022" xr:uid="{C434C53A-E93A-45FF-9CFA-4ACD8D365B28}"/>
    <cellStyle name="Normal 21 4 3 4 3" xfId="37023" xr:uid="{25598448-78F8-430F-95DC-3CD805DA9727}"/>
    <cellStyle name="Normal 21 4 3 4 3 2" xfId="37024" xr:uid="{6D10EB8E-8569-4E1F-94B9-50B6C6B04681}"/>
    <cellStyle name="Normal 21 4 3 4 3 2 2" xfId="37025" xr:uid="{94E85A8F-4506-4D55-BD72-D399183C2C41}"/>
    <cellStyle name="Normal 21 4 3 4 3 3" xfId="37026" xr:uid="{83E83FC7-68E5-4BDF-8C91-5BF0CEB96E30}"/>
    <cellStyle name="Normal 21 4 3 4 4" xfId="37027" xr:uid="{A8438629-1989-4DF6-A2FB-82011EF45D16}"/>
    <cellStyle name="Normal 21 4 3 4 4 2" xfId="37028" xr:uid="{CC1A3556-C115-4886-B21E-E06AF86C13E2}"/>
    <cellStyle name="Normal 21 4 3 4 5" xfId="37029" xr:uid="{D36AF764-468C-429B-A6BC-11424C0CC562}"/>
    <cellStyle name="Normal 21 4 3 5" xfId="37030" xr:uid="{5CE6FC81-F58B-4680-B2B1-D68C8F15FD00}"/>
    <cellStyle name="Normal 21 4 3 5 2" xfId="37031" xr:uid="{EC393CF5-BC1A-4C1C-AC11-745A3B3BBEA5}"/>
    <cellStyle name="Normal 21 4 3 5 2 2" xfId="37032" xr:uid="{A94540D9-2DD4-4817-B042-439A8C6B2F80}"/>
    <cellStyle name="Normal 21 4 3 5 2 2 2" xfId="37033" xr:uid="{0DBF3238-9825-4535-824D-A9094A7B4B6E}"/>
    <cellStyle name="Normal 21 4 3 5 2 3" xfId="37034" xr:uid="{1AD39135-F943-4BD1-8257-620864549DFE}"/>
    <cellStyle name="Normal 21 4 3 5 3" xfId="37035" xr:uid="{91DDBE2D-1F1F-4376-9F63-0902447D35A6}"/>
    <cellStyle name="Normal 21 4 3 5 3 2" xfId="37036" xr:uid="{A5C82DD9-5A3D-41A9-9A82-A72CCC166DD3}"/>
    <cellStyle name="Normal 21 4 3 5 4" xfId="37037" xr:uid="{CC7D103F-BB05-4B94-83DD-148CD9A2CD6F}"/>
    <cellStyle name="Normal 21 4 3 6" xfId="37038" xr:uid="{C7AA574A-FAB3-4E58-A580-C1530BB85AEB}"/>
    <cellStyle name="Normal 21 4 3 6 2" xfId="37039" xr:uid="{87DC7380-25FA-403F-A19D-540FC52BEF60}"/>
    <cellStyle name="Normal 21 4 3 6 2 2" xfId="37040" xr:uid="{A1273249-DDD5-4108-86D6-2C0F38D9B67A}"/>
    <cellStyle name="Normal 21 4 3 6 3" xfId="37041" xr:uid="{11B67146-B223-42D4-AA38-9000746716E2}"/>
    <cellStyle name="Normal 21 4 3 7" xfId="37042" xr:uid="{1EC2BFF1-09F8-4011-B9D2-DA56293DA831}"/>
    <cellStyle name="Normal 21 4 3 7 2" xfId="37043" xr:uid="{A394BCD2-8ECF-4B39-B00D-F1BD33C82073}"/>
    <cellStyle name="Normal 21 4 3 8" xfId="37044" xr:uid="{B909CFC2-CE7A-49D4-BE7E-A3BAFAF54068}"/>
    <cellStyle name="Normal 21 4 3 9" xfId="37045" xr:uid="{7AC1A7CB-DF5A-4DCF-8A7D-09790EB56320}"/>
    <cellStyle name="Normal 21 4 4" xfId="37046" xr:uid="{92E2E733-1203-48CB-AA9C-D01EDA67368E}"/>
    <cellStyle name="Normal 21 4 4 2" xfId="37047" xr:uid="{6F35CDE4-EF2F-4D19-B26C-351255C10E4C}"/>
    <cellStyle name="Normal 21 4 4 2 2" xfId="37048" xr:uid="{F52E9ACB-5DD8-47E6-AF11-AE1CD564D811}"/>
    <cellStyle name="Normal 21 4 4 2 2 2" xfId="37049" xr:uid="{A3332378-F149-4DE5-BB15-6E2E1D504A96}"/>
    <cellStyle name="Normal 21 4 4 2 2 2 2" xfId="37050" xr:uid="{3DB9087A-450C-4F2A-82E6-F942A00F1422}"/>
    <cellStyle name="Normal 21 4 4 2 2 2 2 2" xfId="37051" xr:uid="{DB431CCB-FA8C-49B3-9036-45FB3B7E8FA0}"/>
    <cellStyle name="Normal 21 4 4 2 2 2 2 2 2" xfId="25133" xr:uid="{71B8F704-A725-4662-A0C7-4C37DDB75AF4}"/>
    <cellStyle name="Normal 21 4 4 2 2 2 2 3" xfId="37052" xr:uid="{ECA194F4-91BA-4B82-A394-F77E027DFA59}"/>
    <cellStyle name="Normal 21 4 4 2 2 2 3" xfId="37053" xr:uid="{C672EC53-B449-4BB6-87A0-EC9995316B95}"/>
    <cellStyle name="Normal 21 4 4 2 2 2 3 2" xfId="37054" xr:uid="{802743D1-19CD-47C9-BB67-09067C80966E}"/>
    <cellStyle name="Normal 21 4 4 2 2 2 4" xfId="37055" xr:uid="{9D793A11-BFFD-48DA-948E-AC525C58B62C}"/>
    <cellStyle name="Normal 21 4 4 2 2 3" xfId="37056" xr:uid="{24FE4F05-4321-4AE5-8FC4-DB399BC25C65}"/>
    <cellStyle name="Normal 21 4 4 2 2 3 2" xfId="37057" xr:uid="{C1247E68-4FB9-497F-8AF8-F12633822312}"/>
    <cellStyle name="Normal 21 4 4 2 2 3 2 2" xfId="37058" xr:uid="{E029E76A-38F1-4273-9718-B96FD8CA098F}"/>
    <cellStyle name="Normal 21 4 4 2 2 3 3" xfId="37059" xr:uid="{2E69C87B-0F7B-4F27-B50F-C4CF4E33161F}"/>
    <cellStyle name="Normal 21 4 4 2 2 4" xfId="37060" xr:uid="{7B2A64F8-8C3A-4772-9E7E-A8C67F4C9F2C}"/>
    <cellStyle name="Normal 21 4 4 2 2 4 2" xfId="37061" xr:uid="{330EA152-7C12-4EC6-AB66-396735E8BA4E}"/>
    <cellStyle name="Normal 21 4 4 2 2 5" xfId="37062" xr:uid="{4A2210F9-0DBF-4ACC-A15F-04A3A2473DF9}"/>
    <cellStyle name="Normal 21 4 4 2 3" xfId="37063" xr:uid="{7D8F87F6-3D3C-413E-8974-205FFCD8582E}"/>
    <cellStyle name="Normal 21 4 4 2 3 2" xfId="37064" xr:uid="{57E03DAD-3B4F-4B33-84A4-A5D0188D5297}"/>
    <cellStyle name="Normal 21 4 4 2 3 2 2" xfId="37065" xr:uid="{316AA6EA-02F7-4566-99B4-34A01334A501}"/>
    <cellStyle name="Normal 21 4 4 2 3 2 2 2" xfId="37066" xr:uid="{E812FE12-F3D3-4904-974E-2E4AE2991FF0}"/>
    <cellStyle name="Normal 21 4 4 2 3 2 3" xfId="37067" xr:uid="{FC66C228-3CA0-434B-AA97-DB8BB80F572D}"/>
    <cellStyle name="Normal 21 4 4 2 3 3" xfId="37068" xr:uid="{9FBC8331-28C7-49E0-A0A9-699847887142}"/>
    <cellStyle name="Normal 21 4 4 2 3 3 2" xfId="37069" xr:uid="{73383FB8-68E3-4768-A0EA-B64CDB1840D3}"/>
    <cellStyle name="Normal 21 4 4 2 3 4" xfId="37070" xr:uid="{4B376063-1E27-4A64-AB0F-EC1B0AA80B2F}"/>
    <cellStyle name="Normal 21 4 4 2 4" xfId="37071" xr:uid="{DB7DA930-C58F-4723-8690-8E759110A837}"/>
    <cellStyle name="Normal 21 4 4 2 4 2" xfId="37072" xr:uid="{22B7DF9E-7E70-4083-95AA-33CB6ECD6C77}"/>
    <cellStyle name="Normal 21 4 4 2 4 2 2" xfId="37073" xr:uid="{B5856A55-0294-4765-B8EE-2D138CD455A0}"/>
    <cellStyle name="Normal 21 4 4 2 4 3" xfId="37074" xr:uid="{14975770-605E-4E7F-9E25-54FE394170B0}"/>
    <cellStyle name="Normal 21 4 4 2 5" xfId="37075" xr:uid="{3FBC8220-98E7-4303-BC4C-50358809DD74}"/>
    <cellStyle name="Normal 21 4 4 2 5 2" xfId="37076" xr:uid="{051FA032-A453-4A52-99B2-2C6CFF4DD4B9}"/>
    <cellStyle name="Normal 21 4 4 2 6" xfId="37077" xr:uid="{1893978C-CF37-483D-8216-EAC85643031E}"/>
    <cellStyle name="Normal 21 4 4 2 7" xfId="37078" xr:uid="{4432A994-BB33-4A24-9437-5F24C2F4B0F1}"/>
    <cellStyle name="Normal 21 4 4 3" xfId="37079" xr:uid="{EB5F571A-99C4-4885-9F90-01A01D1687B6}"/>
    <cellStyle name="Normal 21 4 4 3 2" xfId="37080" xr:uid="{93B38817-E63C-447C-8C6A-B522DF25CF6F}"/>
    <cellStyle name="Normal 21 4 4 3 2 2" xfId="37081" xr:uid="{6FAA61AA-0DE6-416A-A722-BB55C2E21CE7}"/>
    <cellStyle name="Normal 21 4 4 3 2 2 2" xfId="37082" xr:uid="{C712A1C5-FB6D-4936-9762-4E08266A6E63}"/>
    <cellStyle name="Normal 21 4 4 3 2 2 2 2" xfId="37083" xr:uid="{7582D58D-644D-4F01-8B00-BE98BC3B71A0}"/>
    <cellStyle name="Normal 21 4 4 3 2 2 3" xfId="37084" xr:uid="{FF967782-5E67-4284-90C1-48E0E62D50D9}"/>
    <cellStyle name="Normal 21 4 4 3 2 3" xfId="37087" xr:uid="{E4FF189F-3502-4C66-8EE8-E0E1589E16C5}"/>
    <cellStyle name="Normal 21 4 4 3 2 3 2" xfId="37090" xr:uid="{BB1FEEEC-C940-41AF-813D-2CDE46A7B950}"/>
    <cellStyle name="Normal 21 4 4 3 2 4" xfId="37093" xr:uid="{D6F4B579-8C42-4576-A3D8-5EE2D2D90C7E}"/>
    <cellStyle name="Normal 21 4 4 3 3" xfId="37094" xr:uid="{8C494286-24E0-49DE-BCD9-9F9CF7EFAB31}"/>
    <cellStyle name="Normal 21 4 4 3 3 2" xfId="37095" xr:uid="{482A9B37-9635-46EC-9C38-487364A11F7A}"/>
    <cellStyle name="Normal 21 4 4 3 3 2 2" xfId="37096" xr:uid="{23A9A8D9-126B-4F6F-93FF-4E2A6A870ED9}"/>
    <cellStyle name="Normal 21 4 4 3 3 3" xfId="37099" xr:uid="{F95C7832-F705-4534-9242-B5FCFD444DAD}"/>
    <cellStyle name="Normal 21 4 4 3 4" xfId="37100" xr:uid="{02F62EC0-2765-40E9-9303-7C6D11599FD1}"/>
    <cellStyle name="Normal 21 4 4 3 4 2" xfId="37101" xr:uid="{77C8271A-45F2-434B-8A24-4AA9077C3D7F}"/>
    <cellStyle name="Normal 21 4 4 3 5" xfId="37102" xr:uid="{1D877371-642B-4092-86B5-02A96F56FB83}"/>
    <cellStyle name="Normal 21 4 4 4" xfId="37103" xr:uid="{DC65DD26-0B9F-4ECA-95E6-E308A1EBBF6F}"/>
    <cellStyle name="Normal 21 4 4 4 2" xfId="37104" xr:uid="{9D832156-59E0-4293-8A2E-3387F8855B53}"/>
    <cellStyle name="Normal 21 4 4 4 2 2" xfId="37105" xr:uid="{8C1D05FC-B584-439E-B57C-9D14F092D74F}"/>
    <cellStyle name="Normal 21 4 4 4 2 2 2" xfId="37106" xr:uid="{74C2D58D-B8EC-48DB-B93E-DAFCBDA493C2}"/>
    <cellStyle name="Normal 21 4 4 4 2 3" xfId="37108" xr:uid="{440B020F-7750-412C-AADF-43A5B897B899}"/>
    <cellStyle name="Normal 21 4 4 4 3" xfId="37109" xr:uid="{D60319FA-5905-4657-8E8A-7C569BE08524}"/>
    <cellStyle name="Normal 21 4 4 4 3 2" xfId="37110" xr:uid="{366519EE-644C-47AD-ADBE-162465D9D7C2}"/>
    <cellStyle name="Normal 21 4 4 4 4" xfId="37111" xr:uid="{D33DA2E3-72D0-4574-BE04-C74CDFDF0AB6}"/>
    <cellStyle name="Normal 21 4 4 5" xfId="37112" xr:uid="{A4739B29-B29E-411C-9003-F5C3E94A032F}"/>
    <cellStyle name="Normal 21 4 4 5 2" xfId="37113" xr:uid="{45062885-E96E-410D-BCD6-D8D7A4754C04}"/>
    <cellStyle name="Normal 21 4 4 5 2 2" xfId="37114" xr:uid="{0182796B-FD70-444B-BA5A-46686FEEE7E2}"/>
    <cellStyle name="Normal 21 4 4 5 3" xfId="37115" xr:uid="{495BB891-2C01-40F2-884C-7AEDB33E0704}"/>
    <cellStyle name="Normal 21 4 4 6" xfId="37116" xr:uid="{6807C3EB-F9F9-426A-A71F-1607AE4579A2}"/>
    <cellStyle name="Normal 21 4 4 6 2" xfId="37117" xr:uid="{5F27FE6A-88E8-4A0C-8DD8-9EC54ABFD0B5}"/>
    <cellStyle name="Normal 21 4 4 7" xfId="37118" xr:uid="{7966170B-0E05-4650-8E3E-2C16F5813A75}"/>
    <cellStyle name="Normal 21 4 4 8" xfId="37119" xr:uid="{1A05EC7D-E07E-4937-B2E1-7BC4507D4574}"/>
    <cellStyle name="Normal 21 4 5" xfId="7545" xr:uid="{EDF2D330-6201-43E2-8E46-D140C9ABEABD}"/>
    <cellStyle name="Normal 21 4 5 2" xfId="3783" xr:uid="{747F9314-6238-4BBD-BD73-165D35701431}"/>
    <cellStyle name="Normal 21 4 5 2 2" xfId="3790" xr:uid="{ECA1E771-1C30-411F-88C4-6DA7402AF4D1}"/>
    <cellStyle name="Normal 21 4 5 2 2 2" xfId="752" xr:uid="{9459BF47-A63B-4C03-9343-B98312CD99C8}"/>
    <cellStyle name="Normal 21 4 5 2 2 2 2" xfId="37120" xr:uid="{0166D294-61A1-4A69-A91A-36DDC372E782}"/>
    <cellStyle name="Normal 21 4 5 2 2 2 2 2" xfId="37121" xr:uid="{FD93FE0A-3474-4106-A4F5-57EBAFA81BFB}"/>
    <cellStyle name="Normal 21 4 5 2 2 2 3" xfId="37122" xr:uid="{B1B458AC-DE78-40E7-BD14-216237AC7FA9}"/>
    <cellStyle name="Normal 21 4 5 2 2 3" xfId="37123" xr:uid="{BE6A7A39-A0A6-4366-B867-E5F749EF85DB}"/>
    <cellStyle name="Normal 21 4 5 2 2 3 2" xfId="37124" xr:uid="{720204BE-30C7-46A3-A8F6-0253D40F9C84}"/>
    <cellStyle name="Normal 21 4 5 2 2 4" xfId="37125" xr:uid="{DCD83AD1-278D-40C5-904B-B1F9CC466F3F}"/>
    <cellStyle name="Normal 21 4 5 2 3" xfId="996" xr:uid="{18FBA0DE-AFF7-48DD-A7E4-CF704F2D43BD}"/>
    <cellStyle name="Normal 21 4 5 2 3 2" xfId="37126" xr:uid="{8AEA86E6-59ED-4D9F-A4A8-35E312721495}"/>
    <cellStyle name="Normal 21 4 5 2 3 2 2" xfId="37127" xr:uid="{4435BF4C-45AC-4474-BDE3-1DD2293724F6}"/>
    <cellStyle name="Normal 21 4 5 2 3 3" xfId="37128" xr:uid="{F815A647-1DAF-41C3-827A-D1876D3528B0}"/>
    <cellStyle name="Normal 21 4 5 2 4" xfId="37129" xr:uid="{A9A584C3-8FBC-4053-A840-C93C3F7CB272}"/>
    <cellStyle name="Normal 21 4 5 2 4 2" xfId="37130" xr:uid="{CDBD9B84-9454-419A-90DA-E92F52BACE58}"/>
    <cellStyle name="Normal 21 4 5 2 5" xfId="37131" xr:uid="{C776F7D7-FED8-460B-A139-3E2C3906A9EF}"/>
    <cellStyle name="Normal 21 4 5 3" xfId="3924" xr:uid="{DD95A8D8-BC46-43A3-93AB-DF60293E1157}"/>
    <cellStyle name="Normal 21 4 5 3 2" xfId="3930" xr:uid="{E8BF8C4D-8514-4E9D-B1C7-B3A9A760FE0D}"/>
    <cellStyle name="Normal 21 4 5 3 2 2" xfId="37132" xr:uid="{1BA7BA91-138A-4B48-886D-3F03E065F184}"/>
    <cellStyle name="Normal 21 4 5 3 2 2 2" xfId="37133" xr:uid="{239B6241-EA66-4C2B-B084-22811A93F410}"/>
    <cellStyle name="Normal 21 4 5 3 2 3" xfId="37134" xr:uid="{06CA16BF-DCBC-4581-99D9-A1DFACFB44DA}"/>
    <cellStyle name="Normal 21 4 5 3 3" xfId="37135" xr:uid="{6B4A39BA-C142-4375-8FF0-3E68D04919DC}"/>
    <cellStyle name="Normal 21 4 5 3 3 2" xfId="37136" xr:uid="{6B9CCCBB-7D4B-4F17-8094-3D747EDACB24}"/>
    <cellStyle name="Normal 21 4 5 3 4" xfId="37137" xr:uid="{03AB037A-089C-4545-ADAD-99E48CC62355}"/>
    <cellStyle name="Normal 21 4 5 4" xfId="4003" xr:uid="{F017E317-1B53-4A41-8FF6-D942FFBB3401}"/>
    <cellStyle name="Normal 21 4 5 4 2" xfId="37138" xr:uid="{87A87F2D-7BB1-4053-89FF-038D8FF9090A}"/>
    <cellStyle name="Normal 21 4 5 4 2 2" xfId="37139" xr:uid="{9669E7BE-3840-4A4B-9B74-82F91F3D5A23}"/>
    <cellStyle name="Normal 21 4 5 4 3" xfId="37140" xr:uid="{54C24978-2640-48A0-9AF6-86AF0C10D96E}"/>
    <cellStyle name="Normal 21 4 5 5" xfId="37141" xr:uid="{1AA2C298-9AA0-4607-ABD2-421F13D7C22A}"/>
    <cellStyle name="Normal 21 4 5 5 2" xfId="37142" xr:uid="{086B23C9-14DE-499E-926B-02933003ABB7}"/>
    <cellStyle name="Normal 21 4 5 6" xfId="37143" xr:uid="{3420DDF4-EE05-46F4-B362-D868DBF28A98}"/>
    <cellStyle name="Normal 21 4 5 7" xfId="37144" xr:uid="{0F39B041-7D6B-4817-B23C-DD118F748DA8}"/>
    <cellStyle name="Normal 21 4 6" xfId="4896" xr:uid="{A5E893D8-A29D-435B-9496-2D6ED0B28F69}"/>
    <cellStyle name="Normal 21 4 6 2" xfId="831" xr:uid="{FA1C7F31-F2B2-40DD-A5BF-3009F9E700C5}"/>
    <cellStyle name="Normal 21 4 6 2 2" xfId="4103" xr:uid="{D3B15DB2-7362-4FC4-9FC7-965379230303}"/>
    <cellStyle name="Normal 21 4 6 2 2 2" xfId="37145" xr:uid="{70E30BE0-38C9-4B1F-A225-C3F518281D8C}"/>
    <cellStyle name="Normal 21 4 6 2 2 2 2" xfId="37146" xr:uid="{41264112-9B8E-45E0-BF98-A4E1AD96A0AC}"/>
    <cellStyle name="Normal 21 4 6 2 2 3" xfId="37147" xr:uid="{6C183A43-FDF5-47B1-8590-645022EDE299}"/>
    <cellStyle name="Normal 21 4 6 2 3" xfId="37148" xr:uid="{3D026DB6-9A16-47F2-9F36-7F605360A774}"/>
    <cellStyle name="Normal 21 4 6 2 3 2" xfId="37149" xr:uid="{313A3A9D-5689-4A07-AB16-A345075EF6E6}"/>
    <cellStyle name="Normal 21 4 6 2 4" xfId="37150" xr:uid="{B0BC2B9D-92C3-4279-A35D-90A034A2B608}"/>
    <cellStyle name="Normal 21 4 6 3" xfId="1692" xr:uid="{EB1ED9A7-A0CA-470E-BADA-44AC3E2EC407}"/>
    <cellStyle name="Normal 21 4 6 3 2" xfId="37151" xr:uid="{E1BDAEFC-889B-4F5E-9203-69DCDCA7FAD3}"/>
    <cellStyle name="Normal 21 4 6 3 2 2" xfId="37152" xr:uid="{30C281F1-5371-46E4-94AC-97C660A418DD}"/>
    <cellStyle name="Normal 21 4 6 3 3" xfId="37153" xr:uid="{1317F17D-986D-4F69-85BE-D8ED29153562}"/>
    <cellStyle name="Normal 21 4 6 4" xfId="37154" xr:uid="{77614F98-D9A9-4908-9DC2-3A837C0B8500}"/>
    <cellStyle name="Normal 21 4 6 4 2" xfId="37155" xr:uid="{FE5F96A4-DA4E-4756-9C90-1C7B8EF2D971}"/>
    <cellStyle name="Normal 21 4 6 5" xfId="37156" xr:uid="{16B60BCC-41BB-4C04-B2DD-D8512158B1CD}"/>
    <cellStyle name="Normal 21 4 7" xfId="4901" xr:uid="{6C13FDF5-2E40-4F79-ABFB-DFAC4ED35522}"/>
    <cellStyle name="Normal 21 4 7 2" xfId="4215" xr:uid="{0C20DBD0-18EF-45CA-913E-80DBD3A0DAC1}"/>
    <cellStyle name="Normal 21 4 7 2 2" xfId="37157" xr:uid="{8ACE03A8-DA1F-4B87-B46F-D03E54F7927E}"/>
    <cellStyle name="Normal 21 4 7 2 2 2" xfId="11148" xr:uid="{F9228B04-BAE0-4506-B6AE-D36B422D68B5}"/>
    <cellStyle name="Normal 21 4 7 2 3" xfId="37158" xr:uid="{67203149-BB6B-43A7-97E6-CC02D958A8EF}"/>
    <cellStyle name="Normal 21 4 7 3" xfId="37159" xr:uid="{F8C6C8CE-7D47-4738-B3F6-983DDA813715}"/>
    <cellStyle name="Normal 21 4 7 3 2" xfId="37160" xr:uid="{A47FA2F9-E4BB-449B-83D9-3F00DF89627A}"/>
    <cellStyle name="Normal 21 4 7 4" xfId="37161" xr:uid="{2428CC7C-B6D4-4ABF-A56B-7C587F728F7D}"/>
    <cellStyle name="Normal 21 4 8" xfId="7547" xr:uid="{A92E5A39-A15B-46A3-A129-EE1B5D69F22C}"/>
    <cellStyle name="Normal 21 4 8 2" xfId="37162" xr:uid="{FE63C915-D13E-4B3B-A078-E305285B8429}"/>
    <cellStyle name="Normal 21 4 8 2 2" xfId="37163" xr:uid="{6A5B92B2-DD8A-4BF4-BD98-85C3D7C12D25}"/>
    <cellStyle name="Normal 21 4 8 3" xfId="37164" xr:uid="{977355E1-132B-4559-9F78-B5BE85BA6411}"/>
    <cellStyle name="Normal 21 4 9" xfId="37165" xr:uid="{92A5B44A-0C28-45D0-9401-AF53C1C24253}"/>
    <cellStyle name="Normal 21 4 9 2" xfId="31454" xr:uid="{E0B98670-3AE7-4E4B-8FD9-7186AD952DBD}"/>
    <cellStyle name="Normal 21 5" xfId="32888" xr:uid="{12BBE4F6-4217-429D-8F7D-114F46819D50}"/>
    <cellStyle name="Normal 21 6" xfId="32890" xr:uid="{F5B504BA-D7C5-46CA-95C6-D4F035A52980}"/>
    <cellStyle name="Normal 21 6 10" xfId="22291" xr:uid="{CDC0C4B7-56A9-4B79-8A94-00B0867C5754}"/>
    <cellStyle name="Normal 21 6 2" xfId="37166" xr:uid="{3E870AC9-A63B-41FF-8BD9-BA1A041C9061}"/>
    <cellStyle name="Normal 21 6 2 2" xfId="37167" xr:uid="{438DA7E0-9CF1-41C4-B09B-82D9BF712996}"/>
    <cellStyle name="Normal 21 6 2 2 2" xfId="37168" xr:uid="{041CC446-02AC-4C2F-AC47-3463669BD539}"/>
    <cellStyle name="Normal 21 6 2 2 2 2" xfId="14129" xr:uid="{3F4372BE-FEC6-486F-A098-D342CFE73488}"/>
    <cellStyle name="Normal 21 6 2 2 2 2 2" xfId="22958" xr:uid="{155FB664-B15C-46EE-B0DE-532EC2FBF8ED}"/>
    <cellStyle name="Normal 21 6 2 2 2 2 2 2" xfId="22961" xr:uid="{FEA4311F-42CF-4D90-90CD-4B4EBC27768F}"/>
    <cellStyle name="Normal 21 6 2 2 2 2 2 2 2" xfId="37169" xr:uid="{AB9E4961-81B9-44E3-A5C7-9635CF25BB25}"/>
    <cellStyle name="Normal 21 6 2 2 2 2 2 2 2 2" xfId="37170" xr:uid="{4DA94D19-57D3-409F-B990-E8C540FA70C7}"/>
    <cellStyle name="Normal 21 6 2 2 2 2 2 2 3" xfId="37171" xr:uid="{701CB25E-23E7-4C3E-90C3-1BCD8CDBB4F7}"/>
    <cellStyle name="Normal 21 6 2 2 2 2 2 3" xfId="22936" xr:uid="{609BC057-FCE3-48BE-9D45-946942E04BF9}"/>
    <cellStyle name="Normal 21 6 2 2 2 2 2 3 2" xfId="37172" xr:uid="{CA518E5A-455D-4D06-92D9-BBEA8C1732BC}"/>
    <cellStyle name="Normal 21 6 2 2 2 2 2 4" xfId="37173" xr:uid="{42CC5595-5C01-4B58-B025-86DEF2205A97}"/>
    <cellStyle name="Normal 21 6 2 2 2 2 3" xfId="22963" xr:uid="{2060C494-7914-4C4B-9C10-56EF6F0D6BFE}"/>
    <cellStyle name="Normal 21 6 2 2 2 2 3 2" xfId="37174" xr:uid="{82FBC2BE-BA24-47EA-AF90-1936355D7E12}"/>
    <cellStyle name="Normal 21 6 2 2 2 2 3 2 2" xfId="37175" xr:uid="{3123E79A-CCB5-4E13-A022-CB5370EBF4F7}"/>
    <cellStyle name="Normal 21 6 2 2 2 2 3 3" xfId="37176" xr:uid="{632DA4EF-8EEF-4C88-B5A1-3E41DC88900F}"/>
    <cellStyle name="Normal 21 6 2 2 2 2 4" xfId="6772" xr:uid="{FFCA3305-73A4-4889-A928-8A767E611308}"/>
    <cellStyle name="Normal 21 6 2 2 2 2 4 2" xfId="37177" xr:uid="{67E6A03E-ABA6-4568-9EE1-C73656929691}"/>
    <cellStyle name="Normal 21 6 2 2 2 2 5" xfId="37178" xr:uid="{CEBE1CF3-1960-4B4F-8240-6AFBF49C76B5}"/>
    <cellStyle name="Normal 21 6 2 2 2 3" xfId="37179" xr:uid="{A306C9CA-35B0-44FD-9DDA-C4F1EE97475F}"/>
    <cellStyle name="Normal 21 6 2 2 2 3 2" xfId="23017" xr:uid="{8B61BD67-0346-40E9-B858-D0033F185B58}"/>
    <cellStyle name="Normal 21 6 2 2 2 3 2 2" xfId="37180" xr:uid="{18DF3CBA-EC6B-482F-B3CA-A4B4E33E5BB2}"/>
    <cellStyle name="Normal 21 6 2 2 2 3 2 2 2" xfId="37181" xr:uid="{A6DAF45C-35F5-4233-B668-48809E5E1313}"/>
    <cellStyle name="Normal 21 6 2 2 2 3 2 3" xfId="22919" xr:uid="{DAF49A2D-C70B-4676-A34A-CDDD58A1B3F9}"/>
    <cellStyle name="Normal 21 6 2 2 2 3 3" xfId="23019" xr:uid="{4827B21B-6974-4A13-ADC1-8C67D473252B}"/>
    <cellStyle name="Normal 21 6 2 2 2 3 3 2" xfId="37182" xr:uid="{7BB4DA70-6C6F-464E-8F0D-1F4F12494508}"/>
    <cellStyle name="Normal 21 6 2 2 2 3 4" xfId="37183" xr:uid="{1B7AD1EA-C5AC-432C-9A57-F885075E813D}"/>
    <cellStyle name="Normal 21 6 2 2 2 4" xfId="37184" xr:uid="{0A51BD7E-41C9-4768-A44E-6A5E409D1AF2}"/>
    <cellStyle name="Normal 21 6 2 2 2 4 2" xfId="37185" xr:uid="{AAD3B931-7EFD-4BEF-805B-62C5627DA589}"/>
    <cellStyle name="Normal 21 6 2 2 2 4 2 2" xfId="37186" xr:uid="{76F5AC22-BDB7-4934-A0C5-E8B95227161A}"/>
    <cellStyle name="Normal 21 6 2 2 2 4 3" xfId="37187" xr:uid="{1AE4A6B5-BFDE-46F2-A83E-9DF9AF87CBF7}"/>
    <cellStyle name="Normal 21 6 2 2 2 5" xfId="37189" xr:uid="{7189173D-9F1A-472F-83F4-F3EE736B1132}"/>
    <cellStyle name="Normal 21 6 2 2 2 5 2" xfId="37190" xr:uid="{6BE99018-1BA7-4FC6-8BE9-86504A8E7DB0}"/>
    <cellStyle name="Normal 21 6 2 2 2 6" xfId="37191" xr:uid="{9B17FAFB-BB52-4048-B40E-F981C970D4A6}"/>
    <cellStyle name="Normal 21 6 2 2 2 7" xfId="8286" xr:uid="{7868E6FB-4654-48A1-81CD-F3C819EC81CB}"/>
    <cellStyle name="Normal 21 6 2 2 3" xfId="16066" xr:uid="{C453372A-2B9F-4044-8532-D01EA1307AEB}"/>
    <cellStyle name="Normal 21 6 2 2 3 2" xfId="37192" xr:uid="{F5BBACFF-7794-4B1C-A0C3-91A3514C134B}"/>
    <cellStyle name="Normal 21 6 2 2 3 2 2" xfId="23124" xr:uid="{5FBE7106-80DC-487F-BF9A-4AF92A12FA92}"/>
    <cellStyle name="Normal 21 6 2 2 3 2 2 2" xfId="37193" xr:uid="{B2A72102-C8B6-426B-A252-BFBDFA57C3A7}"/>
    <cellStyle name="Normal 21 6 2 2 3 2 2 2 2" xfId="37194" xr:uid="{E2A30E8A-1591-4226-8ACB-CE31A69F5ACA}"/>
    <cellStyle name="Normal 21 6 2 2 3 2 2 3" xfId="37195" xr:uid="{E3BD6066-F777-4499-AA18-6EF1D2367CC0}"/>
    <cellStyle name="Normal 21 6 2 2 3 2 3" xfId="23126" xr:uid="{EDF1C2F1-E161-4C3F-8AEC-A87573598505}"/>
    <cellStyle name="Normal 21 6 2 2 3 2 3 2" xfId="37196" xr:uid="{EF5BE0A0-3984-4188-93D6-585456159C57}"/>
    <cellStyle name="Normal 21 6 2 2 3 2 4" xfId="37197" xr:uid="{7D28C12E-1A39-4ADE-9709-2D02178A15CE}"/>
    <cellStyle name="Normal 21 6 2 2 3 3" xfId="37198" xr:uid="{B2EB433D-0E33-4DAF-8FF6-61BB8E3F9D10}"/>
    <cellStyle name="Normal 21 6 2 2 3 3 2" xfId="37199" xr:uid="{229A2387-3E42-4B07-B1C1-CF3FC30C77D6}"/>
    <cellStyle name="Normal 21 6 2 2 3 3 2 2" xfId="37200" xr:uid="{280B4C89-7E7F-4650-A812-A4FF23E8DB38}"/>
    <cellStyle name="Normal 21 6 2 2 3 3 3" xfId="37201" xr:uid="{78752258-37EB-4272-8568-BC8DB1DDDE49}"/>
    <cellStyle name="Normal 21 6 2 2 3 4" xfId="37202" xr:uid="{D0F524C1-87B1-43CF-80F9-2185DD0B0FEB}"/>
    <cellStyle name="Normal 21 6 2 2 3 4 2" xfId="37203" xr:uid="{618C9356-7E5F-499C-B55C-1DFCAF52006E}"/>
    <cellStyle name="Normal 21 6 2 2 3 5" xfId="37204" xr:uid="{104A4455-8517-410B-87AC-08ADF939BE7B}"/>
    <cellStyle name="Normal 21 6 2 2 4" xfId="31526" xr:uid="{D2D19900-7C2D-4DF2-AEDC-5B3C336C8B44}"/>
    <cellStyle name="Normal 21 6 2 2 4 2" xfId="37205" xr:uid="{C639C01A-956A-4620-B0E9-A06B007294AB}"/>
    <cellStyle name="Normal 21 6 2 2 4 2 2" xfId="37206" xr:uid="{ED20CA97-7D94-4BB6-B273-C5420AEA6FD3}"/>
    <cellStyle name="Normal 21 6 2 2 4 2 2 2" xfId="5042" xr:uid="{EFFEEC27-B9F3-473A-81EA-068EDFE7D83D}"/>
    <cellStyle name="Normal 21 6 2 2 4 2 3" xfId="37207" xr:uid="{3512BB1A-F43C-4EBD-8183-7464F3A7865A}"/>
    <cellStyle name="Normal 21 6 2 2 4 3" xfId="37208" xr:uid="{B8339065-637F-429A-BCC4-639287155D7B}"/>
    <cellStyle name="Normal 21 6 2 2 4 3 2" xfId="37209" xr:uid="{0279C55D-725C-4F9D-AB0A-6A26493C0C26}"/>
    <cellStyle name="Normal 21 6 2 2 4 4" xfId="37210" xr:uid="{64E789B5-A611-4AE8-B3C0-BBCF09A4542F}"/>
    <cellStyle name="Normal 21 6 2 2 5" xfId="37211" xr:uid="{F3DAD3FF-50F1-4B5E-BB54-0F6C85D4F702}"/>
    <cellStyle name="Normal 21 6 2 2 5 2" xfId="37213" xr:uid="{FC473642-0FA9-4272-99AB-7E4084F07550}"/>
    <cellStyle name="Normal 21 6 2 2 5 2 2" xfId="37214" xr:uid="{8783D2DE-28F5-4BA6-9C7F-E51D3718A245}"/>
    <cellStyle name="Normal 21 6 2 2 5 3" xfId="37215" xr:uid="{B3EBBB15-B37E-4717-B6D0-8232BFCC43B6}"/>
    <cellStyle name="Normal 21 6 2 2 6" xfId="37216" xr:uid="{05D1286D-8E63-44D2-B7B6-8525C2D86EA8}"/>
    <cellStyle name="Normal 21 6 2 2 6 2" xfId="37217" xr:uid="{FC997AA8-A13E-438E-870B-7212B8FFAD21}"/>
    <cellStyle name="Normal 21 6 2 2 7" xfId="37218" xr:uid="{9FFD0725-A3B7-4EA1-BC9C-2D9F94E10D34}"/>
    <cellStyle name="Normal 21 6 2 2 8" xfId="37219" xr:uid="{16E6548F-5301-4300-8890-164968DF4FA8}"/>
    <cellStyle name="Normal 21 6 2 3" xfId="37220" xr:uid="{91127C19-E085-4886-820D-520C0D18F17A}"/>
    <cellStyle name="Normal 21 6 2 3 2" xfId="395" xr:uid="{C2A2164B-B5C4-4ACB-8196-446C6C1F9A60}"/>
    <cellStyle name="Normal 21 6 2 3 2 2" xfId="37221" xr:uid="{5B4FF1D1-C706-4F55-804F-A1F043590EF3}"/>
    <cellStyle name="Normal 21 6 2 3 2 2 2" xfId="23315" xr:uid="{19E74CAE-7A19-4C33-866B-E8AED27EC41C}"/>
    <cellStyle name="Normal 21 6 2 3 2 2 2 2" xfId="37222" xr:uid="{6CCDED99-3E14-4929-A621-699FA1859F30}"/>
    <cellStyle name="Normal 21 6 2 3 2 2 2 2 2" xfId="37223" xr:uid="{19A8D864-242D-45CB-BF79-04022E5C07A6}"/>
    <cellStyle name="Normal 21 6 2 3 2 2 2 3" xfId="37224" xr:uid="{9809752A-14D2-4C0A-A922-A1FA98186D7D}"/>
    <cellStyle name="Normal 21 6 2 3 2 2 3" xfId="23317" xr:uid="{D554C315-7826-461A-893F-F9D912360022}"/>
    <cellStyle name="Normal 21 6 2 3 2 2 3 2" xfId="37225" xr:uid="{FE77892C-D2C4-4892-A101-3DD4EA02BC2E}"/>
    <cellStyle name="Normal 21 6 2 3 2 2 4" xfId="37226" xr:uid="{8ABFEA14-EB26-4E80-AD1C-9D1B58B6131F}"/>
    <cellStyle name="Normal 21 6 2 3 2 3" xfId="37227" xr:uid="{6B7A9234-1A1D-4F2B-844F-77490D1995D4}"/>
    <cellStyle name="Normal 21 6 2 3 2 3 2" xfId="37228" xr:uid="{21B45819-9B2E-447C-B7AD-889B30DA2844}"/>
    <cellStyle name="Normal 21 6 2 3 2 3 2 2" xfId="37229" xr:uid="{148CFD53-AB78-45F9-A74D-DBB50CA805EB}"/>
    <cellStyle name="Normal 21 6 2 3 2 3 3" xfId="37230" xr:uid="{76AF4C39-5E91-43CC-A9FB-5133E5D265BD}"/>
    <cellStyle name="Normal 21 6 2 3 2 4" xfId="37231" xr:uid="{31612C3E-9595-4DB4-A85C-EAD1BA7FC6CC}"/>
    <cellStyle name="Normal 21 6 2 3 2 4 2" xfId="37232" xr:uid="{2AC2AC42-5DBE-45B8-A984-C5573A916682}"/>
    <cellStyle name="Normal 21 6 2 3 2 5" xfId="37233" xr:uid="{8C12FBBA-7502-497B-A89D-CEB31BC8FD05}"/>
    <cellStyle name="Normal 21 6 2 3 3" xfId="401" xr:uid="{3CC9E6AF-7177-4D07-A0BF-69669A7E03FD}"/>
    <cellStyle name="Normal 21 6 2 3 3 2" xfId="37235" xr:uid="{79E9565B-916C-4527-B4D5-EDAE2679C0F3}"/>
    <cellStyle name="Normal 21 6 2 3 3 2 2" xfId="37236" xr:uid="{68434AA3-F845-4572-90F7-E16C113C89E9}"/>
    <cellStyle name="Normal 21 6 2 3 3 2 2 2" xfId="37237" xr:uid="{DC98E15C-834D-4011-9296-49A10A50ADF2}"/>
    <cellStyle name="Normal 21 6 2 3 3 2 3" xfId="37238" xr:uid="{A7A371F0-1FBB-47FA-9D7B-E2FDDF2B99DD}"/>
    <cellStyle name="Normal 21 6 2 3 3 3" xfId="37239" xr:uid="{507F35C9-2C4E-48D4-ADFC-738C736D8CFE}"/>
    <cellStyle name="Normal 21 6 2 3 3 3 2" xfId="37240" xr:uid="{4191DCF8-783C-40DF-AAA4-2442AFAA830E}"/>
    <cellStyle name="Normal 21 6 2 3 3 4" xfId="37241" xr:uid="{97669558-3A03-409A-B191-6A61D41D5795}"/>
    <cellStyle name="Normal 21 6 2 3 4" xfId="406" xr:uid="{96081881-93CF-41B4-8F9E-5F12169F0850}"/>
    <cellStyle name="Normal 21 6 2 3 4 2" xfId="37242" xr:uid="{54086DD4-D407-45C3-AACB-BB438104510C}"/>
    <cellStyle name="Normal 21 6 2 3 4 2 2" xfId="37243" xr:uid="{76C25167-0BBD-4D0C-B3AB-6E73A8027F0D}"/>
    <cellStyle name="Normal 21 6 2 3 4 3" xfId="37244" xr:uid="{4985451E-8C9B-45AC-812E-FA06FC93B8E9}"/>
    <cellStyle name="Normal 21 6 2 3 5" xfId="411" xr:uid="{23C279CB-5F91-4100-8EBA-064067475F03}"/>
    <cellStyle name="Normal 21 6 2 3 5 2" xfId="37245" xr:uid="{534ED6CE-A29D-4ADE-B7C4-E13C05C716DB}"/>
    <cellStyle name="Normal 21 6 2 3 6" xfId="430" xr:uid="{050AB55F-61E3-4B71-BA9E-5D9F55C23940}"/>
    <cellStyle name="Normal 21 6 2 3 7" xfId="447" xr:uid="{89D9B591-5E1F-473B-A22D-7BD9F059A262}"/>
    <cellStyle name="Normal 21 6 2 4" xfId="37246" xr:uid="{2B394009-BFB3-43F1-8C50-C0B1D595AD03}"/>
    <cellStyle name="Normal 21 6 2 4 2" xfId="37247" xr:uid="{1B35C77D-3E00-4BBD-98D4-6DB3C0A5E8FA}"/>
    <cellStyle name="Normal 21 6 2 4 2 2" xfId="37248" xr:uid="{A2A7AB25-80E8-4144-AD08-E44F8D85FFEB}"/>
    <cellStyle name="Normal 21 6 2 4 2 2 2" xfId="37249" xr:uid="{73CFB86B-CD30-404D-9507-860E1F3B4A2B}"/>
    <cellStyle name="Normal 21 6 2 4 2 2 2 2" xfId="37250" xr:uid="{758C8A5D-84B4-45D9-B925-0BCD3F377AE9}"/>
    <cellStyle name="Normal 21 6 2 4 2 2 3" xfId="37251" xr:uid="{39A78F2B-E1EC-4D28-B296-4897F1A7EB94}"/>
    <cellStyle name="Normal 21 6 2 4 2 3" xfId="37252" xr:uid="{A8A1A9EE-1D68-4452-AE16-7B4BFFB3F50D}"/>
    <cellStyle name="Normal 21 6 2 4 2 3 2" xfId="37253" xr:uid="{4332F987-BBC5-43F6-8129-3FCB0837D0CB}"/>
    <cellStyle name="Normal 21 6 2 4 2 4" xfId="37254" xr:uid="{4CA92EDA-7134-40AB-AF72-D4F62A878C09}"/>
    <cellStyle name="Normal 21 6 2 4 3" xfId="37256" xr:uid="{224F907F-2822-43F5-B19A-C0DDEC5FA16B}"/>
    <cellStyle name="Normal 21 6 2 4 3 2" xfId="37257" xr:uid="{1185781F-69C7-41FE-AE9D-38AFF352103C}"/>
    <cellStyle name="Normal 21 6 2 4 3 2 2" xfId="37258" xr:uid="{4453D876-69EC-46A7-93D8-F5287E24CE2C}"/>
    <cellStyle name="Normal 21 6 2 4 3 3" xfId="37259" xr:uid="{882E5E8B-36E2-449C-8621-EDDF7C360CA9}"/>
    <cellStyle name="Normal 21 6 2 4 4" xfId="37260" xr:uid="{8EFDD987-DAF1-44BA-88E7-D05720C0151E}"/>
    <cellStyle name="Normal 21 6 2 4 4 2" xfId="37261" xr:uid="{935214F8-54F1-4498-9B92-3F5D54D41409}"/>
    <cellStyle name="Normal 21 6 2 4 5" xfId="37262" xr:uid="{7C92B25B-CCE3-4438-BAF2-CFE8DF9775A7}"/>
    <cellStyle name="Normal 21 6 2 5" xfId="37263" xr:uid="{9F907225-0195-460C-9208-B2F541BAF31D}"/>
    <cellStyle name="Normal 21 6 2 5 2" xfId="37264" xr:uid="{7DA8057F-1A34-4672-BB9E-3729545D7644}"/>
    <cellStyle name="Normal 21 6 2 5 2 2" xfId="37265" xr:uid="{E840DF49-CB3C-48CB-B3E3-7E49D94B7912}"/>
    <cellStyle name="Normal 21 6 2 5 2 2 2" xfId="37266" xr:uid="{5BCCDFB4-7188-4725-B667-06F5EB0D8309}"/>
    <cellStyle name="Normal 21 6 2 5 2 3" xfId="37267" xr:uid="{0BCD8D80-621F-4234-9ACE-1064B00ED326}"/>
    <cellStyle name="Normal 21 6 2 5 3" xfId="37268" xr:uid="{670C77A3-1C44-43DD-A26F-F4C4AFB06D18}"/>
    <cellStyle name="Normal 21 6 2 5 3 2" xfId="37269" xr:uid="{5B3AA7EE-9734-4C80-B3CB-E249DDE550B7}"/>
    <cellStyle name="Normal 21 6 2 5 4" xfId="37270" xr:uid="{00625165-E2CB-4E9A-BDA3-B319DE7F2658}"/>
    <cellStyle name="Normal 21 6 2 6" xfId="37271" xr:uid="{AB590D04-A9A1-4312-92B4-3A64375489BD}"/>
    <cellStyle name="Normal 21 6 2 6 2" xfId="37272" xr:uid="{0E322B74-9D32-4071-9448-BAC608B5012D}"/>
    <cellStyle name="Normal 21 6 2 6 2 2" xfId="37273" xr:uid="{0A1CD411-B77F-4211-ABE3-22F956875821}"/>
    <cellStyle name="Normal 21 6 2 6 3" xfId="37274" xr:uid="{266D9DC0-71F2-4574-9766-0BB95C778D5E}"/>
    <cellStyle name="Normal 21 6 2 7" xfId="37275" xr:uid="{1340028F-7547-446B-ABD6-B5D0A00E1281}"/>
    <cellStyle name="Normal 21 6 2 7 2" xfId="37276" xr:uid="{BB272741-DA06-4ED5-BE55-1B9204CA16DB}"/>
    <cellStyle name="Normal 21 6 2 8" xfId="37277" xr:uid="{E34CB1D1-BE0F-492C-9EF3-CE18982F2F11}"/>
    <cellStyle name="Normal 21 6 2 9" xfId="37278" xr:uid="{B2E0774D-7C9C-431B-BD69-904EAA6837B0}"/>
    <cellStyle name="Normal 21 6 3" xfId="37279" xr:uid="{AD9B8D2C-66DC-416A-932C-3AD678EA6237}"/>
    <cellStyle name="Normal 21 6 3 2" xfId="37280" xr:uid="{24E87376-5288-4D16-8F39-FFFDA60931DF}"/>
    <cellStyle name="Normal 21 6 3 2 2" xfId="37281" xr:uid="{BF906F72-D574-4BC7-A077-C907C144F740}"/>
    <cellStyle name="Normal 21 6 3 2 2 2" xfId="37282" xr:uid="{C0D6C4C9-2156-4889-AB41-A1F410C789AD}"/>
    <cellStyle name="Normal 21 6 3 2 2 2 2" xfId="23844" xr:uid="{A7CE9540-A101-4579-BF18-EFDB25F39C37}"/>
    <cellStyle name="Normal 21 6 3 2 2 2 2 2" xfId="37283" xr:uid="{B3AB02E9-9CDA-459F-8B3E-7CCD19BC7F29}"/>
    <cellStyle name="Normal 21 6 3 2 2 2 2 2 2" xfId="37284" xr:uid="{55365546-0FBC-48F8-900E-E5D9725C3C26}"/>
    <cellStyle name="Normal 21 6 3 2 2 2 2 3" xfId="37285" xr:uid="{A03C8823-351C-4AAF-826D-3ECFFC3FB4B3}"/>
    <cellStyle name="Normal 21 6 3 2 2 2 3" xfId="23846" xr:uid="{81E70ED6-A1AC-4A58-A6F8-3CE527A1EFC7}"/>
    <cellStyle name="Normal 21 6 3 2 2 2 3 2" xfId="37286" xr:uid="{98CA96A5-B67A-479F-A580-0BF419C31ADB}"/>
    <cellStyle name="Normal 21 6 3 2 2 2 4" xfId="37287" xr:uid="{255CB040-E885-4A65-9622-DDCE4692B8E0}"/>
    <cellStyle name="Normal 21 6 3 2 2 3" xfId="37288" xr:uid="{849005F1-298F-48EA-9116-C796F4C221FC}"/>
    <cellStyle name="Normal 21 6 3 2 2 3 2" xfId="37289" xr:uid="{9DBC0B7F-0C0A-4947-B6DF-CEEE235B4FF2}"/>
    <cellStyle name="Normal 21 6 3 2 2 3 2 2" xfId="37290" xr:uid="{AB6EAEB6-8C6F-42E6-8253-6FB800BC9FC7}"/>
    <cellStyle name="Normal 21 6 3 2 2 3 3" xfId="37291" xr:uid="{3C81E9BD-E0EA-4C59-A4E9-5C739987D89F}"/>
    <cellStyle name="Normal 21 6 3 2 2 4" xfId="37292" xr:uid="{BB43CFAB-BD69-48EC-8D66-9494BDE3AD7D}"/>
    <cellStyle name="Normal 21 6 3 2 2 4 2" xfId="37293" xr:uid="{7AF2B9C5-C914-4207-B07F-2A14D035F7E3}"/>
    <cellStyle name="Normal 21 6 3 2 2 5" xfId="37294" xr:uid="{1620A941-62D3-4209-B1B9-D37EEAE30AAE}"/>
    <cellStyle name="Normal 21 6 3 2 3" xfId="37295" xr:uid="{32DF344B-4E95-429F-B404-13B5C2815ED2}"/>
    <cellStyle name="Normal 21 6 3 2 3 2" xfId="37296" xr:uid="{9ED3BE90-846E-4533-9D69-A82AF7605A37}"/>
    <cellStyle name="Normal 21 6 3 2 3 2 2" xfId="37297" xr:uid="{D35BF1FC-ADB9-4FC1-B525-85F5C52C0543}"/>
    <cellStyle name="Normal 21 6 3 2 3 2 2 2" xfId="37298" xr:uid="{535C2E8D-3D80-4371-B474-A84F14778E5A}"/>
    <cellStyle name="Normal 21 6 3 2 3 2 3" xfId="37299" xr:uid="{73100C21-F602-4A24-8F75-F95CF9266B28}"/>
    <cellStyle name="Normal 21 6 3 2 3 3" xfId="37300" xr:uid="{9091745D-5DE3-4503-9B61-4E786B18B40B}"/>
    <cellStyle name="Normal 21 6 3 2 3 3 2" xfId="37301" xr:uid="{67811C24-888A-4935-94B4-2C9767056209}"/>
    <cellStyle name="Normal 21 6 3 2 3 4" xfId="37302" xr:uid="{EAA470DD-E394-464C-AB82-7D5C201B080F}"/>
    <cellStyle name="Normal 21 6 3 2 4" xfId="37303" xr:uid="{55DF7DE3-D9F4-47A4-BCD5-CD5644127956}"/>
    <cellStyle name="Normal 21 6 3 2 4 2" xfId="37304" xr:uid="{5210B509-7F9A-47C8-8958-9CAC93AA7774}"/>
    <cellStyle name="Normal 21 6 3 2 4 2 2" xfId="37305" xr:uid="{77787747-467B-4056-853E-B3BA87C80FB7}"/>
    <cellStyle name="Normal 21 6 3 2 4 3" xfId="37306" xr:uid="{3DC0842B-9A67-4A14-8E38-0AAC1EA97C53}"/>
    <cellStyle name="Normal 21 6 3 2 5" xfId="37307" xr:uid="{6A5F9E23-E48D-44BB-93E8-35ACD15C6FD1}"/>
    <cellStyle name="Normal 21 6 3 2 5 2" xfId="37308" xr:uid="{5FFE3B6E-5C10-4635-93FD-E95EC973E99A}"/>
    <cellStyle name="Normal 21 6 3 2 6" xfId="37309" xr:uid="{9810873E-0C46-45D7-854F-9855E0012411}"/>
    <cellStyle name="Normal 21 6 3 2 7" xfId="37310" xr:uid="{CD0E5995-C513-4E07-A617-C97DE5D85F65}"/>
    <cellStyle name="Normal 21 6 3 3" xfId="37311" xr:uid="{DBD48492-D1AF-4F1B-AD50-DA4446CA3E6F}"/>
    <cellStyle name="Normal 21 6 3 3 2" xfId="37312" xr:uid="{8A13BF53-8957-4BD3-BD4B-8571698DBCF8}"/>
    <cellStyle name="Normal 21 6 3 3 2 2" xfId="37313" xr:uid="{46D1F949-A5E1-4E4E-818E-1330A672AEA0}"/>
    <cellStyle name="Normal 21 6 3 3 2 2 2" xfId="37314" xr:uid="{6C371CFC-B352-4A5D-AE9A-7393309248AE}"/>
    <cellStyle name="Normal 21 6 3 3 2 2 2 2" xfId="37315" xr:uid="{4EE26445-88D5-4A3B-8C6B-D9234C2D4DEA}"/>
    <cellStyle name="Normal 21 6 3 3 2 2 3" xfId="37316" xr:uid="{0F59E37E-8E36-4FC3-BB83-846D3827B052}"/>
    <cellStyle name="Normal 21 6 3 3 2 3" xfId="37317" xr:uid="{FCFE18E7-899C-464F-8D7E-C8788D78CB23}"/>
    <cellStyle name="Normal 21 6 3 3 2 3 2" xfId="37318" xr:uid="{889C591F-4094-496B-9C04-56163F40B808}"/>
    <cellStyle name="Normal 21 6 3 3 2 4" xfId="37319" xr:uid="{F2CA43D1-2D83-4E8C-AF03-BF596444EAB9}"/>
    <cellStyle name="Normal 21 6 3 3 3" xfId="37321" xr:uid="{A2B79B69-7D60-4262-A7EB-5DD48AD7CE09}"/>
    <cellStyle name="Normal 21 6 3 3 3 2" xfId="37322" xr:uid="{9495D1AB-83F5-48A7-A3D2-E3DC8F27B0E6}"/>
    <cellStyle name="Normal 21 6 3 3 3 2 2" xfId="37323" xr:uid="{0E62D9A7-7FDB-4940-A243-D366380ED36F}"/>
    <cellStyle name="Normal 21 6 3 3 3 3" xfId="13212" xr:uid="{0301FF94-B11E-413F-9D83-F733326838F4}"/>
    <cellStyle name="Normal 21 6 3 3 4" xfId="37324" xr:uid="{C15F238A-5D25-4886-828F-1393A8CE2A95}"/>
    <cellStyle name="Normal 21 6 3 3 4 2" xfId="37325" xr:uid="{8225A143-77E1-4756-8293-4A078E677C1F}"/>
    <cellStyle name="Normal 21 6 3 3 5" xfId="37326" xr:uid="{2AD2A953-7E78-4C75-A38D-1F1654EAACD9}"/>
    <cellStyle name="Normal 21 6 3 4" xfId="37327" xr:uid="{31CCFAE5-C206-46EA-AEBD-48D98981E66D}"/>
    <cellStyle name="Normal 21 6 3 4 2" xfId="37328" xr:uid="{C9D5E784-91D4-4393-899A-767DC74BDD34}"/>
    <cellStyle name="Normal 21 6 3 4 2 2" xfId="37329" xr:uid="{97AB3A8F-E992-4FF5-A05D-C0ABB6A2BB06}"/>
    <cellStyle name="Normal 21 6 3 4 2 2 2" xfId="37330" xr:uid="{A8367A93-B9E5-4468-81CA-70FF2C1CADA7}"/>
    <cellStyle name="Normal 21 6 3 4 2 3" xfId="37331" xr:uid="{55CD1779-179F-4093-8B98-15B0AECA76E9}"/>
    <cellStyle name="Normal 21 6 3 4 3" xfId="37332" xr:uid="{8F5ACB47-CFB4-48D7-AA31-06CCC7383A5E}"/>
    <cellStyle name="Normal 21 6 3 4 3 2" xfId="37333" xr:uid="{5A85353D-723D-4B27-8C9E-44BED1EDCD34}"/>
    <cellStyle name="Normal 21 6 3 4 4" xfId="37334" xr:uid="{76D8DC01-CEAE-492A-8DDD-CE48C619242B}"/>
    <cellStyle name="Normal 21 6 3 5" xfId="37335" xr:uid="{A8AF7CFB-006B-425A-8B6E-7B4F51A84A1B}"/>
    <cellStyle name="Normal 21 6 3 5 2" xfId="37336" xr:uid="{3181331B-51F5-4F63-A2A0-861D5D6A8B6F}"/>
    <cellStyle name="Normal 21 6 3 5 2 2" xfId="37337" xr:uid="{9003D269-90EB-4F27-B4A6-69554F8E403B}"/>
    <cellStyle name="Normal 21 6 3 5 3" xfId="34" xr:uid="{D1483053-D854-470B-A69B-36558812FB18}"/>
    <cellStyle name="Normal 21 6 3 6" xfId="37338" xr:uid="{2CED2391-CE14-4559-A90A-A6DC1B2D3889}"/>
    <cellStyle name="Normal 21 6 3 6 2" xfId="37339" xr:uid="{BAA5C5C9-B9B0-4015-9E2F-C010A4DCAF44}"/>
    <cellStyle name="Normal 21 6 3 7" xfId="37340" xr:uid="{AF4496D0-0679-457C-BE30-77BEFC1567B9}"/>
    <cellStyle name="Normal 21 6 3 8" xfId="37341" xr:uid="{A93C3865-2694-4929-8B0D-55BEC8A1A6FC}"/>
    <cellStyle name="Normal 21 6 4" xfId="37342" xr:uid="{49CC6AA7-6B06-4507-AEA8-7A7DB77300C5}"/>
    <cellStyle name="Normal 21 6 4 2" xfId="37343" xr:uid="{941AE7AD-EC41-4271-B2DC-29D9A7C771B1}"/>
    <cellStyle name="Normal 21 6 4 2 2" xfId="37344" xr:uid="{6C7A5289-032C-4B03-93E6-A3017F8772A3}"/>
    <cellStyle name="Normal 21 6 4 2 2 2" xfId="37345" xr:uid="{34BF5E0B-9E54-46C4-8126-1D43327A169A}"/>
    <cellStyle name="Normal 21 6 4 2 2 2 2" xfId="37346" xr:uid="{5A1BD5AD-A42F-464D-8DC4-218D5E95EC2B}"/>
    <cellStyle name="Normal 21 6 4 2 2 2 2 2" xfId="37347" xr:uid="{DCB5BF9F-99C6-46FE-8FB1-28ADEC2C2B74}"/>
    <cellStyle name="Normal 21 6 4 2 2 2 3" xfId="37348" xr:uid="{E9785D34-38AE-4F5F-9715-DBFD61CDF0DC}"/>
    <cellStyle name="Normal 21 6 4 2 2 3" xfId="37349" xr:uid="{F6F0C392-BD89-41D0-821D-C3FDFDD3003C}"/>
    <cellStyle name="Normal 21 6 4 2 2 3 2" xfId="37350" xr:uid="{B2A27EF4-8435-4CFE-9767-E7D7CA6C44F0}"/>
    <cellStyle name="Normal 21 6 4 2 2 4" xfId="37351" xr:uid="{174027E8-43B2-4BFC-955B-9EB78E53E0A4}"/>
    <cellStyle name="Normal 21 6 4 2 3" xfId="37352" xr:uid="{E75B45F5-A3AB-4C77-9137-FCEEC808C2B1}"/>
    <cellStyle name="Normal 21 6 4 2 3 2" xfId="37353" xr:uid="{EA92958D-F38F-4E17-AFC9-5C8654D5D8D5}"/>
    <cellStyle name="Normal 21 6 4 2 3 2 2" xfId="37354" xr:uid="{9E162C5F-257C-48F7-B937-E8CE9142875A}"/>
    <cellStyle name="Normal 21 6 4 2 3 3" xfId="37355" xr:uid="{52759ADD-11CA-43F2-8CE4-3C8A3BBA3BA2}"/>
    <cellStyle name="Normal 21 6 4 2 4" xfId="37356" xr:uid="{E85220AA-1C81-4785-A394-0658DF799459}"/>
    <cellStyle name="Normal 21 6 4 2 4 2" xfId="36148" xr:uid="{6E64D18C-08F2-49FC-B450-B230131FBAA7}"/>
    <cellStyle name="Normal 21 6 4 2 5" xfId="37357" xr:uid="{5B00F28F-B638-467F-AFB5-677146F1FAED}"/>
    <cellStyle name="Normal 21 6 4 3" xfId="37358" xr:uid="{81CC0E59-5AB2-4BA8-AF74-14339B5FEC5C}"/>
    <cellStyle name="Normal 21 6 4 3 2" xfId="37359" xr:uid="{8AA931C2-D003-42DB-A182-450C62671005}"/>
    <cellStyle name="Normal 21 6 4 3 2 2" xfId="37360" xr:uid="{9889424D-B7DC-42CE-B81C-24DB8859436C}"/>
    <cellStyle name="Normal 21 6 4 3 2 2 2" xfId="37361" xr:uid="{B5CBC11F-B5F6-4729-85D1-1F9FAB5E433A}"/>
    <cellStyle name="Normal 21 6 4 3 2 3" xfId="37362" xr:uid="{0EFA30BE-55ED-4768-BE19-9743F407E48F}"/>
    <cellStyle name="Normal 21 6 4 3 3" xfId="37363" xr:uid="{7FE067A4-237E-4B05-8BE2-6227E10A85CB}"/>
    <cellStyle name="Normal 21 6 4 3 3 2" xfId="37364" xr:uid="{129E0DCA-28C1-4E7E-9079-B0BFE1E56925}"/>
    <cellStyle name="Normal 21 6 4 3 4" xfId="37365" xr:uid="{4ABD265F-F48F-4A80-B853-04C75DFDDF46}"/>
    <cellStyle name="Normal 21 6 4 4" xfId="5691" xr:uid="{C61C3417-B376-48EC-BC2C-261C67DCDC19}"/>
    <cellStyle name="Normal 21 6 4 4 2" xfId="5696" xr:uid="{967FE08E-5EF7-48D1-A3AF-AA7DF04A386B}"/>
    <cellStyle name="Normal 21 6 4 4 2 2" xfId="5702" xr:uid="{ADDEB4C2-659E-40E6-B5FD-13ADE00B1D9D}"/>
    <cellStyle name="Normal 21 6 4 4 3" xfId="5652" xr:uid="{2598D079-E531-4A51-8270-4D68EE4CB849}"/>
    <cellStyle name="Normal 21 6 4 5" xfId="5712" xr:uid="{554990DE-1C49-4FED-9C52-E1C656F3E447}"/>
    <cellStyle name="Normal 21 6 4 5 2" xfId="5722" xr:uid="{452B0DB9-1CB0-4E87-8090-B010666FA0ED}"/>
    <cellStyle name="Normal 21 6 4 6" xfId="5730" xr:uid="{54523B24-883D-4F6E-BDF6-062F1A9018B2}"/>
    <cellStyle name="Normal 21 6 4 7" xfId="5738" xr:uid="{E7230781-5B20-4839-A8AB-3C0C7E0B97FB}"/>
    <cellStyle name="Normal 21 6 5" xfId="6469" xr:uid="{412B3FD8-A953-428A-B0C6-6147CBB21778}"/>
    <cellStyle name="Normal 21 6 5 2" xfId="5835" xr:uid="{E3416785-CF98-4086-8D9A-A54751CDC589}"/>
    <cellStyle name="Normal 21 6 5 2 2" xfId="10523" xr:uid="{4F14CC37-21D9-4E7E-B4FE-99A689F38881}"/>
    <cellStyle name="Normal 21 6 5 2 2 2" xfId="37366" xr:uid="{73C6A35A-A8F8-45EC-A4E0-E226C8C83FCE}"/>
    <cellStyle name="Normal 21 6 5 2 2 2 2" xfId="10050" xr:uid="{0904B7A5-5C14-4CFA-B0EF-5BA6877EEC39}"/>
    <cellStyle name="Normal 21 6 5 2 2 3" xfId="37367" xr:uid="{2E61DFD1-C271-4596-87F0-C731685EDB6D}"/>
    <cellStyle name="Normal 21 6 5 2 3" xfId="37368" xr:uid="{B14A3178-13FE-4ADE-9E34-E6488E090F05}"/>
    <cellStyle name="Normal 21 6 5 2 3 2" xfId="37369" xr:uid="{F7D3228D-0159-4478-8FC8-264DDE05F6F7}"/>
    <cellStyle name="Normal 21 6 5 2 4" xfId="37370" xr:uid="{48AF4A97-915D-4786-92F5-469A39F06BF6}"/>
    <cellStyle name="Normal 21 6 5 3" xfId="10525" xr:uid="{ED4F1C81-1C57-4631-90FE-6154C15E54E8}"/>
    <cellStyle name="Normal 21 6 5 3 2" xfId="37371" xr:uid="{92D7A8C4-5B4A-4B54-B95F-48A76FA65D78}"/>
    <cellStyle name="Normal 21 6 5 3 2 2" xfId="37372" xr:uid="{EC91FFE4-5966-4CA9-88F1-E8CBACF3BFAA}"/>
    <cellStyle name="Normal 21 6 5 3 3" xfId="37373" xr:uid="{D26C50E0-F791-439B-8578-5393CB7A6D0B}"/>
    <cellStyle name="Normal 21 6 5 4" xfId="5876" xr:uid="{73C2AC5F-9EEB-44B3-B5EC-A37816392BCF}"/>
    <cellStyle name="Normal 21 6 5 4 2" xfId="5881" xr:uid="{76579D4D-CF23-4AC0-B3A5-19ECD07ED8EC}"/>
    <cellStyle name="Normal 21 6 5 5" xfId="5885" xr:uid="{87C68884-F4D6-44F4-88B6-D7605FCD397A}"/>
    <cellStyle name="Normal 21 6 6" xfId="1794" xr:uid="{7311F726-3B3A-4C57-A182-F2F75B7B36AF}"/>
    <cellStyle name="Normal 21 6 6 2" xfId="1107" xr:uid="{BD1099C9-18E8-4BC4-99A7-573579ED6FB4}"/>
    <cellStyle name="Normal 21 6 6 2 2" xfId="37374" xr:uid="{980D82B2-A309-4A93-93F4-7EA3FDE5FAF1}"/>
    <cellStyle name="Normal 21 6 6 2 2 2" xfId="37375" xr:uid="{7DB75E95-85D8-4E57-A2E7-4A6278674C90}"/>
    <cellStyle name="Normal 21 6 6 2 3" xfId="37376" xr:uid="{3F06B3D1-83EE-4C43-83AC-DE08CA601414}"/>
    <cellStyle name="Normal 21 6 6 3" xfId="37377" xr:uid="{C3B5CCC7-B419-40B1-993B-19DE3CEC63E5}"/>
    <cellStyle name="Normal 21 6 6 3 2" xfId="37378" xr:uid="{45DD0393-D8A5-43DB-864F-4288FAE5506E}"/>
    <cellStyle name="Normal 21 6 6 4" xfId="1112" xr:uid="{1B9844CE-69F5-479D-8B6B-02454318E142}"/>
    <cellStyle name="Normal 21 6 7" xfId="12640" xr:uid="{2F84B77A-FC94-4E0C-BDC3-4E2335EB6A9C}"/>
    <cellStyle name="Normal 21 6 7 2" xfId="20135" xr:uid="{64D1FFE2-6553-493B-942C-72C9D24EE92C}"/>
    <cellStyle name="Normal 21 6 7 2 2" xfId="20138" xr:uid="{95FED787-1007-42CF-9734-6601A2351B96}"/>
    <cellStyle name="Normal 21 6 7 3" xfId="20141" xr:uid="{284AF606-9A7B-4AB8-8E05-BE0E80E95153}"/>
    <cellStyle name="Normal 21 6 8" xfId="24489" xr:uid="{FE8AFCEC-6BAA-4BE6-8521-36A565B8E47E}"/>
    <cellStyle name="Normal 21 6 8 2" xfId="20147" xr:uid="{34A06633-F598-481D-B190-E0D024BEE81E}"/>
    <cellStyle name="Normal 21 6 9" xfId="12403" xr:uid="{17F5F925-B156-4E5A-BE2E-7BEEFA93060A}"/>
    <cellStyle name="Normal 21 7" xfId="31664" xr:uid="{E676D3CC-2D2E-41D0-88D0-0BC69F30EB90}"/>
    <cellStyle name="Normal 21 7 2" xfId="37379" xr:uid="{4E29B06A-94B5-495E-BCAA-2C558431E9AC}"/>
    <cellStyle name="Normal 21 7 2 2" xfId="37380" xr:uid="{4E82575E-7BA7-49FB-9346-EFC3ED93E86E}"/>
    <cellStyle name="Normal 21 7 2 2 2" xfId="37381" xr:uid="{3E023D46-7D4B-4953-B0B4-871CBD021336}"/>
    <cellStyle name="Normal 21 7 2 2 2 2" xfId="37382" xr:uid="{CB1FA38F-13BC-4F5C-9DFF-901ADB154FC9}"/>
    <cellStyle name="Normal 21 7 2 2 2 2 2" xfId="37383" xr:uid="{53896EC9-9396-4434-BC82-09C0F50AA0C5}"/>
    <cellStyle name="Normal 21 7 2 2 2 2 2 2" xfId="37384" xr:uid="{8A4943DC-AF79-4C71-89AD-5BC2224E430A}"/>
    <cellStyle name="Normal 21 7 2 2 2 2 2 2 2" xfId="37385" xr:uid="{BAB3EC1A-DBF7-42C1-8DDC-21B8D20AB061}"/>
    <cellStyle name="Normal 21 7 2 2 2 2 2 3" xfId="37386" xr:uid="{61F32FB8-06AB-42A6-ACDC-5F22DF2B46D7}"/>
    <cellStyle name="Normal 21 7 2 2 2 2 3" xfId="37387" xr:uid="{CADB8E6E-8A6B-44C8-B9E4-4A0BCD73800F}"/>
    <cellStyle name="Normal 21 7 2 2 2 2 3 2" xfId="37388" xr:uid="{CE4CC38D-FE20-42B9-9B00-6B14723F049F}"/>
    <cellStyle name="Normal 21 7 2 2 2 2 4" xfId="37389" xr:uid="{F38D0B52-77F0-4692-B450-C852313EED0E}"/>
    <cellStyle name="Normal 21 7 2 2 2 3" xfId="37390" xr:uid="{D56CCA44-FE6A-4CD9-B730-1F1AA11F2D85}"/>
    <cellStyle name="Normal 21 7 2 2 2 3 2" xfId="37391" xr:uid="{C1533B83-43B4-4845-AFC1-FD87D12DA872}"/>
    <cellStyle name="Normal 21 7 2 2 2 3 2 2" xfId="37393" xr:uid="{0912890F-411C-4F79-8F1D-F64F959988A6}"/>
    <cellStyle name="Normal 21 7 2 2 2 3 3" xfId="37394" xr:uid="{5BD3CF35-4B52-4755-859D-84079E1A4CFB}"/>
    <cellStyle name="Normal 21 7 2 2 2 4" xfId="37395" xr:uid="{E002CF5C-7D1A-4A14-B6D4-7068CA851FC0}"/>
    <cellStyle name="Normal 21 7 2 2 2 4 2" xfId="37396" xr:uid="{7B01B80E-C4FB-4070-81AE-A1056CD97A4F}"/>
    <cellStyle name="Normal 21 7 2 2 2 5" xfId="37397" xr:uid="{C239031D-2549-40E7-AD12-7CF3F74BD337}"/>
    <cellStyle name="Normal 21 7 2 2 3" xfId="37398" xr:uid="{81FC9BA9-A428-4828-9DA8-EA7B33F5FB08}"/>
    <cellStyle name="Normal 21 7 2 2 3 2" xfId="37399" xr:uid="{AF7BDE13-E164-429C-82D0-DE486AFC2A50}"/>
    <cellStyle name="Normal 21 7 2 2 3 2 2" xfId="37400" xr:uid="{4EA642CE-7847-437B-89E2-2DDBDE9A2D3A}"/>
    <cellStyle name="Normal 21 7 2 2 3 2 2 2" xfId="37401" xr:uid="{B4D98AD8-1195-45EB-ABDF-A33699A94079}"/>
    <cellStyle name="Normal 21 7 2 2 3 2 3" xfId="37402" xr:uid="{28D4EBDE-3F27-4285-BA11-AC3AF6D12FA5}"/>
    <cellStyle name="Normal 21 7 2 2 3 3" xfId="37403" xr:uid="{DE6FFF38-604A-4086-A463-F61D50FDA899}"/>
    <cellStyle name="Normal 21 7 2 2 3 3 2" xfId="37404" xr:uid="{17D2724B-533A-4741-A349-9EE6944F1868}"/>
    <cellStyle name="Normal 21 7 2 2 3 4" xfId="37405" xr:uid="{889BD8C7-E1E1-44DE-9621-4B299D22C2FC}"/>
    <cellStyle name="Normal 21 7 2 2 4" xfId="37406" xr:uid="{30C81A6E-06E7-44C4-B764-78D812553982}"/>
    <cellStyle name="Normal 21 7 2 2 4 2" xfId="37407" xr:uid="{9592E4C4-E5BB-4283-AE49-E25F29C74C75}"/>
    <cellStyle name="Normal 21 7 2 2 4 2 2" xfId="37408" xr:uid="{7596B680-3E54-4803-B216-D9AD08A241A8}"/>
    <cellStyle name="Normal 21 7 2 2 4 3" xfId="37409" xr:uid="{51F2A469-7C9A-4E23-8D54-9C15F9C37572}"/>
    <cellStyle name="Normal 21 7 2 2 5" xfId="37410" xr:uid="{00572E4F-5141-4942-9C7E-91FF231BDC38}"/>
    <cellStyle name="Normal 21 7 2 2 5 2" xfId="37411" xr:uid="{87F81EE9-FB02-475E-A1A7-DD30BCF3C932}"/>
    <cellStyle name="Normal 21 7 2 2 6" xfId="37412" xr:uid="{36D4B6B4-0BE1-43A2-8178-97532710F911}"/>
    <cellStyle name="Normal 21 7 2 2 7" xfId="37413" xr:uid="{71C7940B-C35B-4E68-9015-8E58B48303EC}"/>
    <cellStyle name="Normal 21 7 2 3" xfId="37414" xr:uid="{0EB8743C-8DEF-4EC9-BD37-C597AB90685A}"/>
    <cellStyle name="Normal 21 7 2 3 2" xfId="37415" xr:uid="{0E2EAFC9-0BF0-4F0D-8480-10A64CABD831}"/>
    <cellStyle name="Normal 21 7 2 3 2 2" xfId="37416" xr:uid="{73150EDA-53CA-4F53-839D-5F6FE0DA25F3}"/>
    <cellStyle name="Normal 21 7 2 3 2 2 2" xfId="37417" xr:uid="{1B7BB573-F57A-447A-8018-4A99CB148045}"/>
    <cellStyle name="Normal 21 7 2 3 2 2 2 2" xfId="37418" xr:uid="{7D002C26-66FD-4CE2-9DAB-C18E82D898F8}"/>
    <cellStyle name="Normal 21 7 2 3 2 2 3" xfId="37419" xr:uid="{89A4E7F7-FCFE-4F68-80DC-D7359D5E1A52}"/>
    <cellStyle name="Normal 21 7 2 3 2 3" xfId="37420" xr:uid="{0D685B25-5D0A-4F11-8682-D97DD5D2AE2F}"/>
    <cellStyle name="Normal 21 7 2 3 2 3 2" xfId="37421" xr:uid="{C5E68DB0-D845-42B4-AAB9-49EB3162F484}"/>
    <cellStyle name="Normal 21 7 2 3 2 4" xfId="37422" xr:uid="{3BBC047A-E653-49C3-BB50-78CB37DEF0FB}"/>
    <cellStyle name="Normal 21 7 2 3 3" xfId="37424" xr:uid="{50D23CFD-88B4-48B2-96CF-37CB864DB810}"/>
    <cellStyle name="Normal 21 7 2 3 3 2" xfId="37425" xr:uid="{1081E8D2-3AC6-41F6-8918-647BC5884120}"/>
    <cellStyle name="Normal 21 7 2 3 3 2 2" xfId="37426" xr:uid="{FCB3764C-77FD-4FBB-9748-77975AC5ED9A}"/>
    <cellStyle name="Normal 21 7 2 3 3 3" xfId="37427" xr:uid="{0BD1C547-86C6-4522-A356-2632BC9DF9AB}"/>
    <cellStyle name="Normal 21 7 2 3 4" xfId="37428" xr:uid="{8A402658-F99A-4F8C-BF0F-5F4C73A609D8}"/>
    <cellStyle name="Normal 21 7 2 3 4 2" xfId="37429" xr:uid="{9455D420-7AC2-4FB2-A0CB-FAE0FBDE8BDC}"/>
    <cellStyle name="Normal 21 7 2 3 5" xfId="37430" xr:uid="{BE25D9A2-AC46-4B7B-9BEE-FBCF959FBCAF}"/>
    <cellStyle name="Normal 21 7 2 4" xfId="37431" xr:uid="{C4AECCA7-9426-400A-95C8-0F4D6B3F3C6A}"/>
    <cellStyle name="Normal 21 7 2 4 2" xfId="37432" xr:uid="{3B1FD091-FF7E-4342-B6FF-B0530606F37C}"/>
    <cellStyle name="Normal 21 7 2 4 2 2" xfId="37433" xr:uid="{D1F073D2-C65D-4F2E-8D61-2E095BB6C781}"/>
    <cellStyle name="Normal 21 7 2 4 2 2 2" xfId="37434" xr:uid="{3062FFF0-32D0-4EEA-BA50-8A9FD11D78B4}"/>
    <cellStyle name="Normal 21 7 2 4 2 3" xfId="15151" xr:uid="{501F857C-F55E-4B80-8ECD-08AAB63969D8}"/>
    <cellStyle name="Normal 21 7 2 4 3" xfId="37435" xr:uid="{635EDB6E-6145-4BAC-B7F0-361814FE5F57}"/>
    <cellStyle name="Normal 21 7 2 4 3 2" xfId="37436" xr:uid="{3ADD9787-0551-4DA6-949C-D182EB569178}"/>
    <cellStyle name="Normal 21 7 2 4 4" xfId="37437" xr:uid="{3EA92528-9911-44DB-A990-4FA3BF6CD899}"/>
    <cellStyle name="Normal 21 7 2 5" xfId="37438" xr:uid="{574BAFEC-9568-4072-92C2-56991C0C199E}"/>
    <cellStyle name="Normal 21 7 2 5 2" xfId="37439" xr:uid="{86BDFCF5-D9B8-4104-A9EE-70F07886F3FC}"/>
    <cellStyle name="Normal 21 7 2 5 2 2" xfId="37440" xr:uid="{273BC870-6C86-4764-9F17-90BD283589C4}"/>
    <cellStyle name="Normal 21 7 2 5 3" xfId="37441" xr:uid="{3C18E676-C250-46EA-A218-E159E337133F}"/>
    <cellStyle name="Normal 21 7 2 6" xfId="37442" xr:uid="{EAFE3F6A-1F9D-4BEE-A321-41D2F60EC445}"/>
    <cellStyle name="Normal 21 7 2 6 2" xfId="37443" xr:uid="{D48BE464-78C4-418F-A771-9B808CAC5CE1}"/>
    <cellStyle name="Normal 21 7 2 7" xfId="37444" xr:uid="{5A532142-4463-4BA4-A91A-C8CD51297F33}"/>
    <cellStyle name="Normal 21 7 2 8" xfId="37445" xr:uid="{1DC5744E-345C-4865-9389-6887B252B3B4}"/>
    <cellStyle name="Normal 21 7 3" xfId="37446" xr:uid="{DDCCD0E7-A288-47A0-9213-90C0E82267FC}"/>
    <cellStyle name="Normal 21 7 3 2" xfId="4305" xr:uid="{C96C1C50-01DA-40B4-8012-05BE8432A566}"/>
    <cellStyle name="Normal 21 7 3 2 2" xfId="11867" xr:uid="{31201484-1011-4987-A414-11038651954D}"/>
    <cellStyle name="Normal 21 7 3 2 2 2" xfId="37447" xr:uid="{8CDAB52F-B8F4-4A68-B7AB-83ED59652F48}"/>
    <cellStyle name="Normal 21 7 3 2 2 2 2" xfId="37448" xr:uid="{7CE0C4DD-C682-49C8-BDF1-D0E9EE1DA83E}"/>
    <cellStyle name="Normal 21 7 3 2 2 2 2 2" xfId="37449" xr:uid="{10DF5CD9-A2D1-4DCA-B2A8-61FADAF64BE3}"/>
    <cellStyle name="Normal 21 7 3 2 2 2 3" xfId="37450" xr:uid="{F40D528C-55AB-4C10-97DA-F63D630A6FC2}"/>
    <cellStyle name="Normal 21 7 3 2 2 3" xfId="37451" xr:uid="{F93C7D27-5B04-48BC-AB63-3454D863A6E2}"/>
    <cellStyle name="Normal 21 7 3 2 2 3 2" xfId="37452" xr:uid="{DA483DEF-4695-4F91-934B-9AA81FA12E26}"/>
    <cellStyle name="Normal 21 7 3 2 2 4" xfId="37453" xr:uid="{1F5A1EA3-CCB5-468D-B0AD-9D6341AEAE3E}"/>
    <cellStyle name="Normal 21 7 3 2 3" xfId="37454" xr:uid="{B880E33A-6384-401A-95C5-81E1240AF875}"/>
    <cellStyle name="Normal 21 7 3 2 3 2" xfId="37455" xr:uid="{94DCCE9D-EECD-4C54-AE86-CDAA472B3114}"/>
    <cellStyle name="Normal 21 7 3 2 3 2 2" xfId="37456" xr:uid="{5E32955D-2D14-438A-9A74-DDAC110F0E14}"/>
    <cellStyle name="Normal 21 7 3 2 3 3" xfId="37457" xr:uid="{0CFACBDB-EC4B-45C8-B26A-1954317F5D7F}"/>
    <cellStyle name="Normal 21 7 3 2 4" xfId="37458" xr:uid="{B9DBFA9E-DE8B-4318-B1CC-9D2124EBEE8E}"/>
    <cellStyle name="Normal 21 7 3 2 4 2" xfId="37459" xr:uid="{63B5EF50-24BF-4C2B-9128-254BCB387AE6}"/>
    <cellStyle name="Normal 21 7 3 2 5" xfId="37460" xr:uid="{28B0DB14-5CC4-4BB6-A45F-1C8AC17A3CA7}"/>
    <cellStyle name="Normal 21 7 3 3" xfId="11871" xr:uid="{06C9D0CA-697D-43A3-B98D-3D9AD8B95C7C}"/>
    <cellStyle name="Normal 21 7 3 3 2" xfId="37461" xr:uid="{2028B5B0-766D-4747-8288-B9A275EA5173}"/>
    <cellStyle name="Normal 21 7 3 3 2 2" xfId="37462" xr:uid="{AFF2F5E7-A41B-4D07-B05D-29962ED5D80B}"/>
    <cellStyle name="Normal 21 7 3 3 2 2 2" xfId="37463" xr:uid="{449A7BDA-A2E6-44BD-85F8-47F17EF0E027}"/>
    <cellStyle name="Normal 21 7 3 3 2 3" xfId="37464" xr:uid="{45B3635C-4696-4967-8110-71B8CA8324BD}"/>
    <cellStyle name="Normal 21 7 3 3 3" xfId="37465" xr:uid="{4D7FB026-D1A8-4E2A-BC5A-3CEE28B5F2D0}"/>
    <cellStyle name="Normal 21 7 3 3 3 2" xfId="37466" xr:uid="{DA60B8C5-BEF4-4A48-B5A0-3E3627092A01}"/>
    <cellStyle name="Normal 21 7 3 3 4" xfId="37467" xr:uid="{9287B584-BFFF-4DB3-82F6-C02402E888B4}"/>
    <cellStyle name="Normal 21 7 3 4" xfId="37468" xr:uid="{4E2DE57A-1C68-41D1-BC0A-0026D9BE758B}"/>
    <cellStyle name="Normal 21 7 3 4 2" xfId="37469" xr:uid="{246EF34C-5169-4C95-B8DA-64EFD7D0F666}"/>
    <cellStyle name="Normal 21 7 3 4 2 2" xfId="37470" xr:uid="{4793DECE-4E16-4A29-A981-0B4E465A9ED2}"/>
    <cellStyle name="Normal 21 7 3 4 3" xfId="37471" xr:uid="{263A108C-ADEC-4727-8B99-8B5F17171C6D}"/>
    <cellStyle name="Normal 21 7 3 5" xfId="37472" xr:uid="{0CA77C0C-6449-4A56-9B62-776DC9B9574C}"/>
    <cellStyle name="Normal 21 7 3 5 2" xfId="37473" xr:uid="{7325E59A-2F67-4ACD-96F4-04842694F983}"/>
    <cellStyle name="Normal 21 7 3 6" xfId="37474" xr:uid="{EF86E59D-8CAD-4042-AEFF-11BC6EE80351}"/>
    <cellStyle name="Normal 21 7 3 7" xfId="37475" xr:uid="{9195D650-DF4C-4AFB-84C2-54A7A63E867D}"/>
    <cellStyle name="Normal 21 7 4" xfId="37476" xr:uid="{9C69FEB7-E5B7-4BAA-8653-2C2029DD641D}"/>
    <cellStyle name="Normal 21 7 4 2" xfId="11876" xr:uid="{C515DB1C-1874-41EE-89E7-E19141171EA7}"/>
    <cellStyle name="Normal 21 7 4 2 2" xfId="37477" xr:uid="{BDE5E75F-FE0E-465D-9BC6-4AC2160F4AA9}"/>
    <cellStyle name="Normal 21 7 4 2 2 2" xfId="37478" xr:uid="{1085C78D-60E0-4BFA-8DE5-E55BF18CDE95}"/>
    <cellStyle name="Normal 21 7 4 2 2 2 2" xfId="37479" xr:uid="{77279494-B0BF-4B67-A6CD-38AEECFA8463}"/>
    <cellStyle name="Normal 21 7 4 2 2 3" xfId="37480" xr:uid="{A53357EC-477D-4AD0-AFBF-5BC9367A5DB5}"/>
    <cellStyle name="Normal 21 7 4 2 3" xfId="37481" xr:uid="{469A0C0D-85B8-45E9-9EE7-68A81C2294A2}"/>
    <cellStyle name="Normal 21 7 4 2 3 2" xfId="37482" xr:uid="{B68F6EE9-B75A-462D-ABFF-E264B599B3F6}"/>
    <cellStyle name="Normal 21 7 4 2 4" xfId="37483" xr:uid="{E805C761-A0D0-4586-A34B-71A7ABF5B684}"/>
    <cellStyle name="Normal 21 7 4 3" xfId="37484" xr:uid="{833A2944-B3AF-433B-9D63-6C12076705AE}"/>
    <cellStyle name="Normal 21 7 4 3 2" xfId="37485" xr:uid="{1169E9BD-F704-46F3-B9FC-96283562BF28}"/>
    <cellStyle name="Normal 21 7 4 3 2 2" xfId="37486" xr:uid="{70477EA4-F733-44B0-97FF-F526C971CBE0}"/>
    <cellStyle name="Normal 21 7 4 3 3" xfId="37487" xr:uid="{8207EDD1-4863-415F-B10C-B58341325B36}"/>
    <cellStyle name="Normal 21 7 4 4" xfId="6134" xr:uid="{20A3E732-E420-4ACF-A459-530CD5579B1D}"/>
    <cellStyle name="Normal 21 7 4 4 2" xfId="6143" xr:uid="{5075E5DB-CCBD-454D-BA54-B56538CF343E}"/>
    <cellStyle name="Normal 21 7 4 5" xfId="6149" xr:uid="{7B1A2328-3B78-461D-A943-E1098FB1AC3E}"/>
    <cellStyle name="Normal 21 7 5" xfId="7554" xr:uid="{6EA86D1C-9154-474B-B7F5-E3D956E066F1}"/>
    <cellStyle name="Normal 21 7 5 2" xfId="10563" xr:uid="{EB8FE515-C5CD-4D85-B169-2F3869AB3497}"/>
    <cellStyle name="Normal 21 7 5 2 2" xfId="37488" xr:uid="{4023202C-7617-4A93-99AC-29C18B5C96B0}"/>
    <cellStyle name="Normal 21 7 5 2 2 2" xfId="37489" xr:uid="{93329A92-4EE8-4B28-99C4-DC03EABB770E}"/>
    <cellStyle name="Normal 21 7 5 2 3" xfId="37490" xr:uid="{727C7445-759E-4DB6-9066-678BBB28424A}"/>
    <cellStyle name="Normal 21 7 5 3" xfId="37491" xr:uid="{99B98CBD-EE77-4301-8A66-54F5922DDAD8}"/>
    <cellStyle name="Normal 21 7 5 3 2" xfId="37492" xr:uid="{46ED700F-B68C-4838-A1D4-F05F8681D874}"/>
    <cellStyle name="Normal 21 7 5 4" xfId="6273" xr:uid="{68718ECA-F992-467C-86FC-421BDD025093}"/>
    <cellStyle name="Normal 21 7 6" xfId="37493" xr:uid="{432396EE-68E7-4329-A78E-DB3F8649EF7B}"/>
    <cellStyle name="Normal 21 7 6 2" xfId="37494" xr:uid="{B41710B5-3467-47E4-A827-8F4A3F463E25}"/>
    <cellStyle name="Normal 21 7 6 2 2" xfId="37495" xr:uid="{B2EDC0AD-3D69-4F18-B616-700825BBB343}"/>
    <cellStyle name="Normal 21 7 6 3" xfId="37496" xr:uid="{CC6830AC-2D00-4A86-BE6C-8EE74C1556A3}"/>
    <cellStyle name="Normal 21 7 7" xfId="24492" xr:uid="{196476E7-D713-422F-B16D-A0813A077EBF}"/>
    <cellStyle name="Normal 21 7 7 2" xfId="20165" xr:uid="{42737CF0-5787-4532-99F6-1DCED77E815E}"/>
    <cellStyle name="Normal 21 7 8" xfId="24494" xr:uid="{AAB8BECB-07CF-41D1-BDBA-A5839C82AC8C}"/>
    <cellStyle name="Normal 21 7 9" xfId="37497" xr:uid="{C1D2C5EB-4AA8-4CBA-B1EE-C05E8046125E}"/>
    <cellStyle name="Normal 21 8" xfId="32892" xr:uid="{65E9E3AC-62C3-429C-B0A5-F4D8B153D307}"/>
    <cellStyle name="Normal 21 8 2" xfId="37498" xr:uid="{9B32265B-6983-4EBB-9F18-6EC0CB379585}"/>
    <cellStyle name="Normal 21 8 2 2" xfId="37499" xr:uid="{814902FD-A02A-421C-AB74-334DF8E8F995}"/>
    <cellStyle name="Normal 21 8 2 2 2" xfId="37500" xr:uid="{1978ECD4-297E-48D9-ACFD-8A946D8F63C3}"/>
    <cellStyle name="Normal 21 8 2 2 2 2" xfId="4273" xr:uid="{83E9BA79-D67F-42A7-A625-99CD40A3454C}"/>
    <cellStyle name="Normal 21 8 2 2 2 2 2" xfId="19532" xr:uid="{A1B048FE-F5EB-4EA4-A630-084FEAC4F2D7}"/>
    <cellStyle name="Normal 21 8 2 2 2 2 2 2" xfId="19535" xr:uid="{1E794027-F54D-4D39-9F0C-6662FE02C4A7}"/>
    <cellStyle name="Normal 21 8 2 2 2 2 3" xfId="19538" xr:uid="{F3695584-212C-423C-8565-EEACAA90F8C7}"/>
    <cellStyle name="Normal 21 8 2 2 2 3" xfId="19541" xr:uid="{7E9F4699-1783-43F2-8B56-D24DA5FAE132}"/>
    <cellStyle name="Normal 21 8 2 2 2 3 2" xfId="2220" xr:uid="{E01B3DCF-8960-4C41-88E5-0BCDD1422F93}"/>
    <cellStyle name="Normal 21 8 2 2 2 4" xfId="19544" xr:uid="{F118573F-4E88-4F3F-80D6-7EC8CAC6AE51}"/>
    <cellStyle name="Normal 21 8 2 2 3" xfId="37501" xr:uid="{3CFB0E65-FB69-4A2C-9567-25E389B9C3B5}"/>
    <cellStyle name="Normal 21 8 2 2 3 2" xfId="19550" xr:uid="{35D0784D-191D-46CB-937B-D0010E02D4CA}"/>
    <cellStyle name="Normal 21 8 2 2 3 2 2" xfId="19552" xr:uid="{560C7F99-7B3B-4073-9D8A-ABF1FABD83BC}"/>
    <cellStyle name="Normal 21 8 2 2 3 3" xfId="19555" xr:uid="{0B626E2C-48F5-4615-9907-543693809A16}"/>
    <cellStyle name="Normal 21 8 2 2 4" xfId="37502" xr:uid="{3328D8E6-CA1D-496B-82F6-63CB6620364B}"/>
    <cellStyle name="Normal 21 8 2 2 4 2" xfId="19560" xr:uid="{8A3FC545-C8A5-41A0-BEFC-7CED838624D9}"/>
    <cellStyle name="Normal 21 8 2 2 5" xfId="37503" xr:uid="{3E2A7FA2-918D-4042-9E57-A7749FBF80EE}"/>
    <cellStyle name="Normal 21 8 2 3" xfId="37504" xr:uid="{7F360A32-DAF3-47F7-B284-6AFA94193380}"/>
    <cellStyle name="Normal 21 8 2 3 2" xfId="37505" xr:uid="{65FB3F82-77E0-46B0-98E4-E77E38F61E93}"/>
    <cellStyle name="Normal 21 8 2 3 2 2" xfId="5469" xr:uid="{C09478C5-9946-4131-BE80-53D8089A97BD}"/>
    <cellStyle name="Normal 21 8 2 3 2 2 2" xfId="19569" xr:uid="{77171832-8C6A-453C-B4C9-CF86C1F1F672}"/>
    <cellStyle name="Normal 21 8 2 3 2 3" xfId="19573" xr:uid="{D65A3E27-6255-47E9-84EE-E0947DDD81E4}"/>
    <cellStyle name="Normal 21 8 2 3 3" xfId="37506" xr:uid="{F9DDAED3-C57C-4AE3-B24E-EABBB7AA9B7A}"/>
    <cellStyle name="Normal 21 8 2 3 3 2" xfId="19579" xr:uid="{B80467A5-F1E5-4E53-BDD2-FF9C8C047D3C}"/>
    <cellStyle name="Normal 21 8 2 3 4" xfId="37507" xr:uid="{D80790BA-6124-4418-9F85-D22ABB5B6D13}"/>
    <cellStyle name="Normal 21 8 2 4" xfId="37508" xr:uid="{20ED4C2B-77FE-4C7C-A392-EBD734FAA232}"/>
    <cellStyle name="Normal 21 8 2 4 2" xfId="37509" xr:uid="{59A7A882-0D3C-47FC-8069-CA1B5B8B017F}"/>
    <cellStyle name="Normal 21 8 2 4 2 2" xfId="19587" xr:uid="{86F357B4-D06C-4AAB-8E03-F7B245E7D34D}"/>
    <cellStyle name="Normal 21 8 2 4 3" xfId="37510" xr:uid="{31EE3BD9-F059-4039-BF3F-1897F5FFACCF}"/>
    <cellStyle name="Normal 21 8 2 5" xfId="37511" xr:uid="{A50AE0E6-C850-48FA-BF0F-C683B125E560}"/>
    <cellStyle name="Normal 21 8 2 5 2" xfId="37512" xr:uid="{BEC78B4E-552C-4428-A0E1-105E47EFC26C}"/>
    <cellStyle name="Normal 21 8 2 6" xfId="37513" xr:uid="{9AA1B395-328D-41AD-A7FE-B22539A9EE0E}"/>
    <cellStyle name="Normal 21 8 2 7" xfId="37514" xr:uid="{111C8B1F-3B3D-4128-8A9B-3B5C3BB3AD91}"/>
    <cellStyle name="Normal 21 8 3" xfId="37515" xr:uid="{E96119B7-348C-4718-867D-AFD6AFE01146}"/>
    <cellStyle name="Normal 21 8 3 2" xfId="11888" xr:uid="{143BC75C-C73A-4A1C-AB0D-F3E646C22081}"/>
    <cellStyle name="Normal 21 8 3 2 2" xfId="37516" xr:uid="{6690E582-75C6-496B-98B3-E479808A4DDD}"/>
    <cellStyle name="Normal 21 8 3 2 2 2" xfId="19615" xr:uid="{43F73BE1-B7AA-49D2-9241-0CF976E2C3C8}"/>
    <cellStyle name="Normal 21 8 3 2 2 2 2" xfId="19617" xr:uid="{03B718F3-FC46-4472-ABCF-2433A94DE65B}"/>
    <cellStyle name="Normal 21 8 3 2 2 3" xfId="19620" xr:uid="{30F98FEE-717C-4D07-B3BB-39F7767E41ED}"/>
    <cellStyle name="Normal 21 8 3 2 3" xfId="37517" xr:uid="{CB0C0D12-B930-42E5-A962-0E89BDFF42AC}"/>
    <cellStyle name="Normal 21 8 3 2 3 2" xfId="19625" xr:uid="{EC13FB31-8C52-44B3-BD7D-239A7BAF3A5B}"/>
    <cellStyle name="Normal 21 8 3 2 4" xfId="37518" xr:uid="{8A9A2FDF-8910-46C8-808D-6021BCA5F7E3}"/>
    <cellStyle name="Normal 21 8 3 3" xfId="37519" xr:uid="{127EACCB-A804-432B-834E-24CAD89329D3}"/>
    <cellStyle name="Normal 21 8 3 3 2" xfId="37520" xr:uid="{4327C6C2-6575-4F38-9CC9-9A32D0D164DA}"/>
    <cellStyle name="Normal 21 8 3 3 2 2" xfId="19641" xr:uid="{E877A9C0-4986-493C-A616-F9368D0D53C6}"/>
    <cellStyle name="Normal 21 8 3 3 3" xfId="37521" xr:uid="{41D3B188-FF1D-4D3E-A245-DE14CBA90BA1}"/>
    <cellStyle name="Normal 21 8 3 4" xfId="37522" xr:uid="{701FF096-0BB8-4846-8B08-9B110F10C3EA}"/>
    <cellStyle name="Normal 21 8 3 4 2" xfId="37523" xr:uid="{0D378D95-3B1F-4B90-AD38-AD1C114CC5E0}"/>
    <cellStyle name="Normal 21 8 3 5" xfId="37524" xr:uid="{6C2D406E-DB6F-48F6-8D74-05C85EDD5745}"/>
    <cellStyle name="Normal 21 8 4" xfId="37525" xr:uid="{C53CACDA-5C52-4025-B26F-E25FA14DA9B9}"/>
    <cellStyle name="Normal 21 8 4 2" xfId="37526" xr:uid="{766B95A9-A2D0-417A-8934-8FD1F479BD1A}"/>
    <cellStyle name="Normal 21 8 4 2 2" xfId="37527" xr:uid="{A6384BF8-C0D5-4EF6-B050-FA0AFFD6A8FF}"/>
    <cellStyle name="Normal 21 8 4 2 2 2" xfId="10744" xr:uid="{8A92718C-9D35-4A58-9F9D-FBDB1309AC7A}"/>
    <cellStyle name="Normal 21 8 4 2 3" xfId="37528" xr:uid="{07C13873-0493-4E00-AEA3-0A80438270E6}"/>
    <cellStyle name="Normal 21 8 4 3" xfId="37529" xr:uid="{334E33B9-85FB-461E-BBF1-66A7330994C2}"/>
    <cellStyle name="Normal 21 8 4 3 2" xfId="37530" xr:uid="{0E112485-D080-477C-84C3-61EDFD33FD65}"/>
    <cellStyle name="Normal 21 8 4 4" xfId="6395" xr:uid="{F399DEC9-5472-46FA-A218-4D068699A231}"/>
    <cellStyle name="Normal 21 8 5" xfId="37531" xr:uid="{F933E730-918C-4678-A81E-C4E6E14A1EB4}"/>
    <cellStyle name="Normal 21 8 5 2" xfId="37532" xr:uid="{D5CFC5F5-00F9-48C0-BFF3-A5DEA03F1EA5}"/>
    <cellStyle name="Normal 21 8 5 2 2" xfId="37533" xr:uid="{946BDA3E-FCDA-4D07-B4D8-1FF9FFA71348}"/>
    <cellStyle name="Normal 21 8 5 3" xfId="37534" xr:uid="{571C4B7F-3630-4A61-9092-46D2695E9125}"/>
    <cellStyle name="Normal 21 8 6" xfId="37535" xr:uid="{50211109-FC10-4FDC-AB1D-78C8E6B82718}"/>
    <cellStyle name="Normal 21 8 6 2" xfId="37536" xr:uid="{283C6E8C-996E-4129-ADD4-7E7E9876B343}"/>
    <cellStyle name="Normal 21 8 7" xfId="24496" xr:uid="{9D70B6FD-22BE-41E5-8D17-E22AB962B9E1}"/>
    <cellStyle name="Normal 21 8 8" xfId="37537" xr:uid="{D9062010-00ED-4EE1-858D-1518CED59038}"/>
    <cellStyle name="Normal 21 9" xfId="32894" xr:uid="{E061E15E-C446-4ABC-984D-19870A1B31A3}"/>
    <cellStyle name="Normal 21 9 2" xfId="37538" xr:uid="{0A9DDC8B-2DFA-4DD4-869E-AF2D2DF729DC}"/>
    <cellStyle name="Normal 21 9 2 2" xfId="37539" xr:uid="{F03AF8D1-3937-4115-8029-43477C40393B}"/>
    <cellStyle name="Normal 21 9 2 2 2" xfId="37540" xr:uid="{84EAE065-2E21-462F-AB0C-40194949A559}"/>
    <cellStyle name="Normal 21 9 2 2 2 2" xfId="12058" xr:uid="{A0D6D625-5D88-46AB-B297-24AFCFC552A1}"/>
    <cellStyle name="Normal 21 9 2 2 2 2 2" xfId="12061" xr:uid="{7A0321F9-F63B-4A24-B473-D1A135B5E031}"/>
    <cellStyle name="Normal 21 9 2 2 2 3" xfId="12065" xr:uid="{5DDDF9CD-DD8D-41AD-962D-CD52C6394909}"/>
    <cellStyle name="Normal 21 9 2 2 3" xfId="37541" xr:uid="{D035D0AE-9ED4-43B0-9EAB-4C5FB95CAC1D}"/>
    <cellStyle name="Normal 21 9 2 2 3 2" xfId="12103" xr:uid="{FAD009EC-1921-4CD0-8304-9F7CF022F7CB}"/>
    <cellStyle name="Normal 21 9 2 2 4" xfId="37542" xr:uid="{C246C9E7-8684-4C01-9B6F-BBFFB4DD4010}"/>
    <cellStyle name="Normal 21 9 2 3" xfId="37543" xr:uid="{0DCDB403-7763-4F48-84D2-438A70BE86FA}"/>
    <cellStyle name="Normal 21 9 2 3 2" xfId="37544" xr:uid="{E33876A9-05F0-4B82-BA2F-E506D464E18D}"/>
    <cellStyle name="Normal 21 9 2 3 2 2" xfId="12923" xr:uid="{AED401D3-212C-4DBC-AC54-92A0CD0711DD}"/>
    <cellStyle name="Normal 21 9 2 3 3" xfId="37545" xr:uid="{75D69933-8E3B-4467-904D-889DDDEE21AC}"/>
    <cellStyle name="Normal 21 9 2 4" xfId="37546" xr:uid="{48DD9175-81F5-41CB-9BFE-A74C6384CEDD}"/>
    <cellStyle name="Normal 21 9 2 4 2" xfId="37547" xr:uid="{7D6CC657-768D-4EDE-BFE5-F07BEB418DC2}"/>
    <cellStyle name="Normal 21 9 2 5" xfId="37548" xr:uid="{7907D6F5-E643-4F1B-8F99-C3EB12EA05D6}"/>
    <cellStyle name="Normal 21 9 3" xfId="37549" xr:uid="{A47D0714-2D85-43F4-83B0-7BD10623214D}"/>
    <cellStyle name="Normal 21 9 3 2" xfId="37550" xr:uid="{DDEB5ABF-1E39-4532-A17F-420D9EF7A43D}"/>
    <cellStyle name="Normal 21 9 3 2 2" xfId="37551" xr:uid="{E37140BF-253D-4D04-B8B1-01FA016DCF2F}"/>
    <cellStyle name="Normal 21 9 3 2 2 2" xfId="14849" xr:uid="{5A7F3632-6FA3-4FA1-9285-698A8CF3CA3E}"/>
    <cellStyle name="Normal 21 9 3 2 3" xfId="37552" xr:uid="{75BFF7F4-4E34-44D5-BEAB-C995A836BACE}"/>
    <cellStyle name="Normal 21 9 3 3" xfId="37553" xr:uid="{945BEAB7-29B6-4CC4-93D4-F9D162648F57}"/>
    <cellStyle name="Normal 21 9 3 3 2" xfId="37554" xr:uid="{8AF05DFD-51B9-47E3-8778-7027FD31A2B7}"/>
    <cellStyle name="Normal 21 9 3 4" xfId="37555" xr:uid="{92159534-0F1C-4526-90D3-11CA91DF7DD0}"/>
    <cellStyle name="Normal 21 9 4" xfId="37556" xr:uid="{452BF6E2-BE28-407F-8C20-1A91DBE43942}"/>
    <cellStyle name="Normal 21 9 4 2" xfId="37557" xr:uid="{4879292F-288B-4792-848B-B2BD758F40DA}"/>
    <cellStyle name="Normal 21 9 4 2 2" xfId="37558" xr:uid="{952A937C-E85F-480F-9013-0103062E34DB}"/>
    <cellStyle name="Normal 21 9 4 3" xfId="37559" xr:uid="{0111D617-7076-41DA-A933-9EA08A3B5AA5}"/>
    <cellStyle name="Normal 21 9 5" xfId="37560" xr:uid="{05D32B6F-54DC-4268-B32F-C6944A2CF92E}"/>
    <cellStyle name="Normal 21 9 5 2" xfId="37561" xr:uid="{F9F08559-21A1-4D3C-A55F-26A842A83CB7}"/>
    <cellStyle name="Normal 21 9 6" xfId="37562" xr:uid="{5E4FD94F-12ED-496F-A34A-9811DF94B365}"/>
    <cellStyle name="Normal 21 9 7" xfId="37563" xr:uid="{96DDF202-2F96-43CE-9DB2-E2E9482E3247}"/>
    <cellStyle name="Normal 210" xfId="32788" xr:uid="{933C006E-4804-4F0E-868D-EE032BED0B3C}"/>
    <cellStyle name="Normal 210 2" xfId="11899" xr:uid="{E68BEF71-0A3A-4BB5-9130-2D74F410352F}"/>
    <cellStyle name="Normal 210 2 2" xfId="11906" xr:uid="{F29534F2-DB82-4D7A-A3FC-5C7CEB668A7D}"/>
    <cellStyle name="Normal 210 3" xfId="2703" xr:uid="{05D24D57-1C33-414C-A6BE-BA8275DDA3A7}"/>
    <cellStyle name="Normal 211" xfId="32792" xr:uid="{8A5A3C16-550D-40EB-BD28-162D7AC978D3}"/>
    <cellStyle name="Normal 211 2" xfId="11941" xr:uid="{EA6BD06A-87A2-46AB-AA42-5E1AD9EB2B70}"/>
    <cellStyle name="Normal 211 2 2" xfId="31229" xr:uid="{7313D732-4CC9-4159-8067-53CDA26C8000}"/>
    <cellStyle name="Normal 211 3" xfId="32797" xr:uid="{F442AEE3-DD83-4DD5-80C4-5CA437618B71}"/>
    <cellStyle name="Normal 212" xfId="32801" xr:uid="{F3A55568-E7E1-44E4-BBE6-F517DFA827E9}"/>
    <cellStyle name="Normal 212 2" xfId="1210" xr:uid="{A7896D1B-D33B-46C0-9C45-3AFC451951FA}"/>
    <cellStyle name="Normal 212 2 2" xfId="32806" xr:uid="{4B921CE6-0585-4EF9-B316-52BEB2BFAA89}"/>
    <cellStyle name="Normal 212 3" xfId="1225" xr:uid="{420020BD-F277-4CB5-8CF4-70D0C80F6B08}"/>
    <cellStyle name="Normal 213" xfId="32810" xr:uid="{382B5929-E242-48DC-B93C-7BE0E1C32A33}"/>
    <cellStyle name="Normal 213 2" xfId="32815" xr:uid="{9301914F-C93D-43D1-A536-7FC94E0D7452}"/>
    <cellStyle name="Normal 213 2 2" xfId="32820" xr:uid="{D061DFD7-2866-4F2E-8B39-4ED6EDA2909C}"/>
    <cellStyle name="Normal 213 3" xfId="32826" xr:uid="{5F628D11-DEBD-4D6A-8CEF-CF59F66D7C8B}"/>
    <cellStyle name="Normal 214" xfId="32830" xr:uid="{FE891FBD-EC0B-4C3D-A1E1-ED3219E5CEE2}"/>
    <cellStyle name="Normal 214 2" xfId="32835" xr:uid="{409B6FFB-0B27-492E-BEB6-5A02D7587F2E}"/>
    <cellStyle name="Normal 214 2 2" xfId="32840" xr:uid="{B50DB32B-C5E8-406D-80B2-E41EFF34216A}"/>
    <cellStyle name="Normal 214 3" xfId="32846" xr:uid="{2162926D-CC8A-4031-8A5B-D13226269EC9}"/>
    <cellStyle name="Normal 215" xfId="32897" xr:uid="{FACC4AA1-09C5-4797-9A5B-39DDBAC1AE55}"/>
    <cellStyle name="Normal 215 2" xfId="29246" xr:uid="{DF035813-F754-44D1-96F0-1BD9F9CCE160}"/>
    <cellStyle name="Normal 215 2 2" xfId="29251" xr:uid="{974B85EE-E3F2-40C2-9F83-0E2CF6E08E86}"/>
    <cellStyle name="Normal 215 3" xfId="30079" xr:uid="{7B483CA1-3D32-4171-A002-6737F3BE50F2}"/>
    <cellStyle name="Normal 216" xfId="32901" xr:uid="{F8A561C4-AFD7-4506-8AE0-4933C0263362}"/>
    <cellStyle name="Normal 216 2" xfId="29386" xr:uid="{C1A391EB-1D36-4F78-98B7-889C35FE7595}"/>
    <cellStyle name="Normal 216 2 2" xfId="32905" xr:uid="{359553EF-7043-490B-80D3-A21DC85908D6}"/>
    <cellStyle name="Normal 216 3" xfId="30088" xr:uid="{129D4353-8234-49F3-90A1-9B3C137D1532}"/>
    <cellStyle name="Normal 217" xfId="32911" xr:uid="{A799615E-EF02-4A91-AEFD-E849B1E392CD}"/>
    <cellStyle name="Normal 217 2" xfId="29464" xr:uid="{C69A569B-1314-435A-8AA6-A41F08AFCC46}"/>
    <cellStyle name="Normal 217 2 2" xfId="32915" xr:uid="{A428BA2D-3921-4D9D-BB07-023061DAC06A}"/>
    <cellStyle name="Normal 217 3" xfId="32920" xr:uid="{600BE6A6-7994-4CDA-A4F0-22CEDAC550AD}"/>
    <cellStyle name="Normal 218" xfId="32924" xr:uid="{FD71E115-3549-4340-86D8-48E52849DE58}"/>
    <cellStyle name="Normal 218 2" xfId="18226" xr:uid="{DA284CEE-4553-481C-B6AA-70B2826920F5}"/>
    <cellStyle name="Normal 218 2 2" xfId="3618" xr:uid="{767ECFC8-CD53-4D7D-9710-13901E247475}"/>
    <cellStyle name="Normal 218 3" xfId="32928" xr:uid="{E1945260-2991-4C99-B25E-202C3B60548A}"/>
    <cellStyle name="Normal 219" xfId="32932" xr:uid="{11C5B6B2-B4E6-48B7-913A-DED95E786E19}"/>
    <cellStyle name="Normal 219 2" xfId="32936" xr:uid="{66D84AD6-06F2-4A94-8A57-857329398D5C}"/>
    <cellStyle name="Normal 219 2 2" xfId="32940" xr:uid="{DB18631A-3B77-495F-8975-A3514791A7E4}"/>
    <cellStyle name="Normal 219 3" xfId="32944" xr:uid="{9340AB6A-C93C-4B29-AE68-B9948A0254D7}"/>
    <cellStyle name="Normal 22" xfId="32950" xr:uid="{A3B6ABBC-DED8-4A20-9FF4-4095BB3FB25B}"/>
    <cellStyle name="Normal 22 10" xfId="32952" xr:uid="{0BB61519-81D3-4413-85AD-C7F1AFA4C54F}"/>
    <cellStyle name="Normal 22 10 2" xfId="37564" xr:uid="{D554CA1D-812A-4DA5-80C9-6D0CBE3ED106}"/>
    <cellStyle name="Normal 22 10 2 2" xfId="37565" xr:uid="{B4DF76E8-613B-4077-B352-0A4B7DB6EC4F}"/>
    <cellStyle name="Normal 22 10 2 2 2" xfId="37566" xr:uid="{5470047A-FE40-4C13-8C97-9A14E62934AE}"/>
    <cellStyle name="Normal 22 10 2 2 2 2" xfId="37567" xr:uid="{B3105AE4-8DB1-461C-B9AF-86AEBA0CE3AF}"/>
    <cellStyle name="Normal 22 10 2 2 3" xfId="37568" xr:uid="{D55FAFE6-DE4C-4311-A8BC-E6668257A790}"/>
    <cellStyle name="Normal 22 10 2 3" xfId="37569" xr:uid="{2FF093C9-82F9-48E1-AE1F-DE8E2090E5D6}"/>
    <cellStyle name="Normal 22 10 2 3 2" xfId="37570" xr:uid="{7396316C-033E-4EE4-BDEF-68325BF2E9B6}"/>
    <cellStyle name="Normal 22 10 2 4" xfId="37571" xr:uid="{7A4E1273-3594-405F-BA39-8C75CE77BFE4}"/>
    <cellStyle name="Normal 22 10 3" xfId="37572" xr:uid="{A63E1147-32D4-4375-8CFC-B65C8A9CA729}"/>
    <cellStyle name="Normal 22 10 3 2" xfId="37573" xr:uid="{1551EC5A-907D-476C-B42E-9CBB5BDC5F00}"/>
    <cellStyle name="Normal 22 10 3 2 2" xfId="37574" xr:uid="{2C29E43E-1DD4-4494-81E6-2E9840A100E2}"/>
    <cellStyle name="Normal 22 10 3 3" xfId="37575" xr:uid="{C2710068-65B9-4B4D-B974-F4306134B6E4}"/>
    <cellStyle name="Normal 22 10 4" xfId="37576" xr:uid="{1F1F0E17-0144-4153-9EE5-334364682D1C}"/>
    <cellStyle name="Normal 22 10 4 2" xfId="37577" xr:uid="{DB392AB0-5214-4032-8D22-10672596F7AF}"/>
    <cellStyle name="Normal 22 10 5" xfId="37578" xr:uid="{1B726549-B337-4041-91FA-B15478E70409}"/>
    <cellStyle name="Normal 22 11" xfId="32955" xr:uid="{647AC4A0-745C-4F02-8D62-EC2C60EB09E7}"/>
    <cellStyle name="Normal 22 11 2" xfId="37579" xr:uid="{F2296EA7-FABC-47F9-964C-AC8824848B3D}"/>
    <cellStyle name="Normal 22 11 2 2" xfId="37580" xr:uid="{6BB35597-7750-4E7C-91FE-5E63418B80C2}"/>
    <cellStyle name="Normal 22 11 2 2 2" xfId="37581" xr:uid="{F6C3B416-4E10-4B05-886B-25FB21A7E744}"/>
    <cellStyle name="Normal 22 11 2 3" xfId="37582" xr:uid="{4B95100A-9240-449D-82ED-E3EB0AEFF99F}"/>
    <cellStyle name="Normal 22 11 3" xfId="37583" xr:uid="{A2832901-F039-4AD6-A1C5-A49CD7099C51}"/>
    <cellStyle name="Normal 22 11 3 2" xfId="37584" xr:uid="{D4F9F28C-45CF-4C7C-AD29-515D888D71E6}"/>
    <cellStyle name="Normal 22 11 4" xfId="37585" xr:uid="{0CCF95DC-CF5F-4D74-86A1-D50ABD0694AA}"/>
    <cellStyle name="Normal 22 12" xfId="8968" xr:uid="{4F5433B9-B661-4E59-9FDF-A33A284524FF}"/>
    <cellStyle name="Normal 22 12 2" xfId="37586" xr:uid="{B8187C75-AA92-499D-B257-E5B008655050}"/>
    <cellStyle name="Normal 22 12 2 2" xfId="37587" xr:uid="{C441B240-00DF-49A0-8B0E-BB882FE9CFE7}"/>
    <cellStyle name="Normal 22 12 3" xfId="37588" xr:uid="{E4887741-1796-4149-95C5-B8B686347796}"/>
    <cellStyle name="Normal 22 13" xfId="8972" xr:uid="{03DEF1D0-7908-45C8-9CC8-942C945D333D}"/>
    <cellStyle name="Normal 22 13 2" xfId="37589" xr:uid="{0118776B-5F89-4386-B3A7-3ECF96B2AA15}"/>
    <cellStyle name="Normal 22 14" xfId="32957" xr:uid="{324497B6-AD96-4399-B97B-529A9CC3D78E}"/>
    <cellStyle name="Normal 22 15" xfId="32960" xr:uid="{AFD1CD55-D87A-4EF6-92B5-155DB2E56620}"/>
    <cellStyle name="Normal 22 16" xfId="30113" xr:uid="{F93D19D9-0FA5-4326-8173-262C5D3BF7FA}"/>
    <cellStyle name="Normal 22 2" xfId="32967" xr:uid="{58E67DD5-99BD-4E2D-8C50-EE2326993B72}"/>
    <cellStyle name="Normal 22 2 2" xfId="32971" xr:uid="{C55B6AE2-D223-47CC-92EA-2CF3D4417F79}"/>
    <cellStyle name="Normal 22 2 3" xfId="32558" xr:uid="{89E38A80-CD87-40B7-BEA0-5D3400FF6474}"/>
    <cellStyle name="Normal 22 3" xfId="32982" xr:uid="{AA89B550-7E50-41B7-A314-61364ABCCAB3}"/>
    <cellStyle name="Normal 22 3 10" xfId="15684" xr:uid="{4EC1871A-76F6-433E-84E1-3D9EAA07FF0A}"/>
    <cellStyle name="Normal 22 3 10 2" xfId="15687" xr:uid="{A34163D9-39DA-4080-930E-51956E62C3FD}"/>
    <cellStyle name="Normal 22 3 11" xfId="15691" xr:uid="{E7C2C013-95E1-4E6D-BF4A-1821DB334B90}"/>
    <cellStyle name="Normal 22 3 12" xfId="24269" xr:uid="{D25A9C5A-701B-4E31-962B-4B43048D137C}"/>
    <cellStyle name="Normal 22 3 13" xfId="27604" xr:uid="{287B9767-C2E2-4EBC-8335-A08701E51EC0}"/>
    <cellStyle name="Normal 22 3 2" xfId="32988" xr:uid="{13CAD3E9-E148-4816-B700-AE267B491494}"/>
    <cellStyle name="Normal 22 3 2 10" xfId="29407" xr:uid="{358D17EB-B26E-4841-849E-47D1617BE773}"/>
    <cellStyle name="Normal 22 3 2 11" xfId="29411" xr:uid="{314FAA7F-4C89-4707-B17B-8E96850ACDC5}"/>
    <cellStyle name="Normal 22 3 2 12" xfId="32257" xr:uid="{E47C46DD-4C91-4389-8CCB-F2ACEB810A02}"/>
    <cellStyle name="Normal 22 3 2 2" xfId="32990" xr:uid="{C45AF295-D303-42B1-903A-28EE15B56136}"/>
    <cellStyle name="Normal 22 3 2 2 10" xfId="16408" xr:uid="{0E6B8AB0-3DB4-47E6-BF60-DD88C7856444}"/>
    <cellStyle name="Normal 22 3 2 2 2" xfId="14467" xr:uid="{B9C853DC-C76B-4F77-878E-FDAAFC566CC4}"/>
    <cellStyle name="Normal 22 3 2 2 2 2" xfId="14471" xr:uid="{92403091-5DB4-46DB-B0C4-D000120CBB49}"/>
    <cellStyle name="Normal 22 3 2 2 2 2 2" xfId="14474" xr:uid="{16405BD0-A2AA-40F5-88D3-A619A0DE879C}"/>
    <cellStyle name="Normal 22 3 2 2 2 2 2 2" xfId="7685" xr:uid="{90AA9DB1-81D0-478D-9C3D-34F4C3C5F2B8}"/>
    <cellStyle name="Normal 22 3 2 2 2 2 2 2 2" xfId="7690" xr:uid="{C4B262DD-C9C5-48E2-B57E-A899DC92A8C8}"/>
    <cellStyle name="Normal 22 3 2 2 2 2 2 2 2 2" xfId="7448" xr:uid="{BDDDD9C1-ABC6-4B00-8162-658DB18D411D}"/>
    <cellStyle name="Normal 22 3 2 2 2 2 2 2 2 2 2" xfId="7419" xr:uid="{363117DA-B980-4BDC-9894-9CF7A5A6E369}"/>
    <cellStyle name="Normal 22 3 2 2 2 2 2 2 2 2 2 2" xfId="32992" xr:uid="{B3F974F1-63F8-457E-8C20-B5ED6856BEC5}"/>
    <cellStyle name="Normal 22 3 2 2 2 2 2 2 2 2 3" xfId="32994" xr:uid="{C47C0907-B0AE-4020-9E22-7D28815758F4}"/>
    <cellStyle name="Normal 22 3 2 2 2 2 2 2 2 3" xfId="7453" xr:uid="{13474EE2-7CDE-42F1-BCD1-4C43549A814E}"/>
    <cellStyle name="Normal 22 3 2 2 2 2 2 2 2 3 2" xfId="32996" xr:uid="{7C2B995D-651B-4719-88F1-E5E4AC64E52B}"/>
    <cellStyle name="Normal 22 3 2 2 2 2 2 2 2 4" xfId="11754" xr:uid="{8883DB32-149E-4BBC-9BF5-6908DDB4A599}"/>
    <cellStyle name="Normal 22 3 2 2 2 2 2 2 3" xfId="5193" xr:uid="{B4A7A7FE-E99B-4A9D-99B9-A865DBF0EE73}"/>
    <cellStyle name="Normal 22 3 2 2 2 2 2 2 3 2" xfId="7697" xr:uid="{620A6A36-DC39-420D-A983-E8752067881A}"/>
    <cellStyle name="Normal 22 3 2 2 2 2 2 2 3 2 2" xfId="11170" xr:uid="{1587BBAE-3122-462D-B2CE-53117C5FBC80}"/>
    <cellStyle name="Normal 22 3 2 2 2 2 2 2 3 3" xfId="33000" xr:uid="{ED00CFCE-C483-4A43-B1A3-F0EDE4FDE2C4}"/>
    <cellStyle name="Normal 22 3 2 2 2 2 2 2 4" xfId="7699" xr:uid="{E10DD750-00BB-4F8C-A5C2-0405308A665F}"/>
    <cellStyle name="Normal 22 3 2 2 2 2 2 2 4 2" xfId="12673" xr:uid="{66A27A68-0936-4FC9-BA9B-539512482777}"/>
    <cellStyle name="Normal 22 3 2 2 2 2 2 2 5" xfId="12678" xr:uid="{8A09C7A4-A3B1-4432-AB7C-1270705BFB2C}"/>
    <cellStyle name="Normal 22 3 2 2 2 2 2 3" xfId="7703" xr:uid="{A360ACF7-2944-4050-9924-688B0CCC2E97}"/>
    <cellStyle name="Normal 22 3 2 2 2 2 2 3 2" xfId="7708" xr:uid="{AFA4132F-36DE-4D7D-9975-A900D5316013}"/>
    <cellStyle name="Normal 22 3 2 2 2 2 2 3 2 2" xfId="7711" xr:uid="{A8EB143E-A79D-4BDD-95B5-8D429E4A942B}"/>
    <cellStyle name="Normal 22 3 2 2 2 2 2 3 2 2 2" xfId="11215" xr:uid="{B592978D-E9DF-47F5-A030-209BC309AF7E}"/>
    <cellStyle name="Normal 22 3 2 2 2 2 2 3 2 3" xfId="33002" xr:uid="{46260B63-5244-48BC-A6C5-7C326715D0B9}"/>
    <cellStyle name="Normal 22 3 2 2 2 2 2 3 3" xfId="7715" xr:uid="{BA8596E7-38FA-4790-AD2C-79B5F2B453A4}"/>
    <cellStyle name="Normal 22 3 2 2 2 2 2 3 3 2" xfId="20438" xr:uid="{D0A3D6DF-1D92-4586-8CF2-71741090B24F}"/>
    <cellStyle name="Normal 22 3 2 2 2 2 2 3 4" xfId="10444" xr:uid="{34DFE73F-EF7A-452D-AC9F-06CED69898CF}"/>
    <cellStyle name="Normal 22 3 2 2 2 2 2 4" xfId="7718" xr:uid="{29FEEFA3-ED1F-4FEA-97DC-1BA0DBC4DD6C}"/>
    <cellStyle name="Normal 22 3 2 2 2 2 2 4 2" xfId="7725" xr:uid="{0CA7A611-A271-4206-A9CB-477EE48F93EA}"/>
    <cellStyle name="Normal 22 3 2 2 2 2 2 4 2 2" xfId="14694" xr:uid="{134740AA-88F2-46B7-BA03-EAD4E11E7827}"/>
    <cellStyle name="Normal 22 3 2 2 2 2 2 4 3" xfId="14698" xr:uid="{11B5D0BB-3A37-41BD-9DF3-4B1331A9AEF4}"/>
    <cellStyle name="Normal 22 3 2 2 2 2 2 5" xfId="41" xr:uid="{3BC8FDBD-C849-4366-B26D-B726A8A61899}"/>
    <cellStyle name="Normal 22 3 2 2 2 2 2 5 2" xfId="14702" xr:uid="{A594960A-B858-4024-81F1-518FD5B51114}"/>
    <cellStyle name="Normal 22 3 2 2 2 2 2 6" xfId="7737" xr:uid="{BE1D4F3D-A795-47F5-A975-1AECCE3E85C2}"/>
    <cellStyle name="Normal 22 3 2 2 2 2 2 7" xfId="18062" xr:uid="{51015CBB-2B97-4A03-8D93-C1965B1FBE5D}"/>
    <cellStyle name="Normal 22 3 2 2 2 2 3" xfId="33004" xr:uid="{15F9C86E-6FB6-412E-8FCD-84E2A138AB5E}"/>
    <cellStyle name="Normal 22 3 2 2 2 2 3 2" xfId="6518" xr:uid="{F74EFFE5-BE1E-4AA7-8DA7-735C998DD25B}"/>
    <cellStyle name="Normal 22 3 2 2 2 2 3 2 2" xfId="6529" xr:uid="{738B1E40-4451-4A40-BA3B-374EA0B3A14C}"/>
    <cellStyle name="Normal 22 3 2 2 2 2 3 2 2 2" xfId="7776" xr:uid="{22AC72DF-D1DA-4BE3-B0FA-C2392C2A422E}"/>
    <cellStyle name="Normal 22 3 2 2 2 2 3 2 2 2 2" xfId="10835" xr:uid="{EA72BC68-C80A-4545-A56B-0BE1E7AD0331}"/>
    <cellStyle name="Normal 22 3 2 2 2 2 3 2 2 3" xfId="10838" xr:uid="{FC8710AD-FA66-4CBF-AE56-7B1FD42E3404}"/>
    <cellStyle name="Normal 22 3 2 2 2 2 3 2 3" xfId="7780" xr:uid="{5ED93220-B793-4FDB-A101-4524023554BA}"/>
    <cellStyle name="Normal 22 3 2 2 2 2 3 2 3 2" xfId="10852" xr:uid="{DC6A3386-0191-4F59-9DE3-ACB3583AB430}"/>
    <cellStyle name="Normal 22 3 2 2 2 2 3 2 4" xfId="12683" xr:uid="{8DDE2FA4-8DB8-4A8D-B83B-A5FC0D58CA39}"/>
    <cellStyle name="Normal 22 3 2 2 2 2 3 3" xfId="6538" xr:uid="{21D44A13-79A4-4EA9-A2C2-5DB60AB08CBE}"/>
    <cellStyle name="Normal 22 3 2 2 2 2 3 3 2" xfId="7783" xr:uid="{6C441BD7-C1CF-4B2F-874A-8696F6EF3449}"/>
    <cellStyle name="Normal 22 3 2 2 2 2 3 3 2 2" xfId="10877" xr:uid="{326BCBEF-9D9D-455E-B6B6-852F28EF59EA}"/>
    <cellStyle name="Normal 22 3 2 2 2 2 3 3 3" xfId="33006" xr:uid="{9D109BDD-7CEE-45AE-B7A2-8FB423E9B8B6}"/>
    <cellStyle name="Normal 22 3 2 2 2 2 3 4" xfId="7786" xr:uid="{9701ECCA-2A83-4567-AADF-9B868A00880A}"/>
    <cellStyle name="Normal 22 3 2 2 2 2 3 4 2" xfId="14707" xr:uid="{69250ECB-95B1-4A7E-BDE3-1D521DBF5959}"/>
    <cellStyle name="Normal 22 3 2 2 2 2 3 5" xfId="7795" xr:uid="{B933BC8F-77C6-4930-886D-99E0C7D3853D}"/>
    <cellStyle name="Normal 22 3 2 2 2 2 4" xfId="33008" xr:uid="{129E3F02-74C1-4110-8911-992CF16E5EF0}"/>
    <cellStyle name="Normal 22 3 2 2 2 2 4 2" xfId="6550" xr:uid="{AA02D5A2-1C83-4DAB-89A1-2CEA7A10F745}"/>
    <cellStyle name="Normal 22 3 2 2 2 2 4 2 2" xfId="7814" xr:uid="{EB6E3742-6AFC-45FD-A6EE-79BE65848EA6}"/>
    <cellStyle name="Normal 22 3 2 2 2 2 4 2 2 2" xfId="10960" xr:uid="{1F83A423-8924-4D38-ABAD-F43B11C06084}"/>
    <cellStyle name="Normal 22 3 2 2 2 2 4 2 3" xfId="4386" xr:uid="{F0303B0F-5F29-469E-8A68-C245F9C5CD0A}"/>
    <cellStyle name="Normal 22 3 2 2 2 2 4 3" xfId="6744" xr:uid="{3FB494FD-E431-4C27-B864-667FC318BAEB}"/>
    <cellStyle name="Normal 22 3 2 2 2 2 4 3 2" xfId="33010" xr:uid="{5A49B49C-942B-41CA-A0A3-4F2BC014CF9D}"/>
    <cellStyle name="Normal 22 3 2 2 2 2 4 4" xfId="14716" xr:uid="{7B98FC31-B6A8-496D-BD85-A4413B59B78A}"/>
    <cellStyle name="Normal 22 3 2 2 2 2 5" xfId="33013" xr:uid="{E2495CC4-F46D-404C-ACFE-24C3E6CFFA2C}"/>
    <cellStyle name="Normal 22 3 2 2 2 2 5 2" xfId="7822" xr:uid="{479484E9-B71D-4340-A080-76D1F74DD465}"/>
    <cellStyle name="Normal 22 3 2 2 2 2 5 2 2" xfId="21569" xr:uid="{A2CC0337-EEF9-4908-9E5D-09BEC8D26A96}"/>
    <cellStyle name="Normal 22 3 2 2 2 2 5 3" xfId="21575" xr:uid="{F78B1C49-27D2-48A8-A967-530D0C7E40ED}"/>
    <cellStyle name="Normal 22 3 2 2 2 2 6" xfId="33015" xr:uid="{86A439C2-062B-45D6-95E3-F8799FDBE26D}"/>
    <cellStyle name="Normal 22 3 2 2 2 2 6 2" xfId="21643" xr:uid="{46EF504E-8646-413D-885A-AAACA68E9D27}"/>
    <cellStyle name="Normal 22 3 2 2 2 2 7" xfId="33017" xr:uid="{A22AEF8D-344E-4416-B475-F0BD6F04FF68}"/>
    <cellStyle name="Normal 22 3 2 2 2 2 8" xfId="11831" xr:uid="{79E38D8E-5E17-4C2A-AE34-9FC93651D6CA}"/>
    <cellStyle name="Normal 22 3 2 2 2 3" xfId="14477" xr:uid="{ABDE2BCB-6714-4BF5-B6FF-7587D306A116}"/>
    <cellStyle name="Normal 22 3 2 2 2 3 2" xfId="33019" xr:uid="{ECFEAA31-48FD-403B-B528-877081B09DCA}"/>
    <cellStyle name="Normal 22 3 2 2 2 3 2 2" xfId="1427" xr:uid="{C028B5D9-E94B-4446-9BC3-B4276D2AFC01}"/>
    <cellStyle name="Normal 22 3 2 2 2 3 2 2 2" xfId="175" xr:uid="{17909275-5E6F-4A87-A939-CE8742ED3B3B}"/>
    <cellStyle name="Normal 22 3 2 2 2 3 2 2 2 2" xfId="1658" xr:uid="{DFEF35E2-4C05-4F71-B4F7-7D7202AB28EB}"/>
    <cellStyle name="Normal 22 3 2 2 2 3 2 2 2 2 2" xfId="33021" xr:uid="{1682AA95-F3F0-47AF-9215-01B0F6153F0F}"/>
    <cellStyle name="Normal 22 3 2 2 2 3 2 2 2 3" xfId="33023" xr:uid="{9B35A268-C274-46BB-AAE5-82D3784810E0}"/>
    <cellStyle name="Normal 22 3 2 2 2 3 2 2 3" xfId="190" xr:uid="{DBBD862A-CF4E-4A70-BA47-5DDB37FED600}"/>
    <cellStyle name="Normal 22 3 2 2 2 3 2 2 3 2" xfId="33025" xr:uid="{DF11DFB6-3A06-4574-BE74-D09737E6745C}"/>
    <cellStyle name="Normal 22 3 2 2 2 3 2 2 4" xfId="12699" xr:uid="{C45E5DFC-1543-4A55-B8FF-961BAB817AFD}"/>
    <cellStyle name="Normal 22 3 2 2 2 3 2 3" xfId="1327" xr:uid="{454F5A32-184C-4AE0-8889-75878E1AA1E2}"/>
    <cellStyle name="Normal 22 3 2 2 2 3 2 3 2" xfId="1437" xr:uid="{D9E8E88E-2489-442F-912F-E26B784A3BFA}"/>
    <cellStyle name="Normal 22 3 2 2 2 3 2 3 2 2" xfId="33027" xr:uid="{F3320DB4-CC46-4CE6-A63E-E7C085ADE3C5}"/>
    <cellStyle name="Normal 22 3 2 2 2 3 2 3 3" xfId="33029" xr:uid="{AD98BE0F-1E9E-4C1E-B4A3-1E4C47CCA9FA}"/>
    <cellStyle name="Normal 22 3 2 2 2 3 2 4" xfId="1452" xr:uid="{C4945E77-B34C-466C-85E5-8D04B4133B31}"/>
    <cellStyle name="Normal 22 3 2 2 2 3 2 4 2" xfId="14726" xr:uid="{C6145D39-9838-4521-A6FA-414EE3C92519}"/>
    <cellStyle name="Normal 22 3 2 2 2 3 2 5" xfId="1463" xr:uid="{5F8A58CE-A00D-495F-B6F7-002B87522F09}"/>
    <cellStyle name="Normal 22 3 2 2 2 3 3" xfId="33031" xr:uid="{BDB97F41-66C2-4051-ACAC-78A95AA53DA9}"/>
    <cellStyle name="Normal 22 3 2 2 2 3 3 2" xfId="6560" xr:uid="{410CCCBB-5F59-4402-B8BD-74E96750BF78}"/>
    <cellStyle name="Normal 22 3 2 2 2 3 3 2 2" xfId="7560" xr:uid="{A9AEF8EB-18D9-4C24-AAD4-6BD7A3663AE2}"/>
    <cellStyle name="Normal 22 3 2 2 2 3 3 2 2 2" xfId="11050" xr:uid="{EEFA57B5-9203-47EA-889A-D74199F3BE10}"/>
    <cellStyle name="Normal 22 3 2 2 2 3 3 2 3" xfId="33033" xr:uid="{095FEAE1-A235-4CA9-8472-DB014E77EEC8}"/>
    <cellStyle name="Normal 22 3 2 2 2 3 3 3" xfId="3203" xr:uid="{441A617F-F8EF-4175-A2C3-836E952BE7C2}"/>
    <cellStyle name="Normal 22 3 2 2 2 3 3 3 2" xfId="12135" xr:uid="{3D390FE4-61C9-4113-AC1C-4BD54A28E246}"/>
    <cellStyle name="Normal 22 3 2 2 2 3 3 4" xfId="12147" xr:uid="{00DE3592-9BF0-4ACB-8D20-7DCD0F21E9ED}"/>
    <cellStyle name="Normal 22 3 2 2 2 3 4" xfId="33035" xr:uid="{7EDA2ED7-A8B8-4A50-97A7-EA892AFDF9AD}"/>
    <cellStyle name="Normal 22 3 2 2 2 3 4 2" xfId="7868" xr:uid="{C3093C4A-0174-4589-BF36-87E902692A76}"/>
    <cellStyle name="Normal 22 3 2 2 2 3 4 2 2" xfId="33038" xr:uid="{ADFCC964-8973-4E5E-BE94-A6CD32E9E7C1}"/>
    <cellStyle name="Normal 22 3 2 2 2 3 4 3" xfId="12163" xr:uid="{1A26A818-3F2A-4220-8541-536A772C959D}"/>
    <cellStyle name="Normal 22 3 2 2 2 3 5" xfId="33041" xr:uid="{5C337D17-4F4F-4569-B45D-784B1BD0D721}"/>
    <cellStyle name="Normal 22 3 2 2 2 3 5 2" xfId="16996" xr:uid="{0655AC4A-0CA2-4840-A3BB-8F6E11F91A1D}"/>
    <cellStyle name="Normal 22 3 2 2 2 3 6" xfId="33043" xr:uid="{C647BE3A-0B01-4031-929F-BA84FC3093F2}"/>
    <cellStyle name="Normal 22 3 2 2 2 3 7" xfId="33045" xr:uid="{B01CF9F6-5F90-4C73-9F2E-38394BBC1046}"/>
    <cellStyle name="Normal 22 3 2 2 2 4" xfId="7438" xr:uid="{22AD8DC6-52D2-45F6-A062-EFA1431D8E61}"/>
    <cellStyle name="Normal 22 3 2 2 2 4 2" xfId="33047" xr:uid="{34F4AAF1-4572-47F6-8325-4D6774537498}"/>
    <cellStyle name="Normal 22 3 2 2 2 4 2 2" xfId="6179" xr:uid="{6C4C372F-119D-441A-AC34-094F0F339B32}"/>
    <cellStyle name="Normal 22 3 2 2 2 4 2 2 2" xfId="6187" xr:uid="{291200B0-66D4-4FF2-8A1C-5A8FFD1A6E15}"/>
    <cellStyle name="Normal 22 3 2 2 2 4 2 2 2 2" xfId="33050" xr:uid="{5F2FE768-0E01-4D8C-9C15-66AFD8C3120A}"/>
    <cellStyle name="Normal 22 3 2 2 2 4 2 2 3" xfId="33053" xr:uid="{D94BFA47-B187-4EC0-A18F-2B7F06711E3F}"/>
    <cellStyle name="Normal 22 3 2 2 2 4 2 3" xfId="6191" xr:uid="{2CE925C9-607F-4976-8CEE-8DCD7522D184}"/>
    <cellStyle name="Normal 22 3 2 2 2 4 2 3 2" xfId="33056" xr:uid="{7B418222-ECA5-4EC2-A884-E5BEB29EDAC1}"/>
    <cellStyle name="Normal 22 3 2 2 2 4 2 4" xfId="14738" xr:uid="{D3693033-85FB-446F-ACA1-0C6F7448F507}"/>
    <cellStyle name="Normal 22 3 2 2 2 4 3" xfId="33058" xr:uid="{C52AFCED-2CD4-4AC7-8507-EBF3B4F5EF0B}"/>
    <cellStyle name="Normal 22 3 2 2 2 4 3 2" xfId="6218" xr:uid="{879E5CBE-86DB-4EFE-BB3D-5D09A41CE84E}"/>
    <cellStyle name="Normal 22 3 2 2 2 4 3 2 2" xfId="33061" xr:uid="{6EAF1421-57AF-4E1E-9338-DB3576C8B3E2}"/>
    <cellStyle name="Normal 22 3 2 2 2 4 3 3" xfId="12185" xr:uid="{1679DC42-14FA-4C15-A1EE-D46259E8BB7F}"/>
    <cellStyle name="Normal 22 3 2 2 2 4 4" xfId="33063" xr:uid="{BC9F9F11-2A1C-4C13-9ABA-6A70B80BFB33}"/>
    <cellStyle name="Normal 22 3 2 2 2 4 4 2" xfId="33065" xr:uid="{2CAE4CA9-AA62-4C8E-94CB-27511A829A7C}"/>
    <cellStyle name="Normal 22 3 2 2 2 4 5" xfId="33067" xr:uid="{5E83E717-3F76-416B-8D83-AC0E14AC399D}"/>
    <cellStyle name="Normal 22 3 2 2 2 5" xfId="33069" xr:uid="{57C2170E-8CE7-4084-9DF5-5671D767205F}"/>
    <cellStyle name="Normal 22 3 2 2 2 5 2" xfId="33071" xr:uid="{9CD851A6-8892-4EF3-9FEB-3453694AEA8B}"/>
    <cellStyle name="Normal 22 3 2 2 2 5 2 2" xfId="6244" xr:uid="{328A0D8B-DC79-43B6-BF9F-874FDC7CD91F}"/>
    <cellStyle name="Normal 22 3 2 2 2 5 2 2 2" xfId="17824" xr:uid="{8008E629-1E63-4C9E-A823-044AB4A3CA56}"/>
    <cellStyle name="Normal 22 3 2 2 2 5 2 3" xfId="18937" xr:uid="{7DFC6BB8-5EA6-47C1-84F2-889A3C18048B}"/>
    <cellStyle name="Normal 22 3 2 2 2 5 3" xfId="33073" xr:uid="{915D2518-DF2D-4FDB-8493-572216C40FA9}"/>
    <cellStyle name="Normal 22 3 2 2 2 5 3 2" xfId="19020" xr:uid="{B1B33D7F-F6EF-4FBC-9349-F60C055B2B5D}"/>
    <cellStyle name="Normal 22 3 2 2 2 5 4" xfId="16511" xr:uid="{45FB6B8B-DE8B-4A56-B3AD-F96D5936A332}"/>
    <cellStyle name="Normal 22 3 2 2 2 6" xfId="33075" xr:uid="{837F831A-DDC6-40E1-969C-E105B5B17E15}"/>
    <cellStyle name="Normal 22 3 2 2 2 6 2" xfId="18468" xr:uid="{5708B1F1-8E58-449E-84F3-C4CA86ABDD5E}"/>
    <cellStyle name="Normal 22 3 2 2 2 6 2 2" xfId="19193" xr:uid="{33732CF9-5BD2-4D33-83E3-C2BB2393DA5A}"/>
    <cellStyle name="Normal 22 3 2 2 2 6 3" xfId="18471" xr:uid="{899CE420-EA0F-468F-9A8D-3CD0796BEE3F}"/>
    <cellStyle name="Normal 22 3 2 2 2 7" xfId="33077" xr:uid="{323BD380-91D8-49C9-932C-625119C5B966}"/>
    <cellStyle name="Normal 22 3 2 2 2 7 2" xfId="18531" xr:uid="{73DFE546-7589-4A91-9B6D-AB07E692FCEB}"/>
    <cellStyle name="Normal 22 3 2 2 2 8" xfId="33079" xr:uid="{AE8E3DC8-6982-47ED-9597-8B69FB130A7D}"/>
    <cellStyle name="Normal 22 3 2 2 2 9" xfId="33081" xr:uid="{A92687E0-9BF1-44D8-AAC1-E06FF25E336C}"/>
    <cellStyle name="Normal 22 3 2 2 3" xfId="14481" xr:uid="{D6F55113-0317-4E5F-8E0C-564997BDF5E2}"/>
    <cellStyle name="Normal 22 3 2 2 3 2" xfId="14484" xr:uid="{31D342F6-86B2-4ADE-BC31-5E480769D0E3}"/>
    <cellStyle name="Normal 22 3 2 2 3 2 2" xfId="33083" xr:uid="{E45A0371-007B-4D87-BD02-84E79D9B3400}"/>
    <cellStyle name="Normal 22 3 2 2 3 2 2 2" xfId="6156" xr:uid="{257BDB66-6B7E-48B6-AD36-C57835883549}"/>
    <cellStyle name="Normal 22 3 2 2 3 2 2 2 2" xfId="8085" xr:uid="{56C7DF31-1D19-42CF-A9D0-EA7615D3FF59}"/>
    <cellStyle name="Normal 22 3 2 2 3 2 2 2 2 2" xfId="8088" xr:uid="{BF0610F3-09FB-444C-8720-91E60347F40B}"/>
    <cellStyle name="Normal 22 3 2 2 3 2 2 2 2 2 2" xfId="33085" xr:uid="{4165EA5F-0395-455E-BC21-306C5ADCF8CE}"/>
    <cellStyle name="Normal 22 3 2 2 3 2 2 2 2 3" xfId="33087" xr:uid="{ED5E008E-0F70-4CB3-9507-94CC31961F14}"/>
    <cellStyle name="Normal 22 3 2 2 3 2 2 2 3" xfId="8091" xr:uid="{3269CDD9-416C-4573-92FD-0E291D24D32E}"/>
    <cellStyle name="Normal 22 3 2 2 3 2 2 2 3 2" xfId="33091" xr:uid="{1077F3E8-6832-4C67-A7EB-06EA97755B9E}"/>
    <cellStyle name="Normal 22 3 2 2 3 2 2 2 4" xfId="12817" xr:uid="{34AC6C39-5149-43D9-A694-DAD22243EB5D}"/>
    <cellStyle name="Normal 22 3 2 2 3 2 2 3" xfId="6161" xr:uid="{669FE3AC-35D5-4F63-BE5E-53A971D18525}"/>
    <cellStyle name="Normal 22 3 2 2 3 2 2 3 2" xfId="8095" xr:uid="{D3156574-C99F-4701-9D1A-683F0FD2F057}"/>
    <cellStyle name="Normal 22 3 2 2 3 2 2 3 2 2" xfId="33094" xr:uid="{D2B238FF-AFF3-431C-AC1F-F7037DF963AF}"/>
    <cellStyle name="Normal 22 3 2 2 3 2 2 3 3" xfId="33096" xr:uid="{F1AAF59A-AF14-4E82-B743-02F9DA370257}"/>
    <cellStyle name="Normal 22 3 2 2 3 2 2 4" xfId="8098" xr:uid="{2E8C0D2E-F630-46E4-80E5-2ECC74012134}"/>
    <cellStyle name="Normal 22 3 2 2 3 2 2 4 2" xfId="14778" xr:uid="{22DE52AC-419F-441F-90A1-14412376C4DE}"/>
    <cellStyle name="Normal 22 3 2 2 3 2 2 5" xfId="8103" xr:uid="{C2FCC7DC-8C96-476C-8509-6149293CF387}"/>
    <cellStyle name="Normal 22 3 2 2 3 2 3" xfId="33098" xr:uid="{58EF7786-52EA-4941-BDBC-70E847C8CA25}"/>
    <cellStyle name="Normal 22 3 2 2 3 2 3 2" xfId="6279" xr:uid="{DE206072-4ECC-4187-8F3A-4AB4FE058633}"/>
    <cellStyle name="Normal 22 3 2 2 3 2 3 2 2" xfId="4787" xr:uid="{C1654E16-46BC-46BA-A422-534B2D3BDCF5}"/>
    <cellStyle name="Normal 22 3 2 2 3 2 3 2 2 2" xfId="11403" xr:uid="{74A30DEF-AC64-4521-81E1-4259D19FB558}"/>
    <cellStyle name="Normal 22 3 2 2 3 2 3 2 3" xfId="33100" xr:uid="{0A609CA3-FC5A-4148-B2DC-D2CE7C7A2B87}"/>
    <cellStyle name="Normal 22 3 2 2 3 2 3 3" xfId="8107" xr:uid="{C1241DE7-464D-4718-BE04-EB1B89219381}"/>
    <cellStyle name="Normal 22 3 2 2 3 2 3 3 2" xfId="33102" xr:uid="{5E82194B-3CC1-4826-A251-9639BF57862F}"/>
    <cellStyle name="Normal 22 3 2 2 3 2 3 4" xfId="14783" xr:uid="{E444350B-2DD1-4302-A7D3-4E0DA108B081}"/>
    <cellStyle name="Normal 22 3 2 2 3 2 4" xfId="33104" xr:uid="{180C51EE-EC81-4587-90A8-C800BE113F17}"/>
    <cellStyle name="Normal 22 3 2 2 3 2 4 2" xfId="8111" xr:uid="{22699369-B1F5-4000-8EF8-A9962C7E1ACA}"/>
    <cellStyle name="Normal 22 3 2 2 3 2 4 2 2" xfId="33106" xr:uid="{4BDEA4A4-D141-403E-8136-CDDB93EE233B}"/>
    <cellStyle name="Normal 22 3 2 2 3 2 4 3" xfId="33108" xr:uid="{3FEE1E12-5584-4AFB-9290-7090CF594EE7}"/>
    <cellStyle name="Normal 22 3 2 2 3 2 5" xfId="33110" xr:uid="{05B7C66E-A2D8-4A91-86C9-E11BD0180223}"/>
    <cellStyle name="Normal 22 3 2 2 3 2 5 2" xfId="33112" xr:uid="{1C7C7FEA-4C5D-4D1F-BF17-164FB00037ED}"/>
    <cellStyle name="Normal 22 3 2 2 3 2 6" xfId="2045" xr:uid="{6BE6666B-CDB3-448D-8FB0-5A9A16F2C221}"/>
    <cellStyle name="Normal 22 3 2 2 3 2 7" xfId="2935" xr:uid="{A3C08461-9A36-4915-A562-C0F5C3E21373}"/>
    <cellStyle name="Normal 22 3 2 2 3 3" xfId="33114" xr:uid="{5D059A24-56A8-40D1-9E27-4ECBF2A51105}"/>
    <cellStyle name="Normal 22 3 2 2 3 3 2" xfId="33116" xr:uid="{F5FA8B9A-2E25-4DD2-B0F7-F9DEBB43247F}"/>
    <cellStyle name="Normal 22 3 2 2 3 3 2 2" xfId="6407" xr:uid="{E37BC296-352E-4CF4-8FE7-B2E4C542EA7B}"/>
    <cellStyle name="Normal 22 3 2 2 3 3 2 2 2" xfId="8131" xr:uid="{9455B111-A041-47A0-A7F7-A01FEE054A3A}"/>
    <cellStyle name="Normal 22 3 2 2 3 3 2 2 2 2" xfId="33118" xr:uid="{F0BE472C-F525-4ECE-A872-2B1E40B2621A}"/>
    <cellStyle name="Normal 22 3 2 2 3 3 2 2 3" xfId="33120" xr:uid="{9EBE6D83-EB30-4FB2-89E9-D52D55D1BBF4}"/>
    <cellStyle name="Normal 22 3 2 2 3 3 2 3" xfId="8136" xr:uid="{356BCCC2-4F64-4A10-9CFF-C6B885503410}"/>
    <cellStyle name="Normal 22 3 2 2 3 3 2 3 2" xfId="33123" xr:uid="{7C8668C9-26F5-4D9F-A8D1-998F3BB2C6F0}"/>
    <cellStyle name="Normal 22 3 2 2 3 3 2 4" xfId="14794" xr:uid="{BAD944D4-435D-40FB-8B13-33A44AB34D19}"/>
    <cellStyle name="Normal 22 3 2 2 3 3 3" xfId="33125" xr:uid="{E5D89CF0-22C4-4611-842D-E98F062E3FE4}"/>
    <cellStyle name="Normal 22 3 2 2 3 3 3 2" xfId="8145" xr:uid="{B8AB6452-0C4D-45F6-8E50-6582B116A54C}"/>
    <cellStyle name="Normal 22 3 2 2 3 3 3 2 2" xfId="22301" xr:uid="{4D15F3F2-0C2E-4E59-8E56-A49CBB1B30D5}"/>
    <cellStyle name="Normal 22 3 2 2 3 3 3 3" xfId="11038" xr:uid="{4C3351DC-FBA7-4CB9-8A59-FBE9F1FECC0F}"/>
    <cellStyle name="Normal 22 3 2 2 3 3 4" xfId="33127" xr:uid="{0360851C-0E5D-48C8-9A8E-308781A642B7}"/>
    <cellStyle name="Normal 22 3 2 2 3 3 4 2" xfId="11115" xr:uid="{DEF64FC3-16C4-436E-9666-D751D7FF254E}"/>
    <cellStyle name="Normal 22 3 2 2 3 3 5" xfId="33129" xr:uid="{2B356AA2-CC14-49E8-817E-A814BBD8ADCB}"/>
    <cellStyle name="Normal 22 3 2 2 3 4" xfId="33131" xr:uid="{B80F9CDB-6501-4F29-9F5C-F3FE26F596B1}"/>
    <cellStyle name="Normal 22 3 2 2 3 4 2" xfId="33133" xr:uid="{786B4CA3-9A47-4D0A-A0A3-8A97DDF33866}"/>
    <cellStyle name="Normal 22 3 2 2 3 4 2 2" xfId="6295" xr:uid="{CD487B87-AEB6-43A3-BD77-D3D765D4ED39}"/>
    <cellStyle name="Normal 22 3 2 2 3 4 2 2 2" xfId="33136" xr:uid="{DEECD3BB-BD09-4E56-B185-410040347C76}"/>
    <cellStyle name="Normal 22 3 2 2 3 4 2 3" xfId="11391" xr:uid="{0ED0305D-911D-4341-82DC-20EFF5230492}"/>
    <cellStyle name="Normal 22 3 2 2 3 4 3" xfId="33138" xr:uid="{A94AFFC0-0377-4304-9333-C279EA283232}"/>
    <cellStyle name="Normal 22 3 2 2 3 4 3 2" xfId="11538" xr:uid="{C688059A-3DB5-448D-B80A-B56E46CBF7DB}"/>
    <cellStyle name="Normal 22 3 2 2 3 4 4" xfId="33140" xr:uid="{78D4F30B-6360-4055-9F9D-196849436AD6}"/>
    <cellStyle name="Normal 22 3 2 2 3 5" xfId="33142" xr:uid="{6DF4DBED-A222-467E-B5AF-E39B20EF0116}"/>
    <cellStyle name="Normal 22 3 2 2 3 5 2" xfId="33144" xr:uid="{997FD944-1EFA-43BE-88F2-41982E8D5565}"/>
    <cellStyle name="Normal 22 3 2 2 3 5 2 2" xfId="11718" xr:uid="{D03A3FC4-8880-4BE9-86C5-B5E3DF63F7C2}"/>
    <cellStyle name="Normal 22 3 2 2 3 5 3" xfId="33146" xr:uid="{DB31E5C3-26D6-4FAC-AE8A-A8BFF303862A}"/>
    <cellStyle name="Normal 22 3 2 2 3 6" xfId="33148" xr:uid="{AA15FBEC-5C20-47E0-9546-0005F11704A7}"/>
    <cellStyle name="Normal 22 3 2 2 3 6 2" xfId="18697" xr:uid="{35040710-C57E-45BD-B006-C167C7274E59}"/>
    <cellStyle name="Normal 22 3 2 2 3 7" xfId="33150" xr:uid="{2CE290CF-67CD-4ED9-91CA-8B4CFB144916}"/>
    <cellStyle name="Normal 22 3 2 2 3 8" xfId="9487" xr:uid="{B67E917C-1CD9-47A2-A0EA-7DE49CDD535C}"/>
    <cellStyle name="Normal 22 3 2 2 4" xfId="14487" xr:uid="{C0A3103E-375D-4656-90CB-C8109C6003D1}"/>
    <cellStyle name="Normal 22 3 2 2 4 2" xfId="16000" xr:uid="{3CE2CDF3-A9CA-4D6E-8733-80B1C32505FD}"/>
    <cellStyle name="Normal 22 3 2 2 4 2 2" xfId="33152" xr:uid="{E3E867F6-5860-4EFB-AC75-E204533DE543}"/>
    <cellStyle name="Normal 22 3 2 2 4 2 2 2" xfId="7945" xr:uid="{A60FBB09-9351-41E9-AB98-B987624B4FD2}"/>
    <cellStyle name="Normal 22 3 2 2 4 2 2 2 2" xfId="8276" xr:uid="{0E4DBD3E-4F05-443A-98FB-8012B835D17E}"/>
    <cellStyle name="Normal 22 3 2 2 4 2 2 2 2 2" xfId="20597" xr:uid="{A9F73731-326A-4200-912A-DF4AD7A59587}"/>
    <cellStyle name="Normal 22 3 2 2 4 2 2 2 3" xfId="33154" xr:uid="{802AAE73-AA73-45CD-A313-360ADBD845AB}"/>
    <cellStyle name="Normal 22 3 2 2 4 2 2 3" xfId="7202" xr:uid="{94F5877A-1272-4B7B-95A3-2AFAAFD04C4F}"/>
    <cellStyle name="Normal 22 3 2 2 4 2 2 3 2" xfId="33156" xr:uid="{CF32327A-EBF5-4C7E-BC3C-CBD89B7ED15C}"/>
    <cellStyle name="Normal 22 3 2 2 4 2 2 4" xfId="14836" xr:uid="{B699A7F3-9CF1-4AF3-A81A-25CD1B11D1C0}"/>
    <cellStyle name="Normal 22 3 2 2 4 2 3" xfId="33158" xr:uid="{8AAA74A6-85B5-456C-8D75-B609344857D9}"/>
    <cellStyle name="Normal 22 3 2 2 4 2 3 2" xfId="8280" xr:uid="{253F1E63-5EBA-4632-A0BC-F9FAE89CEBAA}"/>
    <cellStyle name="Normal 22 3 2 2 4 2 3 2 2" xfId="33160" xr:uid="{5B562508-A966-4F7D-8DB2-25EE55650740}"/>
    <cellStyle name="Normal 22 3 2 2 4 2 3 3" xfId="33162" xr:uid="{FD02C6E1-9E1A-4028-921D-8518F81C3ACB}"/>
    <cellStyle name="Normal 22 3 2 2 4 2 4" xfId="33164" xr:uid="{12088828-8855-4DD0-B840-3B671AE00EB3}"/>
    <cellStyle name="Normal 22 3 2 2 4 2 4 2" xfId="33166" xr:uid="{BE4ABA30-2703-4FDD-A9A5-9E4C77F7C6C9}"/>
    <cellStyle name="Normal 22 3 2 2 4 2 5" xfId="33168" xr:uid="{C2C57402-F82A-4A1F-9950-8FDCA2A46F05}"/>
    <cellStyle name="Normal 22 3 2 2 4 3" xfId="33170" xr:uid="{E92BCC60-8709-4E6F-AFDC-5BC4F59F9788}"/>
    <cellStyle name="Normal 22 3 2 2 4 3 2" xfId="17208" xr:uid="{060D6452-3790-49C6-906E-124186F150A5}"/>
    <cellStyle name="Normal 22 3 2 2 4 3 2 2" xfId="2732" xr:uid="{A09F95AB-ED26-4C45-AAAB-3E7AFBF4567A}"/>
    <cellStyle name="Normal 22 3 2 2 4 3 2 2 2" xfId="33172" xr:uid="{FB00C70F-002B-45F3-9A2C-52EC49B634A8}"/>
    <cellStyle name="Normal 22 3 2 2 4 3 2 3" xfId="12302" xr:uid="{E386AA28-787B-4B0F-8F63-A7FFB5BD5231}"/>
    <cellStyle name="Normal 22 3 2 2 4 3 3" xfId="17214" xr:uid="{5D21D8A9-6AB5-4C3B-82E0-F638F7F5FC7F}"/>
    <cellStyle name="Normal 22 3 2 2 4 3 3 2" xfId="12393" xr:uid="{752EAFF5-E473-4595-9577-09FCCC3E0381}"/>
    <cellStyle name="Normal 22 3 2 2 4 3 4" xfId="17222" xr:uid="{DD7368AE-355C-4A66-8897-FF6732DD7F9D}"/>
    <cellStyle name="Normal 22 3 2 2 4 4" xfId="33174" xr:uid="{0F7EBF7C-782B-41C0-B2E1-09E769F68F7E}"/>
    <cellStyle name="Normal 22 3 2 2 4 4 2" xfId="33176" xr:uid="{ED7EA154-09A5-437C-949B-25EB9F2B8D26}"/>
    <cellStyle name="Normal 22 3 2 2 4 4 2 2" xfId="12591" xr:uid="{A83E436F-79C8-4788-AC31-C00FE7A9E96F}"/>
    <cellStyle name="Normal 22 3 2 2 4 4 3" xfId="33178" xr:uid="{E024BA35-3B0C-4281-BE90-3B462373F79D}"/>
    <cellStyle name="Normal 22 3 2 2 4 5" xfId="33180" xr:uid="{9761DCCD-6ADB-4832-B530-70CD5DB5E847}"/>
    <cellStyle name="Normal 22 3 2 2 4 5 2" xfId="33182" xr:uid="{0D082F2B-B1AE-411C-935B-CBCCC7FF530F}"/>
    <cellStyle name="Normal 22 3 2 2 4 6" xfId="33186" xr:uid="{EBEF5CC0-A824-4CA5-A2CA-8BCEE5291371}"/>
    <cellStyle name="Normal 22 3 2 2 4 7" xfId="33188" xr:uid="{6D43CB0A-7559-4B2B-89D7-D523F1A27430}"/>
    <cellStyle name="Normal 22 3 2 2 5" xfId="14491" xr:uid="{BB54914C-55CB-4339-B838-555953E1BCAC}"/>
    <cellStyle name="Normal 22 3 2 2 5 2" xfId="33190" xr:uid="{C2A9F8C2-D879-4F84-81EE-776F748FB873}"/>
    <cellStyle name="Normal 22 3 2 2 5 2 2" xfId="33192" xr:uid="{E6807B6C-43A4-4B4D-9ABB-702FE17413C3}"/>
    <cellStyle name="Normal 22 3 2 2 5 2 2 2" xfId="5034" xr:uid="{808B730C-49FD-43A6-A73C-C84EC4C79CB2}"/>
    <cellStyle name="Normal 22 3 2 2 5 2 2 2 2" xfId="33194" xr:uid="{335EB015-4D88-4FA0-B08A-E50A61AC5620}"/>
    <cellStyle name="Normal 22 3 2 2 5 2 2 3" xfId="33196" xr:uid="{EEEC1F18-4A04-4A01-9369-95EAF3D7CB33}"/>
    <cellStyle name="Normal 22 3 2 2 5 2 3" xfId="3941" xr:uid="{C7D6A3CB-8F9F-4308-9727-BC3E7F5926BD}"/>
    <cellStyle name="Normal 22 3 2 2 5 2 3 2" xfId="3946" xr:uid="{215F1D38-B6E3-4702-925B-6D104DB12FA8}"/>
    <cellStyle name="Normal 22 3 2 2 5 2 4" xfId="3954" xr:uid="{A661434A-36BB-491B-80B5-C168837D1EC2}"/>
    <cellStyle name="Normal 22 3 2 2 5 3" xfId="33198" xr:uid="{75B041B2-755F-4044-89B7-0B17B21287F9}"/>
    <cellStyle name="Normal 22 3 2 2 5 3 2" xfId="33200" xr:uid="{7A106937-0C8C-4F85-A3B4-A2D3E32FBFF8}"/>
    <cellStyle name="Normal 22 3 2 2 5 3 2 2" xfId="13092" xr:uid="{0C456E8E-D5B4-44A4-8879-1A1856D25796}"/>
    <cellStyle name="Normal 22 3 2 2 5 3 3" xfId="3962" xr:uid="{1F23E497-0B1F-4D39-B740-AC0F6E144F8F}"/>
    <cellStyle name="Normal 22 3 2 2 5 4" xfId="33202" xr:uid="{CB219BD3-925E-4899-B53E-29C2F56A00C0}"/>
    <cellStyle name="Normal 22 3 2 2 5 4 2" xfId="33204" xr:uid="{59107A68-9BCD-44BD-9968-3592FF45BDF8}"/>
    <cellStyle name="Normal 22 3 2 2 5 5" xfId="20027" xr:uid="{FD2C87F0-B5A9-443E-BAB5-1BB171D80151}"/>
    <cellStyle name="Normal 22 3 2 2 6" xfId="33206" xr:uid="{28E795CC-7CF5-4D73-A979-6D3E488FE3B7}"/>
    <cellStyle name="Normal 22 3 2 2 6 2" xfId="33208" xr:uid="{7DC787BB-13A9-491F-9BA2-94EDE2011ACC}"/>
    <cellStyle name="Normal 22 3 2 2 6 2 2" xfId="33210" xr:uid="{CE82A574-9C02-4125-A46B-DB27CADE0B2D}"/>
    <cellStyle name="Normal 22 3 2 2 6 2 2 2" xfId="15380" xr:uid="{88FCECFF-A322-492F-B8E9-813FB59D68DE}"/>
    <cellStyle name="Normal 22 3 2 2 6 2 3" xfId="3980" xr:uid="{A1FB5319-E09F-458F-8E9A-66661C611B7A}"/>
    <cellStyle name="Normal 22 3 2 2 6 3" xfId="33212" xr:uid="{D318162E-D295-4452-A9A8-F3AFC60A9994}"/>
    <cellStyle name="Normal 22 3 2 2 6 3 2" xfId="33214" xr:uid="{D89C12F8-6EE4-4CFE-AA95-30D8B789DE56}"/>
    <cellStyle name="Normal 22 3 2 2 6 4" xfId="33216" xr:uid="{F232B838-AFC5-418B-AC91-54DD00CCEAB9}"/>
    <cellStyle name="Normal 22 3 2 2 7" xfId="33218" xr:uid="{A2EB3406-B24B-471B-B8CF-04BB3BEF63B6}"/>
    <cellStyle name="Normal 22 3 2 2 7 2" xfId="33220" xr:uid="{BFE82B60-58E3-4774-96F6-70BAC30272B3}"/>
    <cellStyle name="Normal 22 3 2 2 7 2 2" xfId="11406" xr:uid="{F550FD62-0332-4F89-85EC-B9FA39010E2F}"/>
    <cellStyle name="Normal 22 3 2 2 7 3" xfId="20379" xr:uid="{F3040A42-A1C6-4977-AEB2-F2A6B65ACED1}"/>
    <cellStyle name="Normal 22 3 2 2 8" xfId="33222" xr:uid="{AED3BE12-E184-4DC0-B220-9D6765F8088A}"/>
    <cellStyle name="Normal 22 3 2 2 8 2" xfId="33224" xr:uid="{294574F6-34E6-4B43-96F8-2DFB417E79B8}"/>
    <cellStyle name="Normal 22 3 2 2 9" xfId="25897" xr:uid="{66C630B8-39C5-4EBD-B2D3-31E692811F6A}"/>
    <cellStyle name="Normal 22 3 2 3" xfId="6526" xr:uid="{596C7247-6818-4084-80E5-74EB79842EC3}"/>
    <cellStyle name="Normal 22 3 2 3 2" xfId="6533" xr:uid="{F4E12A02-9195-4EEE-B4AC-F9A436712BA3}"/>
    <cellStyle name="Normal 22 3 2 3 2 2" xfId="8436" xr:uid="{C6BEC970-D303-40F2-9A6B-8F4FEC8C3B41}"/>
    <cellStyle name="Normal 22 3 2 3 2 2 2" xfId="3875" xr:uid="{3425E71D-D779-42D6-8878-3C58EB49797A}"/>
    <cellStyle name="Normal 22 3 2 3 2 2 2 2" xfId="418" xr:uid="{B4005757-5B42-4CFB-86B0-7E86C40C9C2B}"/>
    <cellStyle name="Normal 22 3 2 3 2 2 2 2 2" xfId="3891" xr:uid="{576A3A0C-F44F-4140-B9A2-A754C7D972AA}"/>
    <cellStyle name="Normal 22 3 2 3 2 2 2 2 2 2" xfId="8709" xr:uid="{5EE35B8D-469F-4F15-B11D-EF2D0D0E7331}"/>
    <cellStyle name="Normal 22 3 2 3 2 2 2 2 2 2 2" xfId="11241" xr:uid="{5D80EBCE-FACF-4A59-BCE2-B4313F4DD9C6}"/>
    <cellStyle name="Normal 22 3 2 3 2 2 2 2 2 3" xfId="11246" xr:uid="{2EF2862D-63BE-4B28-BD30-B3425B855754}"/>
    <cellStyle name="Normal 22 3 2 3 2 2 2 2 3" xfId="8715" xr:uid="{FFDDDB73-B5EC-4A33-9DAF-E5EC532CF364}"/>
    <cellStyle name="Normal 22 3 2 3 2 2 2 2 3 2" xfId="11250" xr:uid="{8463FF30-CE52-4D21-B1C3-75301ADEB37C}"/>
    <cellStyle name="Normal 22 3 2 3 2 2 2 2 4" xfId="11254" xr:uid="{A01EFC37-EB88-45BB-942D-176AF02D42C3}"/>
    <cellStyle name="Normal 22 3 2 3 2 2 2 3" xfId="436" xr:uid="{62E3D894-4641-4CE4-9502-1111EB7D879B}"/>
    <cellStyle name="Normal 22 3 2 3 2 2 2 3 2" xfId="8720" xr:uid="{90632F2E-89A0-427C-B2D4-459C14780EA9}"/>
    <cellStyle name="Normal 22 3 2 3 2 2 2 3 2 2" xfId="11276" xr:uid="{53266676-0FF6-4E58-82DC-766595704DA3}"/>
    <cellStyle name="Normal 22 3 2 3 2 2 2 3 3" xfId="11281" xr:uid="{85E5CF8F-5E39-4F9C-9103-8481418C7BE8}"/>
    <cellStyle name="Normal 22 3 2 3 2 2 2 4" xfId="8724" xr:uid="{B2CDEEEF-BB61-4BBD-ABE0-C2B74B6A2E66}"/>
    <cellStyle name="Normal 22 3 2 3 2 2 2 4 2" xfId="11298" xr:uid="{09A9B8F4-1D12-4880-870F-C6891EC6AE9F}"/>
    <cellStyle name="Normal 22 3 2 3 2 2 2 5" xfId="8729" xr:uid="{E01CC8DC-9BDB-47EC-A69F-A11E55A7C9F8}"/>
    <cellStyle name="Normal 22 3 2 3 2 2 3" xfId="3899" xr:uid="{1FF276C3-36A4-4294-BB06-384AED5A3859}"/>
    <cellStyle name="Normal 22 3 2 3 2 2 3 2" xfId="1560" xr:uid="{FFC12211-DDDB-4E02-B5C6-F3C428F84F9B}"/>
    <cellStyle name="Normal 22 3 2 3 2 2 3 2 2" xfId="8750" xr:uid="{79DB7546-53E0-47D0-96DB-2C58891056B0}"/>
    <cellStyle name="Normal 22 3 2 3 2 2 3 2 2 2" xfId="11333" xr:uid="{E4D27B48-B856-4177-97F8-3E2F106B36D5}"/>
    <cellStyle name="Normal 22 3 2 3 2 2 3 2 3" xfId="11337" xr:uid="{F916BB2A-7186-40F9-888E-668DDCCEC448}"/>
    <cellStyle name="Normal 22 3 2 3 2 2 3 3" xfId="8754" xr:uid="{7054E3DE-0332-463D-BFE1-68D2915B1D5B}"/>
    <cellStyle name="Normal 22 3 2 3 2 2 3 3 2" xfId="11348" xr:uid="{D5CE3357-1631-49E3-9E1E-1DFA4ECBB3D9}"/>
    <cellStyle name="Normal 22 3 2 3 2 2 3 4" xfId="15210" xr:uid="{90EB7F9E-6C5F-40C5-AD80-D5BFEF7630FE}"/>
    <cellStyle name="Normal 22 3 2 3 2 2 4" xfId="3907" xr:uid="{38032F38-6FF3-4C3B-B80C-1EE4235D381B}"/>
    <cellStyle name="Normal 22 3 2 3 2 2 4 2" xfId="8772" xr:uid="{2942C019-037A-49CF-ADE6-43247DE623F7}"/>
    <cellStyle name="Normal 22 3 2 3 2 2 4 2 2" xfId="11368" xr:uid="{C8157704-5F70-4FF5-AEE0-D55C79C56D73}"/>
    <cellStyle name="Normal 22 3 2 3 2 2 4 3" xfId="31788" xr:uid="{F66E3B38-B66E-4F56-BBEB-35B5E961D864}"/>
    <cellStyle name="Normal 22 3 2 3 2 2 5" xfId="3914" xr:uid="{13B3AC41-2028-408C-90A9-2E340C57A218}"/>
    <cellStyle name="Normal 22 3 2 3 2 2 5 2" xfId="30883" xr:uid="{2F314C04-7002-4D9A-B88A-4F6AAF4444A9}"/>
    <cellStyle name="Normal 22 3 2 3 2 2 6" xfId="33226" xr:uid="{741F8CB1-1410-4D0C-9B4E-883C0B6BDB17}"/>
    <cellStyle name="Normal 22 3 2 3 2 2 7" xfId="33232" xr:uid="{493292B9-4C2B-492D-9BAE-563A012EE06D}"/>
    <cellStyle name="Normal 22 3 2 3 2 3" xfId="8440" xr:uid="{D1A5CF43-D52F-4043-AAC8-680F73DB1108}"/>
    <cellStyle name="Normal 22 3 2 3 2 3 2" xfId="3988" xr:uid="{7C51D744-B58E-473D-BA44-E524BB74E8B4}"/>
    <cellStyle name="Normal 22 3 2 3 2 3 2 2" xfId="3993" xr:uid="{D1424BD8-A1D2-4DCC-8B79-304DC195ABBB}"/>
    <cellStyle name="Normal 22 3 2 3 2 3 2 2 2" xfId="8834" xr:uid="{3D97519B-C2A6-4E70-B5F1-5A18B35A57BB}"/>
    <cellStyle name="Normal 22 3 2 3 2 3 2 2 2 2" xfId="11417" xr:uid="{AEB5BEA2-63A2-4B24-9590-1C289A007E2B}"/>
    <cellStyle name="Normal 22 3 2 3 2 3 2 2 3" xfId="11423" xr:uid="{4DE0957E-DF56-4610-8A8A-E5BD10D35367}"/>
    <cellStyle name="Normal 22 3 2 3 2 3 2 3" xfId="8838" xr:uid="{67FC0E61-A36A-4FC8-B7FE-AA5C96631984}"/>
    <cellStyle name="Normal 22 3 2 3 2 3 2 3 2" xfId="11436" xr:uid="{BC5A6FC8-98F7-4EC1-8F34-6BF89BA4839B}"/>
    <cellStyle name="Normal 22 3 2 3 2 3 2 4" xfId="15220" xr:uid="{9F3B60CC-F17D-429E-9B1B-24C7A6E670FA}"/>
    <cellStyle name="Normal 22 3 2 3 2 3 3" xfId="3998" xr:uid="{604E34F7-E172-4219-8BD2-4D4671744E51}"/>
    <cellStyle name="Normal 22 3 2 3 2 3 3 2" xfId="8855" xr:uid="{3B70AD45-8A2B-49F8-9E20-6B8C0AE51598}"/>
    <cellStyle name="Normal 22 3 2 3 2 3 3 2 2" xfId="11484" xr:uid="{C07982B7-BD16-41A7-A621-8BFCE352EF9A}"/>
    <cellStyle name="Normal 22 3 2 3 2 3 3 3" xfId="12310" xr:uid="{D07DF3CA-AAE7-42AC-B1E6-B52E4C32EA50}"/>
    <cellStyle name="Normal 22 3 2 3 2 3 4" xfId="33238" xr:uid="{93D694EF-42C5-4BE5-86FB-BE524C7AE726}"/>
    <cellStyle name="Normal 22 3 2 3 2 3 4 2" xfId="33240" xr:uid="{AB75E821-669A-48C9-B254-4DCEF6F09231}"/>
    <cellStyle name="Normal 22 3 2 3 2 3 5" xfId="33242" xr:uid="{BEF85A6F-C56D-4F5B-8FD1-900D8F8500FA}"/>
    <cellStyle name="Normal 22 3 2 3 2 4" xfId="33244" xr:uid="{2BC09779-0BEF-4D39-ADA8-7BFDA3245576}"/>
    <cellStyle name="Normal 22 3 2 3 2 4 2" xfId="4029" xr:uid="{7FA4A4C8-E15F-4C58-8B20-BABC7DBB9EC7}"/>
    <cellStyle name="Normal 22 3 2 3 2 4 2 2" xfId="8882" xr:uid="{52FB0BD0-EEF7-4779-AE86-3D0A4FEFFD3D}"/>
    <cellStyle name="Normal 22 3 2 3 2 4 2 2 2" xfId="11550" xr:uid="{DC7440E3-B5DF-4D32-A21F-FD3D1005DFB1}"/>
    <cellStyle name="Normal 22 3 2 3 2 4 2 3" xfId="33246" xr:uid="{548B4E87-C290-49AE-9733-DFDF16434601}"/>
    <cellStyle name="Normal 22 3 2 3 2 4 3" xfId="31305" xr:uid="{197B6224-5359-4F39-A503-18D05DD08CE3}"/>
    <cellStyle name="Normal 22 3 2 3 2 4 3 2" xfId="31308" xr:uid="{0C20E1C7-7756-411F-930C-99B774B616EC}"/>
    <cellStyle name="Normal 22 3 2 3 2 4 4" xfId="31312" xr:uid="{D3061444-843C-4386-A2F0-5F8AC47EC4CC}"/>
    <cellStyle name="Normal 22 3 2 3 2 5" xfId="33248" xr:uid="{EF3E3310-7DC7-42AA-81A8-3C7C270623A1}"/>
    <cellStyle name="Normal 22 3 2 3 2 5 2" xfId="33250" xr:uid="{26877339-4113-4485-8EEF-A10E082BC739}"/>
    <cellStyle name="Normal 22 3 2 3 2 5 2 2" xfId="33252" xr:uid="{9CF2AED4-6743-4EDD-B799-318397CCAA5D}"/>
    <cellStyle name="Normal 22 3 2 3 2 5 3" xfId="31318" xr:uid="{E2519E3E-589A-4F01-A6DA-5208AFDCA38F}"/>
    <cellStyle name="Normal 22 3 2 3 2 6" xfId="33254" xr:uid="{CB87A01A-2949-477E-9065-FFAFD59994BC}"/>
    <cellStyle name="Normal 22 3 2 3 2 6 2" xfId="33256" xr:uid="{F99C5C35-4ED1-4A41-A328-C47A9491DF32}"/>
    <cellStyle name="Normal 22 3 2 3 2 7" xfId="33258" xr:uid="{57C78957-0579-4258-B1AE-73ABCF284ECE}"/>
    <cellStyle name="Normal 22 3 2 3 2 8" xfId="26372" xr:uid="{213BC152-1BD0-4546-AD32-FDF983185A99}"/>
    <cellStyle name="Normal 22 3 2 3 3" xfId="8443" xr:uid="{5F27968C-E207-4ABC-9A6A-8B50A3BF246A}"/>
    <cellStyle name="Normal 22 3 2 3 3 2" xfId="8447" xr:uid="{B451C67D-51D1-414D-8163-E3E3CE929618}"/>
    <cellStyle name="Normal 22 3 2 3 3 2 2" xfId="4157" xr:uid="{E32701A5-6BB4-4A3D-9D54-1B15A13118A0}"/>
    <cellStyle name="Normal 22 3 2 3 3 2 2 2" xfId="4160" xr:uid="{24BC358C-5C71-4F8D-8117-3383996A339A}"/>
    <cellStyle name="Normal 22 3 2 3 3 2 2 2 2" xfId="9068" xr:uid="{75B75757-56D9-45DF-9F38-C6A7B9364195}"/>
    <cellStyle name="Normal 22 3 2 3 3 2 2 2 2 2" xfId="11654" xr:uid="{2F29745C-657E-4D7F-9BB3-C37E1236C2D0}"/>
    <cellStyle name="Normal 22 3 2 3 3 2 2 2 3" xfId="11659" xr:uid="{8188DD32-878F-43A5-93FC-80458F266FD8}"/>
    <cellStyle name="Normal 22 3 2 3 3 2 2 3" xfId="9072" xr:uid="{0EF5BF75-2C9A-4260-B288-32E40C6A4ECE}"/>
    <cellStyle name="Normal 22 3 2 3 3 2 2 3 2" xfId="11670" xr:uid="{F492BADA-DBEF-410E-AC3C-771895043311}"/>
    <cellStyle name="Normal 22 3 2 3 3 2 2 4" xfId="15252" xr:uid="{31525CC2-B72E-4A97-AC3D-23242703ED8D}"/>
    <cellStyle name="Normal 22 3 2 3 3 2 3" xfId="4165" xr:uid="{A0141141-588E-41F5-9FD5-18C767F4DBB3}"/>
    <cellStyle name="Normal 22 3 2 3 3 2 3 2" xfId="9081" xr:uid="{566F39B9-168A-48DE-A303-53B4E06CBAC2}"/>
    <cellStyle name="Normal 22 3 2 3 3 2 3 2 2" xfId="11693" xr:uid="{ECB5B2E9-F7C3-4282-8338-160EC628C356}"/>
    <cellStyle name="Normal 22 3 2 3 3 2 3 3" xfId="33260" xr:uid="{12F623BF-2490-43E6-BE7B-8E5FF9AD2147}"/>
    <cellStyle name="Normal 22 3 2 3 3 2 4" xfId="33262" xr:uid="{E520097E-A858-44C3-8B91-587B96138229}"/>
    <cellStyle name="Normal 22 3 2 3 3 2 4 2" xfId="33264" xr:uid="{07B9F53A-29E7-44FF-89B5-A9AAB3782120}"/>
    <cellStyle name="Normal 22 3 2 3 3 2 5" xfId="33266" xr:uid="{0A018ED9-0EDD-4C97-9066-ED078EA44C4C}"/>
    <cellStyle name="Normal 22 3 2 3 3 3" xfId="33268" xr:uid="{1530799E-1D3F-4A8C-91FF-A04F784FC1A9}"/>
    <cellStyle name="Normal 22 3 2 3 3 3 2" xfId="4181" xr:uid="{C7A37A90-5F31-4313-9EB6-F64F37B4CECB}"/>
    <cellStyle name="Normal 22 3 2 3 3 3 2 2" xfId="9115" xr:uid="{2F3F3FC0-94EB-4ADD-9EFC-543D6237E654}"/>
    <cellStyle name="Normal 22 3 2 3 3 3 2 2 2" xfId="11732" xr:uid="{ADB0EE2D-4A82-40C4-A6C8-CD9C438C59E6}"/>
    <cellStyle name="Normal 22 3 2 3 3 3 2 3" xfId="14252" xr:uid="{6834D87F-20F4-4A8E-806B-FC48EC25291C}"/>
    <cellStyle name="Normal 22 3 2 3 3 3 3" xfId="33270" xr:uid="{B9FC8EAE-FCF4-440A-AA07-0D5FBD4DDE9D}"/>
    <cellStyle name="Normal 22 3 2 3 3 3 3 2" xfId="14340" xr:uid="{58FD052F-1E5B-49BD-BC9D-52853CB007C9}"/>
    <cellStyle name="Normal 22 3 2 3 3 3 4" xfId="33272" xr:uid="{EE1D40A2-3FDB-4001-B19E-BD62E6787CEC}"/>
    <cellStyle name="Normal 22 3 2 3 3 4" xfId="33274" xr:uid="{311F05D9-7BE3-4EC8-8C04-7F653F73E67C}"/>
    <cellStyle name="Normal 22 3 2 3 3 4 2" xfId="33276" xr:uid="{BCB230AE-8512-467B-8C60-1F9305DD1F3F}"/>
    <cellStyle name="Normal 22 3 2 3 3 4 2 2" xfId="14521" xr:uid="{A3A9E642-BA7F-479B-8FAB-26AEDEFC9A34}"/>
    <cellStyle name="Normal 22 3 2 3 3 4 3" xfId="31328" xr:uid="{63575177-9321-4A43-B8FE-CF8FEF88343C}"/>
    <cellStyle name="Normal 22 3 2 3 3 5" xfId="33278" xr:uid="{351EDEE1-0B7E-414B-99B8-33B0C70D9410}"/>
    <cellStyle name="Normal 22 3 2 3 3 5 2" xfId="33280" xr:uid="{C8908EDB-5B7D-4B45-B941-691271B35678}"/>
    <cellStyle name="Normal 22 3 2 3 3 6" xfId="33282" xr:uid="{7EAFF6DE-A7A3-46BD-8DBD-AD6216F65BC6}"/>
    <cellStyle name="Normal 22 3 2 3 3 7" xfId="33284" xr:uid="{3DD2D7CB-3F88-4D83-A25D-90D086A59F46}"/>
    <cellStyle name="Normal 22 3 2 3 4" xfId="8450" xr:uid="{80A6B6A6-B888-4778-BFC8-834490FC8A11}"/>
    <cellStyle name="Normal 22 3 2 3 4 2" xfId="33287" xr:uid="{934A5DA6-5EF4-483B-86C4-91EAD1D37B25}"/>
    <cellStyle name="Normal 22 3 2 3 4 2 2" xfId="4235" xr:uid="{BD046813-05B5-4E46-A49B-3F6E13A064E6}"/>
    <cellStyle name="Normal 22 3 2 3 4 2 2 2" xfId="9238" xr:uid="{6EDC126F-8352-49A3-ADAB-176431766D24}"/>
    <cellStyle name="Normal 22 3 2 3 4 2 2 2 2" xfId="11869" xr:uid="{113BC94C-7774-45F5-8A6B-913F2AD94F6A}"/>
    <cellStyle name="Normal 22 3 2 3 4 2 2 3" xfId="33289" xr:uid="{ADB9A333-5482-46C3-A842-96AC2032D060}"/>
    <cellStyle name="Normal 22 3 2 3 4 2 3" xfId="33291" xr:uid="{B7B7AB07-E890-48F9-AA90-2579FD734B1F}"/>
    <cellStyle name="Normal 22 3 2 3 4 2 3 2" xfId="33294" xr:uid="{703CFD5F-1FA9-4087-A4F6-D44B3C7C4B68}"/>
    <cellStyle name="Normal 22 3 2 3 4 2 4" xfId="33296" xr:uid="{36B3307A-4BC2-40AE-AA39-C687743571A6}"/>
    <cellStyle name="Normal 22 3 2 3 4 3" xfId="33299" xr:uid="{3F9952EF-8EF3-4D55-BED1-69D518066E3E}"/>
    <cellStyle name="Normal 22 3 2 3 4 3 2" xfId="33301" xr:uid="{5425239E-6153-499A-BA51-10F14D60C17C}"/>
    <cellStyle name="Normal 22 3 2 3 4 3 2 2" xfId="14954" xr:uid="{92CA7456-E029-4E34-8B09-A4016CEE5337}"/>
    <cellStyle name="Normal 22 3 2 3 4 3 3" xfId="33303" xr:uid="{FFDF82DD-304D-4955-B131-2238B4A7D72A}"/>
    <cellStyle name="Normal 22 3 2 3 4 4" xfId="33306" xr:uid="{BD3BF47B-E608-4D70-977C-A22C1AC7782B}"/>
    <cellStyle name="Normal 22 3 2 3 4 4 2" xfId="32623" xr:uid="{12E03815-1C4E-45C1-BED5-2C0214D64E81}"/>
    <cellStyle name="Normal 22 3 2 3 4 5" xfId="33308" xr:uid="{82E4D3D0-F641-41E6-A8AA-749A17625BD3}"/>
    <cellStyle name="Normal 22 3 2 3 5" xfId="27119" xr:uid="{052FE954-3682-4B39-BE2B-907315A78FED}"/>
    <cellStyle name="Normal 22 3 2 3 5 2" xfId="27124" xr:uid="{F35F29A6-3319-465C-8AA2-959AACB71B2B}"/>
    <cellStyle name="Normal 22 3 2 3 5 2 2" xfId="27130" xr:uid="{F34936EE-795C-451E-B166-C6FE483E4A40}"/>
    <cellStyle name="Normal 22 3 2 3 5 2 2 2" xfId="27136" xr:uid="{1E682F8D-86BA-4C2A-966D-8A4817B4E478}"/>
    <cellStyle name="Normal 22 3 2 3 5 2 3" xfId="4016" xr:uid="{DDFACA34-46FE-4B37-90D1-671F05BC32ED}"/>
    <cellStyle name="Normal 22 3 2 3 5 3" xfId="27146" xr:uid="{CB5130BE-C8D7-47FF-9BFB-BD8938C91B5E}"/>
    <cellStyle name="Normal 22 3 2 3 5 3 2" xfId="19524" xr:uid="{1AB98E65-D115-4253-8094-4AB29BE95C8E}"/>
    <cellStyle name="Normal 22 3 2 3 5 4" xfId="27155" xr:uid="{C96D0CE0-3AAA-4E8D-ABAE-110BD3745D92}"/>
    <cellStyle name="Normal 22 3 2 3 6" xfId="27164" xr:uid="{4FEDF1D1-FAA6-4148-839A-640F75B61226}"/>
    <cellStyle name="Normal 22 3 2 3 6 2" xfId="27168" xr:uid="{770E0B8A-A6BC-409D-9C66-5423B3EFACDA}"/>
    <cellStyle name="Normal 22 3 2 3 6 2 2" xfId="27174" xr:uid="{0A555F59-582F-446B-AAD9-AFB740008A53}"/>
    <cellStyle name="Normal 22 3 2 3 6 3" xfId="27180" xr:uid="{4AE156D1-A67E-495B-847E-9F6067D2AECE}"/>
    <cellStyle name="Normal 22 3 2 3 7" xfId="27186" xr:uid="{F4C0CDE2-D76B-4141-800C-33AADEA9A009}"/>
    <cellStyle name="Normal 22 3 2 3 7 2" xfId="27190" xr:uid="{97A43C35-4FE5-48E8-BA10-FA0F0ADD789A}"/>
    <cellStyle name="Normal 22 3 2 3 8" xfId="27197" xr:uid="{ED3E0DE7-07A8-487B-B22B-EDD2E81861B6}"/>
    <cellStyle name="Normal 22 3 2 3 9" xfId="25910" xr:uid="{523CABE6-BC88-4141-8846-01F1C3C2CD2A}"/>
    <cellStyle name="Normal 22 3 2 4" xfId="6545" xr:uid="{C59F9926-39D7-40F3-A130-738D783B9157}"/>
    <cellStyle name="Normal 22 3 2 4 2" xfId="8461" xr:uid="{4143D3F1-943F-4326-9E3A-78DB0BCCDD38}"/>
    <cellStyle name="Normal 22 3 2 4 2 2" xfId="8465" xr:uid="{9503FE60-4563-4C39-B4CC-613FF7FFD4C8}"/>
    <cellStyle name="Normal 22 3 2 4 2 2 2" xfId="5112" xr:uid="{5B63DAF9-E5AB-4606-B3D5-8EA7910A31A5}"/>
    <cellStyle name="Normal 22 3 2 4 2 2 2 2" xfId="5116" xr:uid="{570A309F-50F3-4DE9-969E-21215E42E9A5}"/>
    <cellStyle name="Normal 22 3 2 4 2 2 2 2 2" xfId="5122" xr:uid="{E7906342-C9E0-4A51-893D-10A6C61D43EF}"/>
    <cellStyle name="Normal 22 3 2 4 2 2 2 2 2 2" xfId="12521" xr:uid="{85551202-651F-44E4-BBAC-5EE4790E69D8}"/>
    <cellStyle name="Normal 22 3 2 4 2 2 2 2 3" xfId="12524" xr:uid="{7F01AEBC-73D5-410C-9F68-20F2D89FB338}"/>
    <cellStyle name="Normal 22 3 2 4 2 2 2 3" xfId="3974" xr:uid="{3C92944E-26EA-4F76-88AD-67BDED3F56FF}"/>
    <cellStyle name="Normal 22 3 2 4 2 2 2 3 2" xfId="12537" xr:uid="{740F2371-90DC-4BB7-B774-8B9FE7BC084C}"/>
    <cellStyle name="Normal 22 3 2 4 2 2 2 4" xfId="15465" xr:uid="{C1E44675-B62A-4CEC-805F-F452F01CA847}"/>
    <cellStyle name="Normal 22 3 2 4 2 2 3" xfId="5127" xr:uid="{3473606B-A445-4A3A-B93F-C99E8F1AB5EB}"/>
    <cellStyle name="Normal 22 3 2 4 2 2 3 2" xfId="5131" xr:uid="{E62752BD-A7FC-415C-B21D-07096E3AA74A}"/>
    <cellStyle name="Normal 22 3 2 4 2 2 3 2 2" xfId="12561" xr:uid="{EF16823C-FFD9-4CA5-9E41-647E3E068D0A}"/>
    <cellStyle name="Normal 22 3 2 4 2 2 3 3" xfId="33310" xr:uid="{72E9B1A2-8A3F-4881-A7A7-B341B9D8E7DD}"/>
    <cellStyle name="Normal 22 3 2 4 2 2 4" xfId="5135" xr:uid="{58F41C6B-E464-49AD-8D3A-EC2BC5F0DAE6}"/>
    <cellStyle name="Normal 22 3 2 4 2 2 4 2" xfId="29635" xr:uid="{B5E1C977-C6FB-4923-B7D7-295C1827C026}"/>
    <cellStyle name="Normal 22 3 2 4 2 2 5" xfId="5140" xr:uid="{8305A526-E6A6-4EDB-A548-15FFFB0B2016}"/>
    <cellStyle name="Normal 22 3 2 4 2 3" xfId="33312" xr:uid="{79088A39-091E-4BD3-A16A-CD3A17650911}"/>
    <cellStyle name="Normal 22 3 2 4 2 3 2" xfId="5189" xr:uid="{5A84F2A1-9960-49F1-B498-6FD56CF7E8F4}"/>
    <cellStyle name="Normal 22 3 2 4 2 3 2 2" xfId="5197" xr:uid="{56D7B765-F24F-4E81-A207-FB51A70A2877}"/>
    <cellStyle name="Normal 22 3 2 4 2 3 2 2 2" xfId="12612" xr:uid="{7E0005B1-CF9B-484D-B511-3EC6A161CBC7}"/>
    <cellStyle name="Normal 22 3 2 4 2 3 2 3" xfId="33314" xr:uid="{2860F33A-7BF6-4B89-97C9-AC1C6F758AB0}"/>
    <cellStyle name="Normal 22 3 2 4 2 3 3" xfId="5201" xr:uid="{FBEB3994-254C-4158-AE22-15AB1E8CB7E6}"/>
    <cellStyle name="Normal 22 3 2 4 2 3 3 2" xfId="33316" xr:uid="{82216CF1-2FB9-4AE1-BFA6-B7EB39C29983}"/>
    <cellStyle name="Normal 22 3 2 4 2 3 4" xfId="33318" xr:uid="{02EE8326-4503-45E7-B745-286F3521F04C}"/>
    <cellStyle name="Normal 22 3 2 4 2 4" xfId="33320" xr:uid="{8DAB0BA9-2060-4487-8513-F936CD30A635}"/>
    <cellStyle name="Normal 22 3 2 4 2 4 2" xfId="5235" xr:uid="{59A0E193-0EBE-4C5D-AF6E-0DD9200D995F}"/>
    <cellStyle name="Normal 22 3 2 4 2 4 2 2" xfId="33322" xr:uid="{8879564F-8017-4CD3-B771-835C85EFA460}"/>
    <cellStyle name="Normal 22 3 2 4 2 4 3" xfId="8187" xr:uid="{7FACCB6B-E115-4720-A1EB-3ECE39E78F47}"/>
    <cellStyle name="Normal 22 3 2 4 2 5" xfId="33324" xr:uid="{A63DFB5F-6127-4CCA-886D-ED6D26BD8580}"/>
    <cellStyle name="Normal 22 3 2 4 2 5 2" xfId="31563" xr:uid="{38FB8955-122D-4D13-9F92-0009F7F857F7}"/>
    <cellStyle name="Normal 22 3 2 4 2 6" xfId="33326" xr:uid="{600450CF-3AE8-4618-9F88-F04D9787369A}"/>
    <cellStyle name="Normal 22 3 2 4 2 7" xfId="33328" xr:uid="{542098DE-5ABB-4529-ADBC-0C164C542E84}"/>
    <cellStyle name="Normal 22 3 2 4 3" xfId="8468" xr:uid="{D79FE040-33F1-4BDE-8CEA-3E4332F4A9A0}"/>
    <cellStyle name="Normal 22 3 2 4 3 2" xfId="33330" xr:uid="{245F7E8B-4F51-4C9B-8DEB-43DB30044069}"/>
    <cellStyle name="Normal 22 3 2 4 3 2 2" xfId="5313" xr:uid="{4CA51C36-0B4B-48AA-89DF-3BEA63548BC3}"/>
    <cellStyle name="Normal 22 3 2 4 3 2 2 2" xfId="5318" xr:uid="{4E7AD2F8-B7D7-47BE-B994-5BBEC8F1DB9E}"/>
    <cellStyle name="Normal 22 3 2 4 3 2 2 2 2" xfId="12745" xr:uid="{32867627-2383-4F02-9F4D-257C06F10D81}"/>
    <cellStyle name="Normal 22 3 2 4 3 2 2 3" xfId="33332" xr:uid="{2820F194-3184-4E4D-879D-37B109FEE905}"/>
    <cellStyle name="Normal 22 3 2 4 3 2 3" xfId="5322" xr:uid="{5F7ECC7E-35AB-4326-806D-1814410B4A46}"/>
    <cellStyle name="Normal 22 3 2 4 3 2 3 2" xfId="33334" xr:uid="{C65845A0-E63F-40D7-AF4D-2CD944F913CC}"/>
    <cellStyle name="Normal 22 3 2 4 3 2 4" xfId="33336" xr:uid="{21EAD6C0-8534-47E2-BA68-62A2DD405EC8}"/>
    <cellStyle name="Normal 22 3 2 4 3 3" xfId="33338" xr:uid="{ECDAFEF3-1EFF-4961-9BFB-B1BFE15D613F}"/>
    <cellStyle name="Normal 22 3 2 4 3 3 2" xfId="1056" xr:uid="{372F63AE-2F1A-467D-9241-C52630BAC864}"/>
    <cellStyle name="Normal 22 3 2 4 3 3 2 2" xfId="17877" xr:uid="{6549700A-7F32-4DBF-A176-0E9F56779AE2}"/>
    <cellStyle name="Normal 22 3 2 4 3 3 3" xfId="19153" xr:uid="{A571A7C8-B323-4296-9850-542A0C9D638D}"/>
    <cellStyle name="Normal 22 3 2 4 3 4" xfId="33340" xr:uid="{60EEA2AB-AD17-4F39-B80E-5E840286B810}"/>
    <cellStyle name="Normal 22 3 2 4 3 4 2" xfId="24670" xr:uid="{58E48FEE-FC41-436B-B1E1-01CBAE9D31C8}"/>
    <cellStyle name="Normal 22 3 2 4 3 5" xfId="33344" xr:uid="{1760C1CE-F7A5-47AF-8817-A60B97D78CC3}"/>
    <cellStyle name="Normal 22 3 2 4 4" xfId="33346" xr:uid="{8934BFB8-F045-4CFA-840E-A3498CB02980}"/>
    <cellStyle name="Normal 22 3 2 4 4 2" xfId="33349" xr:uid="{947481D9-7775-458F-A878-67E81045EDEC}"/>
    <cellStyle name="Normal 22 3 2 4 4 2 2" xfId="5416" xr:uid="{7ADDC52E-1641-4614-A565-160094BD8F27}"/>
    <cellStyle name="Normal 22 3 2 4 4 2 2 2" xfId="33351" xr:uid="{67B862C4-01D9-4F08-8E92-96EE4DAD7101}"/>
    <cellStyle name="Normal 22 3 2 4 4 2 3" xfId="33353" xr:uid="{422280E9-11DE-4B6F-B859-E45D6D9C3B27}"/>
    <cellStyle name="Normal 22 3 2 4 4 3" xfId="33356" xr:uid="{310D3663-D140-4439-9519-6B98CB87453C}"/>
    <cellStyle name="Normal 22 3 2 4 4 3 2" xfId="25728" xr:uid="{2CAF5D0C-6C83-4991-81EF-B065FF97E2C6}"/>
    <cellStyle name="Normal 22 3 2 4 4 4" xfId="33358" xr:uid="{5EAA607A-9D77-4C4A-B25C-BEBED0E8A1DF}"/>
    <cellStyle name="Normal 22 3 2 4 5" xfId="27204" xr:uid="{B0431AC9-520B-4DC0-BB01-A4A629AD7387}"/>
    <cellStyle name="Normal 22 3 2 4 5 2" xfId="22669" xr:uid="{E94D5D3D-4EBC-427B-BBF5-E91FC0A3EA0D}"/>
    <cellStyle name="Normal 22 3 2 4 5 2 2" xfId="22676" xr:uid="{F2065F07-0252-4E6D-A3D1-03C228FDF6DF}"/>
    <cellStyle name="Normal 22 3 2 4 5 3" xfId="21099" xr:uid="{B031F830-1190-4AC5-8FB2-E274F093C440}"/>
    <cellStyle name="Normal 22 3 2 4 6" xfId="27212" xr:uid="{C5F38AAE-D7F8-4D84-926E-074DC4D0E75B}"/>
    <cellStyle name="Normal 22 3 2 4 6 2" xfId="22689" xr:uid="{88496F26-24C7-4B6D-B8C8-6E923D823669}"/>
    <cellStyle name="Normal 22 3 2 4 7" xfId="27218" xr:uid="{F5BDB59E-830E-4099-B7FF-26EAC235ABD9}"/>
    <cellStyle name="Normal 22 3 2 4 8" xfId="27225" xr:uid="{0FBF4E46-96F9-49FB-B875-5E0729B41E4C}"/>
    <cellStyle name="Normal 22 3 2 5" xfId="33360" xr:uid="{C6DF6AD3-377C-46FF-9843-F18DB28674FC}"/>
    <cellStyle name="Normal 22 3 2 5 2" xfId="8477" xr:uid="{96E553EE-896D-49D6-911F-B6E7E4682BA2}"/>
    <cellStyle name="Normal 22 3 2 5 2 2" xfId="33362" xr:uid="{6602215F-C4E3-4DD7-A8AF-1E08D81081CA}"/>
    <cellStyle name="Normal 22 3 2 5 2 2 2" xfId="5850" xr:uid="{097439E9-A1BE-4815-B03A-4AE4079F1E1B}"/>
    <cellStyle name="Normal 22 3 2 5 2 2 2 2" xfId="5854" xr:uid="{C36A6C79-9BD4-4394-AB13-CBEED7C60627}"/>
    <cellStyle name="Normal 22 3 2 5 2 2 2 2 2" xfId="13245" xr:uid="{357AD75F-8A71-4518-8B6B-EA481E836643}"/>
    <cellStyle name="Normal 22 3 2 5 2 2 2 3" xfId="29295" xr:uid="{2BDD4175-51D2-4757-AEB2-82099233323D}"/>
    <cellStyle name="Normal 22 3 2 5 2 2 3" xfId="5860" xr:uid="{AE6F1945-2EFA-409E-99CC-8AFE6306E720}"/>
    <cellStyle name="Normal 22 3 2 5 2 2 3 2" xfId="33364" xr:uid="{3C6E464E-CED0-48B6-8424-672DC8D67F0A}"/>
    <cellStyle name="Normal 22 3 2 5 2 2 4" xfId="33366" xr:uid="{82C0936C-9C60-4E56-A623-8C345FDD0F90}"/>
    <cellStyle name="Normal 22 3 2 5 2 3" xfId="33368" xr:uid="{0E14EDB5-6E0F-447F-A140-8FF27E76861A}"/>
    <cellStyle name="Normal 22 3 2 5 2 3 2" xfId="780" xr:uid="{85D3053C-7848-46A8-8FDA-39297E561E24}"/>
    <cellStyle name="Normal 22 3 2 5 2 3 2 2" xfId="26813" xr:uid="{28DF51B5-DA56-42C4-A973-F2E2879C729F}"/>
    <cellStyle name="Normal 22 3 2 5 2 3 3" xfId="791" xr:uid="{864377A0-D8E7-4D91-8954-9AEC962D1A04}"/>
    <cellStyle name="Normal 22 3 2 5 2 4" xfId="33370" xr:uid="{C3AD5065-1E9A-4E3F-9026-B7DB5EBC2CFB}"/>
    <cellStyle name="Normal 22 3 2 5 2 4 2" xfId="33372" xr:uid="{57C80E47-D095-47B6-87C2-7AB05C902E64}"/>
    <cellStyle name="Normal 22 3 2 5 2 5" xfId="33374" xr:uid="{934E8A16-2810-498F-9839-EAB16767BEE2}"/>
    <cellStyle name="Normal 22 3 2 5 3" xfId="33376" xr:uid="{98C8B5BD-C2BC-4F81-A590-FC23A894398F}"/>
    <cellStyle name="Normal 22 3 2 5 3 2" xfId="33378" xr:uid="{99C1F21E-E6D0-436B-AA59-0726E43C7629}"/>
    <cellStyle name="Normal 22 3 2 5 3 2 2" xfId="5937" xr:uid="{0DD3643A-0834-4A03-A8FF-90C089F62874}"/>
    <cellStyle name="Normal 22 3 2 5 3 2 2 2" xfId="33380" xr:uid="{DAD03A78-D5ED-4CD8-A03D-17A31E29D048}"/>
    <cellStyle name="Normal 22 3 2 5 3 2 3" xfId="33382" xr:uid="{D8402890-1119-4FD7-9852-E6A1E2C4073D}"/>
    <cellStyle name="Normal 22 3 2 5 3 3" xfId="33384" xr:uid="{46061085-0B72-4351-82DC-4723C10E5582}"/>
    <cellStyle name="Normal 22 3 2 5 3 3 2" xfId="33386" xr:uid="{26CF7056-6334-4113-9729-53D493E617F2}"/>
    <cellStyle name="Normal 22 3 2 5 3 4" xfId="33388" xr:uid="{75F84665-C8E2-4DF3-91AF-B13AB882CBB2}"/>
    <cellStyle name="Normal 22 3 2 5 4" xfId="33390" xr:uid="{28222625-F3CA-4289-B5A2-C6C7D35DF57F}"/>
    <cellStyle name="Normal 22 3 2 5 4 2" xfId="33392" xr:uid="{E7CC7AB7-572C-414D-A292-8FF20B2BEEB3}"/>
    <cellStyle name="Normal 22 3 2 5 4 2 2" xfId="33394" xr:uid="{82305638-25E0-4F47-84EF-C3E7900ECEFD}"/>
    <cellStyle name="Normal 22 3 2 5 4 3" xfId="33396" xr:uid="{D867699E-5DC7-49C8-882F-319D30E9A759}"/>
    <cellStyle name="Normal 22 3 2 5 5" xfId="27230" xr:uid="{7C27C7E5-87A6-45E7-AA29-A8DA2C6B951C}"/>
    <cellStyle name="Normal 22 3 2 5 5 2" xfId="22713" xr:uid="{1D22806C-A4A5-40A5-9078-E7C31484FB46}"/>
    <cellStyle name="Normal 22 3 2 5 6" xfId="13437" xr:uid="{72F0D493-8934-44DC-A6FD-6E5A73495F93}"/>
    <cellStyle name="Normal 22 3 2 5 7" xfId="13447" xr:uid="{9AE9D00D-70CD-4746-8F76-73063520D1F4}"/>
    <cellStyle name="Normal 22 3 2 6" xfId="33398" xr:uid="{5D3D3120-D81F-4CAD-89E4-854A0C1CA16C}"/>
    <cellStyle name="Normal 22 3 2 6 2" xfId="33400" xr:uid="{E37F5C3E-7464-491E-9BF0-F26A4BFAE58F}"/>
    <cellStyle name="Normal 22 3 2 6 2 2" xfId="33402" xr:uid="{A1ED3277-4EEF-4983-A265-E00040E4FB49}"/>
    <cellStyle name="Normal 22 3 2 6 2 2 2" xfId="6267" xr:uid="{BE1EA402-2ADD-45BA-AC19-3C104BC0319D}"/>
    <cellStyle name="Normal 22 3 2 6 2 2 2 2" xfId="22265" xr:uid="{7D618000-86C8-464D-B31B-06FDDFE09CF2}"/>
    <cellStyle name="Normal 22 3 2 6 2 2 3" xfId="31852" xr:uid="{02947346-09C3-4819-8D15-51919549EEC0}"/>
    <cellStyle name="Normal 22 3 2 6 2 3" xfId="33404" xr:uid="{36E5F1CE-CEE4-4064-B5DD-D2BCD07A7452}"/>
    <cellStyle name="Normal 22 3 2 6 2 3 2" xfId="33406" xr:uid="{4844763F-5C6D-4EEB-BF8B-60911AF31A1A}"/>
    <cellStyle name="Normal 22 3 2 6 2 4" xfId="33408" xr:uid="{E626533F-8311-418A-96FA-465DAD6353BD}"/>
    <cellStyle name="Normal 22 3 2 6 3" xfId="33410" xr:uid="{92016C2F-E167-4719-9EDF-DA247A992A72}"/>
    <cellStyle name="Normal 22 3 2 6 3 2" xfId="33412" xr:uid="{7D450665-DEB2-4E8A-866B-A27B9AC2CB56}"/>
    <cellStyle name="Normal 22 3 2 6 3 2 2" xfId="33414" xr:uid="{366D7AC2-E536-40D5-8FB6-449BAA217F4E}"/>
    <cellStyle name="Normal 22 3 2 6 3 3" xfId="33416" xr:uid="{FEE10887-E9C8-4126-8385-7D336A03F38D}"/>
    <cellStyle name="Normal 22 3 2 6 4" xfId="33418" xr:uid="{008FE7E6-BC63-4811-84B2-E6BAAA6D44FA}"/>
    <cellStyle name="Normal 22 3 2 6 4 2" xfId="33420" xr:uid="{C95052C0-7A59-4137-B2A6-87E6B41DDDCF}"/>
    <cellStyle name="Normal 22 3 2 6 5" xfId="27238" xr:uid="{6450D35B-A2A9-4929-868C-31481E62A616}"/>
    <cellStyle name="Normal 22 3 2 7" xfId="14270" xr:uid="{209EEEC8-D44E-4D05-8ED8-BF70DF0B224C}"/>
    <cellStyle name="Normal 22 3 2 7 2" xfId="14273" xr:uid="{95ABB7A4-2095-4A02-A296-D78449406A6A}"/>
    <cellStyle name="Normal 22 3 2 7 2 2" xfId="33422" xr:uid="{1A427FA1-3391-47FC-84AB-6F70183C4616}"/>
    <cellStyle name="Normal 22 3 2 7 2 2 2" xfId="25222" xr:uid="{56CC770F-F889-47FC-A826-939A8EACBF7C}"/>
    <cellStyle name="Normal 22 3 2 7 2 3" xfId="33424" xr:uid="{DB00D6D6-A8BB-4F69-A38C-732E86D399FA}"/>
    <cellStyle name="Normal 22 3 2 7 3" xfId="33426" xr:uid="{6C6ACCBB-8BF2-414D-8E92-43A39B0D810B}"/>
    <cellStyle name="Normal 22 3 2 7 3 2" xfId="33428" xr:uid="{9B248EBA-0296-4904-9FC2-2ACE17307888}"/>
    <cellStyle name="Normal 22 3 2 7 4" xfId="33430" xr:uid="{29BDBE46-BEDF-4757-9ED0-F8F08DC4459B}"/>
    <cellStyle name="Normal 22 3 2 8" xfId="14277" xr:uid="{74AE2869-1830-487F-AA38-18A6BF2FBC71}"/>
    <cellStyle name="Normal 22 3 2 8 2" xfId="33433" xr:uid="{A39D80F3-7CF1-45D9-A9F6-44904DF6BF51}"/>
    <cellStyle name="Normal 22 3 2 8 2 2" xfId="33436" xr:uid="{8CBD24AD-A23A-49F9-BAD2-DE60EF410FB2}"/>
    <cellStyle name="Normal 22 3 2 8 3" xfId="33440" xr:uid="{FFFEB0FB-17D8-4C2B-8061-D8C4E0897A1E}"/>
    <cellStyle name="Normal 22 3 2 9" xfId="33444" xr:uid="{FEC819A3-3C36-4647-81F5-E32460A8E126}"/>
    <cellStyle name="Normal 22 3 2 9 2" xfId="33447" xr:uid="{B3D55223-28F2-49A4-9F33-7974409E5E64}"/>
    <cellStyle name="Normal 22 3 3" xfId="33451" xr:uid="{DEF54791-C718-4DD0-B985-AC3ACFA6F04D}"/>
    <cellStyle name="Normal 22 3 3 10" xfId="22614" xr:uid="{AB11CDBA-5EE9-41F2-B773-AC9FC78F354A}"/>
    <cellStyle name="Normal 22 3 3 2" xfId="33455" xr:uid="{19ABA3DF-4AB3-40E6-B6E3-0DA5C8540FCF}"/>
    <cellStyle name="Normal 22 3 3 2 2" xfId="14550" xr:uid="{D66B52E0-2481-4ED5-B2BD-AD5AD31BBA44}"/>
    <cellStyle name="Normal 22 3 3 2 2 2" xfId="14555" xr:uid="{30F4220C-EBB6-4FD5-9BAC-4C523EF23A08}"/>
    <cellStyle name="Normal 22 3 3 2 2 2 2" xfId="33458" xr:uid="{9EBA81AD-6479-45D1-AA40-AC072FF240F5}"/>
    <cellStyle name="Normal 22 3 3 2 2 2 2 2" xfId="10890" xr:uid="{DE9836FD-573D-4926-A5BF-D58A53D08E79}"/>
    <cellStyle name="Normal 22 3 3 2 2 2 2 2 2" xfId="10893" xr:uid="{B096EFFA-8EC5-48A4-9CBC-342AA3B76E64}"/>
    <cellStyle name="Normal 22 3 3 2 2 2 2 2 2 2" xfId="10896" xr:uid="{6AD977CB-97DE-4A11-9169-036351B16185}"/>
    <cellStyle name="Normal 22 3 3 2 2 2 2 2 2 2 2" xfId="10899" xr:uid="{F424AED0-6784-457D-8DC7-90C98BD8B33E}"/>
    <cellStyle name="Normal 22 3 3 2 2 2 2 2 2 3" xfId="10903" xr:uid="{4F986293-106C-453A-AF79-3D528DF06C9F}"/>
    <cellStyle name="Normal 22 3 3 2 2 2 2 2 3" xfId="10908" xr:uid="{F9DB6FAE-D466-489C-A299-524393028100}"/>
    <cellStyle name="Normal 22 3 3 2 2 2 2 2 3 2" xfId="10912" xr:uid="{E10CA001-0FD7-46CE-9193-C775A59D0895}"/>
    <cellStyle name="Normal 22 3 3 2 2 2 2 2 4" xfId="10916" xr:uid="{663DEC92-BFF4-4E29-9093-6038BD02D16C}"/>
    <cellStyle name="Normal 22 3 3 2 2 2 2 3" xfId="10920" xr:uid="{3A9741A0-3786-487B-9DDE-8FC30C588EF0}"/>
    <cellStyle name="Normal 22 3 3 2 2 2 2 3 2" xfId="10923" xr:uid="{F2EA3267-4787-4353-89B4-E01DA33E5972}"/>
    <cellStyle name="Normal 22 3 3 2 2 2 2 3 2 2" xfId="10927" xr:uid="{912323FD-4D22-4FAE-994C-E2F559213FA3}"/>
    <cellStyle name="Normal 22 3 3 2 2 2 2 3 3" xfId="10931" xr:uid="{99B3ABB2-FD0A-4583-90E7-CBE594985121}"/>
    <cellStyle name="Normal 22 3 3 2 2 2 2 4" xfId="10935" xr:uid="{99864ABA-25B5-49C8-9EE4-133E03F9A87F}"/>
    <cellStyle name="Normal 22 3 3 2 2 2 2 4 2" xfId="10941" xr:uid="{30860341-A0C5-4FE5-956B-7F6F85A5CBE0}"/>
    <cellStyle name="Normal 22 3 3 2 2 2 2 5" xfId="10945" xr:uid="{40C84359-9CAE-4B5E-A99F-474F6185BB22}"/>
    <cellStyle name="Normal 22 3 3 2 2 2 3" xfId="33467" xr:uid="{4030EA74-7F79-49A5-9896-A24C880D40F4}"/>
    <cellStyle name="Normal 22 3 3 2 2 2 3 2" xfId="10982" xr:uid="{25F9E8AA-6288-401C-9CB4-1BC291BACA7B}"/>
    <cellStyle name="Normal 22 3 3 2 2 2 3 2 2" xfId="10985" xr:uid="{A1DD3412-7531-4435-B370-73D910D874B2}"/>
    <cellStyle name="Normal 22 3 3 2 2 2 3 2 2 2" xfId="10989" xr:uid="{07425455-6418-44B8-B7B3-CB89B72DAAD3}"/>
    <cellStyle name="Normal 22 3 3 2 2 2 3 2 3" xfId="10993" xr:uid="{2AE18BC1-5F08-47E8-A968-9EA85D3D2070}"/>
    <cellStyle name="Normal 22 3 3 2 2 2 3 3" xfId="10996" xr:uid="{9CA1261C-72CB-4E88-A9B9-EC287C82F223}"/>
    <cellStyle name="Normal 22 3 3 2 2 2 3 3 2" xfId="10999" xr:uid="{B8B89AF9-9613-49C6-BEF8-F981E6282F01}"/>
    <cellStyle name="Normal 22 3 3 2 2 2 3 4" xfId="11003" xr:uid="{9B707BCB-A6A6-42B0-8BAC-024C76C621C6}"/>
    <cellStyle name="Normal 22 3 3 2 2 2 4" xfId="23507" xr:uid="{94969D31-71B2-4E3B-9881-D230F8239884}"/>
    <cellStyle name="Normal 22 3 3 2 2 2 4 2" xfId="11017" xr:uid="{6B07040B-4E67-48F2-9B1C-F3F7D87C1569}"/>
    <cellStyle name="Normal 22 3 3 2 2 2 4 2 2" xfId="11020" xr:uid="{0EA519D0-AAB4-4BCD-A6F9-4929078C05CD}"/>
    <cellStyle name="Normal 22 3 3 2 2 2 4 3" xfId="11023" xr:uid="{D8592065-79A3-4F5A-B0CC-8AFB2BB97F88}"/>
    <cellStyle name="Normal 22 3 3 2 2 2 5" xfId="33476" xr:uid="{2D4735BA-2B62-4AB8-9585-7A57FF260716}"/>
    <cellStyle name="Normal 22 3 3 2 2 2 5 2" xfId="11033" xr:uid="{2A310A05-44BE-44D5-A8C6-67915EF732E5}"/>
    <cellStyle name="Normal 22 3 3 2 2 2 6" xfId="33479" xr:uid="{A7B8944C-5FF8-4858-B857-238CC711C224}"/>
    <cellStyle name="Normal 22 3 3 2 2 2 7" xfId="33482" xr:uid="{EF8C5E1E-C5B5-4924-8F57-6D2ED0AB840D}"/>
    <cellStyle name="Normal 22 3 3 2 2 3" xfId="33487" xr:uid="{493D12B6-7980-4BD6-9CF1-5E4B0D859051}"/>
    <cellStyle name="Normal 22 3 3 2 2 3 2" xfId="33489" xr:uid="{EBC6420A-717E-4873-8FA3-1D053175BD54}"/>
    <cellStyle name="Normal 22 3 3 2 2 3 2 2" xfId="11070" xr:uid="{BD82C7D0-68AD-4C72-B211-FDCDFACE881A}"/>
    <cellStyle name="Normal 22 3 3 2 2 3 2 2 2" xfId="11073" xr:uid="{ACAE1DC3-B712-4B0D-8983-AD9C9D1C296A}"/>
    <cellStyle name="Normal 22 3 3 2 2 3 2 2 2 2" xfId="7993" xr:uid="{39CDB350-8892-4DF8-83B3-2169C14FDDCB}"/>
    <cellStyle name="Normal 22 3 3 2 2 3 2 2 3" xfId="11076" xr:uid="{C19CE6A0-F75C-4075-8A98-21B11F798D2A}"/>
    <cellStyle name="Normal 22 3 3 2 2 3 2 3" xfId="11079" xr:uid="{A8654163-772C-4BDF-8E5F-06568ED73685}"/>
    <cellStyle name="Normal 22 3 3 2 2 3 2 3 2" xfId="11082" xr:uid="{C4FF59BD-55FF-4578-83E7-EA2A2419FE28}"/>
    <cellStyle name="Normal 22 3 3 2 2 3 2 4" xfId="11085" xr:uid="{624148AA-1FBF-4782-B090-706440CE4829}"/>
    <cellStyle name="Normal 22 3 3 2 2 3 3" xfId="33497" xr:uid="{2C1899BC-7BEF-428D-97D3-D977B82F0485}"/>
    <cellStyle name="Normal 22 3 3 2 2 3 3 2" xfId="3097" xr:uid="{8AEB3FC4-39DA-462E-9597-E210F7CD992F}"/>
    <cellStyle name="Normal 22 3 3 2 2 3 3 2 2" xfId="3103" xr:uid="{0D694289-C330-4C49-B5D3-A06E06C4D169}"/>
    <cellStyle name="Normal 22 3 3 2 2 3 3 3" xfId="3113" xr:uid="{C9970E62-7138-4640-91B7-FB5E92C8B4A5}"/>
    <cellStyle name="Normal 22 3 3 2 2 3 4" xfId="33500" xr:uid="{8A2A5DA2-FEBE-4591-9B3F-1D92A6C6E41A}"/>
    <cellStyle name="Normal 22 3 3 2 2 3 4 2" xfId="3128" xr:uid="{FF6BB7E0-0D5B-4835-9371-2918757E5EB8}"/>
    <cellStyle name="Normal 22 3 3 2 2 3 5" xfId="33503" xr:uid="{BF37692C-5CA7-46A1-BF12-4EC0044DA6BB}"/>
    <cellStyle name="Normal 22 3 3 2 2 4" xfId="33507" xr:uid="{9544C7F4-827F-4807-A16B-CF6EC605AB2F}"/>
    <cellStyle name="Normal 22 3 3 2 2 4 2" xfId="33509" xr:uid="{43EC18DB-9007-4788-A9D7-3A392C25C37C}"/>
    <cellStyle name="Normal 22 3 3 2 2 4 2 2" xfId="11131" xr:uid="{45FB56A2-3D36-47A3-858F-8A8B7DC774DF}"/>
    <cellStyle name="Normal 22 3 3 2 2 4 2 2 2" xfId="11134" xr:uid="{94C69A5F-92A1-47A4-B0C2-C07335167134}"/>
    <cellStyle name="Normal 22 3 3 2 2 4 2 3" xfId="11137" xr:uid="{8F36323F-04E1-4C60-9998-06400451904C}"/>
    <cellStyle name="Normal 22 3 3 2 2 4 3" xfId="33513" xr:uid="{BFA7FD99-8EE4-446C-87C6-36817B03BCCE}"/>
    <cellStyle name="Normal 22 3 3 2 2 4 3 2" xfId="3160" xr:uid="{117DD45C-2CA7-4C72-AAF8-5AE2E1B92FA0}"/>
    <cellStyle name="Normal 22 3 3 2 2 4 4" xfId="33516" xr:uid="{2863A76F-F259-4119-B48C-651A04B95F3B}"/>
    <cellStyle name="Normal 22 3 3 2 2 5" xfId="33520" xr:uid="{4D30BA4C-5040-4038-9812-DF3D430EFED1}"/>
    <cellStyle name="Normal 22 3 3 2 2 5 2" xfId="33522" xr:uid="{68AA6E0E-EE24-4466-A2AB-D05E62DDA7C8}"/>
    <cellStyle name="Normal 22 3 3 2 2 5 2 2" xfId="11162" xr:uid="{21DC82D5-4B47-4F73-BABD-726E343E6F1F}"/>
    <cellStyle name="Normal 22 3 3 2 2 5 3" xfId="33528" xr:uid="{74A8FD24-B155-4645-BA40-63123FA58870}"/>
    <cellStyle name="Normal 22 3 3 2 2 6" xfId="21289" xr:uid="{8AD53471-8EC2-48C9-A28B-C5A7216F0801}"/>
    <cellStyle name="Normal 22 3 3 2 2 6 2" xfId="33531" xr:uid="{88A85B18-D2C5-4E0A-B7EC-158FF19FCA88}"/>
    <cellStyle name="Normal 22 3 3 2 2 7" xfId="33534" xr:uid="{1069278C-75BF-4C78-AD08-5BD56E73D0FD}"/>
    <cellStyle name="Normal 22 3 3 2 2 8" xfId="33537" xr:uid="{D81F15FF-BA5D-4111-8199-B6BD6819965E}"/>
    <cellStyle name="Normal 22 3 3 2 3" xfId="14560" xr:uid="{BC8F7F6F-AEBF-4E47-9AFF-FAEE5BB97867}"/>
    <cellStyle name="Normal 22 3 3 2 3 2" xfId="33541" xr:uid="{A6843D53-24BD-4DBD-A166-D6D10FDDD82A}"/>
    <cellStyle name="Normal 22 3 3 2 3 2 2" xfId="33543" xr:uid="{342FED37-134F-4FCA-A119-016968239D1B}"/>
    <cellStyle name="Normal 22 3 3 2 3 2 2 2" xfId="11439" xr:uid="{62817078-4CB6-461C-AD7D-98D2B19E0EB9}"/>
    <cellStyle name="Normal 22 3 3 2 3 2 2 2 2" xfId="11444" xr:uid="{ACCFB04F-66DF-4896-8718-36EF162D2EE3}"/>
    <cellStyle name="Normal 22 3 3 2 3 2 2 2 2 2" xfId="11447" xr:uid="{C9F635EB-62C5-40F3-BA2E-511AF6B9AD6F}"/>
    <cellStyle name="Normal 22 3 3 2 3 2 2 2 3" xfId="11450" xr:uid="{FA950866-65ED-41C5-A138-F5D28918B97F}"/>
    <cellStyle name="Normal 22 3 3 2 3 2 2 3" xfId="11453" xr:uid="{687BAFAA-EF5A-40E5-A369-86B0C3756F55}"/>
    <cellStyle name="Normal 22 3 3 2 3 2 2 3 2" xfId="11458" xr:uid="{DA391A7C-D646-4921-B99F-9B853F8C973D}"/>
    <cellStyle name="Normal 22 3 3 2 3 2 2 4" xfId="11463" xr:uid="{F2518AA2-7D5A-46DE-975E-895AAD4FFB82}"/>
    <cellStyle name="Normal 22 3 3 2 3 2 3" xfId="33549" xr:uid="{A16CB1B5-14CD-4C9A-A605-74E668DFCF40}"/>
    <cellStyle name="Normal 22 3 3 2 3 2 3 2" xfId="11491" xr:uid="{3A1836AF-0251-4D55-BA7A-D57B10EFB1EA}"/>
    <cellStyle name="Normal 22 3 3 2 3 2 3 2 2" xfId="11494" xr:uid="{3D793BA2-01A4-404D-BD36-F44C0D1D3318}"/>
    <cellStyle name="Normal 22 3 3 2 3 2 3 3" xfId="11497" xr:uid="{D4CFD2B7-E022-48D4-8AD1-6F10913B0ABF}"/>
    <cellStyle name="Normal 22 3 3 2 3 2 4" xfId="33554" xr:uid="{53E23BC1-2160-46D6-A9A7-67FE6D32F399}"/>
    <cellStyle name="Normal 22 3 3 2 3 2 4 2" xfId="11522" xr:uid="{67211C36-D2A9-4E68-AB2C-EC2648FAD601}"/>
    <cellStyle name="Normal 22 3 3 2 3 2 5" xfId="33559" xr:uid="{97810B23-DA00-4A81-8201-D7F183978C0D}"/>
    <cellStyle name="Normal 22 3 3 2 3 3" xfId="33565" xr:uid="{0734CDC0-85CA-4FF2-BD04-333B5AC9F230}"/>
    <cellStyle name="Normal 22 3 3 2 3 3 2" xfId="33567" xr:uid="{CF7F6DAA-897A-4979-BE52-170EEF5C0B54}"/>
    <cellStyle name="Normal 22 3 3 2 3 3 2 2" xfId="11556" xr:uid="{FF911DC5-36E1-4F4F-A9DE-5AE29DC2F328}"/>
    <cellStyle name="Normal 22 3 3 2 3 3 2 2 2" xfId="11559" xr:uid="{676AC81C-9E4B-4A4A-A750-D689986E37E0}"/>
    <cellStyle name="Normal 22 3 3 2 3 3 2 3" xfId="11562" xr:uid="{9E3FE531-EC89-4F9C-BD56-EF1B5400A293}"/>
    <cellStyle name="Normal 22 3 3 2 3 3 3" xfId="33573" xr:uid="{6E9AD25F-7CBC-4D45-9A00-93F7FAFE2ED6}"/>
    <cellStyle name="Normal 22 3 3 2 3 3 3 2" xfId="3213" xr:uid="{960579BE-53D8-4E8A-9399-AA439D107132}"/>
    <cellStyle name="Normal 22 3 3 2 3 3 4" xfId="33576" xr:uid="{E433F99D-F129-43A4-A1F7-41BCD5558439}"/>
    <cellStyle name="Normal 22 3 3 2 3 4" xfId="33580" xr:uid="{74B2E9FC-00DC-424F-AB66-C6A8B0B6843C}"/>
    <cellStyle name="Normal 22 3 3 2 3 4 2" xfId="33582" xr:uid="{8F64599D-3C4A-4A01-9BA2-29B5C3A4007B}"/>
    <cellStyle name="Normal 22 3 3 2 3 4 2 2" xfId="11595" xr:uid="{1E8BF715-4B69-41F2-BE3C-0B426201399E}"/>
    <cellStyle name="Normal 22 3 3 2 3 4 3" xfId="33586" xr:uid="{A03C3B12-10AF-41B8-8ACA-0BB1E59786A1}"/>
    <cellStyle name="Normal 22 3 3 2 3 5" xfId="33590" xr:uid="{AF6521A1-5CEB-4C64-BB1F-C6CF74D8E6D2}"/>
    <cellStyle name="Normal 22 3 3 2 3 5 2" xfId="11678" xr:uid="{5563724F-8B6B-4C01-9BA8-F30C704EB30F}"/>
    <cellStyle name="Normal 22 3 3 2 3 6" xfId="33592" xr:uid="{059410A0-F5CF-43BF-9290-8C8F046221F9}"/>
    <cellStyle name="Normal 22 3 3 2 3 7" xfId="33594" xr:uid="{FB4A31B6-42E3-4883-BCFB-7E93148D933B}"/>
    <cellStyle name="Normal 22 3 3 2 4" xfId="16009" xr:uid="{30AEBC7D-C866-40DE-A989-8A00EC2BF54B}"/>
    <cellStyle name="Normal 22 3 3 2 4 2" xfId="33596" xr:uid="{20450EF4-C577-49BC-8CA4-D4930DF9FE62}"/>
    <cellStyle name="Normal 22 3 3 2 4 2 2" xfId="33598" xr:uid="{B599A4B6-A85F-47FF-8C14-2D0A506AA32E}"/>
    <cellStyle name="Normal 22 3 3 2 4 2 2 2" xfId="11739" xr:uid="{1ACC7B29-92B0-4AA1-AB24-3CC7E720EF03}"/>
    <cellStyle name="Normal 22 3 3 2 4 2 2 2 2" xfId="11742" xr:uid="{D733616C-1E38-45B7-912D-70DCBDCA04B7}"/>
    <cellStyle name="Normal 22 3 3 2 4 2 2 3" xfId="11747" xr:uid="{7388B218-C54E-4C9C-B82A-2CE2D1CED8D9}"/>
    <cellStyle name="Normal 22 3 3 2 4 2 3" xfId="33604" xr:uid="{6F37BEA2-1225-473D-BF44-B6F9278B9CA1}"/>
    <cellStyle name="Normal 22 3 3 2 4 2 3 2" xfId="11760" xr:uid="{8524C2D9-1D37-4A5D-9BBB-1480654CC734}"/>
    <cellStyle name="Normal 22 3 3 2 4 2 4" xfId="33607" xr:uid="{EF067DC6-23C2-43A6-ABD3-9BB58C354086}"/>
    <cellStyle name="Normal 22 3 3 2 4 3" xfId="33612" xr:uid="{337F664E-1B5F-4D37-9A61-C659A70BC03E}"/>
    <cellStyle name="Normal 22 3 3 2 4 3 2" xfId="33614" xr:uid="{707A9872-5E76-45A8-B83E-63A1E5C693D5}"/>
    <cellStyle name="Normal 22 3 3 2 4 3 2 2" xfId="11802" xr:uid="{1A217FBE-1376-40D7-8973-88E75FB0D726}"/>
    <cellStyle name="Normal 22 3 3 2 4 3 3" xfId="33618" xr:uid="{DEF1B0E4-D490-4044-B66E-8F7CA8958466}"/>
    <cellStyle name="Normal 22 3 3 2 4 4" xfId="33622" xr:uid="{D27CC688-6B24-4082-9A1A-FD4448AD4211}"/>
    <cellStyle name="Normal 22 3 3 2 4 4 2" xfId="33624" xr:uid="{78D61A0E-A184-4FEE-88B3-F80A2C629C3E}"/>
    <cellStyle name="Normal 22 3 3 2 4 5" xfId="33628" xr:uid="{B92B77A0-140C-441B-949A-45D0611D1C17}"/>
    <cellStyle name="Normal 22 3 3 2 5" xfId="33632" xr:uid="{3E2C8B9F-086F-491A-A6D6-2ADE6F311BC8}"/>
    <cellStyle name="Normal 22 3 3 2 5 2" xfId="33634" xr:uid="{F71B008F-E9DF-48EF-8D2A-5E7FF00D8251}"/>
    <cellStyle name="Normal 22 3 3 2 5 2 2" xfId="33636" xr:uid="{BF8C5F75-FC2F-41A3-8D70-334BFAA5567E}"/>
    <cellStyle name="Normal 22 3 3 2 5 2 2 2" xfId="11925" xr:uid="{364F163A-E3DA-4274-A1CB-BB426DBD5B06}"/>
    <cellStyle name="Normal 22 3 3 2 5 2 3" xfId="4175" xr:uid="{183B9299-F8B0-4C47-BD2F-DE900F85D8CE}"/>
    <cellStyle name="Normal 22 3 3 2 5 3" xfId="33640" xr:uid="{2760A788-D2A9-458B-B3E5-A154260A5CC6}"/>
    <cellStyle name="Normal 22 3 3 2 5 3 2" xfId="33642" xr:uid="{6AACBE89-33F3-416C-A7C9-A2D6AB69A158}"/>
    <cellStyle name="Normal 22 3 3 2 5 4" xfId="33645" xr:uid="{2CC8BF64-3852-4A62-A922-0E1D7BFF2F96}"/>
    <cellStyle name="Normal 22 3 3 2 6" xfId="33651" xr:uid="{7E54EA2C-F1BA-4ADC-90B7-31D924C1308F}"/>
    <cellStyle name="Normal 22 3 3 2 6 2" xfId="33653" xr:uid="{6CFF611A-D6AF-45E4-AC42-CB87EED59727}"/>
    <cellStyle name="Normal 22 3 3 2 6 2 2" xfId="33655" xr:uid="{C4B5A4A4-E09D-4E1E-8C87-16FBA735D30F}"/>
    <cellStyle name="Normal 22 3 3 2 6 3" xfId="33659" xr:uid="{06F87A27-9B29-4D53-81D0-376D812F442C}"/>
    <cellStyle name="Normal 22 3 3 2 7" xfId="33663" xr:uid="{1DCB97CF-699D-47FE-91E1-F0BFF1833842}"/>
    <cellStyle name="Normal 22 3 3 2 7 2" xfId="784" xr:uid="{8C4C1076-1B3A-4792-9F30-8BEA90BB6518}"/>
    <cellStyle name="Normal 22 3 3 2 8" xfId="33665" xr:uid="{3C374356-E04A-4B86-A0B7-445EDC80CA6A}"/>
    <cellStyle name="Normal 22 3 3 2 9" xfId="28591" xr:uid="{6A07A793-82C1-4ED6-B951-FBBE9ACB0F70}"/>
    <cellStyle name="Normal 22 3 3 3" xfId="6555" xr:uid="{D30BA38E-05CE-4D2E-9715-1841322290BE}"/>
    <cellStyle name="Normal 22 3 3 3 2" xfId="8497" xr:uid="{6D5A2F71-D2F0-41A7-AA4A-45A9ABC4A323}"/>
    <cellStyle name="Normal 22 3 3 3 2 2" xfId="8502" xr:uid="{100A3C59-B6DB-4988-A341-41AA167852F8}"/>
    <cellStyle name="Normal 22 3 3 3 2 2 2" xfId="6840" xr:uid="{BC629F73-CC17-4B9A-A860-980718CDF92F}"/>
    <cellStyle name="Normal 22 3 3 3 2 2 2 2" xfId="3378" xr:uid="{EEDA1AC3-8B08-4A71-93B9-D2DAC7C7DE55}"/>
    <cellStyle name="Normal 22 3 3 3 2 2 2 2 2" xfId="12337" xr:uid="{7A0700C4-4546-4598-A04B-7EB1CC04B2BC}"/>
    <cellStyle name="Normal 22 3 3 3 2 2 2 2 2 2" xfId="12341" xr:uid="{07E34673-1010-4B73-9C82-4EA67B62978F}"/>
    <cellStyle name="Normal 22 3 3 3 2 2 2 2 3" xfId="12345" xr:uid="{D9880900-397B-40B8-8280-3C066FCEEB5E}"/>
    <cellStyle name="Normal 22 3 3 3 2 2 2 3" xfId="3387" xr:uid="{B9C88AE6-9EC8-4631-8679-B04F4C05659B}"/>
    <cellStyle name="Normal 22 3 3 3 2 2 2 3 2" xfId="4817" xr:uid="{32E0FE56-6F0F-48D0-93A5-FFC40B3F8569}"/>
    <cellStyle name="Normal 22 3 3 3 2 2 2 4" xfId="4824" xr:uid="{3BA211C3-2FB7-4D6D-A694-75A0C5B44A39}"/>
    <cellStyle name="Normal 22 3 3 3 2 2 3" xfId="6847" xr:uid="{D02FCC53-89CD-49D2-85DC-A4CDDB09D8A6}"/>
    <cellStyle name="Normal 22 3 3 3 2 2 3 2" xfId="12362" xr:uid="{0842DB7C-0794-4DEB-AA6D-1E0E07E6D391}"/>
    <cellStyle name="Normal 22 3 3 3 2 2 3 2 2" xfId="12365" xr:uid="{5B50C83B-5326-4DF4-8244-CD6818B7CF56}"/>
    <cellStyle name="Normal 22 3 3 3 2 2 3 3" xfId="4836" xr:uid="{626CEA56-9CE4-441F-97B0-929BA0C3015D}"/>
    <cellStyle name="Normal 22 3 3 3 2 2 4" xfId="25091" xr:uid="{B2270DD4-4B29-4A6E-8B63-FBD5E807CB1D}"/>
    <cellStyle name="Normal 22 3 3 3 2 2 4 2" xfId="12378" xr:uid="{22558977-C1C7-4CDA-93A0-E1FABE2191FE}"/>
    <cellStyle name="Normal 22 3 3 3 2 2 5" xfId="25094" xr:uid="{804A130F-F898-4F30-BFAF-96C73273272C}"/>
    <cellStyle name="Normal 22 3 3 3 2 3" xfId="33675" xr:uid="{B3E300DB-F687-43D4-B79E-A2B8E3A83172}"/>
    <cellStyle name="Normal 22 3 3 3 2 3 2" xfId="6861" xr:uid="{E9B50ECE-66CB-4F05-928E-0FD71B515002}"/>
    <cellStyle name="Normal 22 3 3 3 2 3 2 2" xfId="12413" xr:uid="{41DF94E7-C702-4438-B397-DAD2A9E80100}"/>
    <cellStyle name="Normal 22 3 3 3 2 3 2 2 2" xfId="12417" xr:uid="{5642DCA0-C5F5-4450-8370-4B470772ED83}"/>
    <cellStyle name="Normal 22 3 3 3 2 3 2 3" xfId="4848" xr:uid="{003EF722-2827-4D66-B1FF-49739A322CC7}"/>
    <cellStyle name="Normal 22 3 3 3 2 3 3" xfId="33681" xr:uid="{29388280-FB16-45B3-9480-A056B8FB9DC6}"/>
    <cellStyle name="Normal 22 3 3 3 2 3 3 2" xfId="3369" xr:uid="{BD86E13F-543D-4409-88A7-0613A69D9B6D}"/>
    <cellStyle name="Normal 22 3 3 3 2 3 4" xfId="33684" xr:uid="{5D73D049-997C-4FBF-9C60-CB15035EA5FF}"/>
    <cellStyle name="Normal 22 3 3 3 2 4" xfId="19876" xr:uid="{81E73C46-50DD-48B1-B94C-15747021F122}"/>
    <cellStyle name="Normal 22 3 3 3 2 4 2" xfId="19880" xr:uid="{BE5433EC-21D0-4E5A-9F33-39E01F753AB0}"/>
    <cellStyle name="Normal 22 3 3 3 2 4 2 2" xfId="12455" xr:uid="{B626F171-DCAE-4FEF-9BF0-B8B1E22ED0CC}"/>
    <cellStyle name="Normal 22 3 3 3 2 4 3" xfId="19940" xr:uid="{1AEE950B-CBB6-4FEF-9CFF-CAE4534BB7A8}"/>
    <cellStyle name="Normal 22 3 3 3 2 5" xfId="19996" xr:uid="{0D8F6282-0A40-4249-A8BB-5460EBA3E1FD}"/>
    <cellStyle name="Normal 22 3 3 3 2 5 2" xfId="20000" xr:uid="{DCA2AE3C-5F05-4255-B105-71E89DCD133E}"/>
    <cellStyle name="Normal 22 3 3 3 2 6" xfId="20050" xr:uid="{DF6432DD-7D4E-4B35-AF03-D1B2265D0032}"/>
    <cellStyle name="Normal 22 3 3 3 2 7" xfId="20073" xr:uid="{4E2BA785-1D34-43A7-A81C-B4B82938A825}"/>
    <cellStyle name="Normal 22 3 3 3 3" xfId="8506" xr:uid="{ED1B5FDE-7C5C-4861-80D6-7CE59C5B4629}"/>
    <cellStyle name="Normal 22 3 3 3 3 2" xfId="33688" xr:uid="{CC9646B0-331A-4F5F-83E5-1A98FC19B62C}"/>
    <cellStyle name="Normal 22 3 3 3 3 2 2" xfId="1685" xr:uid="{92E42A30-561D-4822-8122-C26DA82CBAA3}"/>
    <cellStyle name="Normal 22 3 3 3 3 2 2 2" xfId="12624" xr:uid="{792DBC6F-6CA4-463A-8D95-11420D0452F2}"/>
    <cellStyle name="Normal 22 3 3 3 3 2 2 2 2" xfId="12629" xr:uid="{267FC168-E1AE-443F-9BAB-3196437F4006}"/>
    <cellStyle name="Normal 22 3 3 3 3 2 2 3" xfId="830" xr:uid="{D5DB80B4-7772-49DD-97B3-9E358C26F1BF}"/>
    <cellStyle name="Normal 22 3 3 3 3 2 3" xfId="33690" xr:uid="{7791C87D-34E2-469B-B4C6-910EED158754}"/>
    <cellStyle name="Normal 22 3 3 3 3 2 3 2" xfId="12643" xr:uid="{EE1E30D4-84D9-4816-99D5-B5BE0DA6C38E}"/>
    <cellStyle name="Normal 22 3 3 3 3 2 4" xfId="25202" xr:uid="{8CD9CDA7-D7C1-4E49-B50D-0F4CD139C423}"/>
    <cellStyle name="Normal 22 3 3 3 3 3" xfId="33692" xr:uid="{72987795-FD71-4B4D-9605-68A2D9712BC2}"/>
    <cellStyle name="Normal 22 3 3 3 3 3 2" xfId="33694" xr:uid="{3A1F5012-BE7F-40C3-ADCC-03C0853CC629}"/>
    <cellStyle name="Normal 22 3 3 3 3 3 2 2" xfId="10460" xr:uid="{6B76C356-3256-49C7-87B6-386B270D4335}"/>
    <cellStyle name="Normal 22 3 3 3 3 3 3" xfId="33696" xr:uid="{F2DB23DE-4952-457F-9229-E1BB17D48D3C}"/>
    <cellStyle name="Normal 22 3 3 3 3 4" xfId="20107" xr:uid="{6F8E0AC7-0427-482F-8C84-FF5B598626F5}"/>
    <cellStyle name="Normal 22 3 3 3 3 4 2" xfId="20111" xr:uid="{CCF17340-53D9-45D3-A025-246972F0F4A1}"/>
    <cellStyle name="Normal 22 3 3 3 3 5" xfId="20154" xr:uid="{14FA6674-87F6-400D-9BA8-6803E6FBBA70}"/>
    <cellStyle name="Normal 22 3 3 3 4" xfId="33699" xr:uid="{08E151B9-69B3-4390-B2C9-988BC02297FF}"/>
    <cellStyle name="Normal 22 3 3 3 4 2" xfId="33702" xr:uid="{A562D9D0-F8EA-4E09-89E6-FC45166C8330}"/>
    <cellStyle name="Normal 22 3 3 3 4 2 2" xfId="33704" xr:uid="{889AEFEC-B57C-440B-9FB2-7F0E3F6C3F22}"/>
    <cellStyle name="Normal 22 3 3 3 4 2 2 2" xfId="12794" xr:uid="{BD313D8A-60EE-495E-89A6-D424169433B9}"/>
    <cellStyle name="Normal 22 3 3 3 4 2 3" xfId="33707" xr:uid="{C77B3757-82B4-4DBB-B285-E6A31EDB5E4C}"/>
    <cellStyle name="Normal 22 3 3 3 4 3" xfId="33712" xr:uid="{632930A7-A138-4177-9742-80EA04A3460F}"/>
    <cellStyle name="Normal 22 3 3 3 4 3 2" xfId="33714" xr:uid="{DD5F83F0-7E98-4218-B71D-F63E6511E3FF}"/>
    <cellStyle name="Normal 22 3 3 3 4 4" xfId="20175" xr:uid="{38F1DF4F-4A91-4DB2-968B-040A85B641DE}"/>
    <cellStyle name="Normal 22 3 3 3 5" xfId="27252" xr:uid="{45E6D306-54B1-4280-B33D-645F63FDA838}"/>
    <cellStyle name="Normal 22 3 3 3 5 2" xfId="27256" xr:uid="{FDE456C5-DC22-476B-ABBA-61B4F92FD404}"/>
    <cellStyle name="Normal 22 3 3 3 5 2 2" xfId="27260" xr:uid="{F8503C31-16A4-45FC-AF08-1ACE8606B97B}"/>
    <cellStyle name="Normal 22 3 3 3 5 3" xfId="27268" xr:uid="{56A08051-0B0B-4016-86AC-4A56AFF57A50}"/>
    <cellStyle name="Normal 22 3 3 3 6" xfId="27274" xr:uid="{977695D0-4E1B-4D6C-8543-F6A6431228FB}"/>
    <cellStyle name="Normal 22 3 3 3 6 2" xfId="27278" xr:uid="{B4CDD58E-5E44-431F-BC8E-05A5864B1662}"/>
    <cellStyle name="Normal 22 3 3 3 7" xfId="27286" xr:uid="{FF2753A5-4764-4F99-8A95-C23CA4B16506}"/>
    <cellStyle name="Normal 22 3 3 3 8" xfId="27290" xr:uid="{C3EB3351-881D-4876-9B5C-9889E1B80614}"/>
    <cellStyle name="Normal 22 3 3 4" xfId="33719" xr:uid="{3DAF48B7-9B20-4078-BB9A-63855A8B6A46}"/>
    <cellStyle name="Normal 22 3 3 4 2" xfId="8520" xr:uid="{B780A71E-8858-4A21-97E7-C9EC94BE484A}"/>
    <cellStyle name="Normal 22 3 3 4 2 2" xfId="33721" xr:uid="{63D62607-FCC4-4A37-85CF-6D20011CDBC3}"/>
    <cellStyle name="Normal 22 3 3 4 2 2 2" xfId="7039" xr:uid="{F35C906E-9054-40DC-86AC-2AF40A6188A3}"/>
    <cellStyle name="Normal 22 3 3 4 2 2 2 2" xfId="13116" xr:uid="{70E2E12A-07B4-4DED-A8FB-BC2B3AF944D7}"/>
    <cellStyle name="Normal 22 3 3 4 2 2 2 2 2" xfId="13120" xr:uid="{1A40E172-9C8B-472B-9DAB-BB4C4F69CB4C}"/>
    <cellStyle name="Normal 22 3 3 4 2 2 2 3" xfId="5179" xr:uid="{122859D5-CCD1-4742-9EEE-0797E8CF436C}"/>
    <cellStyle name="Normal 22 3 3 4 2 2 3" xfId="33724" xr:uid="{B4D658BA-46F8-40AE-BEF1-F0549555CDB0}"/>
    <cellStyle name="Normal 22 3 3 4 2 2 3 2" xfId="13141" xr:uid="{C5598408-B212-47F5-9377-58E32D88A4FE}"/>
    <cellStyle name="Normal 22 3 3 4 2 2 4" xfId="33727" xr:uid="{7E9C965D-7048-4CC6-B988-C276394EE8D3}"/>
    <cellStyle name="Normal 22 3 3 4 2 3" xfId="33732" xr:uid="{6C4A838B-1187-4036-8D6A-E0A7F0593628}"/>
    <cellStyle name="Normal 22 3 3 4 2 3 2" xfId="33734" xr:uid="{49AD30AE-58DD-47A0-8A00-21E8D119DD3E}"/>
    <cellStyle name="Normal 22 3 3 4 2 3 2 2" xfId="13179" xr:uid="{449C0883-E4A9-492D-AE2E-5374ED02E9BE}"/>
    <cellStyle name="Normal 22 3 3 4 2 3 3" xfId="33739" xr:uid="{27A87789-C4E8-4A41-9687-6959544EAD24}"/>
    <cellStyle name="Normal 22 3 3 4 2 4" xfId="20413" xr:uid="{0AF37445-3FD4-4CD3-8F2A-4D63B684D6CF}"/>
    <cellStyle name="Normal 22 3 3 4 2 4 2" xfId="20419" xr:uid="{1B2DEB3E-A500-4C55-A9A4-55919E7AB857}"/>
    <cellStyle name="Normal 22 3 3 4 2 5" xfId="20470" xr:uid="{FAD4287D-F512-428C-8169-A0C530F1E81D}"/>
    <cellStyle name="Normal 22 3 3 4 3" xfId="22115" xr:uid="{9DC18C4F-D214-428F-907E-223096D25BEE}"/>
    <cellStyle name="Normal 22 3 3 4 3 2" xfId="33747" xr:uid="{38382723-562C-4270-A79C-0AAE988A510F}"/>
    <cellStyle name="Normal 22 3 3 4 3 2 2" xfId="33749" xr:uid="{84A93A7F-2F86-4B21-9C14-2C46E79265C7}"/>
    <cellStyle name="Normal 22 3 3 4 3 2 2 2" xfId="13310" xr:uid="{8810AC9E-CA0F-4059-B9B7-F642C61AC480}"/>
    <cellStyle name="Normal 22 3 3 4 3 2 3" xfId="33752" xr:uid="{6C0EAE1C-EE36-4B8B-A925-BA8D637D0F96}"/>
    <cellStyle name="Normal 22 3 3 4 3 3" xfId="33756" xr:uid="{A36CDCAE-C1E5-478C-B096-3E1E6F8B8360}"/>
    <cellStyle name="Normal 22 3 3 4 3 3 2" xfId="33758" xr:uid="{5298A70C-BCA1-4B36-B3D5-9FA8707A9159}"/>
    <cellStyle name="Normal 22 3 3 4 3 4" xfId="20512" xr:uid="{253F7901-5F62-4CAC-974D-AEAB79ABC340}"/>
    <cellStyle name="Normal 22 3 3 4 4" xfId="32473" xr:uid="{C1BF428A-2D3F-450D-91BC-728727321D87}"/>
    <cellStyle name="Normal 22 3 3 4 4 2" xfId="26030" xr:uid="{8ABD7B9C-F228-4EF2-8240-EC99AC4BBF5A}"/>
    <cellStyle name="Normal 22 3 3 4 4 2 2" xfId="26034" xr:uid="{2F8D4622-05D7-4ECF-B31E-72D2EEF63A70}"/>
    <cellStyle name="Normal 22 3 3 4 4 3" xfId="26066" xr:uid="{221F256E-3838-483E-A532-1471304DAB15}"/>
    <cellStyle name="Normal 22 3 3 4 5" xfId="27295" xr:uid="{A4FCF7C5-FB3B-4F0B-80BF-6C5B1BDA9B47}"/>
    <cellStyle name="Normal 22 3 3 4 5 2" xfId="22760" xr:uid="{7107CB01-5009-4346-BE36-0F89E38FEE65}"/>
    <cellStyle name="Normal 22 3 3 4 6" xfId="27307" xr:uid="{7047908C-9BA8-48A3-B7D8-BA616DCA1B05}"/>
    <cellStyle name="Normal 22 3 3 4 7" xfId="27315" xr:uid="{0E19959A-CA97-4EB7-A466-2F118F60492B}"/>
    <cellStyle name="Normal 22 3 3 5" xfId="33764" xr:uid="{2EAC86A0-535C-4953-ACBB-FA91EA1BA161}"/>
    <cellStyle name="Normal 22 3 3 5 2" xfId="33768" xr:uid="{50C41D9A-6844-4BAC-BA28-844052C88CE5}"/>
    <cellStyle name="Normal 22 3 3 5 2 2" xfId="33771" xr:uid="{2F64A791-4C31-4172-8AF8-88E3CAB126E6}"/>
    <cellStyle name="Normal 22 3 3 5 2 2 2" xfId="33774" xr:uid="{1C36F052-FA6E-4FF4-BF17-BD60FD53663C}"/>
    <cellStyle name="Normal 22 3 3 5 2 2 2 2" xfId="13636" xr:uid="{7A140282-E62A-41CE-8B6A-1FC9C514D347}"/>
    <cellStyle name="Normal 22 3 3 5 2 2 3" xfId="33779" xr:uid="{D6BB5807-ABB9-42A1-891B-CF42C3DA359E}"/>
    <cellStyle name="Normal 22 3 3 5 2 3" xfId="33786" xr:uid="{C9413963-7100-4296-9CE7-BC2579397106}"/>
    <cellStyle name="Normal 22 3 3 5 2 3 2" xfId="33789" xr:uid="{3F66E7FF-6054-4F93-A022-3C2EE7ACBE4C}"/>
    <cellStyle name="Normal 22 3 3 5 2 4" xfId="20726" xr:uid="{86342926-F9AA-4C0E-B44F-7465D5C88FA5}"/>
    <cellStyle name="Normal 22 3 3 5 3" xfId="33794" xr:uid="{A3F3DC7E-765C-412B-97FC-BC25D5D8180D}"/>
    <cellStyle name="Normal 22 3 3 5 3 2" xfId="33796" xr:uid="{7E18BCBD-9766-4053-B23A-E48CA44CB292}"/>
    <cellStyle name="Normal 22 3 3 5 3 2 2" xfId="33798" xr:uid="{221023C9-C264-419A-9EF7-B1DA40691F4E}"/>
    <cellStyle name="Normal 22 3 3 5 3 3" xfId="33802" xr:uid="{948B225C-3C21-4D6C-A166-C91E5752F82A}"/>
    <cellStyle name="Normal 22 3 3 5 4" xfId="33806" xr:uid="{8425D19D-9A7D-4D41-B4D4-9CB06C68FBD3}"/>
    <cellStyle name="Normal 22 3 3 5 4 2" xfId="33809" xr:uid="{92D67E98-E4C3-41CB-B752-AC497CF286CE}"/>
    <cellStyle name="Normal 22 3 3 5 5" xfId="27322" xr:uid="{4335F2C6-7218-45C6-89DF-A53E42214E4F}"/>
    <cellStyle name="Normal 22 3 3 6" xfId="33817" xr:uid="{FDD81B79-409A-403D-B176-4BA3D247796D}"/>
    <cellStyle name="Normal 22 3 3 6 2" xfId="33820" xr:uid="{726D52D9-A2B6-4DB5-8DE3-9927085A9AFF}"/>
    <cellStyle name="Normal 22 3 3 6 2 2" xfId="33823" xr:uid="{456CA41E-6605-426F-BED6-9DB7C9E5AE83}"/>
    <cellStyle name="Normal 22 3 3 6 2 2 2" xfId="33826" xr:uid="{6CCFDD63-48AE-466E-959D-894107B02EB8}"/>
    <cellStyle name="Normal 22 3 3 6 2 3" xfId="33833" xr:uid="{599D8D78-2E34-453C-A5A5-8B6E65B8FD28}"/>
    <cellStyle name="Normal 22 3 3 6 3" xfId="33838" xr:uid="{378D7817-6C9B-4135-B26A-545BF2B286EF}"/>
    <cellStyle name="Normal 22 3 3 6 3 2" xfId="10368" xr:uid="{A7FE1499-C06E-45FE-9B59-DE4769ECB188}"/>
    <cellStyle name="Normal 22 3 3 6 4" xfId="33841" xr:uid="{6C97ABD8-E487-4955-B4F9-67C0A54D3D10}"/>
    <cellStyle name="Normal 22 3 3 7" xfId="14283" xr:uid="{D6B2A4B3-9538-4918-B1E1-F019E3987AB6}"/>
    <cellStyle name="Normal 22 3 3 7 2" xfId="29127" xr:uid="{2FFAD74F-C6FC-4B9C-89D8-CDB48A70F12A}"/>
    <cellStyle name="Normal 22 3 3 7 2 2" xfId="26244" xr:uid="{6FCE355B-61F0-4D45-8C5E-3946879078D6}"/>
    <cellStyle name="Normal 22 3 3 7 3" xfId="29131" xr:uid="{3D614673-EBA1-4CB6-A9E9-3B80CFE59801}"/>
    <cellStyle name="Normal 22 3 3 8" xfId="33849" xr:uid="{88B00DCD-0B90-478B-B4A3-50672D866C6A}"/>
    <cellStyle name="Normal 22 3 3 8 2" xfId="29197" xr:uid="{A4F8D5DA-E90E-4672-BF75-763D323B7F75}"/>
    <cellStyle name="Normal 22 3 3 9" xfId="30356" xr:uid="{F1E522A8-1DE9-480F-84B1-D20F5AB08F80}"/>
    <cellStyle name="Normal 22 3 4" xfId="33853" xr:uid="{BA3016D3-3539-4B05-9B60-95CCCEB9E749}"/>
    <cellStyle name="Normal 22 3 4 2" xfId="4073" xr:uid="{F7D6C2EE-2EEC-4F50-9E1C-9E28B2B450FF}"/>
    <cellStyle name="Normal 22 3 4 2 2" xfId="14610" xr:uid="{6FABB1DD-CE90-416A-8EF0-914045FA4EE0}"/>
    <cellStyle name="Normal 22 3 4 2 2 2" xfId="32556" xr:uid="{A2190EFC-BAF8-49F7-BB23-0622D19E7DDF}"/>
    <cellStyle name="Normal 22 3 4 2 2 2 2" xfId="32973" xr:uid="{F43A11C3-67E1-4A06-A8F4-F38490A7F322}"/>
    <cellStyle name="Normal 22 3 4 2 2 2 2 2" xfId="2763" xr:uid="{7EFB2E99-E714-4A56-BD9C-BB62EA76D46F}"/>
    <cellStyle name="Normal 22 3 4 2 2 2 2 2 2" xfId="2775" xr:uid="{F92DB232-B04C-4AB1-A918-E665B5E16786}"/>
    <cellStyle name="Normal 22 3 4 2 2 2 2 2 2 2" xfId="2787" xr:uid="{2A4B2738-5C1C-43CF-B877-2842DE618CA5}"/>
    <cellStyle name="Normal 22 3 4 2 2 2 2 2 3" xfId="2797" xr:uid="{44E82BB7-0171-4ABA-9211-9965D8DAA4AE}"/>
    <cellStyle name="Normal 22 3 4 2 2 2 2 3" xfId="2819" xr:uid="{B1EA2098-7E18-4EF3-91FB-86E5B3F315BF}"/>
    <cellStyle name="Normal 22 3 4 2 2 2 2 3 2" xfId="2850" xr:uid="{E03841E0-AA79-4F8C-9118-D16CE13EAE5C}"/>
    <cellStyle name="Normal 22 3 4 2 2 2 2 4" xfId="6617" xr:uid="{17E2266B-3848-43F4-88C0-7B4C8EDAB598}"/>
    <cellStyle name="Normal 22 3 4 2 2 2 3" xfId="6485" xr:uid="{52D24EDF-B081-4850-8D85-7CB7EA2470C0}"/>
    <cellStyle name="Normal 22 3 4 2 2 2 3 2" xfId="6492" xr:uid="{F009295F-CD9D-42D0-A0D8-8F773898B4D5}"/>
    <cellStyle name="Normal 22 3 4 2 2 2 3 2 2" xfId="14317" xr:uid="{CF49D644-DB62-402E-BA12-4678B81DA373}"/>
    <cellStyle name="Normal 22 3 4 2 2 2 3 3" xfId="14320" xr:uid="{50C8DD0D-EB26-475E-A1CD-1F7671F31493}"/>
    <cellStyle name="Normal 22 3 4 2 2 2 4" xfId="6500" xr:uid="{E44AD950-F8BC-45DD-BC6E-5EE050D7E518}"/>
    <cellStyle name="Normal 22 3 4 2 2 2 4 2" xfId="14332" xr:uid="{AA9A7DFE-024C-44CE-82E4-B0050AE2A1B7}"/>
    <cellStyle name="Normal 22 3 4 2 2 2 5" xfId="33860" xr:uid="{5E39F60A-D8E6-4E28-98C1-A384C99C0805}"/>
    <cellStyle name="Normal 22 3 4 2 2 3" xfId="32976" xr:uid="{19BAC94B-118E-4B81-8043-3248F543BF6B}"/>
    <cellStyle name="Normal 22 3 4 2 2 3 2" xfId="33865" xr:uid="{77289233-C844-4D23-8C33-323526F0361C}"/>
    <cellStyle name="Normal 22 3 4 2 2 3 2 2" xfId="14353" xr:uid="{74B02DF8-669B-4754-A32D-9A1CF7CE9805}"/>
    <cellStyle name="Normal 22 3 4 2 2 3 2 2 2" xfId="14356" xr:uid="{1951AD17-7AF0-429E-BA45-60B0D06769DD}"/>
    <cellStyle name="Normal 22 3 4 2 2 3 2 3" xfId="14359" xr:uid="{32873D56-CE00-4341-BCFC-0BFC71C619FD}"/>
    <cellStyle name="Normal 22 3 4 2 2 3 3" xfId="6507" xr:uid="{8CFBF099-BFA7-4AC2-B434-75BB88FA421F}"/>
    <cellStyle name="Normal 22 3 4 2 2 3 3 2" xfId="2925" xr:uid="{3A9FB076-5A43-420B-AA59-21495F5E1C89}"/>
    <cellStyle name="Normal 22 3 4 2 2 3 4" xfId="33870" xr:uid="{F046F123-046B-428A-ACE0-B0ACF56DB6F6}"/>
    <cellStyle name="Normal 22 3 4 2 2 4" xfId="19930" xr:uid="{C7D06024-6069-4E6B-A8DC-4A48DBD7CD52}"/>
    <cellStyle name="Normal 22 3 4 2 2 4 2" xfId="19933" xr:uid="{1516F461-4AF3-4D48-836F-208561AEBA0D}"/>
    <cellStyle name="Normal 22 3 4 2 2 4 2 2" xfId="14382" xr:uid="{6A800821-A0CB-4658-8F94-722D626BBC0C}"/>
    <cellStyle name="Normal 22 3 4 2 2 4 3" xfId="33874" xr:uid="{1F044B35-3CF6-4E37-80B6-F43ED0295DAD}"/>
    <cellStyle name="Normal 22 3 4 2 2 5" xfId="19936" xr:uid="{0A498BAC-B013-41D5-B248-216F930FA2DA}"/>
    <cellStyle name="Normal 22 3 4 2 2 5 2" xfId="33878" xr:uid="{0B3A52AD-2F9F-4F1C-A306-59561D13BDE9}"/>
    <cellStyle name="Normal 22 3 4 2 2 6" xfId="1576" xr:uid="{452918B2-B1AA-4251-9DF4-EEBE0848869A}"/>
    <cellStyle name="Normal 22 3 4 2 2 7" xfId="1579" xr:uid="{6D6ECCBF-D5F8-4ABE-8BB6-1B4841FDE27F}"/>
    <cellStyle name="Normal 22 3 4 2 3" xfId="32564" xr:uid="{7B7849E3-42AC-480B-A805-1D5967192B30}"/>
    <cellStyle name="Normal 22 3 4 2 3 2" xfId="33449" xr:uid="{447D506F-F324-4A71-8C98-3D6DE4B692D2}"/>
    <cellStyle name="Normal 22 3 4 2 3 2 2" xfId="33453" xr:uid="{FF59EC6D-26F3-4E0C-AFAC-F3EC9C91479D}"/>
    <cellStyle name="Normal 22 3 4 2 3 2 2 2" xfId="14548" xr:uid="{527CEA79-DA96-4617-986B-D7394B0BED0A}"/>
    <cellStyle name="Normal 22 3 4 2 3 2 2 2 2" xfId="14553" xr:uid="{43B14A56-6F1C-4139-9F30-1360A5031A76}"/>
    <cellStyle name="Normal 22 3 4 2 3 2 2 3" xfId="14558" xr:uid="{9C990D8A-ACA1-4106-BEF7-F6D19299A748}"/>
    <cellStyle name="Normal 22 3 4 2 3 2 3" xfId="6553" xr:uid="{4AF329D8-66C6-4171-A9AA-7A37225CF9AE}"/>
    <cellStyle name="Normal 22 3 4 2 3 2 3 2" xfId="8495" xr:uid="{88A54B9E-60CA-4711-B0D0-7742707B14FB}"/>
    <cellStyle name="Normal 22 3 4 2 3 2 4" xfId="33717" xr:uid="{455FE26D-BA40-4FA1-81D8-51D313368005}"/>
    <cellStyle name="Normal 22 3 4 2 3 3" xfId="33851" xr:uid="{B806AA60-C820-4856-8C99-BD04896BD08B}"/>
    <cellStyle name="Normal 22 3 4 2 3 3 2" xfId="4071" xr:uid="{F892EA09-342B-4B00-AAA4-C12FA0E166F8}"/>
    <cellStyle name="Normal 22 3 4 2 3 3 2 2" xfId="14608" xr:uid="{B8F0FA43-F64F-4806-9799-4BE430C5EE7C}"/>
    <cellStyle name="Normal 22 3 4 2 3 3 3" xfId="32570" xr:uid="{5324CA8B-2F77-4845-BF2E-9E2E2F60AA77}"/>
    <cellStyle name="Normal 22 3 4 2 3 4" xfId="2566" xr:uid="{2535890D-AFB6-42DD-B36C-F899EC000993}"/>
    <cellStyle name="Normal 22 3 4 2 3 4 2" xfId="2580" xr:uid="{30D289BF-F0B0-4A2B-9CA1-C445E8612AEC}"/>
    <cellStyle name="Normal 22 3 4 2 3 5" xfId="2629" xr:uid="{F810A5F6-485D-4754-A03D-6B0AD6F191A8}"/>
    <cellStyle name="Normal 22 3 4 2 4" xfId="33881" xr:uid="{71B62B4F-05EA-472E-A013-0B88006E1E7E}"/>
    <cellStyle name="Normal 22 3 4 2 4 2" xfId="33885" xr:uid="{75FDE3B1-C6B8-4F57-99F7-7685907C731E}"/>
    <cellStyle name="Normal 22 3 4 2 4 2 2" xfId="33891" xr:uid="{6047BDA5-0B1B-4DB9-BB76-713FE2FC1DE3}"/>
    <cellStyle name="Normal 22 3 4 2 4 2 2 2" xfId="7735" xr:uid="{AD5C796A-9D44-47C7-8C83-F851AA863923}"/>
    <cellStyle name="Normal 22 3 4 2 4 2 3" xfId="33897" xr:uid="{B70D20B5-B340-4F95-A36D-B2861DE0ACEA}"/>
    <cellStyle name="Normal 22 3 4 2 4 3" xfId="33906" xr:uid="{2B12DFD0-3EB2-497E-AD78-456448F1CCB1}"/>
    <cellStyle name="Normal 22 3 4 2 4 3 2" xfId="33911" xr:uid="{17224200-FF0D-4597-812C-A69FA0878CE0}"/>
    <cellStyle name="Normal 22 3 4 2 4 4" xfId="2761" xr:uid="{95A2A20A-6966-4FEF-B918-E6D03BF91BF3}"/>
    <cellStyle name="Normal 22 3 4 2 5" xfId="33917" xr:uid="{56C6A7BA-00B8-4654-B2F1-96DAB3654D54}"/>
    <cellStyle name="Normal 22 3 4 2 5 2" xfId="33919" xr:uid="{8E8C9852-471B-4E87-A461-FD362E8298EB}"/>
    <cellStyle name="Normal 22 3 4 2 5 2 2" xfId="33921" xr:uid="{10BC9A7F-E6C1-4F86-A905-7041ABC68F8F}"/>
    <cellStyle name="Normal 22 3 4 2 5 3" xfId="33925" xr:uid="{4D886F93-6CE3-454A-927B-4F2554E47FD3}"/>
    <cellStyle name="Normal 22 3 4 2 6" xfId="33927" xr:uid="{7E8EE477-1124-4A91-9CE9-6735944C9ECF}"/>
    <cellStyle name="Normal 22 3 4 2 6 2" xfId="33929" xr:uid="{213DC9C8-33F4-464A-8C17-CD94FC0E97CB}"/>
    <cellStyle name="Normal 22 3 4 2 7" xfId="23460" xr:uid="{DA3B698A-E5C9-45DF-BDAB-A3EB01D3D808}"/>
    <cellStyle name="Normal 22 3 4 2 8" xfId="23466" xr:uid="{88F132B9-3E5F-4EC0-ADF0-865ED8334645}"/>
    <cellStyle name="Normal 22 3 4 3" xfId="32568" xr:uid="{DA0C1B02-D61B-4DD0-94DD-FFE73880EFF2}"/>
    <cellStyle name="Normal 22 3 4 3 2" xfId="8531" xr:uid="{1DC28019-4D9B-4F6F-A446-016F64082990}"/>
    <cellStyle name="Normal 22 3 4 3 2 2" xfId="32574" xr:uid="{2BA87AA0-216C-497D-ACEE-F22BB49903FF}"/>
    <cellStyle name="Normal 22 3 4 3 2 2 2" xfId="33932" xr:uid="{E0011FEA-E167-4B3F-A8D9-FED836F1C874}"/>
    <cellStyle name="Normal 22 3 4 3 2 2 2 2" xfId="14975" xr:uid="{FFB93E63-A86E-4799-A993-B14F3AB02A6B}"/>
    <cellStyle name="Normal 22 3 4 3 2 2 2 2 2" xfId="4006" xr:uid="{902B70D4-4E63-4D87-9D5E-0023C1F92D7B}"/>
    <cellStyle name="Normal 22 3 4 3 2 2 2 3" xfId="4695" xr:uid="{D3FC50FB-7AAB-46AF-98CA-0A4A7B7BA65F}"/>
    <cellStyle name="Normal 22 3 4 3 2 2 3" xfId="1132" xr:uid="{90FDBC42-8269-4491-B6BE-43E7AC3BDBF3}"/>
    <cellStyle name="Normal 22 3 4 3 2 2 3 2" xfId="14985" xr:uid="{0E8FA154-1430-4173-89E4-125694BBA1BB}"/>
    <cellStyle name="Normal 22 3 4 3 2 2 4" xfId="33934" xr:uid="{9A3AE6F1-2793-41FC-9AFA-FA9B49240770}"/>
    <cellStyle name="Normal 22 3 4 3 2 3" xfId="33938" xr:uid="{B46BD528-7B9C-43BB-8C35-9BEDB93E714D}"/>
    <cellStyle name="Normal 22 3 4 3 2 3 2" xfId="33940" xr:uid="{A70C39D0-9353-4544-B6DC-35A8007D29BA}"/>
    <cellStyle name="Normal 22 3 4 3 2 3 2 2" xfId="15023" xr:uid="{C7CA1CA7-B9C4-41C3-AEBA-E7F8F56365F5}"/>
    <cellStyle name="Normal 22 3 4 3 2 3 3" xfId="33942" xr:uid="{B3BA49E7-9E03-446F-8A8D-63C2F5714990}"/>
    <cellStyle name="Normal 22 3 4 3 2 4" xfId="19964" xr:uid="{D5E2E68A-D2B9-4311-8C97-69ED75B85349}"/>
    <cellStyle name="Normal 22 3 4 3 2 4 2" xfId="21055" xr:uid="{245EB112-7336-4BEE-A542-3CE9C85E5F08}"/>
    <cellStyle name="Normal 22 3 4 3 2 5" xfId="21092" xr:uid="{94053CAB-7449-491D-B2E9-D4235C46F0BA}"/>
    <cellStyle name="Normal 22 3 4 3 3" xfId="12761" xr:uid="{B1828074-3EF8-40C3-99CF-58C203C3FCCB}"/>
    <cellStyle name="Normal 22 3 4 3 3 2" xfId="33946" xr:uid="{7AC79AA2-107E-4D3D-92F7-8A04E268A96B}"/>
    <cellStyle name="Normal 22 3 4 3 3 2 2" xfId="33948" xr:uid="{46090175-F030-4DEC-AD76-BFED07D2FE6F}"/>
    <cellStyle name="Normal 22 3 4 3 3 2 2 2" xfId="15115" xr:uid="{42AD41A8-B05F-4A3E-BB02-3DDD7365B853}"/>
    <cellStyle name="Normal 22 3 4 3 3 2 3" xfId="33950" xr:uid="{5E7858DF-30A6-456D-953A-42F3742077F8}"/>
    <cellStyle name="Normal 22 3 4 3 3 3" xfId="33953" xr:uid="{1E194240-B5FB-4B00-A629-81613072D733}"/>
    <cellStyle name="Normal 22 3 4 3 3 3 2" xfId="33955" xr:uid="{07DE382A-65F2-4C37-8634-A68F8A703E57}"/>
    <cellStyle name="Normal 22 3 4 3 3 4" xfId="7595" xr:uid="{58136E87-EA49-44C1-A4E0-867D2DAB46A6}"/>
    <cellStyle name="Normal 22 3 4 3 4" xfId="33958" xr:uid="{FFE7A314-8194-4F9F-B6F6-A8CC5CBAE3C0}"/>
    <cellStyle name="Normal 22 3 4 3 4 2" xfId="33960" xr:uid="{797415F3-6A7A-4F4B-86ED-D98D014F1AFE}"/>
    <cellStyle name="Normal 22 3 4 3 4 2 2" xfId="33962" xr:uid="{EC98F118-49D5-42DA-9AF2-7460BC7E438D}"/>
    <cellStyle name="Normal 22 3 4 3 4 3" xfId="33966" xr:uid="{11241321-DC03-437C-A2B7-0CC1B5F8ED07}"/>
    <cellStyle name="Normal 22 3 4 3 5" xfId="27340" xr:uid="{81D09E46-871E-4414-A3AD-13801EA79E77}"/>
    <cellStyle name="Normal 22 3 4 3 5 2" xfId="24303" xr:uid="{895300BB-0204-426A-9611-3AE066131A15}"/>
    <cellStyle name="Normal 22 3 4 3 6" xfId="27348" xr:uid="{B570409E-7F62-4191-A4E1-411509D5A6ED}"/>
    <cellStyle name="Normal 22 3 4 3 7" xfId="23471" xr:uid="{FF3F0AC5-B073-445D-9072-7D02BB7217DC}"/>
    <cellStyle name="Normal 22 3 4 4" xfId="32578" xr:uid="{ECC28077-E60E-42C4-A5BC-47E69A5A0248}"/>
    <cellStyle name="Normal 22 3 4 4 2" xfId="32583" xr:uid="{691FF14C-DB6D-47C9-A71E-77EBB1EF179B}"/>
    <cellStyle name="Normal 22 3 4 4 2 2" xfId="32589" xr:uid="{B5870390-F9D8-4AFA-9C62-4FF8F57C0518}"/>
    <cellStyle name="Normal 22 3 4 4 2 2 2" xfId="33970" xr:uid="{E3D9D962-B7A2-4BB1-893A-55CB3F249BA3}"/>
    <cellStyle name="Normal 22 3 4 4 2 2 2 2" xfId="15361" xr:uid="{7EBD8F72-4BE1-4A5E-A70A-239B6549405A}"/>
    <cellStyle name="Normal 22 3 4 4 2 2 3" xfId="33972" xr:uid="{7538D4E4-92FA-46C8-A52D-B57381CA7623}"/>
    <cellStyle name="Normal 22 3 4 4 2 3" xfId="33978" xr:uid="{D5759178-AC98-446F-A11D-C14E35868D29}"/>
    <cellStyle name="Normal 22 3 4 4 2 3 2" xfId="33982" xr:uid="{8D8DAADE-0A32-4D15-9391-4974F40CF039}"/>
    <cellStyle name="Normal 22 3 4 4 2 4" xfId="21251" xr:uid="{6A2C1EB5-4DEA-47D2-B8A0-5EE17D7C4B2A}"/>
    <cellStyle name="Normal 22 3 4 4 3" xfId="32593" xr:uid="{0AF652AB-748C-4C00-AF47-C0731F39E5FE}"/>
    <cellStyle name="Normal 22 3 4 4 3 2" xfId="33990" xr:uid="{24C25A66-93B7-4B57-8872-33DC56C16D61}"/>
    <cellStyle name="Normal 22 3 4 4 3 2 2" xfId="33992" xr:uid="{D13A27DC-CB48-46E2-837B-7449D5EDDE8E}"/>
    <cellStyle name="Normal 22 3 4 4 3 3" xfId="33997" xr:uid="{A961B7C9-A5A1-4E58-944D-1E57867DFF6C}"/>
    <cellStyle name="Normal 22 3 4 4 4" xfId="34000" xr:uid="{256FA1A2-45C5-403D-9DD1-B63287B1CE27}"/>
    <cellStyle name="Normal 22 3 4 4 4 2" xfId="7217" xr:uid="{40A55AD4-F896-483C-8163-083778636F9B}"/>
    <cellStyle name="Normal 22 3 4 4 5" xfId="27357" xr:uid="{23A4B518-729D-4E16-8306-D6F33343E720}"/>
    <cellStyle name="Normal 22 3 4 5" xfId="32599" xr:uid="{70E3462A-6E8C-47D8-8E86-EAA61835C1E4}"/>
    <cellStyle name="Normal 22 3 4 5 2" xfId="32605" xr:uid="{3A6E53C3-7F0F-4608-9129-511DAB48314A}"/>
    <cellStyle name="Normal 22 3 4 5 2 2" xfId="32610" xr:uid="{32ABA348-503B-4D3E-B630-3EF0190BEC7F}"/>
    <cellStyle name="Normal 22 3 4 5 2 2 2" xfId="34005" xr:uid="{A79254B7-8592-4779-A1E1-3A824E556299}"/>
    <cellStyle name="Normal 22 3 4 5 2 3" xfId="34012" xr:uid="{1E314F95-19E7-480A-B6AD-F1BCD815853D}"/>
    <cellStyle name="Normal 22 3 4 5 3" xfId="32615" xr:uid="{26FF0E5E-861B-4A4B-8184-FF607D4420BF}"/>
    <cellStyle name="Normal 22 3 4 5 3 2" xfId="34017" xr:uid="{922A006A-C090-48DE-95D3-8FC1F9D98403}"/>
    <cellStyle name="Normal 22 3 4 5 4" xfId="34024" xr:uid="{95F04660-9C8A-43F1-8512-2CBCF5A3F40F}"/>
    <cellStyle name="Normal 22 3 4 6" xfId="16457" xr:uid="{42C03C39-D4C7-4CEC-9E2F-9023728A35D6}"/>
    <cellStyle name="Normal 22 3 4 6 2" xfId="32675" xr:uid="{C6552DF5-D0E4-4B83-878C-137AB2EF7E1A}"/>
    <cellStyle name="Normal 22 3 4 6 2 2" xfId="32680" xr:uid="{A3A70BFB-0D27-40B4-82D6-A2B08FEABD94}"/>
    <cellStyle name="Normal 22 3 4 6 3" xfId="32685" xr:uid="{93576078-FF30-4C1D-9BE1-EC0F8A6975CD}"/>
    <cellStyle name="Normal 22 3 4 7" xfId="32689" xr:uid="{09CA85C0-3E64-4F8F-87A8-05370D7874DA}"/>
    <cellStyle name="Normal 22 3 4 7 2" xfId="29311" xr:uid="{84474A02-5DEC-4B0E-8C55-776086422F9F}"/>
    <cellStyle name="Normal 22 3 4 8" xfId="32694" xr:uid="{47DF7B4F-BF66-4E1A-A0BC-EA909B006AD9}"/>
    <cellStyle name="Normal 22 3 4 9" xfId="30399" xr:uid="{DFF73EEE-5B82-4F9D-B516-5410892F351B}"/>
    <cellStyle name="Normal 22 3 5" xfId="2563" xr:uid="{A630A22B-E198-4D7A-B42D-667F8FC1A192}"/>
    <cellStyle name="Normal 22 3 5 2" xfId="2577" xr:uid="{840F0267-DE9E-4B8D-AAA5-8EC9F1694360}"/>
    <cellStyle name="Normal 22 3 5 2 2" xfId="2588" xr:uid="{56DCF5A7-E41C-4174-A0E8-F5A3C1CFC083}"/>
    <cellStyle name="Normal 22 3 5 2 2 2" xfId="7575" xr:uid="{4046891E-72A7-4CE1-82BE-D99DE8E6E2EA}"/>
    <cellStyle name="Normal 22 3 5 2 2 2 2" xfId="34032" xr:uid="{C238F406-1541-490D-A183-FD9FB7FF0D17}"/>
    <cellStyle name="Normal 22 3 5 2 2 2 2 2" xfId="34034" xr:uid="{BE855D67-CC4C-4428-A597-1B10C46573CB}"/>
    <cellStyle name="Normal 22 3 5 2 2 2 2 2 2" xfId="34036" xr:uid="{A6700DBB-7BA5-47CC-8C81-82D9E1874F1B}"/>
    <cellStyle name="Normal 22 3 5 2 2 2 2 3" xfId="34040" xr:uid="{FFD7F10A-79F7-4066-82B4-68AEE2271102}"/>
    <cellStyle name="Normal 22 3 5 2 2 2 3" xfId="34044" xr:uid="{6D4C6EC5-15F2-4512-BF7A-23A9C0D2A5AA}"/>
    <cellStyle name="Normal 22 3 5 2 2 2 3 2" xfId="34046" xr:uid="{F8272483-0FE0-4614-9892-C0B3A9207C7D}"/>
    <cellStyle name="Normal 22 3 5 2 2 2 4" xfId="34051" xr:uid="{45366A2E-153A-443F-AB14-3C3B391E07B2}"/>
    <cellStyle name="Normal 22 3 5 2 2 3" xfId="34054" xr:uid="{14E48C46-693D-4747-9992-62FA23D79B5A}"/>
    <cellStyle name="Normal 22 3 5 2 2 3 2" xfId="34056" xr:uid="{6D71A5CC-9EAF-489D-AE2A-CCD040D51E32}"/>
    <cellStyle name="Normal 22 3 5 2 2 3 2 2" xfId="34058" xr:uid="{1F282180-4443-4E77-AA60-1629EF6806B8}"/>
    <cellStyle name="Normal 22 3 5 2 2 3 3" xfId="34061" xr:uid="{91058CD2-A84B-482B-9AF1-7022B38289B6}"/>
    <cellStyle name="Normal 22 3 5 2 2 4" xfId="20020" xr:uid="{916C59C3-B6EE-47AC-B84E-F014AF072BAE}"/>
    <cellStyle name="Normal 22 3 5 2 2 4 2" xfId="22518" xr:uid="{28584E39-33AB-4B21-B9C6-C7518871AE90}"/>
    <cellStyle name="Normal 22 3 5 2 2 5" xfId="34067" xr:uid="{7C7BDC8A-BB12-48D0-BBCF-7A1D424C302C}"/>
    <cellStyle name="Normal 22 3 5 2 3" xfId="2597" xr:uid="{D9DD742A-76E2-4ABC-9A4D-461D59B761E9}"/>
    <cellStyle name="Normal 22 3 5 2 3 2" xfId="34071" xr:uid="{99DBBDEA-A314-40B1-AA03-741A92068E9A}"/>
    <cellStyle name="Normal 22 3 5 2 3 2 2" xfId="34073" xr:uid="{A9CE85C0-D2C4-495B-AD14-386E1550F375}"/>
    <cellStyle name="Normal 22 3 5 2 3 2 2 2" xfId="34075" xr:uid="{F7417590-7E65-4E99-9ECF-456231F8EC4F}"/>
    <cellStyle name="Normal 22 3 5 2 3 2 3" xfId="34078" xr:uid="{D6488ECE-2A0D-45C9-93A2-C788082BA7C8}"/>
    <cellStyle name="Normal 22 3 5 2 3 3" xfId="34081" xr:uid="{928CD393-DD9D-4F22-9179-A00AEC191514}"/>
    <cellStyle name="Normal 22 3 5 2 3 3 2" xfId="34083" xr:uid="{FDC6F138-DD7F-4104-AA83-54C2C6F419B6}"/>
    <cellStyle name="Normal 22 3 5 2 3 4" xfId="7807" xr:uid="{5ADE3727-AF3B-412C-9FA9-C155EF026FF4}"/>
    <cellStyle name="Normal 22 3 5 2 4" xfId="34086" xr:uid="{092977D0-ABFB-47FB-955B-82C103CFE8D4}"/>
    <cellStyle name="Normal 22 3 5 2 4 2" xfId="34088" xr:uid="{3FE904BE-CF99-4B81-94CF-294C54F5E804}"/>
    <cellStyle name="Normal 22 3 5 2 4 2 2" xfId="34090" xr:uid="{F2B16596-2A54-4517-AA4C-9EBA45271CB0}"/>
    <cellStyle name="Normal 22 3 5 2 4 3" xfId="34093" xr:uid="{8CF915E9-6B1A-40D6-B34A-862208846B55}"/>
    <cellStyle name="Normal 22 3 5 2 5" xfId="34096" xr:uid="{05E80462-0A1B-43D7-BEBC-01074E31C9E4}"/>
    <cellStyle name="Normal 22 3 5 2 5 2" xfId="28006" xr:uid="{161D6997-CD0E-4B2C-AEAF-F9DAAB9804FD}"/>
    <cellStyle name="Normal 22 3 5 2 6" xfId="34098" xr:uid="{76E4A089-28C5-482B-B4D4-249252141C82}"/>
    <cellStyle name="Normal 22 3 5 2 7" xfId="23477" xr:uid="{93794FA6-1120-49CB-84E4-A0A4ACB7AAB2}"/>
    <cellStyle name="Normal 22 3 5 3" xfId="2611" xr:uid="{51E8EE8D-418E-4745-A0E3-BC9AAB6FE977}"/>
    <cellStyle name="Normal 22 3 5 3 2" xfId="7582" xr:uid="{7958C852-5489-4F6C-BE9E-FC8473EC21BF}"/>
    <cellStyle name="Normal 22 3 5 3 2 2" xfId="34105" xr:uid="{2CB4F2E2-E929-448D-BF96-2CE21784CB95}"/>
    <cellStyle name="Normal 22 3 5 3 2 2 2" xfId="33342" xr:uid="{CF5C2694-6CB2-440D-A025-21849D0489E6}"/>
    <cellStyle name="Normal 22 3 5 3 2 2 2 2" xfId="17314" xr:uid="{DF3D4C8C-6627-4F2D-B2B1-100E7357A5C0}"/>
    <cellStyle name="Normal 22 3 5 3 2 2 3" xfId="34107" xr:uid="{A5828323-581F-4933-BE0E-A80E78527389}"/>
    <cellStyle name="Normal 22 3 5 3 2 3" xfId="34110" xr:uid="{DCD804FA-8AF6-470D-89B2-E6A706F5C42F}"/>
    <cellStyle name="Normal 22 3 5 3 2 3 2" xfId="34112" xr:uid="{E8FF0044-3BCF-489C-88A7-9A830D226703}"/>
    <cellStyle name="Normal 22 3 5 3 2 4" xfId="21518" xr:uid="{87B37441-2E01-47EB-AE0E-4C4F9AA5656C}"/>
    <cellStyle name="Normal 22 3 5 3 3" xfId="34119" xr:uid="{98862B2F-9730-453C-B9FA-F8E537B1869B}"/>
    <cellStyle name="Normal 22 3 5 3 3 2" xfId="34121" xr:uid="{C801F294-9C70-4E23-B9FB-C4C9B0742E68}"/>
    <cellStyle name="Normal 22 3 5 3 3 2 2" xfId="34123" xr:uid="{A9398F05-7EF7-49A8-BFBC-0453C6A1ADDF}"/>
    <cellStyle name="Normal 22 3 5 3 3 3" xfId="34127" xr:uid="{B673177E-5E56-4F77-B311-7BAFDCD41D9A}"/>
    <cellStyle name="Normal 22 3 5 3 4" xfId="34130" xr:uid="{8BA9DEBD-A009-4C6D-B602-05146C315EA7}"/>
    <cellStyle name="Normal 22 3 5 3 4 2" xfId="34132" xr:uid="{0A200F92-1A0A-4B07-97AE-F8F2A5FBF759}"/>
    <cellStyle name="Normal 22 3 5 3 5" xfId="27374" xr:uid="{BE31E947-C1AE-4F27-A8AA-82127B382C89}"/>
    <cellStyle name="Normal 22 3 5 4" xfId="2621" xr:uid="{B538D00B-99BA-475E-A7A9-BF09F0CDC03B}"/>
    <cellStyle name="Normal 22 3 5 4 2" xfId="34141" xr:uid="{2257C5C1-D080-460A-AEAB-9152B1766D10}"/>
    <cellStyle name="Normal 22 3 5 4 2 2" xfId="34147" xr:uid="{D3FC6992-A4BB-46A2-812B-8BB54268C788}"/>
    <cellStyle name="Normal 22 3 5 4 2 2 2" xfId="20534" xr:uid="{C74A2E8A-1A0B-411C-B870-E4F851C7134A}"/>
    <cellStyle name="Normal 22 3 5 4 2 3" xfId="34149" xr:uid="{5C04DD2C-AAD5-4D29-BC8A-A3D554A453D0}"/>
    <cellStyle name="Normal 22 3 5 4 3" xfId="34155" xr:uid="{B8D7827E-E89B-4BF1-87F3-346E627BF5FF}"/>
    <cellStyle name="Normal 22 3 5 4 3 2" xfId="34157" xr:uid="{74EDDA5A-E176-48B0-8B2D-49923112D86A}"/>
    <cellStyle name="Normal 22 3 5 4 4" xfId="34160" xr:uid="{313CCC26-7D34-4E35-BE3B-BF6136ECF172}"/>
    <cellStyle name="Normal 22 3 5 5" xfId="34168" xr:uid="{EE777DA5-F838-40DA-AB4D-9963E011A0D9}"/>
    <cellStyle name="Normal 22 3 5 5 2" xfId="34174" xr:uid="{EEF2B438-CAAC-406E-9990-6D9105FDB10F}"/>
    <cellStyle name="Normal 22 3 5 5 2 2" xfId="34180" xr:uid="{4CEEBA64-C8B8-4DE4-96FE-F78904879BFA}"/>
    <cellStyle name="Normal 22 3 5 5 3" xfId="34187" xr:uid="{EB01BC18-76D0-4D63-93DD-B856D1FAC7CD}"/>
    <cellStyle name="Normal 22 3 5 6" xfId="34195" xr:uid="{3EAF18AB-112A-4AF6-9DC8-A85AFEBF6C27}"/>
    <cellStyle name="Normal 22 3 5 6 2" xfId="34201" xr:uid="{3F64960D-1E24-49C7-B033-444433E4756E}"/>
    <cellStyle name="Normal 22 3 5 7" xfId="34212" xr:uid="{0BE06194-9ACA-4A01-AB25-A89FA5932C53}"/>
    <cellStyle name="Normal 22 3 5 8" xfId="34221" xr:uid="{62E413BC-DD81-467D-A959-6C3C2D0D6AD3}"/>
    <cellStyle name="Normal 22 3 6" xfId="2626" xr:uid="{BA96E9CB-C1B4-40F1-B44C-761DCF93F488}"/>
    <cellStyle name="Normal 22 3 6 2" xfId="2636" xr:uid="{70D7E34E-ECC1-4550-B6D0-0E6A3E0A9F91}"/>
    <cellStyle name="Normal 22 3 6 2 2" xfId="2648" xr:uid="{E1CD885C-A5DB-4373-8738-6A0C08AF620C}"/>
    <cellStyle name="Normal 22 3 6 2 2 2" xfId="34223" xr:uid="{3D51070F-A9AC-485E-9448-AD680389B9D4}"/>
    <cellStyle name="Normal 22 3 6 2 2 2 2" xfId="34225" xr:uid="{86E646B2-592F-484E-8724-7C3E54E05C04}"/>
    <cellStyle name="Normal 22 3 6 2 2 2 2 2" xfId="15812" xr:uid="{E0AB2520-70C7-4344-8BDB-CA192811851A}"/>
    <cellStyle name="Normal 22 3 6 2 2 2 3" xfId="34227" xr:uid="{454E9D13-7F4E-41B0-A4C4-CCC2DA1B0F76}"/>
    <cellStyle name="Normal 22 3 6 2 2 3" xfId="34230" xr:uid="{07937721-D76B-4519-94BA-7A9C3794BA18}"/>
    <cellStyle name="Normal 22 3 6 2 2 3 2" xfId="34232" xr:uid="{B0C7E7B3-C209-42E3-8A1F-6807F8177537}"/>
    <cellStyle name="Normal 22 3 6 2 2 4" xfId="30861" xr:uid="{15602A93-8922-4CA7-9589-E6E8D2A849CA}"/>
    <cellStyle name="Normal 22 3 6 2 3" xfId="34236" xr:uid="{8DAAE443-D8C5-4596-A1CD-036F0CA220A6}"/>
    <cellStyle name="Normal 22 3 6 2 3 2" xfId="18933" xr:uid="{E86868E7-A287-46A6-B00A-081845D7A184}"/>
    <cellStyle name="Normal 22 3 6 2 3 2 2" xfId="34238" xr:uid="{6A8464BF-9034-45FA-B41C-747AABE85B28}"/>
    <cellStyle name="Normal 22 3 6 2 3 3" xfId="18943" xr:uid="{296E74A0-A022-45B7-A245-AD3935F69D1D}"/>
    <cellStyle name="Normal 22 3 6 2 4" xfId="34242" xr:uid="{D6810C97-1EDD-4500-95D2-3C5F3CFF2FB6}"/>
    <cellStyle name="Normal 22 3 6 2 4 2" xfId="19104" xr:uid="{4618D000-C0BC-4455-90D6-7F39BFB945C9}"/>
    <cellStyle name="Normal 22 3 6 2 5" xfId="34247" xr:uid="{B2E39D1B-760B-463E-B9F7-718859941DC0}"/>
    <cellStyle name="Normal 22 3 6 3" xfId="2652" xr:uid="{E2124537-C3A1-4769-8866-06242A8841A8}"/>
    <cellStyle name="Normal 22 3 6 3 2" xfId="34256" xr:uid="{0E45520F-92F7-4AFE-8543-65BBE01D4636}"/>
    <cellStyle name="Normal 22 3 6 3 2 2" xfId="34258" xr:uid="{F686D64E-FDC1-4235-8C28-5EA09EF910E2}"/>
    <cellStyle name="Normal 22 3 6 3 2 2 2" xfId="34260" xr:uid="{75368439-E6F8-42DB-B01B-24061B15F747}"/>
    <cellStyle name="Normal 22 3 6 3 2 3" xfId="34264" xr:uid="{17AFF4EF-34A2-4B87-AFC0-44D0A1187B12}"/>
    <cellStyle name="Normal 22 3 6 3 3" xfId="34267" xr:uid="{5F86A308-BF87-4B21-91F9-DBC0DA0665B4}"/>
    <cellStyle name="Normal 22 3 6 3 3 2" xfId="34269" xr:uid="{48C1974F-7202-47EB-8D70-8AE47BC12A7C}"/>
    <cellStyle name="Normal 22 3 6 3 4" xfId="34273" xr:uid="{B384A1F5-22F1-455C-8A92-238701D53DCB}"/>
    <cellStyle name="Normal 22 3 6 4" xfId="34276" xr:uid="{F79D70D3-170D-438A-BBE8-6EFC6DB25B5C}"/>
    <cellStyle name="Normal 22 3 6 4 2" xfId="34278" xr:uid="{7E9C8AFF-BFE8-443C-A3EE-42733C48293E}"/>
    <cellStyle name="Normal 22 3 6 4 2 2" xfId="34280" xr:uid="{4FDCEF22-0D78-4EE3-BB79-1F9621D716AC}"/>
    <cellStyle name="Normal 22 3 6 4 3" xfId="34284" xr:uid="{84C8C003-5806-4FB4-9F89-63DD00E289ED}"/>
    <cellStyle name="Normal 22 3 6 5" xfId="34289" xr:uid="{20AC95CC-E4A9-4BDF-8BAA-5067BA3A3180}"/>
    <cellStyle name="Normal 22 3 6 5 2" xfId="34292" xr:uid="{AB15914F-F0E6-4655-8E8D-055F054683D3}"/>
    <cellStyle name="Normal 22 3 6 6" xfId="34299" xr:uid="{E063B69B-7078-4350-8CD0-74E9CC887313}"/>
    <cellStyle name="Normal 22 3 6 7" xfId="34304" xr:uid="{07C40F48-35BC-47CD-ADDB-860A6A88E2DC}"/>
    <cellStyle name="Normal 22 3 7" xfId="2657" xr:uid="{E7DD075B-48D0-44BF-B4A5-F70F55F8483D}"/>
    <cellStyle name="Normal 22 3 7 2" xfId="2666" xr:uid="{E58476B1-15E7-4F7C-A664-3413B8EEE26F}"/>
    <cellStyle name="Normal 22 3 7 2 2" xfId="34306" xr:uid="{9A5EDD96-4639-4BB5-800C-57DB2322ED53}"/>
    <cellStyle name="Normal 22 3 7 2 2 2" xfId="34310" xr:uid="{59C5B110-9E36-4F40-AA4C-9472D4BD1090}"/>
    <cellStyle name="Normal 22 3 7 2 2 2 2" xfId="34313" xr:uid="{D639845D-DE22-42EA-879A-18DD56B7115D}"/>
    <cellStyle name="Normal 22 3 7 2 2 3" xfId="34317" xr:uid="{EC6417F3-9A31-4BB2-A8B6-AA6719F21F2D}"/>
    <cellStyle name="Normal 22 3 7 2 3" xfId="34323" xr:uid="{7C95C672-F455-4392-B8FC-5674ED09E039}"/>
    <cellStyle name="Normal 22 3 7 2 3 2" xfId="34326" xr:uid="{953660BD-A5C9-4E9E-AB56-A2EACAA1BFC7}"/>
    <cellStyle name="Normal 22 3 7 2 4" xfId="34330" xr:uid="{95458D89-DFD9-48DC-98E2-41750F452EA4}"/>
    <cellStyle name="Normal 22 3 7 3" xfId="34336" xr:uid="{893822F8-2789-4FD1-8B26-B355636664E9}"/>
    <cellStyle name="Normal 22 3 7 3 2" xfId="34338" xr:uid="{FC0E11F9-5754-4DC4-AA7F-93141B6950C0}"/>
    <cellStyle name="Normal 22 3 7 3 2 2" xfId="34341" xr:uid="{3A1DD8EB-93A8-41E8-8CB0-67C2D94DA0ED}"/>
    <cellStyle name="Normal 22 3 7 3 3" xfId="34308" xr:uid="{86BE27C3-2B32-4398-A6E2-51348BD35E95}"/>
    <cellStyle name="Normal 22 3 7 4" xfId="30980" xr:uid="{1FB7358E-7AFC-4E58-8167-AB29C21491A7}"/>
    <cellStyle name="Normal 22 3 7 4 2" xfId="30983" xr:uid="{A9B22CEE-9114-44E4-BDC0-7DFFDBFCA742}"/>
    <cellStyle name="Normal 22 3 7 5" xfId="30987" xr:uid="{80711A73-F4C1-4A99-9FAC-27FF894A923F}"/>
    <cellStyle name="Normal 22 3 8" xfId="2670" xr:uid="{EFCEFC27-5258-4B20-80E5-262FCABF9F45}"/>
    <cellStyle name="Normal 22 3 8 2" xfId="4954" xr:uid="{61E53E85-FA20-4190-8C7F-9C1D3D8F8539}"/>
    <cellStyle name="Normal 22 3 8 2 2" xfId="34349" xr:uid="{5D5E4338-21EC-45D1-86F6-D6503C3B85B5}"/>
    <cellStyle name="Normal 22 3 8 2 2 2" xfId="34351" xr:uid="{F77CA378-0E4C-49F8-B4B5-9D1E1F79CBB9}"/>
    <cellStyle name="Normal 22 3 8 2 3" xfId="34355" xr:uid="{69C6B9D0-9EAA-48AD-A8BC-3DBCD37F8343}"/>
    <cellStyle name="Normal 22 3 8 3" xfId="34359" xr:uid="{03DD59B3-1775-4C0A-8AA8-32B17CF38760}"/>
    <cellStyle name="Normal 22 3 8 3 2" xfId="34361" xr:uid="{A139BAB5-7673-4265-B85F-79667C2CA3BF}"/>
    <cellStyle name="Normal 22 3 8 4" xfId="30991" xr:uid="{7DFF4F47-D1E6-4BEA-9682-CE4243CBB094}"/>
    <cellStyle name="Normal 22 3 9" xfId="4957" xr:uid="{196C5843-1EFF-4F3E-9590-41723FB7C1B9}"/>
    <cellStyle name="Normal 22 3 9 2" xfId="27404" xr:uid="{333E1E33-5529-43FE-BB46-E895580EB136}"/>
    <cellStyle name="Normal 22 3 9 2 2" xfId="34367" xr:uid="{7C40258F-29EB-442A-8353-50F553E95E3D}"/>
    <cellStyle name="Normal 22 3 9 3" xfId="34370" xr:uid="{23F4740A-88E4-4E25-834F-A5A496663F3E}"/>
    <cellStyle name="Normal 22 4" xfId="34374" xr:uid="{B1FC78A2-C4FF-4604-84F7-5D5A8066C976}"/>
    <cellStyle name="Normal 22 4 10" xfId="34376" xr:uid="{C7834054-8AF7-4914-ADAB-7DE28BD5C17A}"/>
    <cellStyle name="Normal 22 4 11" xfId="34378" xr:uid="{55708137-B56F-4AB2-BA3F-0E13D7090EC5}"/>
    <cellStyle name="Normal 22 4 12" xfId="21396" xr:uid="{C167591C-E745-4947-AF2F-D48E9618EABD}"/>
    <cellStyle name="Normal 22 4 2" xfId="34380" xr:uid="{1BB7D0AC-3E75-468D-82BF-743E324339B4}"/>
    <cellStyle name="Normal 22 4 2 10" xfId="34383" xr:uid="{22005434-4A82-46E7-85BC-CE55DCC7AC7C}"/>
    <cellStyle name="Normal 22 4 2 2" xfId="34385" xr:uid="{8F52F3C8-D585-4DC6-AC6D-985FE2356FBA}"/>
    <cellStyle name="Normal 22 4 2 2 2" xfId="7499" xr:uid="{E284A67F-360E-4613-A0EC-36A4CB492564}"/>
    <cellStyle name="Normal 22 4 2 2 2 2" xfId="14675" xr:uid="{64C09BC8-9E4C-4A49-B9ED-A8D6EE0BE215}"/>
    <cellStyle name="Normal 22 4 2 2 2 2 2" xfId="18769" xr:uid="{20DEEBC2-A89C-4EC9-AD64-2DC6BC0A8444}"/>
    <cellStyle name="Normal 22 4 2 2 2 2 2 2" xfId="34245" xr:uid="{36DA82C0-4974-4CDC-92B6-581B3E9EFC84}"/>
    <cellStyle name="Normal 22 4 2 2 2 2 2 2 2" xfId="28165" xr:uid="{C37D5A6F-4F71-409D-8CF5-5ABA67248C45}"/>
    <cellStyle name="Normal 22 4 2 2 2 2 2 2 2 2" xfId="34387" xr:uid="{2506AE8D-052F-4B64-8C33-80761213DAB4}"/>
    <cellStyle name="Normal 22 4 2 2 2 2 2 2 2 2 2" xfId="33649" xr:uid="{D5238A21-F681-4D14-9551-045624A29F0A}"/>
    <cellStyle name="Normal 22 4 2 2 2 2 2 2 2 3" xfId="34389" xr:uid="{631ADA81-08A4-4D49-9BB4-395AAC252A37}"/>
    <cellStyle name="Normal 22 4 2 2 2 2 2 2 3" xfId="34391" xr:uid="{560D1678-6F68-4AD2-9803-25305B1D36E7}"/>
    <cellStyle name="Normal 22 4 2 2 2 2 2 2 3 2" xfId="34393" xr:uid="{488EEB42-C101-4ED7-AF1D-93FEEEA7D73A}"/>
    <cellStyle name="Normal 22 4 2 2 2 2 2 2 4" xfId="33037" xr:uid="{D8362ED7-FFC3-4BB9-AA41-DF5747082C83}"/>
    <cellStyle name="Normal 22 4 2 2 2 2 2 3" xfId="34249" xr:uid="{A962EE8D-4FB0-4928-9BF4-0F65C90F1727}"/>
    <cellStyle name="Normal 22 4 2 2 2 2 2 3 2" xfId="34395" xr:uid="{C13D0345-67E3-4EC4-8CE1-F530BD8BC9F2}"/>
    <cellStyle name="Normal 22 4 2 2 2 2 2 3 2 2" xfId="34397" xr:uid="{617FDA8D-EF9F-4936-8704-4D2359AC929A}"/>
    <cellStyle name="Normal 22 4 2 2 2 2 2 3 3" xfId="34399" xr:uid="{8697FDD3-565E-4F13-A796-52A9C1E4C97C}"/>
    <cellStyle name="Normal 22 4 2 2 2 2 2 4" xfId="34252" xr:uid="{5CD4586F-0769-4B2E-BE97-2FF71B22911D}"/>
    <cellStyle name="Normal 22 4 2 2 2 2 2 4 2" xfId="32279" xr:uid="{35A629BA-064A-46EB-BDA5-2ED446CDDB42}"/>
    <cellStyle name="Normal 22 4 2 2 2 2 2 5" xfId="34401" xr:uid="{91BFFE0B-5600-4A8D-808C-C04C64E2B223}"/>
    <cellStyle name="Normal 22 4 2 2 2 2 3" xfId="18773" xr:uid="{2005011B-3A8D-4A81-A177-279DB314F0CF}"/>
    <cellStyle name="Normal 22 4 2 2 2 2 3 2" xfId="27385" xr:uid="{461F01B0-51E0-40F3-80B6-47F796ED9449}"/>
    <cellStyle name="Normal 22 4 2 2 2 2 3 2 2" xfId="34403" xr:uid="{E37DE05F-BE58-452F-9A11-3A93EBB57A05}"/>
    <cellStyle name="Normal 22 4 2 2 2 2 3 2 2 2" xfId="34405" xr:uid="{F4420623-E205-43D9-A090-02D5ABED38CE}"/>
    <cellStyle name="Normal 22 4 2 2 2 2 3 2 3" xfId="34407" xr:uid="{2642EA74-B585-4824-BD86-18F5060B9910}"/>
    <cellStyle name="Normal 22 4 2 2 2 2 3 3" xfId="34409" xr:uid="{784E9CCC-4CCE-4A65-A65B-B25BFD1F97AA}"/>
    <cellStyle name="Normal 22 4 2 2 2 2 3 3 2" xfId="34411" xr:uid="{0C58F840-D2FF-4FDB-AE09-D2D867D7A481}"/>
    <cellStyle name="Normal 22 4 2 2 2 2 3 4" xfId="34413" xr:uid="{F6C51716-2F1A-4379-B900-A61303AB6061}"/>
    <cellStyle name="Normal 22 4 2 2 2 2 4" xfId="7878" xr:uid="{66663E10-5325-46D1-BB69-F8469B6C942B}"/>
    <cellStyle name="Normal 22 4 2 2 2 2 4 2" xfId="7885" xr:uid="{DC474D8C-FE38-487E-95BC-0AD3137273D6}"/>
    <cellStyle name="Normal 22 4 2 2 2 2 4 2 2" xfId="3290" xr:uid="{37AFC53B-DF40-400F-9CF8-490F9C1EDE23}"/>
    <cellStyle name="Normal 22 4 2 2 2 2 4 3" xfId="7888" xr:uid="{AAECC198-B022-4F92-9667-6038435E0627}"/>
    <cellStyle name="Normal 22 4 2 2 2 2 5" xfId="6200" xr:uid="{9FE22926-47E7-4BEA-9236-AC9AE1D46329}"/>
    <cellStyle name="Normal 22 4 2 2 2 2 5 2" xfId="6211" xr:uid="{6F093AD2-D91B-4D5D-AF6B-D5D93491F5DE}"/>
    <cellStyle name="Normal 22 4 2 2 2 2 6" xfId="6216" xr:uid="{A16DFCB3-3EFA-465D-AFDE-51000439D30B}"/>
    <cellStyle name="Normal 22 4 2 2 2 2 7" xfId="12183" xr:uid="{C471D385-3C78-4457-86CB-1311CD3D670B}"/>
    <cellStyle name="Normal 22 4 2 2 2 3" xfId="34415" xr:uid="{71A89EE3-2A8F-4967-A179-613D3DF716D3}"/>
    <cellStyle name="Normal 22 4 2 2 2 3 2" xfId="20080" xr:uid="{17B28053-3C8E-4C4B-9DA0-1D7DC89E6C3B}"/>
    <cellStyle name="Normal 22 4 2 2 2 3 2 2" xfId="34333" xr:uid="{CD0CBEB9-47E0-42B2-9C44-DCC55BDAC460}"/>
    <cellStyle name="Normal 22 4 2 2 2 3 2 2 2" xfId="34417" xr:uid="{2EB862DB-10CD-4CF9-9A5A-E7CC3E901EDD}"/>
    <cellStyle name="Normal 22 4 2 2 2 3 2 2 2 2" xfId="34419" xr:uid="{DB8639AE-430F-486C-B90A-826D9B60D253}"/>
    <cellStyle name="Normal 22 4 2 2 2 3 2 2 3" xfId="34422" xr:uid="{36868368-D1A4-4CC0-988D-CEFA9E1FAEDD}"/>
    <cellStyle name="Normal 22 4 2 2 2 3 2 3" xfId="34424" xr:uid="{D520A222-0089-4568-9F29-3E3468B3E409}"/>
    <cellStyle name="Normal 22 4 2 2 2 3 2 3 2" xfId="34426" xr:uid="{B00C5818-A5F2-49DA-A600-FB5FA62753E4}"/>
    <cellStyle name="Normal 22 4 2 2 2 3 2 4" xfId="34428" xr:uid="{AF439981-0969-47D7-95F3-536660D3468D}"/>
    <cellStyle name="Normal 22 4 2 2 2 3 3" xfId="30868" xr:uid="{AA71617D-572A-43CA-8F68-048DED953C1C}"/>
    <cellStyle name="Normal 22 4 2 2 2 3 3 2" xfId="34320" xr:uid="{F93758B3-E398-4AAE-984A-D5D2F241A3FA}"/>
    <cellStyle name="Normal 22 4 2 2 2 3 3 2 2" xfId="34430" xr:uid="{94A2E9D4-DA5B-49E4-9E6E-B70F6EF4058C}"/>
    <cellStyle name="Normal 22 4 2 2 2 3 3 3" xfId="1863" xr:uid="{D407C73B-3D59-47F4-8298-148F06A7DEBD}"/>
    <cellStyle name="Normal 22 4 2 2 2 3 4" xfId="7893" xr:uid="{64710F95-BB85-45A5-916A-9A212248107C}"/>
    <cellStyle name="Normal 22 4 2 2 2 3 4 2" xfId="7897" xr:uid="{C1AACAEF-11D3-47B1-892C-A691C628A935}"/>
    <cellStyle name="Normal 22 4 2 2 2 3 5" xfId="6227" xr:uid="{A709F4CC-9A3F-455B-B75D-0442EEB6A5D3}"/>
    <cellStyle name="Normal 22 4 2 2 2 4" xfId="21897" xr:uid="{0F82245C-60E7-4949-828E-D67DA21165BE}"/>
    <cellStyle name="Normal 22 4 2 2 2 4 2" xfId="21901" xr:uid="{AF77B111-EE47-469A-A948-506B9C8C7AB1}"/>
    <cellStyle name="Normal 22 4 2 2 2 4 2 2" xfId="21904" xr:uid="{0F14275E-849B-4F66-8496-7CDF0071EDD1}"/>
    <cellStyle name="Normal 22 4 2 2 2 4 2 2 2" xfId="21907" xr:uid="{168D6326-1164-40AB-8611-87CAE7BACCBC}"/>
    <cellStyle name="Normal 22 4 2 2 2 4 2 3" xfId="21921" xr:uid="{E016B4C0-430D-49F9-9581-A79FFFF021D5}"/>
    <cellStyle name="Normal 22 4 2 2 2 4 3" xfId="21932" xr:uid="{595AB875-0684-42C6-99C8-B8DF8501F129}"/>
    <cellStyle name="Normal 22 4 2 2 2 4 3 2" xfId="21935" xr:uid="{017C43D0-4304-4D85-90CD-D9DA11A789AA}"/>
    <cellStyle name="Normal 22 4 2 2 2 4 4" xfId="6943" xr:uid="{DB738BE2-5B6C-411B-89C1-291E4349B3E4}"/>
    <cellStyle name="Normal 22 4 2 2 2 5" xfId="21955" xr:uid="{03A4796D-EC61-4A1D-B257-67F2834EC60E}"/>
    <cellStyle name="Normal 22 4 2 2 2 5 2" xfId="21958" xr:uid="{495BBF19-F80E-4CD7-A93E-CC9C91FFEBA5}"/>
    <cellStyle name="Normal 22 4 2 2 2 5 2 2" xfId="21961" xr:uid="{DD8D1512-751D-4100-B1A2-20C76D701B5C}"/>
    <cellStyle name="Normal 22 4 2 2 2 5 3" xfId="21971" xr:uid="{CA846F68-1B4F-4713-8E7D-0BDEA24C2225}"/>
    <cellStyle name="Normal 22 4 2 2 2 6" xfId="21978" xr:uid="{7FB03873-B11A-4B29-ABEA-DBA74E13F25B}"/>
    <cellStyle name="Normal 22 4 2 2 2 6 2" xfId="21981" xr:uid="{92E7C615-C7D2-495B-AA06-9421EE5C8C70}"/>
    <cellStyle name="Normal 22 4 2 2 2 7" xfId="21990" xr:uid="{B58D35BF-4962-4452-839F-52902A8C9BE8}"/>
    <cellStyle name="Normal 22 4 2 2 2 8" xfId="21998" xr:uid="{E0230881-3138-4E5E-9232-3219588BEEB5}"/>
    <cellStyle name="Normal 22 4 2 2 3" xfId="7505" xr:uid="{72D957C6-8491-4065-93EA-9EDE21F411D0}"/>
    <cellStyle name="Normal 22 4 2 2 3 2" xfId="34432" xr:uid="{C05445D9-588E-4A01-8C5E-98766F63EC94}"/>
    <cellStyle name="Normal 22 4 2 2 3 2 2" xfId="19005" xr:uid="{E6279CD6-A66F-468A-A44D-C967768407B0}"/>
    <cellStyle name="Normal 22 4 2 2 3 2 2 2" xfId="18958" xr:uid="{8927A5F7-9C4C-421B-A705-0BA500B96F4F}"/>
    <cellStyle name="Normal 22 4 2 2 3 2 2 2 2" xfId="22455" xr:uid="{A21666CE-5406-4BD5-B323-795DF376C1C4}"/>
    <cellStyle name="Normal 22 4 2 2 3 2 2 2 2 2" xfId="22460" xr:uid="{759DFD8E-0D4E-4F84-BF59-3458CBCDF0B3}"/>
    <cellStyle name="Normal 22 4 2 2 3 2 2 2 3" xfId="22522" xr:uid="{2472CC24-DD9E-4021-BD08-1E20C7726507}"/>
    <cellStyle name="Normal 22 4 2 2 3 2 2 3" xfId="18963" xr:uid="{1EB796F4-5C93-47B2-A5D7-3545F09DC4F8}"/>
    <cellStyle name="Normal 22 4 2 2 3 2 2 3 2" xfId="22569" xr:uid="{4298558C-9EF3-4B1C-A303-5D10DFBA7E7A}"/>
    <cellStyle name="Normal 22 4 2 2 3 2 2 4" xfId="18968" xr:uid="{8076C34E-4D66-4B36-AF60-9E8170DBFF31}"/>
    <cellStyle name="Normal 22 4 2 2 3 2 3" xfId="19010" xr:uid="{97CD853F-516E-4EAD-A060-60FF73E3695E}"/>
    <cellStyle name="Normal 22 4 2 2 3 2 3 2" xfId="19048" xr:uid="{9E18894D-3456-4E43-A212-C3E6D1E7C3B7}"/>
    <cellStyle name="Normal 22 4 2 2 3 2 3 2 2" xfId="22651" xr:uid="{758DDE8D-0937-458C-8A7E-0AC865C62033}"/>
    <cellStyle name="Normal 22 4 2 2 3 2 3 3" xfId="19056" xr:uid="{F05D0C02-3154-48CA-8C18-978480ABA631}"/>
    <cellStyle name="Normal 22 4 2 2 3 2 4" xfId="7911" xr:uid="{E00D2C15-CE87-4CA1-AFB4-5F76F1C27EFC}"/>
    <cellStyle name="Normal 22 4 2 2 3 2 4 2" xfId="5953" xr:uid="{3BC8F480-143F-4FF7-B746-08A5EF4F8B76}"/>
    <cellStyle name="Normal 22 4 2 2 3 2 5" xfId="6255" xr:uid="{307E51D8-C68B-47B1-9A3D-E08EAD63D7F5}"/>
    <cellStyle name="Normal 22 4 2 2 3 3" xfId="34434" xr:uid="{E45FB9F2-A3FB-4590-8BF5-5E69BFFC2AB0}"/>
    <cellStyle name="Normal 22 4 2 2 3 3 2" xfId="23056" xr:uid="{E7D12B44-5653-48A2-BF5B-A11590E818AA}"/>
    <cellStyle name="Normal 22 4 2 2 3 3 2 2" xfId="23059" xr:uid="{02E24BD7-2233-4EDF-BCF5-A8ED6738EA64}"/>
    <cellStyle name="Normal 22 4 2 2 3 3 2 2 2" xfId="23062" xr:uid="{A7DBFC7E-4A2B-444A-B5AE-BD85AEF83C15}"/>
    <cellStyle name="Normal 22 4 2 2 3 3 2 3" xfId="23128" xr:uid="{D03FA44A-5104-481F-AE97-046ACFF8F841}"/>
    <cellStyle name="Normal 22 4 2 2 3 3 3" xfId="23179" xr:uid="{416B2C22-C640-4474-8921-A0DF379EC3FF}"/>
    <cellStyle name="Normal 22 4 2 2 3 3 3 2" xfId="23182" xr:uid="{9A405057-DB53-490D-8DF2-849D476C5EA4}"/>
    <cellStyle name="Normal 22 4 2 2 3 3 4" xfId="7920" xr:uid="{3A508486-C20A-4413-925D-4E7F29A857B4}"/>
    <cellStyle name="Normal 22 4 2 2 3 4" xfId="22007" xr:uid="{51935FFF-C2B4-464D-869B-D9F427C00099}"/>
    <cellStyle name="Normal 22 4 2 2 3 4 2" xfId="22010" xr:uid="{B1EDCB68-4964-413E-9B53-AF8D14BA8D69}"/>
    <cellStyle name="Normal 22 4 2 2 3 4 2 2" xfId="22014" xr:uid="{9BDC734B-02EE-4194-B7C6-BAA26CF45264}"/>
    <cellStyle name="Normal 22 4 2 2 3 4 3" xfId="22025" xr:uid="{B9B3E77F-C591-4AD9-9687-386FA221077A}"/>
    <cellStyle name="Normal 22 4 2 2 3 5" xfId="22033" xr:uid="{37C2D4B5-B125-4725-A200-9E4CE8881183}"/>
    <cellStyle name="Normal 22 4 2 2 3 5 2" xfId="22036" xr:uid="{B3AECEB3-9D54-499F-84AC-E2D881202063}"/>
    <cellStyle name="Normal 22 4 2 2 3 6" xfId="22048" xr:uid="{EBA70965-3FE7-4DA4-A50B-8327D1E22B59}"/>
    <cellStyle name="Normal 22 4 2 2 3 7" xfId="22057" xr:uid="{CDCE4BC0-5233-4F13-93A5-9C8EB956812D}"/>
    <cellStyle name="Normal 22 4 2 2 4" xfId="16024" xr:uid="{FA85DA5C-B7EE-4196-85A6-B9562B389758}"/>
    <cellStyle name="Normal 22 4 2 2 4 2" xfId="34436" xr:uid="{EEC55132-EDF1-436D-9C51-D8CDFF5F56F2}"/>
    <cellStyle name="Normal 22 4 2 2 4 2 2" xfId="23647" xr:uid="{92D346B3-15A9-40D0-9367-3DF5A9BDD1E6}"/>
    <cellStyle name="Normal 22 4 2 2 4 2 2 2" xfId="23650" xr:uid="{09E59A73-00C5-4913-9131-5D17A7206B40}"/>
    <cellStyle name="Normal 22 4 2 2 4 2 2 2 2" xfId="23653" xr:uid="{83E7DCF4-4E95-41A9-B5BB-97FAD226E419}"/>
    <cellStyle name="Normal 22 4 2 2 4 2 2 3" xfId="23713" xr:uid="{9DA00B98-3691-45FE-95C8-009A821CC22C}"/>
    <cellStyle name="Normal 22 4 2 2 4 2 3" xfId="23721" xr:uid="{E3B2C01F-03E8-4408-94C2-71990A8EF121}"/>
    <cellStyle name="Normal 22 4 2 2 4 2 3 2" xfId="23724" xr:uid="{A88715DD-1D3E-4270-97B1-B43F786F1309}"/>
    <cellStyle name="Normal 22 4 2 2 4 2 4" xfId="7941" xr:uid="{A396FBAC-70E8-446A-B2DA-41F59F13351F}"/>
    <cellStyle name="Normal 22 4 2 2 4 3" xfId="34438" xr:uid="{877F6651-A3F2-4150-8E9C-F9CEAED68F23}"/>
    <cellStyle name="Normal 22 4 2 2 4 3 2" xfId="23851" xr:uid="{FD12323C-510A-42A7-B350-BCC1D06B935E}"/>
    <cellStyle name="Normal 22 4 2 2 4 3 2 2" xfId="23854" xr:uid="{86989027-A94A-4A13-9086-391E05CB038D}"/>
    <cellStyle name="Normal 22 4 2 2 4 3 3" xfId="23902" xr:uid="{521DAC5E-2158-4F93-AAC7-51B7C0AA4EDB}"/>
    <cellStyle name="Normal 22 4 2 2 4 4" xfId="22065" xr:uid="{3A3A975F-5C16-4A9E-BDFC-CE2863F8FFD2}"/>
    <cellStyle name="Normal 22 4 2 2 4 4 2" xfId="22068" xr:uid="{56A94619-06DE-4949-AF27-255373762778}"/>
    <cellStyle name="Normal 22 4 2 2 4 5" xfId="22085" xr:uid="{DEFB5B4F-5F1D-436A-A962-1316A0445810}"/>
    <cellStyle name="Normal 22 4 2 2 5" xfId="30960" xr:uid="{184637A6-ECAD-4A6C-9631-CD0EA38F817F}"/>
    <cellStyle name="Normal 22 4 2 2 5 2" xfId="34440" xr:uid="{19DA2A06-2554-4C9A-A66F-5A4FAB185029}"/>
    <cellStyle name="Normal 22 4 2 2 5 2 2" xfId="24128" xr:uid="{7C93C9A7-0E06-4551-83A3-64BC127BB576}"/>
    <cellStyle name="Normal 22 4 2 2 5 2 2 2" xfId="24133" xr:uid="{774C4D97-8B1C-4E78-84D4-F0EC176F6921}"/>
    <cellStyle name="Normal 22 4 2 2 5 2 3" xfId="3843" xr:uid="{90652A8A-1F75-4FA7-AF44-554256CB1CAD}"/>
    <cellStyle name="Normal 22 4 2 2 5 3" xfId="34442" xr:uid="{557D96EB-AE06-4C9C-B551-CA45FF53C866}"/>
    <cellStyle name="Normal 22 4 2 2 5 3 2" xfId="1987" xr:uid="{58680691-8311-4FC8-AC6E-3B386E0621C4}"/>
    <cellStyle name="Normal 22 4 2 2 5 4" xfId="22099" xr:uid="{0FD563CD-2FC9-4C1F-B6ED-066A324A942F}"/>
    <cellStyle name="Normal 22 4 2 2 6" xfId="34444" xr:uid="{DF734772-1D9A-495F-9437-94DC111AE560}"/>
    <cellStyle name="Normal 22 4 2 2 6 2" xfId="34446" xr:uid="{8D86CE6F-A6E7-4D57-B0F7-0F6A351519AD}"/>
    <cellStyle name="Normal 22 4 2 2 6 2 2" xfId="24438" xr:uid="{898DAFF2-65FC-4C9D-8093-87FD709513C5}"/>
    <cellStyle name="Normal 22 4 2 2 6 3" xfId="34448" xr:uid="{2C5F4071-5752-4004-9C00-CC5BD56AAA31}"/>
    <cellStyle name="Normal 22 4 2 2 7" xfId="34450" xr:uid="{DD65357C-5955-49E2-A9FD-E978808BB35E}"/>
    <cellStyle name="Normal 22 4 2 2 7 2" xfId="34452" xr:uid="{9C9537EE-3AD6-4B0E-8A0F-694AAD8D7BBB}"/>
    <cellStyle name="Normal 22 4 2 2 8" xfId="34454" xr:uid="{65B24931-52F2-4973-A97A-44F5FCBEEFF4}"/>
    <cellStyle name="Normal 22 4 2 2 9" xfId="34456" xr:uid="{E75BE07A-8C68-4B60-BB28-B73560774D16}"/>
    <cellStyle name="Normal 22 4 2 3" xfId="6566" xr:uid="{8858BC44-CBE4-46B7-90BA-AA1599DCBF7D}"/>
    <cellStyle name="Normal 22 4 2 3 2" xfId="7563" xr:uid="{2EC36186-310F-4E2A-B90A-1DDEFD15585F}"/>
    <cellStyle name="Normal 22 4 2 3 2 2" xfId="8560" xr:uid="{325F458A-1F20-4427-B1A2-8CFB50404B51}"/>
    <cellStyle name="Normal 22 4 2 3 2 2 2" xfId="11500" xr:uid="{906653FD-5FA9-466A-B0EE-C4DFA22A0058}"/>
    <cellStyle name="Normal 22 4 2 3 2 2 2 2" xfId="11503" xr:uid="{233CFF76-CB91-491C-A40F-04EFBEFE638E}"/>
    <cellStyle name="Normal 22 4 2 3 2 2 2 2 2" xfId="11506" xr:uid="{FA580901-8548-4649-B371-7A2EC92BB94B}"/>
    <cellStyle name="Normal 22 4 2 3 2 2 2 2 2 2" xfId="11509" xr:uid="{6F1BD62F-769F-4C0B-BB1D-A05A639D991F}"/>
    <cellStyle name="Normal 22 4 2 3 2 2 2 2 3" xfId="4389" xr:uid="{38B28D23-2BA7-4507-9367-019CCF766E7A}"/>
    <cellStyle name="Normal 22 4 2 3 2 2 2 3" xfId="11514" xr:uid="{A40785DD-E6D6-4DB9-90BF-7A42457A80D3}"/>
    <cellStyle name="Normal 22 4 2 3 2 2 2 3 2" xfId="11517" xr:uid="{DEE07857-B79B-467B-947A-FAE30DB2F376}"/>
    <cellStyle name="Normal 22 4 2 3 2 2 2 4" xfId="11520" xr:uid="{4403A973-8F92-4859-8BF8-1A43C831D0E9}"/>
    <cellStyle name="Normal 22 4 2 3 2 2 3" xfId="11525" xr:uid="{B03B46F6-1503-4F1F-8889-BFD4791CBEF3}"/>
    <cellStyle name="Normal 22 4 2 3 2 2 3 2" xfId="11528" xr:uid="{DB6423D9-DEF6-4097-8DC5-7D3E689754E0}"/>
    <cellStyle name="Normal 22 4 2 3 2 2 3 2 2" xfId="11532" xr:uid="{6D425986-B721-4250-905E-87022B704393}"/>
    <cellStyle name="Normal 22 4 2 3 2 2 3 3" xfId="11535" xr:uid="{6003F389-FA7E-4737-9725-822024A66F95}"/>
    <cellStyle name="Normal 22 4 2 3 2 2 4" xfId="8164" xr:uid="{3F902137-E294-4CEB-9204-2B753737BB61}"/>
    <cellStyle name="Normal 22 4 2 3 2 2 4 2" xfId="2603" xr:uid="{CFBC39A9-2711-412E-9C2B-7C4DC863DE21}"/>
    <cellStyle name="Normal 22 4 2 3 2 2 5" xfId="2879" xr:uid="{4513305E-113F-4131-A512-CE189DB6CF34}"/>
    <cellStyle name="Normal 22 4 2 3 2 3" xfId="34458" xr:uid="{0F599129-F291-48F6-B601-6B41BF3D7067}"/>
    <cellStyle name="Normal 22 4 2 3 2 3 2" xfId="11569" xr:uid="{DE7CF885-A952-490D-AD4B-DDE406EBEEC0}"/>
    <cellStyle name="Normal 22 4 2 3 2 3 2 2" xfId="11572" xr:uid="{6F796919-1C74-4500-9BEF-09496D2FEF6F}"/>
    <cellStyle name="Normal 22 4 2 3 2 3 2 2 2" xfId="11576" xr:uid="{53C13C1D-1E32-4735-A804-CF17FC2E5B6E}"/>
    <cellStyle name="Normal 22 4 2 3 2 3 2 3" xfId="3220" xr:uid="{7E5A1E88-ABE6-4E87-ADBE-3FFCECAF14AD}"/>
    <cellStyle name="Normal 22 4 2 3 2 3 3" xfId="11579" xr:uid="{D59DD516-A5CE-459A-8E5B-E683A8D5EA1D}"/>
    <cellStyle name="Normal 22 4 2 3 2 3 3 2" xfId="11582" xr:uid="{EFD2E8B7-6710-442C-BA1A-51AE9B504214}"/>
    <cellStyle name="Normal 22 4 2 3 2 3 4" xfId="8170" xr:uid="{90AD16E3-218B-4E5F-92BD-4C0999788F5C}"/>
    <cellStyle name="Normal 22 4 2 3 2 4" xfId="34460" xr:uid="{33725A24-823B-4D80-9FF5-CE9B49A099DF}"/>
    <cellStyle name="Normal 22 4 2 3 2 4 2" xfId="11602" xr:uid="{26CBA653-AF39-4E2C-B784-748489EE9C46}"/>
    <cellStyle name="Normal 22 4 2 3 2 4 2 2" xfId="11606" xr:uid="{9B1C5DAA-2D89-4351-80BE-2D6F69B349D4}"/>
    <cellStyle name="Normal 22 4 2 3 2 4 3" xfId="11609" xr:uid="{8C0EBB7B-CC87-4C3B-B24F-3D1A78006A3A}"/>
    <cellStyle name="Normal 22 4 2 3 2 5" xfId="34462" xr:uid="{021639EB-4E0B-4C6C-8FDD-C3217F676072}"/>
    <cellStyle name="Normal 22 4 2 3 2 5 2" xfId="11618" xr:uid="{D5623F9E-D422-4845-91AB-25F40AAB5389}"/>
    <cellStyle name="Normal 22 4 2 3 2 6" xfId="34464" xr:uid="{02D42E38-C525-4E00-A2A8-8EE8322EADC5}"/>
    <cellStyle name="Normal 22 4 2 3 2 7" xfId="34466" xr:uid="{023A8AA6-ABEF-4A51-8C14-63C17C04FEAA}"/>
    <cellStyle name="Normal 22 4 2 3 3" xfId="8563" xr:uid="{8064F85B-1D08-4EAB-BB35-6CC0EA5725F6}"/>
    <cellStyle name="Normal 22 4 2 3 3 2" xfId="34468" xr:uid="{13770497-EFDE-49C3-BF0D-931A58DF3788}"/>
    <cellStyle name="Normal 22 4 2 3 3 2 2" xfId="11763" xr:uid="{3E46E7F7-1AD3-4C7A-A172-703C691805D5}"/>
    <cellStyle name="Normal 22 4 2 3 3 2 2 2" xfId="11766" xr:uid="{A3C4BA28-EDCC-4227-9855-DC4DBBFAB1C4}"/>
    <cellStyle name="Normal 22 4 2 3 3 2 2 2 2" xfId="11769" xr:uid="{9D084FFA-DE75-44DC-98E0-128DA7C0C093}"/>
    <cellStyle name="Normal 22 4 2 3 3 2 2 3" xfId="11774" xr:uid="{83A80D71-0878-4EA0-929F-14D1B98BB337}"/>
    <cellStyle name="Normal 22 4 2 3 3 2 3" xfId="11777" xr:uid="{D19AF8FF-62FC-4FC3-B5E3-9E8AA8C077A9}"/>
    <cellStyle name="Normal 22 4 2 3 3 2 3 2" xfId="11783" xr:uid="{B405A701-9DAA-4381-BDC9-3BA11F002B50}"/>
    <cellStyle name="Normal 22 4 2 3 3 2 4" xfId="2038" xr:uid="{FE7C7CE8-2604-4ED9-9374-05B7B0452AAE}"/>
    <cellStyle name="Normal 22 4 2 3 3 3" xfId="34470" xr:uid="{4AF05C1D-11B5-49CC-A33D-1EABA53D018C}"/>
    <cellStyle name="Normal 22 4 2 3 3 3 2" xfId="11810" xr:uid="{80B3009E-3A7B-4B20-AFDE-CE26D2E89FC5}"/>
    <cellStyle name="Normal 22 4 2 3 3 3 2 2" xfId="11813" xr:uid="{6C7A6DF7-634B-49E9-9BA4-381BECC1E8EB}"/>
    <cellStyle name="Normal 22 4 2 3 3 3 3" xfId="11816" xr:uid="{667DEF1D-639B-4161-86E3-0338BFDB1315}"/>
    <cellStyle name="Normal 22 4 2 3 3 4" xfId="34472" xr:uid="{15F3FD5F-DD54-45E3-9630-E996445D4C1D}"/>
    <cellStyle name="Normal 22 4 2 3 3 4 2" xfId="11834" xr:uid="{E2AC4A58-DF8C-4576-B07C-40C2FB842E5B}"/>
    <cellStyle name="Normal 22 4 2 3 3 5" xfId="34474" xr:uid="{845DA190-125E-46FF-8243-96265689EFD3}"/>
    <cellStyle name="Normal 22 4 2 3 4" xfId="34476" xr:uid="{FA54D160-E9B9-4F30-9D17-81E2A07ADA31}"/>
    <cellStyle name="Normal 22 4 2 3 4 2" xfId="34478" xr:uid="{5DFFD65E-B2CE-4E28-BA00-682465CD9681}"/>
    <cellStyle name="Normal 22 4 2 3 4 2 2" xfId="11933" xr:uid="{29D31957-AC15-4B9D-9DD9-B94288195D56}"/>
    <cellStyle name="Normal 22 4 2 3 4 2 2 2" xfId="11936" xr:uid="{0E133521-BBBD-47AA-84C2-5B8BD51DA737}"/>
    <cellStyle name="Normal 22 4 2 3 4 2 3" xfId="11945" xr:uid="{85BAD8FB-6A96-4F73-A26A-E2002EA4639D}"/>
    <cellStyle name="Normal 22 4 2 3 4 3" xfId="34480" xr:uid="{0006CDE9-091D-4F9D-8067-DDB9760E107C}"/>
    <cellStyle name="Normal 22 4 2 3 4 3 2" xfId="1203" xr:uid="{396924DD-B528-4D95-AB59-75542CCE477C}"/>
    <cellStyle name="Normal 22 4 2 3 4 4" xfId="34482" xr:uid="{35EF9A61-8436-4992-B67F-DE23645EA0D3}"/>
    <cellStyle name="Normal 22 4 2 3 5" xfId="27874" xr:uid="{1ABC762D-0CB2-4F0B-936E-7BE96EA18CA9}"/>
    <cellStyle name="Normal 22 4 2 3 5 2" xfId="27878" xr:uid="{32F0A72C-50ED-4A63-A2A2-BB72936DD8F0}"/>
    <cellStyle name="Normal 22 4 2 3 5 2 2" xfId="12043" xr:uid="{05009074-70B0-4AAF-A96E-07D22FCD573A}"/>
    <cellStyle name="Normal 22 4 2 3 5 3" xfId="27884" xr:uid="{F9AA5938-5331-4333-A02C-5D9502889779}"/>
    <cellStyle name="Normal 22 4 2 3 6" xfId="27891" xr:uid="{F6C4BDEE-CF4A-4990-8B03-9C4DAB5C9E5A}"/>
    <cellStyle name="Normal 22 4 2 3 6 2" xfId="27896" xr:uid="{E269E52A-5431-4C7A-8C6E-F2DF6F6346B7}"/>
    <cellStyle name="Normal 22 4 2 3 7" xfId="27905" xr:uid="{4A883DBC-802C-4C24-BE39-BF0CB51EBD20}"/>
    <cellStyle name="Normal 22 4 2 3 8" xfId="20735" xr:uid="{0546E392-73A9-48E8-B09C-3FD1CFAF1CDB}"/>
    <cellStyle name="Normal 22 4 2 4" xfId="34484" xr:uid="{65F9696E-ACF7-48E9-82CB-65DA824BF945}"/>
    <cellStyle name="Normal 22 4 2 4 2" xfId="8568" xr:uid="{1E4EE335-4971-4AC8-B0D7-51DD284068FA}"/>
    <cellStyle name="Normal 22 4 2 4 2 2" xfId="34486" xr:uid="{D90F642C-FE16-4636-A1C5-D577008A197F}"/>
    <cellStyle name="Normal 22 4 2 4 2 2 2" xfId="12647" xr:uid="{FA761734-113A-4C64-9CFE-7B28B61E62EC}"/>
    <cellStyle name="Normal 22 4 2 4 2 2 2 2" xfId="1593" xr:uid="{DDF8891B-28F5-4EAC-9207-A30C42BEB4E0}"/>
    <cellStyle name="Normal 22 4 2 4 2 2 2 2 2" xfId="12652" xr:uid="{FAD3FBAD-2E56-4B69-A189-08C1B28A5C61}"/>
    <cellStyle name="Normal 22 4 2 4 2 2 2 3" xfId="1598" xr:uid="{6CB84FF3-ED26-4047-8244-9886FBF53DCD}"/>
    <cellStyle name="Normal 22 4 2 4 2 2 3" xfId="12656" xr:uid="{6F7BC7F0-4F97-4FFA-8BA1-5D9CABDC9494}"/>
    <cellStyle name="Normal 22 4 2 4 2 2 3 2" xfId="1634" xr:uid="{CD6E8472-2ED3-4F1A-891E-21A386227B24}"/>
    <cellStyle name="Normal 22 4 2 4 2 2 4" xfId="8304" xr:uid="{E803D80E-4C49-4C09-AB04-C823FD89CA3E}"/>
    <cellStyle name="Normal 22 4 2 4 2 3" xfId="34488" xr:uid="{B7D687D8-CA99-430F-9698-8F4B304F7882}"/>
    <cellStyle name="Normal 22 4 2 4 2 3 2" xfId="12686" xr:uid="{B18881AB-7AAF-4D9B-A0E3-B3E1B1F318F3}"/>
    <cellStyle name="Normal 22 4 2 4 2 3 2 2" xfId="12689" xr:uid="{2A68B0B2-8B11-47A6-B5C7-71AA87FE39B5}"/>
    <cellStyle name="Normal 22 4 2 4 2 3 3" xfId="12692" xr:uid="{791AD9B1-6566-4E6C-A5C0-C34F8027F9C5}"/>
    <cellStyle name="Normal 22 4 2 4 2 4" xfId="34490" xr:uid="{0C0FF60C-FCC6-4E96-9EE6-626F2741DF2A}"/>
    <cellStyle name="Normal 22 4 2 4 2 4 2" xfId="12704" xr:uid="{CE30BE8D-D339-4BE8-A0A4-6E8B1548D2DC}"/>
    <cellStyle name="Normal 22 4 2 4 2 5" xfId="34492" xr:uid="{93F89053-3F7E-4D9E-80ED-A99A926D6F1A}"/>
    <cellStyle name="Normal 22 4 2 4 3" xfId="34494" xr:uid="{F38B1396-FF13-4B40-B76F-1015052DC915}"/>
    <cellStyle name="Normal 22 4 2 4 3 2" xfId="34496" xr:uid="{C22E62AC-B663-4AB3-BC91-C456EC8A042B}"/>
    <cellStyle name="Normal 22 4 2 4 3 2 2" xfId="12802" xr:uid="{C81C9792-077D-4F68-B81E-3BC04EE1EF75}"/>
    <cellStyle name="Normal 22 4 2 4 3 2 2 2" xfId="12806" xr:uid="{28C46E89-7AD7-4301-A8A4-0D66C038DD46}"/>
    <cellStyle name="Normal 22 4 2 4 3 2 3" xfId="12809" xr:uid="{F43E78D0-1603-4B99-8B33-6BAA005C9EFF}"/>
    <cellStyle name="Normal 22 4 2 4 3 3" xfId="34498" xr:uid="{AB1A156C-6671-48E3-8D2D-8978CDB081C6}"/>
    <cellStyle name="Normal 22 4 2 4 3 3 2" xfId="12822" xr:uid="{C67534A5-EC3C-40DD-AB26-17E9F4F19713}"/>
    <cellStyle name="Normal 22 4 2 4 3 4" xfId="34500" xr:uid="{5E1CAEC6-5A3D-4746-93CD-B26B4B638211}"/>
    <cellStyle name="Normal 22 4 2 4 4" xfId="34502" xr:uid="{9B3AA9E7-F3FF-4C24-9964-9CC4AF625BD6}"/>
    <cellStyle name="Normal 22 4 2 4 4 2" xfId="34504" xr:uid="{BE88D7D8-40F7-4E78-90BE-DE8862988A84}"/>
    <cellStyle name="Normal 22 4 2 4 4 2 2" xfId="12878" xr:uid="{EC692828-4D89-4015-8135-0B5CAE5B00DC}"/>
    <cellStyle name="Normal 22 4 2 4 4 3" xfId="34506" xr:uid="{B85F0EE9-65FA-4DDF-ADE4-7688EC9C8C70}"/>
    <cellStyle name="Normal 22 4 2 4 5" xfId="27911" xr:uid="{E5B52DC8-BBDE-4103-8551-851013F43FCB}"/>
    <cellStyle name="Normal 22 4 2 4 5 2" xfId="23196" xr:uid="{F25E11A0-A964-46EB-B68F-57DB79B4E0A8}"/>
    <cellStyle name="Normal 22 4 2 4 6" xfId="27919" xr:uid="{D157EC2F-CA5F-4508-8512-058C606BE4B1}"/>
    <cellStyle name="Normal 22 4 2 4 7" xfId="27926" xr:uid="{51050F46-5109-4F3C-B547-B1331D3F0723}"/>
    <cellStyle name="Normal 22 4 2 5" xfId="34508" xr:uid="{ACC21B4E-6C65-44A0-B3EB-9FA03AD5A3E0}"/>
    <cellStyle name="Normal 22 4 2 5 2" xfId="34510" xr:uid="{76EBEE6A-047D-499F-A33A-EE17E7AA5680}"/>
    <cellStyle name="Normal 22 4 2 5 2 2" xfId="34512" xr:uid="{1E52E000-18E6-4CE0-B752-CEDFED07B2E3}"/>
    <cellStyle name="Normal 22 4 2 5 2 2 2" xfId="13320" xr:uid="{99F36117-B014-4FCC-AF0B-230506F67B03}"/>
    <cellStyle name="Normal 22 4 2 5 2 2 2 2" xfId="13324" xr:uid="{483B4FDE-B017-42B1-BFA5-F10A1636CC52}"/>
    <cellStyle name="Normal 22 4 2 5 2 2 3" xfId="13327" xr:uid="{BB7A9E48-2853-42AE-ADC3-B7CA78B32209}"/>
    <cellStyle name="Normal 22 4 2 5 2 3" xfId="34514" xr:uid="{C2F89B80-E375-4A24-A362-E15215003954}"/>
    <cellStyle name="Normal 22 4 2 5 2 3 2" xfId="13340" xr:uid="{B9E660C3-7516-4351-9A5E-980A167B6982}"/>
    <cellStyle name="Normal 22 4 2 5 2 4" xfId="34516" xr:uid="{2354D390-CAED-42D6-99FA-D1A6522162DB}"/>
    <cellStyle name="Normal 22 4 2 5 3" xfId="34518" xr:uid="{200B6891-138F-4AE1-8434-5F569359A145}"/>
    <cellStyle name="Normal 22 4 2 5 3 2" xfId="34521" xr:uid="{B31EAEF1-A88D-442E-B29D-18BE4634FE57}"/>
    <cellStyle name="Normal 22 4 2 5 3 2 2" xfId="13416" xr:uid="{64644897-0F01-44DB-B9D5-C6ED6CA8D22B}"/>
    <cellStyle name="Normal 22 4 2 5 3 3" xfId="34524" xr:uid="{6BE27F86-E484-4C84-9522-B8E613AAA757}"/>
    <cellStyle name="Normal 22 4 2 5 4" xfId="34526" xr:uid="{DC417C21-FC86-40F3-B246-7EA1C8052E39}"/>
    <cellStyle name="Normal 22 4 2 5 4 2" xfId="34529" xr:uid="{5E1CED33-C6E7-4AAF-9C0C-92823BC7494B}"/>
    <cellStyle name="Normal 22 4 2 5 5" xfId="27931" xr:uid="{5A50C9E2-13FE-4081-91CD-997357AD0D37}"/>
    <cellStyle name="Normal 22 4 2 6" xfId="34531" xr:uid="{7A893FF7-446E-4DD2-8C97-8D19947CCC0F}"/>
    <cellStyle name="Normal 22 4 2 6 2" xfId="170" xr:uid="{357C7F6E-C867-4A71-A92B-495B2E7E0B90}"/>
    <cellStyle name="Normal 22 4 2 6 2 2" xfId="1531" xr:uid="{F3F73311-51A5-41F3-8DBC-E7D809412BC6}"/>
    <cellStyle name="Normal 22 4 2 6 2 2 2" xfId="1728" xr:uid="{09520A4B-EAB3-4D45-8857-48C0ADE9A35D}"/>
    <cellStyle name="Normal 22 4 2 6 2 3" xfId="1741" xr:uid="{8FBB98E4-1773-466B-8638-7A2F809C3809}"/>
    <cellStyle name="Normal 22 4 2 6 3" xfId="34533" xr:uid="{CF0D2D5C-380A-4783-85E1-82E26B0B5A3B}"/>
    <cellStyle name="Normal 22 4 2 6 3 2" xfId="34535" xr:uid="{729C880A-35FE-47D4-8882-0D2F222F3C1E}"/>
    <cellStyle name="Normal 22 4 2 6 4" xfId="34537" xr:uid="{DFCDD7E2-6A0D-4164-A77A-0547AB0C1B7D}"/>
    <cellStyle name="Normal 22 4 2 7" xfId="14294" xr:uid="{9891129A-C90D-4823-BA56-57FBC0FDA8CC}"/>
    <cellStyle name="Normal 22 4 2 7 2" xfId="34539" xr:uid="{2BCDF3BB-B0A2-480A-9C8B-6FAA359AF33F}"/>
    <cellStyle name="Normal 22 4 2 7 2 2" xfId="34541" xr:uid="{E88EC2B3-710B-46FB-96E0-A2D874FA8F2F}"/>
    <cellStyle name="Normal 22 4 2 7 3" xfId="34543" xr:uid="{C2D2845F-0355-4147-9543-3AD4D6AF6A31}"/>
    <cellStyle name="Normal 22 4 2 8" xfId="34546" xr:uid="{52BBDAB4-CA89-4ACB-A471-0208BBCDC8FC}"/>
    <cellStyle name="Normal 22 4 2 8 2" xfId="34549" xr:uid="{637644D1-94C5-4478-A9BE-53DDEA4919DA}"/>
    <cellStyle name="Normal 22 4 2 9" xfId="15003" xr:uid="{4799B5FB-2DA3-4F69-B612-DC3724718526}"/>
    <cellStyle name="Normal 22 4 3" xfId="33883" xr:uid="{AA6ED33E-6CA5-4405-9560-07C446C1F1AF}"/>
    <cellStyle name="Normal 22 4 3 2" xfId="33889" xr:uid="{786591D0-A3E9-4596-BEF4-05863BFD6FCE}"/>
    <cellStyle name="Normal 22 4 3 2 2" xfId="7733" xr:uid="{E9463BFA-144B-442F-87D9-263FD5200E14}"/>
    <cellStyle name="Normal 22 4 3 2 2 2" xfId="30154" xr:uid="{82F99E64-C586-4BC0-B5E3-039740A412DF}"/>
    <cellStyle name="Normal 22 4 3 2 2 2 2" xfId="30158" xr:uid="{50A28030-AFAC-4631-B46A-80E0C97E0B59}"/>
    <cellStyle name="Normal 22 4 3 2 2 2 2 2" xfId="30161" xr:uid="{D03C989E-932B-454B-978D-3185349515EC}"/>
    <cellStyle name="Normal 22 4 3 2 2 2 2 2 2" xfId="34551" xr:uid="{FA101137-A920-405C-A30C-FEFACD9EBBEF}"/>
    <cellStyle name="Normal 22 4 3 2 2 2 2 2 2 2" xfId="6784" xr:uid="{3C8816EB-ACED-4A66-BC5F-9129C26FF454}"/>
    <cellStyle name="Normal 22 4 3 2 2 2 2 2 3" xfId="34553" xr:uid="{AB867188-D590-48C6-8C30-CE87C9B89BCC}"/>
    <cellStyle name="Normal 22 4 3 2 2 2 2 3" xfId="34555" xr:uid="{954A1ED5-A1B7-4AF7-9927-78D3BBFF93CE}"/>
    <cellStyle name="Normal 22 4 3 2 2 2 2 3 2" xfId="34557" xr:uid="{6B48F7F6-BACD-42D5-8F26-A07E9CFA72EC}"/>
    <cellStyle name="Normal 22 4 3 2 2 2 2 4" xfId="34560" xr:uid="{89B307B4-FA76-45C8-95D9-4EB152FF887F}"/>
    <cellStyle name="Normal 22 4 3 2 2 2 3" xfId="10266" xr:uid="{3D7377D9-480D-4B47-8829-C6490C97EB39}"/>
    <cellStyle name="Normal 22 4 3 2 2 2 3 2" xfId="10271" xr:uid="{4EB86D42-6DEE-4F93-9901-013248EE53E0}"/>
    <cellStyle name="Normal 22 4 3 2 2 2 3 2 2" xfId="34564" xr:uid="{E19CA202-B7C4-4C40-BFC0-DEF10678FE15}"/>
    <cellStyle name="Normal 22 4 3 2 2 2 3 3" xfId="22388" xr:uid="{36841C93-1BCC-491C-8C34-9B634FDA1054}"/>
    <cellStyle name="Normal 22 4 3 2 2 2 4" xfId="8886" xr:uid="{8E1BBD45-E2DE-464C-A540-8D0246A0A959}"/>
    <cellStyle name="Normal 22 4 3 2 2 2 4 2" xfId="8890" xr:uid="{C2C6BCC3-3497-4306-99B8-8DCB795750D1}"/>
    <cellStyle name="Normal 22 4 3 2 2 2 5" xfId="8893" xr:uid="{4765DA62-420C-4F9F-923E-38CA8F408BB0}"/>
    <cellStyle name="Normal 22 4 3 2 2 3" xfId="30166" xr:uid="{56B5C435-66F9-4BBC-8E82-A346E9337BBD}"/>
    <cellStyle name="Normal 22 4 3 2 2 3 2" xfId="30169" xr:uid="{D4E1F9A0-2A19-49C9-854C-37C5BE4AAE90}"/>
    <cellStyle name="Normal 22 4 3 2 2 3 2 2" xfId="16399" xr:uid="{1F4BECCC-0941-4268-B131-946E67C61EA1}"/>
    <cellStyle name="Normal 22 4 3 2 2 3 2 2 2" xfId="34566" xr:uid="{A86DBC0F-0D6A-4B52-970F-9C8B0A386E5F}"/>
    <cellStyle name="Normal 22 4 3 2 2 3 2 3" xfId="16402" xr:uid="{B1BDFE70-6BB3-4DB8-898B-8C8C06B620F5}"/>
    <cellStyle name="Normal 22 4 3 2 2 3 3" xfId="10277" xr:uid="{37754C5A-A5E4-46D5-9D2E-4190D3A2AAF8}"/>
    <cellStyle name="Normal 22 4 3 2 2 3 3 2" xfId="4478" xr:uid="{CCF2B3DA-7546-463E-AA6A-CC0B022CE8BE}"/>
    <cellStyle name="Normal 22 4 3 2 2 3 4" xfId="8898" xr:uid="{5C0B40FC-6C61-4351-B813-418D022AD854}"/>
    <cellStyle name="Normal 22 4 3 2 2 4" xfId="30172" xr:uid="{AB5DF4C4-2F7D-4F5E-963F-F56323889080}"/>
    <cellStyle name="Normal 22 4 3 2 2 4 2" xfId="34568" xr:uid="{740CA09D-98A1-4D20-9360-3824C232CBE6}"/>
    <cellStyle name="Normal 22 4 3 2 2 4 2 2" xfId="16554" xr:uid="{3474B3AB-444F-41B3-81AF-8A235C4F5DDF}"/>
    <cellStyle name="Normal 22 4 3 2 2 4 3" xfId="34570" xr:uid="{7BFBD081-38BC-4FD0-8C6A-7F9756A5DF84}"/>
    <cellStyle name="Normal 22 4 3 2 2 5" xfId="30175" xr:uid="{17624F3C-5CC8-40AB-8F0F-786116AE8CD6}"/>
    <cellStyle name="Normal 22 4 3 2 2 5 2" xfId="34573" xr:uid="{A93169BF-3073-4BD6-AC9F-5C96B8D2C763}"/>
    <cellStyle name="Normal 22 4 3 2 2 6" xfId="34575" xr:uid="{EB7D940A-C9FC-4442-840F-6B75024D141C}"/>
    <cellStyle name="Normal 22 4 3 2 2 7" xfId="34577" xr:uid="{F676E078-EE0C-4097-9F6A-02F41A1F83A6}"/>
    <cellStyle name="Normal 22 4 3 2 3" xfId="18059" xr:uid="{DB776145-14FB-4B10-8084-6DDAF5D18CE8}"/>
    <cellStyle name="Normal 22 4 3 2 3 2" xfId="30205" xr:uid="{5C2874F2-A063-4EDB-9C3B-263A39EA665E}"/>
    <cellStyle name="Normal 22 4 3 2 3 2 2" xfId="30208" xr:uid="{1CBFDEB4-6BE0-4D8B-8D81-A29B7D16E269}"/>
    <cellStyle name="Normal 22 4 3 2 3 2 2 2" xfId="34579" xr:uid="{EB3D9B35-3E5E-4875-9F0F-43FAEA469238}"/>
    <cellStyle name="Normal 22 4 3 2 3 2 2 2 2" xfId="34581" xr:uid="{9885E899-9ED1-4D47-A185-CD1E5FDB916B}"/>
    <cellStyle name="Normal 22 4 3 2 3 2 2 3" xfId="34583" xr:uid="{1E1C70F1-3AE4-4AC6-A929-47C81569F39E}"/>
    <cellStyle name="Normal 22 4 3 2 3 2 3" xfId="10290" xr:uid="{0C5C535E-E286-43D4-B8DE-4AFFC9E8700B}"/>
    <cellStyle name="Normal 22 4 3 2 3 2 3 2" xfId="34585" xr:uid="{6061A479-9FDB-4F2C-A8A7-265C3608F88D}"/>
    <cellStyle name="Normal 22 4 3 2 3 2 4" xfId="8919" xr:uid="{1486918C-0E48-4343-AC69-8B3DD24163CE}"/>
    <cellStyle name="Normal 22 4 3 2 3 3" xfId="30211" xr:uid="{3449FB4D-D42D-4ECE-8189-1705CDE5751C}"/>
    <cellStyle name="Normal 22 4 3 2 3 3 2" xfId="34587" xr:uid="{6B2DB753-7F64-4E28-9854-47E7359E57AC}"/>
    <cellStyle name="Normal 22 4 3 2 3 3 2 2" xfId="16805" xr:uid="{F5CC0029-BDBB-47C6-9CB0-F53A100C4314}"/>
    <cellStyle name="Normal 22 4 3 2 3 3 3" xfId="34589" xr:uid="{50535C33-A692-443A-9F31-5C1F250D6DD7}"/>
    <cellStyle name="Normal 22 4 3 2 3 4" xfId="30214" xr:uid="{25E4537C-D557-4262-8DC4-B30D33C6210A}"/>
    <cellStyle name="Normal 22 4 3 2 3 4 2" xfId="34591" xr:uid="{8E913E86-A736-45E7-8758-1CDC026136BA}"/>
    <cellStyle name="Normal 22 4 3 2 3 5" xfId="34593" xr:uid="{6883D360-FF04-448A-9E6F-84220D511FF6}"/>
    <cellStyle name="Normal 22 4 3 2 4" xfId="18066" xr:uid="{BF4A5FC3-2296-44C6-8D67-0728E0321B62}"/>
    <cellStyle name="Normal 22 4 3 2 4 2" xfId="30230" xr:uid="{6C19436A-F101-45C2-AEF5-36EFF8996181}"/>
    <cellStyle name="Normal 22 4 3 2 4 2 2" xfId="34595" xr:uid="{9FB7550C-EBA0-46A0-843F-C9458F637B62}"/>
    <cellStyle name="Normal 22 4 3 2 4 2 2 2" xfId="29366" xr:uid="{1F4A273F-CA39-4AF0-B1FC-4D04C524CC02}"/>
    <cellStyle name="Normal 22 4 3 2 4 2 3" xfId="18192" xr:uid="{0EF62B93-5D75-478C-B308-7E42D008F220}"/>
    <cellStyle name="Normal 22 4 3 2 4 3" xfId="34597" xr:uid="{AF9F12C4-B4FA-42D0-B0DF-9A1546314D4E}"/>
    <cellStyle name="Normal 22 4 3 2 4 3 2" xfId="34599" xr:uid="{B9E8DF58-4703-4033-83E0-B7EC9E3A9880}"/>
    <cellStyle name="Normal 22 4 3 2 4 4" xfId="34601" xr:uid="{B56F9F40-26FF-4EBA-A241-662CDCA21D9F}"/>
    <cellStyle name="Normal 22 4 3 2 5" xfId="18070" xr:uid="{43DFB50B-DC1F-40E0-9303-AB313BEEE873}"/>
    <cellStyle name="Normal 22 4 3 2 5 2" xfId="34603" xr:uid="{BAA9E54E-4BAE-4BA7-B3BC-7EF7FF4BC9A1}"/>
    <cellStyle name="Normal 22 4 3 2 5 2 2" xfId="34605" xr:uid="{7AB22A48-EC9D-43D8-BD2B-16CDE2844C44}"/>
    <cellStyle name="Normal 22 4 3 2 5 3" xfId="34607" xr:uid="{1FF88427-6B72-412B-BB1D-076A497E705B}"/>
    <cellStyle name="Normal 22 4 3 2 6" xfId="18074" xr:uid="{EAC65544-E669-4D97-A0A2-C657C968FF95}"/>
    <cellStyle name="Normal 22 4 3 2 6 2" xfId="34609" xr:uid="{A51CFC9F-309C-4DE3-AF1C-44960973A012}"/>
    <cellStyle name="Normal 22 4 3 2 7" xfId="18078" xr:uid="{4FAD7C0D-D857-4E65-88F9-4E75BCCD6041}"/>
    <cellStyle name="Normal 22 4 3 2 8" xfId="18083" xr:uid="{8920A2A9-EB11-4FC3-9F08-BF6BCF1A6883}"/>
    <cellStyle name="Normal 22 4 3 3" xfId="33895" xr:uid="{5B234BBD-0C91-4767-A22F-EBBCFADC2C8A}"/>
    <cellStyle name="Normal 22 4 3 3 2" xfId="8579" xr:uid="{F2C79513-A97A-4118-A1BF-412FEBE5FB75}"/>
    <cellStyle name="Normal 22 4 3 3 2 2" xfId="340" xr:uid="{40A2F63F-D496-402B-BA2C-6020E499EAC0}"/>
    <cellStyle name="Normal 22 4 3 3 2 2 2" xfId="14576" xr:uid="{7C0FC1AB-EA19-497F-93A7-628679CDC70D}"/>
    <cellStyle name="Normal 22 4 3 3 2 2 2 2" xfId="14580" xr:uid="{25AEF67D-FB3F-4827-A142-31226D306935}"/>
    <cellStyle name="Normal 22 4 3 3 2 2 2 2 2" xfId="14585" xr:uid="{CA31FB26-BC8C-41CB-970F-9C76B33A67F0}"/>
    <cellStyle name="Normal 22 4 3 3 2 2 2 3" xfId="8510" xr:uid="{28A052A5-392C-421F-94AD-02FDF62677AB}"/>
    <cellStyle name="Normal 22 4 3 3 2 2 3" xfId="10321" xr:uid="{FFF8759F-E729-419D-A5A9-AA3AA361065B}"/>
    <cellStyle name="Normal 22 4 3 3 2 2 3 2" xfId="14588" xr:uid="{0B346F75-1293-456A-BBEA-A2EE31BE54F9}"/>
    <cellStyle name="Normal 22 4 3 3 2 2 4" xfId="9142" xr:uid="{7261DFFD-6659-4D9A-8FC8-715E62B22AAA}"/>
    <cellStyle name="Normal 22 4 3 3 2 3" xfId="347" xr:uid="{1E2695E4-F590-4539-952A-CCEDDC68B7B7}"/>
    <cellStyle name="Normal 22 4 3 3 2 3 2" xfId="14621" xr:uid="{02FE8492-8F03-4BE9-AB33-7004ECFA418F}"/>
    <cellStyle name="Normal 22 4 3 3 2 3 2 2" xfId="14624" xr:uid="{038278E3-E5F4-4CEB-9631-F400EA23F7FF}"/>
    <cellStyle name="Normal 22 4 3 3 2 3 3" xfId="14627" xr:uid="{F8487CE2-533F-4774-A79C-F60D5790EFF4}"/>
    <cellStyle name="Normal 22 4 3 3 2 4" xfId="358" xr:uid="{B9931773-70D4-4864-87B2-BB92456F1694}"/>
    <cellStyle name="Normal 22 4 3 3 2 4 2" xfId="14639" xr:uid="{98805C0D-FAD1-4B41-B817-8C5E8C83C731}"/>
    <cellStyle name="Normal 22 4 3 3 2 5" xfId="366" xr:uid="{21EB6C46-62AD-49BA-BAB3-E05CAE5BBAA9}"/>
    <cellStyle name="Normal 22 4 3 3 3" xfId="18142" xr:uid="{E2696B7A-89DB-4C43-889B-C9142CE273C0}"/>
    <cellStyle name="Normal 22 4 3 3 3 2" xfId="30292" xr:uid="{9F9A8CD6-6019-4757-9703-C8F51B6E79AF}"/>
    <cellStyle name="Normal 22 4 3 3 3 2 2" xfId="14711" xr:uid="{BE0FC5AC-ECB7-4A25-A074-C32F49FE3A43}"/>
    <cellStyle name="Normal 22 4 3 3 3 2 2 2" xfId="14714" xr:uid="{FC2A7825-B324-4156-8F43-6C47B3ABFB9E}"/>
    <cellStyle name="Normal 22 4 3 3 3 2 3" xfId="14719" xr:uid="{97C18E72-511A-4C0D-AF37-C8C273F623D4}"/>
    <cellStyle name="Normal 22 4 3 3 3 3" xfId="34611" xr:uid="{F2C391E9-69EC-41E3-8625-69CD876DA98A}"/>
    <cellStyle name="Normal 22 4 3 3 3 3 2" xfId="14731" xr:uid="{D8949D71-3C41-41B5-93EE-25E5B63BFFE2}"/>
    <cellStyle name="Normal 22 4 3 3 3 4" xfId="34613" xr:uid="{BA1A077F-C223-4E15-B08A-F9F518700BCD}"/>
    <cellStyle name="Normal 22 4 3 3 4" xfId="18148" xr:uid="{2ED46A56-8DCB-46F5-9416-E2D4D9405920}"/>
    <cellStyle name="Normal 22 4 3 3 4 2" xfId="34615" xr:uid="{12C97E4B-C1B1-4219-9C72-16CB35A436E5}"/>
    <cellStyle name="Normal 22 4 3 3 4 2 2" xfId="14786" xr:uid="{1D462125-ABBE-48D7-BD06-EEBB9AC0AE6E}"/>
    <cellStyle name="Normal 22 4 3 3 4 3" xfId="34617" xr:uid="{D387AE92-350B-4B9E-BB18-1EEA147DAFB9}"/>
    <cellStyle name="Normal 22 4 3 3 5" xfId="18154" xr:uid="{ACDF563A-D263-4611-ABFA-8CCDC9445027}"/>
    <cellStyle name="Normal 22 4 3 3 5 2" xfId="27944" xr:uid="{E68394DF-9E49-4EE7-A701-49C5567EB6B8}"/>
    <cellStyle name="Normal 22 4 3 3 6" xfId="18162" xr:uid="{CF520CFA-A845-43CB-A886-C24611BE2DEE}"/>
    <cellStyle name="Normal 22 4 3 3 7" xfId="18174" xr:uid="{067FA3D1-5FC9-47AE-8134-113E030E519C}"/>
    <cellStyle name="Normal 22 4 3 4" xfId="33901" xr:uid="{6737C266-B991-4D5B-A4E1-1A67E20ACF80}"/>
    <cellStyle name="Normal 22 4 3 4 2" xfId="34619" xr:uid="{CCCDB355-3EA1-44C3-B69D-B40B9960BEFA}"/>
    <cellStyle name="Normal 22 4 3 4 2 2" xfId="30313" xr:uid="{D8956C50-7BCE-4B14-BBC8-4E5F4AA7B6A6}"/>
    <cellStyle name="Normal 22 4 3 4 2 2 2" xfId="15122" xr:uid="{83654909-B461-4EF8-93C5-C979882424B0}"/>
    <cellStyle name="Normal 22 4 3 4 2 2 2 2" xfId="15126" xr:uid="{68B09085-375A-438D-BE09-0D16F4569B3A}"/>
    <cellStyle name="Normal 22 4 3 4 2 2 3" xfId="15130" xr:uid="{F33A97E5-7ABE-4A87-A9B8-ADA2AC6EF4E1}"/>
    <cellStyle name="Normal 22 4 3 4 2 3" xfId="34623" xr:uid="{8565233D-356C-4A1B-AF3C-921B776F1E38}"/>
    <cellStyle name="Normal 22 4 3 4 2 3 2" xfId="15144" xr:uid="{0DC4ED3D-A537-4C5C-BC69-0668BCD0FE01}"/>
    <cellStyle name="Normal 22 4 3 4 2 4" xfId="34625" xr:uid="{94D81EB3-513F-48DC-86CD-D2FC244CC19F}"/>
    <cellStyle name="Normal 22 4 3 4 3" xfId="34627" xr:uid="{EA813EF7-99AA-4803-AC82-D74F0EC0F6F9}"/>
    <cellStyle name="Normal 22 4 3 4 3 2" xfId="34629" xr:uid="{E7E473A0-95A3-483C-95E7-A1BA4ADA3CB0}"/>
    <cellStyle name="Normal 22 4 3 4 3 2 2" xfId="15213" xr:uid="{994C42B2-423E-4289-A8C9-0EE9CC65786C}"/>
    <cellStyle name="Normal 22 4 3 4 3 3" xfId="34631" xr:uid="{95BC2EC9-8C53-49CD-824E-E6D542F83FD8}"/>
    <cellStyle name="Normal 22 4 3 4 4" xfId="34633" xr:uid="{2A1607E1-1996-4272-A8F6-ABBF1DA850A3}"/>
    <cellStyle name="Normal 22 4 3 4 4 2" xfId="34635" xr:uid="{9E002AE2-B430-498D-8AFE-5ADD3ED3CD9B}"/>
    <cellStyle name="Normal 22 4 3 4 5" xfId="27952" xr:uid="{79D047AB-F878-40A9-A79C-61B3BD00C82D}"/>
    <cellStyle name="Normal 22 4 3 5" xfId="34641" xr:uid="{43F62457-4F98-4797-AF4E-9F21092235FD}"/>
    <cellStyle name="Normal 22 4 3 5 2" xfId="34644" xr:uid="{034C3EE8-BA86-41F6-9705-0A0BD99BC2BD}"/>
    <cellStyle name="Normal 22 4 3 5 2 2" xfId="20" xr:uid="{9AA6CA3D-C1F2-40C2-B896-E71E76180EDD}"/>
    <cellStyle name="Normal 22 4 3 5 2 2 2" xfId="893" xr:uid="{49E0BA3C-A88F-42E2-A808-D6CF81374B2E}"/>
    <cellStyle name="Normal 22 4 3 5 2 3" xfId="98" xr:uid="{DEDEE0B8-1796-4912-BCF1-589C77A41670}"/>
    <cellStyle name="Normal 22 4 3 5 3" xfId="34647" xr:uid="{5ECC1555-F718-4B0C-BB08-E75041470F82}"/>
    <cellStyle name="Normal 22 4 3 5 3 2" xfId="34650" xr:uid="{7486651E-69E7-4B95-836D-7309A3A90F9D}"/>
    <cellStyle name="Normal 22 4 3 5 4" xfId="34653" xr:uid="{22B385EC-23AF-48F0-B9E7-F9E803B13DE0}"/>
    <cellStyle name="Normal 22 4 3 6" xfId="34658" xr:uid="{08BE00C8-555C-4BF7-A7BE-879A56782191}"/>
    <cellStyle name="Normal 22 4 3 6 2" xfId="34661" xr:uid="{FD743FAF-D053-4C46-B0FB-9A70E7CED89B}"/>
    <cellStyle name="Normal 22 4 3 6 2 2" xfId="34664" xr:uid="{00AD687C-1343-4B4C-A00D-EBB37986F007}"/>
    <cellStyle name="Normal 22 4 3 6 3" xfId="34667" xr:uid="{96492584-0B0B-4203-AA47-69B956DB10C1}"/>
    <cellStyle name="Normal 22 4 3 7" xfId="34671" xr:uid="{D668949C-EEA0-42DB-90E7-4B83B53B5191}"/>
    <cellStyle name="Normal 22 4 3 7 2" xfId="29667" xr:uid="{05212906-8F11-4EB5-88B7-69B2975FF40F}"/>
    <cellStyle name="Normal 22 4 3 8" xfId="34676" xr:uid="{5680755A-B151-4266-BACF-D1C5DDF4494D}"/>
    <cellStyle name="Normal 22 4 3 9" xfId="15040" xr:uid="{EC0AD0AC-F91E-4C16-ABAE-37C9DF91EABA}"/>
    <cellStyle name="Normal 22 4 4" xfId="33904" xr:uid="{5DBBB1AF-10D9-4B38-8B16-5ACF1E74DF14}"/>
    <cellStyle name="Normal 22 4 4 2" xfId="33909" xr:uid="{C57BEA16-F7C8-496E-830A-95ECF30B7BBF}"/>
    <cellStyle name="Normal 22 4 4 2 2" xfId="18501" xr:uid="{46420DB6-9BCA-448A-8593-17EC4EC86176}"/>
    <cellStyle name="Normal 22 4 4 2 2 2" xfId="28489" xr:uid="{550A328D-5CB7-4661-8D89-6CCC2798BF49}"/>
    <cellStyle name="Normal 22 4 4 2 2 2 2" xfId="28493" xr:uid="{3B3BF65E-661F-4139-9C0E-F6C175FDDEFB}"/>
    <cellStyle name="Normal 22 4 4 2 2 2 2 2" xfId="28502" xr:uid="{DB557202-0780-448C-84BE-15EB8220DCF7}"/>
    <cellStyle name="Normal 22 4 4 2 2 2 2 2 2" xfId="34678" xr:uid="{0EFFB130-B085-44AF-BF33-6DE60673AA4F}"/>
    <cellStyle name="Normal 22 4 4 2 2 2 2 3" xfId="34680" xr:uid="{877A9024-3301-4D8E-AA6E-1216B101BF56}"/>
    <cellStyle name="Normal 22 4 4 2 2 2 3" xfId="13966" xr:uid="{E55343BA-569D-4C87-B83B-D84B280D2668}"/>
    <cellStyle name="Normal 22 4 4 2 2 2 3 2" xfId="13975" xr:uid="{FEE3386B-53C0-448C-A18A-D709DD9B1BC1}"/>
    <cellStyle name="Normal 22 4 4 2 2 2 4" xfId="9637" xr:uid="{90B6FBEA-5234-444C-829A-2A3AD6B461AF}"/>
    <cellStyle name="Normal 22 4 4 2 2 3" xfId="28509" xr:uid="{6B6C8F46-DA5C-4D48-A344-0BD23B9BD17E}"/>
    <cellStyle name="Normal 22 4 4 2 2 3 2" xfId="28514" xr:uid="{3BBCCA2B-B619-488C-9FBB-EA85D1A9B016}"/>
    <cellStyle name="Normal 22 4 4 2 2 3 2 2" xfId="34683" xr:uid="{F4B1CE3A-BEA0-4A31-97E8-8357D42381A1}"/>
    <cellStyle name="Normal 22 4 4 2 2 3 3" xfId="13983" xr:uid="{11D54A2A-0D9F-41F8-BBEE-63352D6262F0}"/>
    <cellStyle name="Normal 22 4 4 2 2 4" xfId="20125" xr:uid="{7C636E6A-A3D6-41A9-8C90-993944EA04B6}"/>
    <cellStyle name="Normal 22 4 4 2 2 4 2" xfId="34685" xr:uid="{F6184B25-006B-45D6-8CFE-0EE6580B1B84}"/>
    <cellStyle name="Normal 22 4 4 2 2 5" xfId="28521" xr:uid="{AC2AEE52-3F71-464B-B0C7-AD973ECA7946}"/>
    <cellStyle name="Normal 22 4 4 2 3" xfId="18506" xr:uid="{11AB4CDA-65DC-484F-869F-A4E86CDA636A}"/>
    <cellStyle name="Normal 22 4 4 2 3 2" xfId="28571" xr:uid="{5BF4E851-859F-40B6-B924-CE58E05F31C2}"/>
    <cellStyle name="Normal 22 4 4 2 3 2 2" xfId="28577" xr:uid="{A8556E41-3C9A-497F-8E30-06D80D2DD024}"/>
    <cellStyle name="Normal 22 4 4 2 3 2 2 2" xfId="34687" xr:uid="{D49FE17C-1965-4806-A674-8295D3789D6F}"/>
    <cellStyle name="Normal 22 4 4 2 3 2 3" xfId="14008" xr:uid="{E5526A6D-BF38-491A-847C-D071C004D8CF}"/>
    <cellStyle name="Normal 22 4 4 2 3 3" xfId="28581" xr:uid="{4369BAEF-444B-4FDE-912A-C7959B783351}"/>
    <cellStyle name="Normal 22 4 4 2 3 3 2" xfId="3690" xr:uid="{357C491C-6B2E-4C68-866D-EA9917789208}"/>
    <cellStyle name="Normal 22 4 4 2 3 4" xfId="5947" xr:uid="{333CE59F-E639-4CDB-8BAC-53EAFB73A4F6}"/>
    <cellStyle name="Normal 22 4 4 2 4" xfId="18510" xr:uid="{191C499A-B3D0-4B8F-BD41-C650F451E2E7}"/>
    <cellStyle name="Normal 22 4 4 2 4 2" xfId="28620" xr:uid="{98681948-7FF8-4AE6-936F-FD0557B711EC}"/>
    <cellStyle name="Normal 22 4 4 2 4 2 2" xfId="28907" xr:uid="{7BEF0DBD-E6FC-443F-866A-DF4F424733A2}"/>
    <cellStyle name="Normal 22 4 4 2 4 3" xfId="34690" xr:uid="{DC7A981B-83BF-419D-BD74-585762BDE859}"/>
    <cellStyle name="Normal 22 4 4 2 5" xfId="18514" xr:uid="{33C0BC8B-624F-4128-BCB0-FBA00B200A68}"/>
    <cellStyle name="Normal 22 4 4 2 5 2" xfId="34692" xr:uid="{E34FF553-E377-4530-ABE0-29A04E2BA69B}"/>
    <cellStyle name="Normal 22 4 4 2 6" xfId="18518" xr:uid="{299C1403-B565-4718-B459-D0747279F470}"/>
    <cellStyle name="Normal 22 4 4 2 7" xfId="18526" xr:uid="{0B95197E-4A4F-44A3-A60D-FE5ED4BD9E83}"/>
    <cellStyle name="Normal 22 4 4 3" xfId="33914" xr:uid="{D0755DA4-39A1-43C0-8E42-8E690F0CA3AE}"/>
    <cellStyle name="Normal 22 4 4 3 2" xfId="12157" xr:uid="{6BBE80F3-14F1-49A9-85D1-2CDD9F0F78E8}"/>
    <cellStyle name="Normal 22 4 4 3 2 2" xfId="20929" xr:uid="{56FDFCE0-6A78-4BF6-84B9-74FED441DE2F}"/>
    <cellStyle name="Normal 22 4 4 3 2 2 2" xfId="24628" xr:uid="{008957A0-6436-4F2E-A7FC-5CA28B1C41ED}"/>
    <cellStyle name="Normal 22 4 4 3 2 2 2 2" xfId="34694" xr:uid="{7038F9C6-096C-4291-879E-4C8CC8168072}"/>
    <cellStyle name="Normal 22 4 4 3 2 2 3" xfId="14044" xr:uid="{CF9235C1-B393-47F5-AA2D-B4878CF62760}"/>
    <cellStyle name="Normal 22 4 4 3 2 3" xfId="28707" xr:uid="{47528D4E-14EA-4040-8270-D7FF44405060}"/>
    <cellStyle name="Normal 22 4 4 3 2 3 2" xfId="34696" xr:uid="{C41811E7-6C4B-4752-8EE0-63A1548E2677}"/>
    <cellStyle name="Normal 22 4 4 3 2 4" xfId="28710" xr:uid="{AC89B9B4-5E8B-4F83-B761-F6FC042F45B4}"/>
    <cellStyle name="Normal 22 4 4 3 3" xfId="18564" xr:uid="{02D9FA2B-BAAC-4953-B874-C5FF58280FDD}"/>
    <cellStyle name="Normal 22 4 4 3 3 2" xfId="28739" xr:uid="{90CDBAC3-CDD4-4BC0-987C-8E57A2844678}"/>
    <cellStyle name="Normal 22 4 4 3 3 2 2" xfId="24810" xr:uid="{353FBB1A-4E48-4E9A-85BC-D98E630CD216}"/>
    <cellStyle name="Normal 22 4 4 3 3 3" xfId="34698" xr:uid="{570EC61D-F721-44A6-80B7-5100F1FC0A53}"/>
    <cellStyle name="Normal 22 4 4 3 4" xfId="18568" xr:uid="{C6F11F33-A518-441E-ADCA-3DD03422ED32}"/>
    <cellStyle name="Normal 22 4 4 3 4 2" xfId="34700" xr:uid="{7BA2F956-BA24-4FD3-ACB8-9E0B188F6B76}"/>
    <cellStyle name="Normal 22 4 4 3 5" xfId="18572" xr:uid="{F4F697A7-D330-4A66-BFFA-E990049CE440}"/>
    <cellStyle name="Normal 22 4 4 4" xfId="34702" xr:uid="{1E6E2F57-57E4-4DE2-8C40-EE6988F98DF1}"/>
    <cellStyle name="Normal 22 4 4 4 2" xfId="34704" xr:uid="{19A81320-EF07-412C-9A60-818CFAE15CCB}"/>
    <cellStyle name="Normal 22 4 4 4 2 2" xfId="19247" xr:uid="{ADBC1EEB-249E-4B75-957D-5E5CECC34A53}"/>
    <cellStyle name="Normal 22 4 4 4 2 2 2" xfId="34706" xr:uid="{CB98D39B-7C92-45AB-84F0-3DE178A488D6}"/>
    <cellStyle name="Normal 22 4 4 4 2 3" xfId="19252" xr:uid="{17C23681-A0B6-486C-AD59-53273EF0DE8A}"/>
    <cellStyle name="Normal 22 4 4 4 3" xfId="34708" xr:uid="{5145F421-7350-42E4-89A1-B61AC7E9E31C}"/>
    <cellStyle name="Normal 22 4 4 4 3 2" xfId="34710" xr:uid="{40FD3744-BEC6-435F-8401-937023499517}"/>
    <cellStyle name="Normal 22 4 4 4 4" xfId="34712" xr:uid="{3969766C-1874-4097-B56F-A74D2F7984DF}"/>
    <cellStyle name="Normal 22 4 4 5" xfId="34715" xr:uid="{E9FFB9C5-A980-4DF7-9964-52BC1A39E622}"/>
    <cellStyle name="Normal 22 4 4 5 2" xfId="34717" xr:uid="{FA9470E1-E06E-49FD-A24E-46C35A8698AB}"/>
    <cellStyle name="Normal 22 4 4 5 2 2" xfId="34719" xr:uid="{EBDCDF58-CD3C-485C-982C-24C220F5C8B0}"/>
    <cellStyle name="Normal 22 4 4 5 3" xfId="34721" xr:uid="{DB168A6E-B7F4-451B-A24E-FC0A529EDA25}"/>
    <cellStyle name="Normal 22 4 4 6" xfId="34723" xr:uid="{F5716B65-656F-44E8-91D6-D7BA9C6B6482}"/>
    <cellStyle name="Normal 22 4 4 6 2" xfId="34725" xr:uid="{14779104-0F4D-4B1F-ACB1-874D5CF81E04}"/>
    <cellStyle name="Normal 22 4 4 7" xfId="34727" xr:uid="{ADE6A236-C361-4918-9153-08C6D25DDD56}"/>
    <cellStyle name="Normal 22 4 4 8" xfId="34730" xr:uid="{A5E52BDE-DAD4-44CC-B220-F6654AFF7BD9}"/>
    <cellStyle name="Normal 22 4 5" xfId="2758" xr:uid="{8FF9AA75-9FB7-4458-A986-DD30A441AC38}"/>
    <cellStyle name="Normal 22 4 5 2" xfId="2771" xr:uid="{12C3F15B-16C2-4729-AC4C-D4CF761962C4}"/>
    <cellStyle name="Normal 22 4 5 2 2" xfId="2782" xr:uid="{452122AB-260E-43E0-A69D-260DBFD5894E}"/>
    <cellStyle name="Normal 22 4 5 2 2 2" xfId="21032" xr:uid="{C257ED55-810C-4532-B19E-9C0E0D6D388D}"/>
    <cellStyle name="Normal 22 4 5 2 2 2 2" xfId="34732" xr:uid="{8D4EC20D-8078-4FBC-908B-733281B03722}"/>
    <cellStyle name="Normal 22 4 5 2 2 2 2 2" xfId="34734" xr:uid="{7154B8EE-7D47-4941-BE19-C22CDD573E33}"/>
    <cellStyle name="Normal 22 4 5 2 2 2 3" xfId="15676" xr:uid="{75E34910-42C6-4E97-95D2-96C1830BB399}"/>
    <cellStyle name="Normal 22 4 5 2 2 3" xfId="34736" xr:uid="{84C05AD8-890C-409E-9A63-93C79D8F3846}"/>
    <cellStyle name="Normal 22 4 5 2 2 3 2" xfId="34738" xr:uid="{B6FBDFF7-2380-466E-B65D-5F094A471F20}"/>
    <cellStyle name="Normal 22 4 5 2 2 4" xfId="34740" xr:uid="{7C0BE8B8-30AD-443D-9AAF-B763D9966BFB}"/>
    <cellStyle name="Normal 22 4 5 2 3" xfId="18730" xr:uid="{5B7D85D5-9C6A-4E9C-AA42-AE71CAE913DA}"/>
    <cellStyle name="Normal 22 4 5 2 3 2" xfId="34742" xr:uid="{AD5EC6A9-BABA-4572-95D9-C49B6313AD74}"/>
    <cellStyle name="Normal 22 4 5 2 3 2 2" xfId="34744" xr:uid="{A7F5A83F-B79D-4F59-A31C-E576E85A9FB8}"/>
    <cellStyle name="Normal 22 4 5 2 3 3" xfId="34746" xr:uid="{FBB1F8FA-85CE-4AEC-8BFB-E1B126DEE9C8}"/>
    <cellStyle name="Normal 22 4 5 2 4" xfId="17788" xr:uid="{4C35365F-71B7-48A3-A883-52F50E27295F}"/>
    <cellStyle name="Normal 22 4 5 2 4 2" xfId="34748" xr:uid="{FDC93D56-1335-4A14-AE1A-537D08B4FBAE}"/>
    <cellStyle name="Normal 22 4 5 2 5" xfId="17793" xr:uid="{EF56A117-9B4E-4BFB-A5B2-383756AF8829}"/>
    <cellStyle name="Normal 22 4 5 3" xfId="2794" xr:uid="{CB2C308F-D6DD-463D-9FE4-459877DED046}"/>
    <cellStyle name="Normal 22 4 5 3 2" xfId="18783" xr:uid="{B35A5029-9BDF-430F-A22F-F5CA6E3ACB92}"/>
    <cellStyle name="Normal 22 4 5 3 2 2" xfId="34750" xr:uid="{7E1B9B58-207B-41E0-BFFE-BC4F0138BEDF}"/>
    <cellStyle name="Normal 22 4 5 3 2 2 2" xfId="15946" xr:uid="{19EC3C46-579B-47DD-BF74-C389D849601B}"/>
    <cellStyle name="Normal 22 4 5 3 2 3" xfId="34752" xr:uid="{13CA359A-1224-43B8-A592-A64AB06773B6}"/>
    <cellStyle name="Normal 22 4 5 3 3" xfId="18789" xr:uid="{F8A01503-19C9-4485-81F9-72A1CB96A62D}"/>
    <cellStyle name="Normal 22 4 5 3 3 2" xfId="34754" xr:uid="{D296D29A-3EAD-4E34-8999-477CFFF79E70}"/>
    <cellStyle name="Normal 22 4 5 3 4" xfId="17800" xr:uid="{9EEFF829-3A9A-47DF-9D7B-1B871353FB30}"/>
    <cellStyle name="Normal 22 4 5 4" xfId="34756" xr:uid="{4DFB4425-DB65-4F02-B215-668F885CF5F5}"/>
    <cellStyle name="Normal 22 4 5 4 2" xfId="34758" xr:uid="{17F72701-5756-4421-9A47-F2C6F121FA4D}"/>
    <cellStyle name="Normal 22 4 5 4 2 2" xfId="34760" xr:uid="{9A31E191-88E3-47C4-AC6C-3C23FB2FC4CC}"/>
    <cellStyle name="Normal 22 4 5 4 3" xfId="6866" xr:uid="{64A6B55D-0681-4378-BB65-E5227C4D73C3}"/>
    <cellStyle name="Normal 22 4 5 5" xfId="34763" xr:uid="{85683851-2EB2-499A-9D82-2252624DAC49}"/>
    <cellStyle name="Normal 22 4 5 5 2" xfId="34766" xr:uid="{DED1D712-C29C-4BC6-86E0-6A3E513CF799}"/>
    <cellStyle name="Normal 22 4 5 6" xfId="34769" xr:uid="{020CE3D2-CE6B-4FE1-A707-AF4D0F1FF211}"/>
    <cellStyle name="Normal 22 4 5 7" xfId="34772" xr:uid="{C9CED6DA-932D-407C-A0C7-72A1CD2BB4D6}"/>
    <cellStyle name="Normal 22 4 6" xfId="2815" xr:uid="{F90E91A4-E508-457F-AEA3-DF8BDF8B359D}"/>
    <cellStyle name="Normal 22 4 6 2" xfId="2846" xr:uid="{EF112F77-9106-4260-AD90-CE593AA8DE34}"/>
    <cellStyle name="Normal 22 4 6 2 2" xfId="18946" xr:uid="{A6918069-E224-4296-B3C8-C59F4741741E}"/>
    <cellStyle name="Normal 22 4 6 2 2 2" xfId="34774" xr:uid="{B8F4676B-8FD7-436A-84AB-3B1D69AD50EE}"/>
    <cellStyle name="Normal 22 4 6 2 2 2 2" xfId="34776" xr:uid="{746E856D-FAE0-4AA7-999B-26E3C40243FF}"/>
    <cellStyle name="Normal 22 4 6 2 2 3" xfId="34778" xr:uid="{FAB6DCE6-B469-48D4-93E0-C2230100FC72}"/>
    <cellStyle name="Normal 22 4 6 2 3" xfId="18950" xr:uid="{EA5F7AC3-BD02-4228-AA42-C03C91DBE39B}"/>
    <cellStyle name="Normal 22 4 6 2 3 2" xfId="34780" xr:uid="{C1479E20-FC0F-425E-BC31-702CB54F011D}"/>
    <cellStyle name="Normal 22 4 6 2 4" xfId="18954" xr:uid="{B4F4A48C-71CE-45D9-BF69-5CA09761C560}"/>
    <cellStyle name="Normal 22 4 6 3" xfId="34782" xr:uid="{7F247BC7-6DF5-4C7F-93F7-5E2B1FFC4CD8}"/>
    <cellStyle name="Normal 22 4 6 3 2" xfId="19032" xr:uid="{2F7A21CF-ABE0-47E3-BBC3-2B9224949E49}"/>
    <cellStyle name="Normal 22 4 6 3 2 2" xfId="34784" xr:uid="{B7D62A4D-7E0B-41EA-B1F2-C236FEE83401}"/>
    <cellStyle name="Normal 22 4 6 3 3" xfId="19038" xr:uid="{69224CCD-EB15-44CD-A730-3B7A8E82CF32}"/>
    <cellStyle name="Normal 22 4 6 4" xfId="34786" xr:uid="{88FF31A4-1532-4621-9BB2-D53B0C25680D}"/>
    <cellStyle name="Normal 22 4 6 4 2" xfId="34788" xr:uid="{B8C9B881-BE3D-47C6-AB1F-429AE06881E9}"/>
    <cellStyle name="Normal 22 4 6 5" xfId="34791" xr:uid="{27468739-4348-486A-8B0B-80A1E3867AC5}"/>
    <cellStyle name="Normal 22 4 7" xfId="6614" xr:uid="{1E0BC22C-7E3D-4FF0-84C1-0C6068350676}"/>
    <cellStyle name="Normal 22 4 7 2" xfId="34793" xr:uid="{7B3CD70D-5376-4B94-98D7-3276724E0694}"/>
    <cellStyle name="Normal 22 4 7 2 2" xfId="34795" xr:uid="{6ED71148-E24D-4707-8CAE-90F046485C6F}"/>
    <cellStyle name="Normal 22 4 7 2 2 2" xfId="30770" xr:uid="{BECD65D4-46DC-4D35-8369-9DFB91B0873A}"/>
    <cellStyle name="Normal 22 4 7 2 3" xfId="34797" xr:uid="{1CA27B23-2FFF-4AF6-8FC4-444B912CF23C}"/>
    <cellStyle name="Normal 22 4 7 3" xfId="34799" xr:uid="{FAC6260E-E4FB-40D5-BFE7-D7CF4D4C5494}"/>
    <cellStyle name="Normal 22 4 7 3 2" xfId="34801" xr:uid="{19C94394-12E6-4417-B779-69D547700561}"/>
    <cellStyle name="Normal 22 4 7 4" xfId="30996" xr:uid="{1243A1D3-E7BC-43F6-926A-FA8DC6070BAF}"/>
    <cellStyle name="Normal 22 4 8" xfId="4971" xr:uid="{9051B1C7-6ECF-48E8-B2BC-6A2C97C58723}"/>
    <cellStyle name="Normal 22 4 8 2" xfId="34805" xr:uid="{51275214-03B2-41D6-94BC-0E5BF937A08E}"/>
    <cellStyle name="Normal 22 4 8 2 2" xfId="34807" xr:uid="{9A42A591-BA2C-4408-A16F-75C85E024DEE}"/>
    <cellStyle name="Normal 22 4 8 3" xfId="34811" xr:uid="{12FC79B1-19E5-48EF-BECF-B9B11B0B990C}"/>
    <cellStyle name="Normal 22 4 9" xfId="27417" xr:uid="{283B0AD0-FDAD-4CE8-A8F8-717EECDA4595}"/>
    <cellStyle name="Normal 22 4 9 2" xfId="34814" xr:uid="{1CD496D1-9B41-486E-A6F5-7D9A9ADEA5F6}"/>
    <cellStyle name="Normal 22 5" xfId="34816" xr:uid="{02354A7D-3D35-4CAD-96E6-BAF4B2411FB7}"/>
    <cellStyle name="Normal 22 6" xfId="34818" xr:uid="{FC5FEE3A-DE31-4BE2-A42C-80A54689F152}"/>
    <cellStyle name="Normal 22 6 10" xfId="37590" xr:uid="{CF4C113F-2925-4F7E-ACBB-C8ABBB2F3A99}"/>
    <cellStyle name="Normal 22 6 2" xfId="37591" xr:uid="{BEFCA5FF-7D0E-422E-B8A5-7AB1F85FF9D5}"/>
    <cellStyle name="Normal 22 6 2 2" xfId="37592" xr:uid="{2F735FC0-1348-4204-A90C-AF2BCB893DBA}"/>
    <cellStyle name="Normal 22 6 2 2 2" xfId="37593" xr:uid="{3E0FDEFA-A503-4C7A-BDE8-3B50A6E846A2}"/>
    <cellStyle name="Normal 22 6 2 2 2 2" xfId="37594" xr:uid="{8DAB53AC-FC14-495C-96EB-87E070DF89EB}"/>
    <cellStyle name="Normal 22 6 2 2 2 2 2" xfId="37595" xr:uid="{20DF7851-4A50-408F-BD21-231E061F626F}"/>
    <cellStyle name="Normal 22 6 2 2 2 2 2 2" xfId="37596" xr:uid="{DFB411E4-EDBA-4A05-9D92-B7060635D1AE}"/>
    <cellStyle name="Normal 22 6 2 2 2 2 2 2 2" xfId="37597" xr:uid="{EB315DA7-194E-47EC-A3D7-DCFAF0EFF51E}"/>
    <cellStyle name="Normal 22 6 2 2 2 2 2 2 2 2" xfId="37598" xr:uid="{E2284CC2-11FC-4C07-ADBF-07BDD351D682}"/>
    <cellStyle name="Normal 22 6 2 2 2 2 2 2 3" xfId="37599" xr:uid="{952FA75E-04C2-4BCE-A160-FB4E6AC14175}"/>
    <cellStyle name="Normal 22 6 2 2 2 2 2 3" xfId="37600" xr:uid="{E0A62F7A-82C2-40E2-AF5B-61D51908CDE7}"/>
    <cellStyle name="Normal 22 6 2 2 2 2 2 3 2" xfId="37601" xr:uid="{CF88F0D4-FBEC-4F40-B057-4367954058D4}"/>
    <cellStyle name="Normal 22 6 2 2 2 2 2 4" xfId="37602" xr:uid="{D552ECD9-21FE-4D3A-8FD1-184CFD289ECD}"/>
    <cellStyle name="Normal 22 6 2 2 2 2 3" xfId="37603" xr:uid="{F435B273-06B0-4BAA-989E-9C196E47858B}"/>
    <cellStyle name="Normal 22 6 2 2 2 2 3 2" xfId="37604" xr:uid="{B51E8CDE-430C-4E23-9836-1A7734E4EEA7}"/>
    <cellStyle name="Normal 22 6 2 2 2 2 3 2 2" xfId="37605" xr:uid="{D72D5263-BCFA-42C7-8AB3-24262C332FD5}"/>
    <cellStyle name="Normal 22 6 2 2 2 2 3 3" xfId="37606" xr:uid="{3C01149E-CEF8-4B5B-95BE-23D143356231}"/>
    <cellStyle name="Normal 22 6 2 2 2 2 4" xfId="37607" xr:uid="{76D832B1-0505-406D-9DF2-9BE99A1E88A7}"/>
    <cellStyle name="Normal 22 6 2 2 2 2 4 2" xfId="37608" xr:uid="{3FEF3153-0640-4902-8014-629D51249E52}"/>
    <cellStyle name="Normal 22 6 2 2 2 2 5" xfId="37609" xr:uid="{AFC48660-6C06-4397-BEFA-5BE3036B3E9A}"/>
    <cellStyle name="Normal 22 6 2 2 2 3" xfId="37610" xr:uid="{EF517FF1-2A4E-4413-9A1A-21C685DF172E}"/>
    <cellStyle name="Normal 22 6 2 2 2 3 2" xfId="37611" xr:uid="{24312B08-A085-4358-822F-F7899417A1FD}"/>
    <cellStyle name="Normal 22 6 2 2 2 3 2 2" xfId="37612" xr:uid="{AE3BD918-6E82-4D49-8BC6-82235771D69B}"/>
    <cellStyle name="Normal 22 6 2 2 2 3 2 2 2" xfId="37613" xr:uid="{50632635-072C-4BE8-911A-91EB44220136}"/>
    <cellStyle name="Normal 22 6 2 2 2 3 2 3" xfId="37614" xr:uid="{086AA361-9653-40A1-93B9-A938F13991B5}"/>
    <cellStyle name="Normal 22 6 2 2 2 3 3" xfId="37615" xr:uid="{D7BD6291-A214-4A8F-BCF5-A296993EF78B}"/>
    <cellStyle name="Normal 22 6 2 2 2 3 3 2" xfId="37616" xr:uid="{38968C86-5D0A-4AA4-8F2E-0B1D03AEE7BB}"/>
    <cellStyle name="Normal 22 6 2 2 2 3 4" xfId="37617" xr:uid="{E316FADF-71F2-42B0-9071-E49F1A21A71E}"/>
    <cellStyle name="Normal 22 6 2 2 2 4" xfId="37618" xr:uid="{DC59C578-4C3E-4BAC-96DC-0650D09C57BE}"/>
    <cellStyle name="Normal 22 6 2 2 2 4 2" xfId="37619" xr:uid="{84D0A8BE-D159-4910-93D1-01C36B490E18}"/>
    <cellStyle name="Normal 22 6 2 2 2 4 2 2" xfId="37620" xr:uid="{06227870-5A31-4C0C-8F42-18608BBC9E9B}"/>
    <cellStyle name="Normal 22 6 2 2 2 4 3" xfId="3017" xr:uid="{CBA011F5-4717-4DF6-AD19-5E40956A4BC9}"/>
    <cellStyle name="Normal 22 6 2 2 2 5" xfId="37621" xr:uid="{85E21BEF-ECD0-44F5-BBFF-216114AAD63D}"/>
    <cellStyle name="Normal 22 6 2 2 2 5 2" xfId="37622" xr:uid="{7E87AAF0-DE52-4BD6-A2FB-646636F3DDA5}"/>
    <cellStyle name="Normal 22 6 2 2 2 6" xfId="37623" xr:uid="{F50B0055-5C70-44FC-87A4-D9F84EB3C2FC}"/>
    <cellStyle name="Normal 22 6 2 2 2 7" xfId="11788" xr:uid="{A4D274AB-262F-442E-AA16-40787C0D94A7}"/>
    <cellStyle name="Normal 22 6 2 2 3" xfId="37624" xr:uid="{0ADDE1D1-92BF-49BB-8038-D5A44D9944AE}"/>
    <cellStyle name="Normal 22 6 2 2 3 2" xfId="37625" xr:uid="{C9C15238-6FB8-4F56-950F-6BC27B98749C}"/>
    <cellStyle name="Normal 22 6 2 2 3 2 2" xfId="37626" xr:uid="{6099727A-7247-4679-80F3-BEE37F78B5E4}"/>
    <cellStyle name="Normal 22 6 2 2 3 2 2 2" xfId="37627" xr:uid="{AE107FBB-D018-4317-A3F2-D1031C6A3636}"/>
    <cellStyle name="Normal 22 6 2 2 3 2 2 2 2" xfId="37628" xr:uid="{2B959F81-54CD-42AD-934E-D5BE2FBEDC65}"/>
    <cellStyle name="Normal 22 6 2 2 3 2 2 3" xfId="37629" xr:uid="{5EA46C1B-377B-4A13-B733-22E048F9A1C9}"/>
    <cellStyle name="Normal 22 6 2 2 3 2 3" xfId="37630" xr:uid="{86AB168A-4D66-4FEC-A7A2-64FAE1672D9E}"/>
    <cellStyle name="Normal 22 6 2 2 3 2 3 2" xfId="37631" xr:uid="{B35825E6-9AC3-4F00-A9C8-07119493ABBA}"/>
    <cellStyle name="Normal 22 6 2 2 3 2 4" xfId="37632" xr:uid="{7F2311D8-99EF-4D3C-8A78-4637DDF204B8}"/>
    <cellStyle name="Normal 22 6 2 2 3 3" xfId="37633" xr:uid="{304F3AD1-9FE2-43C6-848F-97C470DD88BB}"/>
    <cellStyle name="Normal 22 6 2 2 3 3 2" xfId="37634" xr:uid="{E8D513B3-2C37-490A-8581-A75C77C958D4}"/>
    <cellStyle name="Normal 22 6 2 2 3 3 2 2" xfId="37635" xr:uid="{99204F4A-54D0-47B0-B827-805129FABEC4}"/>
    <cellStyle name="Normal 22 6 2 2 3 3 3" xfId="37636" xr:uid="{134305E5-07DE-45E3-ACEA-73D4D7AA1362}"/>
    <cellStyle name="Normal 22 6 2 2 3 4" xfId="37637" xr:uid="{75D6D650-C0D0-4531-901A-F553F7BC37DD}"/>
    <cellStyle name="Normal 22 6 2 2 3 4 2" xfId="37638" xr:uid="{AF4CBBCB-9F01-4092-99F8-0E0F06451314}"/>
    <cellStyle name="Normal 22 6 2 2 3 5" xfId="37639" xr:uid="{A2732F63-4D4E-48D7-81E5-48FF27ED87C3}"/>
    <cellStyle name="Normal 22 6 2 2 4" xfId="37640" xr:uid="{00CE965B-DCD2-4C09-96EF-2CC292A45DAA}"/>
    <cellStyle name="Normal 22 6 2 2 4 2" xfId="37641" xr:uid="{0AD2C032-3AC5-4977-8478-A0787CE5EA15}"/>
    <cellStyle name="Normal 22 6 2 2 4 2 2" xfId="37642" xr:uid="{9AFE33D8-7E20-4026-B3E1-983F9D83567F}"/>
    <cellStyle name="Normal 22 6 2 2 4 2 2 2" xfId="12581" xr:uid="{5EAA7A26-EE8D-4595-80F9-F61A64313DD0}"/>
    <cellStyle name="Normal 22 6 2 2 4 2 3" xfId="37643" xr:uid="{B57FF0E6-528A-409D-916E-931D0DB11EF9}"/>
    <cellStyle name="Normal 22 6 2 2 4 3" xfId="37644" xr:uid="{980ED8E2-CBBB-4C9C-B219-2E40165125D3}"/>
    <cellStyle name="Normal 22 6 2 2 4 3 2" xfId="37645" xr:uid="{E030E39A-51D4-4DA3-9D25-EBF9035F99D9}"/>
    <cellStyle name="Normal 22 6 2 2 4 4" xfId="37646" xr:uid="{4B0B6A3F-A5F9-46BF-8273-CA321F10D6FB}"/>
    <cellStyle name="Normal 22 6 2 2 5" xfId="37647" xr:uid="{D853E4CB-7F1E-4C1F-9DEE-29F784F58946}"/>
    <cellStyle name="Normal 22 6 2 2 5 2" xfId="37648" xr:uid="{F349374E-CC49-4F67-81A5-D9ACBE19B7F0}"/>
    <cellStyle name="Normal 22 6 2 2 5 2 2" xfId="37649" xr:uid="{16CDFB60-0F6E-4646-BE14-F7AB15AEF4BA}"/>
    <cellStyle name="Normal 22 6 2 2 5 3" xfId="37650" xr:uid="{D8CB5904-0D6B-45C0-B3B2-1CD10239A96C}"/>
    <cellStyle name="Normal 22 6 2 2 6" xfId="37651" xr:uid="{4D6FB6C2-4D4D-4305-B6FB-C2BAB465D441}"/>
    <cellStyle name="Normal 22 6 2 2 6 2" xfId="37652" xr:uid="{A71A87AF-F991-4AA4-A13D-33D32C53CECA}"/>
    <cellStyle name="Normal 22 6 2 2 7" xfId="37653" xr:uid="{FC41A7C0-8FBF-4C44-BE72-97D26AE636C0}"/>
    <cellStyle name="Normal 22 6 2 2 8" xfId="37654" xr:uid="{E732E555-57B9-4060-A08E-7332202A7F31}"/>
    <cellStyle name="Normal 22 6 2 3" xfId="37655" xr:uid="{2CFE6D39-BF9B-4F9D-BD1D-A05AF6E30AA2}"/>
    <cellStyle name="Normal 22 6 2 3 2" xfId="37656" xr:uid="{EF8F5666-E59E-44D6-8288-32C9CE769019}"/>
    <cellStyle name="Normal 22 6 2 3 2 2" xfId="37657" xr:uid="{1EBFFCCC-A133-4977-AD47-98DFC195FC2C}"/>
    <cellStyle name="Normal 22 6 2 3 2 2 2" xfId="37658" xr:uid="{AA32C560-598E-4B15-9B5F-30DFBDE54F91}"/>
    <cellStyle name="Normal 22 6 2 3 2 2 2 2" xfId="37659" xr:uid="{AFCA20BA-CC54-4357-8CA3-541E801D70EB}"/>
    <cellStyle name="Normal 22 6 2 3 2 2 2 2 2" xfId="37660" xr:uid="{8BBE2B0A-2C9A-4957-AF4B-04E180AD23C0}"/>
    <cellStyle name="Normal 22 6 2 3 2 2 2 3" xfId="37661" xr:uid="{5761D355-B6AA-48C5-85E3-57F042071800}"/>
    <cellStyle name="Normal 22 6 2 3 2 2 3" xfId="37662" xr:uid="{AA5A0264-18D2-49B9-825E-43EC5B237D3E}"/>
    <cellStyle name="Normal 22 6 2 3 2 2 3 2" xfId="37663" xr:uid="{C58539D8-B840-41B9-907D-4AD60761BDF5}"/>
    <cellStyle name="Normal 22 6 2 3 2 2 4" xfId="37664" xr:uid="{8D4EB2C2-5056-4AAA-8CB1-E442A171BEDB}"/>
    <cellStyle name="Normal 22 6 2 3 2 3" xfId="37665" xr:uid="{89B38163-38DE-47CE-B734-454428AC060E}"/>
    <cellStyle name="Normal 22 6 2 3 2 3 2" xfId="37666" xr:uid="{89950AAB-471E-413A-BDAA-BD498B8CAB50}"/>
    <cellStyle name="Normal 22 6 2 3 2 3 2 2" xfId="37667" xr:uid="{7EAEFC40-AA00-4A1E-B1E5-9148EFBC551B}"/>
    <cellStyle name="Normal 22 6 2 3 2 3 3" xfId="37668" xr:uid="{646EB9A0-4E5C-45CC-93B5-E6A8AD3586D4}"/>
    <cellStyle name="Normal 22 6 2 3 2 4" xfId="37669" xr:uid="{445F73D7-0FA5-475F-AA10-FE02768DF16B}"/>
    <cellStyle name="Normal 22 6 2 3 2 4 2" xfId="37670" xr:uid="{D106DF35-6C6A-47A7-812D-E4D3B99930B1}"/>
    <cellStyle name="Normal 22 6 2 3 2 5" xfId="37671" xr:uid="{2C0DF2FA-165A-487E-A7A9-3B8BD5C2643B}"/>
    <cellStyle name="Normal 22 6 2 3 3" xfId="37672" xr:uid="{2010B368-2D70-4407-A2B4-CCC1BED8CAC4}"/>
    <cellStyle name="Normal 22 6 2 3 3 2" xfId="37673" xr:uid="{E3CCABC7-D4C6-403F-92F3-227E78D18D97}"/>
    <cellStyle name="Normal 22 6 2 3 3 2 2" xfId="37674" xr:uid="{3311EE51-9CCB-4F90-BC76-A2E92A66BE2B}"/>
    <cellStyle name="Normal 22 6 2 3 3 2 2 2" xfId="37675" xr:uid="{B76DD6DE-54E7-41BE-8AE9-E278EABC7238}"/>
    <cellStyle name="Normal 22 6 2 3 3 2 3" xfId="37676" xr:uid="{C6C44008-8CEC-49E4-9289-4CA12FA437BB}"/>
    <cellStyle name="Normal 22 6 2 3 3 3" xfId="37677" xr:uid="{8B5EF9AD-9FF4-4349-A8A8-EA08D7E2BAF7}"/>
    <cellStyle name="Normal 22 6 2 3 3 3 2" xfId="37678" xr:uid="{2ADFC9FE-EEC5-4CF1-BD41-23111AC2B4FE}"/>
    <cellStyle name="Normal 22 6 2 3 3 4" xfId="37679" xr:uid="{6DE3897D-3210-4997-AEA7-ABED532CCE85}"/>
    <cellStyle name="Normal 22 6 2 3 4" xfId="37680" xr:uid="{7B1D33CA-81D3-432A-9111-BDE384091BED}"/>
    <cellStyle name="Normal 22 6 2 3 4 2" xfId="37682" xr:uid="{66DB9BD9-E494-4D43-95A5-D2CD15145DBB}"/>
    <cellStyle name="Normal 22 6 2 3 4 2 2" xfId="37684" xr:uid="{21BB63C3-A598-4F38-A0B4-5808D57AD985}"/>
    <cellStyle name="Normal 22 6 2 3 4 3" xfId="37686" xr:uid="{B0356DA5-377A-4560-8539-11A7D48C5400}"/>
    <cellStyle name="Normal 22 6 2 3 5" xfId="37687" xr:uid="{E71A6925-B235-40C6-AAC1-3476AB7DCEA3}"/>
    <cellStyle name="Normal 22 6 2 3 5 2" xfId="37689" xr:uid="{312C0565-1A83-40E7-AD40-3688E93FC43F}"/>
    <cellStyle name="Normal 22 6 2 3 6" xfId="37690" xr:uid="{803D1FD0-31B4-43E6-B2FB-2C8C5B5A3683}"/>
    <cellStyle name="Normal 22 6 2 3 7" xfId="37691" xr:uid="{9316F5C7-65A2-43BC-9DB8-2862BB89BECF}"/>
    <cellStyle name="Normal 22 6 2 4" xfId="37693" xr:uid="{2F308923-7D8D-48A8-AEF7-03090CCA81F4}"/>
    <cellStyle name="Normal 22 6 2 4 2" xfId="37695" xr:uid="{5E7795C9-C74A-400F-89AF-2D42453D883D}"/>
    <cellStyle name="Normal 22 6 2 4 2 2" xfId="37697" xr:uid="{3F1CE946-E203-47E6-8861-CFDC888ABD85}"/>
    <cellStyle name="Normal 22 6 2 4 2 2 2" xfId="37699" xr:uid="{B2C5CA4A-D202-461C-9330-9C6FA9403F24}"/>
    <cellStyle name="Normal 22 6 2 4 2 2 2 2" xfId="37700" xr:uid="{5BCE7897-64CC-4077-86F9-B103F285C3DC}"/>
    <cellStyle name="Normal 22 6 2 4 2 2 3" xfId="37701" xr:uid="{1D009014-C2C6-4DB8-8DE7-11B924883025}"/>
    <cellStyle name="Normal 22 6 2 4 2 3" xfId="37703" xr:uid="{45C740A8-8377-44D0-9128-3DBA3868E8B6}"/>
    <cellStyle name="Normal 22 6 2 4 2 3 2" xfId="37704" xr:uid="{8FE37394-A087-4B3A-A6B5-6539D8C91DD0}"/>
    <cellStyle name="Normal 22 6 2 4 2 4" xfId="37705" xr:uid="{31ACD7CC-16A1-4686-8339-CB9CD6C5B76D}"/>
    <cellStyle name="Normal 22 6 2 4 3" xfId="37707" xr:uid="{38837AD3-C891-4B86-91A9-2EFD7B77639C}"/>
    <cellStyle name="Normal 22 6 2 4 3 2" xfId="37709" xr:uid="{C2C28CA8-BB0E-4430-B6EC-58F2DF65FF83}"/>
    <cellStyle name="Normal 22 6 2 4 3 2 2" xfId="37711" xr:uid="{0D0BCE02-61AA-4A03-B22F-EE6905551CD3}"/>
    <cellStyle name="Normal 22 6 2 4 3 3" xfId="37713" xr:uid="{F5971C68-9E3B-458A-9DAE-931D1C290D03}"/>
    <cellStyle name="Normal 22 6 2 4 4" xfId="37715" xr:uid="{036D5662-EA8E-47CF-B600-33F75C35C725}"/>
    <cellStyle name="Normal 22 6 2 4 4 2" xfId="37718" xr:uid="{AFF10E95-4A91-48AB-BDD3-23389F00ECC3}"/>
    <cellStyle name="Normal 22 6 2 4 5" xfId="37720" xr:uid="{F892F363-7086-4D74-8E83-C3B022CDB706}"/>
    <cellStyle name="Normal 22 6 2 5" xfId="37722" xr:uid="{5A1BC1E0-9EB1-4F6D-BD23-6B8371F7252F}"/>
    <cellStyle name="Normal 22 6 2 5 2" xfId="37724" xr:uid="{416111A3-E2CE-4353-B547-E00F125CEE22}"/>
    <cellStyle name="Normal 22 6 2 5 2 2" xfId="37726" xr:uid="{27102DB6-2A56-40DC-9F78-1734CD7A5895}"/>
    <cellStyle name="Normal 22 6 2 5 2 2 2" xfId="37727" xr:uid="{FE9DEA27-5756-451E-B1F3-F2F930F2C27B}"/>
    <cellStyle name="Normal 22 6 2 5 2 3" xfId="37728" xr:uid="{70BD60D6-227E-4809-A7C5-43D15455EEB2}"/>
    <cellStyle name="Normal 22 6 2 5 3" xfId="37730" xr:uid="{053EBF8F-5BF8-4F46-8107-DE9A0FAAC05F}"/>
    <cellStyle name="Normal 22 6 2 5 3 2" xfId="37731" xr:uid="{6BCB7CB6-437F-4229-A2E7-7D67AE2FFE27}"/>
    <cellStyle name="Normal 22 6 2 5 4" xfId="37732" xr:uid="{D2232FA2-8A49-4E36-8E8F-893216B79C56}"/>
    <cellStyle name="Normal 22 6 2 6" xfId="26339" xr:uid="{76F012EC-FF90-4FFF-B117-3E9246768C55}"/>
    <cellStyle name="Normal 22 6 2 6 2" xfId="37734" xr:uid="{525D37AE-E6AF-449E-8584-C1FB7F19DD99}"/>
    <cellStyle name="Normal 22 6 2 6 2 2" xfId="37736" xr:uid="{0AF75AA3-688E-4012-A427-82F41D635680}"/>
    <cellStyle name="Normal 22 6 2 6 3" xfId="37738" xr:uid="{0E664B91-FA24-4382-9C07-26B49F273F30}"/>
    <cellStyle name="Normal 22 6 2 7" xfId="37740" xr:uid="{3CCB967B-D6F4-4E64-8483-5E95E7C0E918}"/>
    <cellStyle name="Normal 22 6 2 7 2" xfId="37742" xr:uid="{3CA175C9-1C68-48C4-A3C0-653BDF3FBF82}"/>
    <cellStyle name="Normal 22 6 2 8" xfId="37744" xr:uid="{53797AD3-1317-437E-9BE0-5AEE6BEE7FF7}"/>
    <cellStyle name="Normal 22 6 2 9" xfId="37745" xr:uid="{3870CBBA-AAAC-4437-BB56-C3368F8C49F8}"/>
    <cellStyle name="Normal 22 6 3" xfId="37746" xr:uid="{3CEBD069-776F-4118-8BBA-90B64F9F6124}"/>
    <cellStyle name="Normal 22 6 3 2" xfId="37747" xr:uid="{CA0ED9DD-C011-476D-AF4D-6DF9C41BD01B}"/>
    <cellStyle name="Normal 22 6 3 2 2" xfId="37748" xr:uid="{EC9B5DFA-A1D1-45BB-A509-850F4C95863F}"/>
    <cellStyle name="Normal 22 6 3 2 2 2" xfId="37749" xr:uid="{A94CFC1D-E54E-4DF7-A62B-8B6AA3EDC8D9}"/>
    <cellStyle name="Normal 22 6 3 2 2 2 2" xfId="10018" xr:uid="{AE967E0E-761B-41DC-9F55-EEE214C0D031}"/>
    <cellStyle name="Normal 22 6 3 2 2 2 2 2" xfId="37750" xr:uid="{E5D0EF82-7490-414A-9600-C5B5E39990C7}"/>
    <cellStyle name="Normal 22 6 3 2 2 2 2 2 2" xfId="37751" xr:uid="{3F2F10A8-2780-45F8-A31C-1F7E16106F2D}"/>
    <cellStyle name="Normal 22 6 3 2 2 2 2 3" xfId="37752" xr:uid="{FD5F4303-080F-4BED-972F-C89DB2A816AB}"/>
    <cellStyle name="Normal 22 6 3 2 2 2 3" xfId="37753" xr:uid="{4EF0CB34-828D-4602-9030-7AFEC6474A41}"/>
    <cellStyle name="Normal 22 6 3 2 2 2 3 2" xfId="2894" xr:uid="{D322D260-52F6-4A29-8BB1-CCC7C0232920}"/>
    <cellStyle name="Normal 22 6 3 2 2 2 4" xfId="37754" xr:uid="{B9675536-5D4C-4FAF-B6B7-74034418AB17}"/>
    <cellStyle name="Normal 22 6 3 2 2 3" xfId="37755" xr:uid="{567C834C-2DC2-44FD-A54C-125CE956D90B}"/>
    <cellStyle name="Normal 22 6 3 2 2 3 2" xfId="37756" xr:uid="{0D79DC73-30C5-4E24-B5BF-940499D89778}"/>
    <cellStyle name="Normal 22 6 3 2 2 3 2 2" xfId="37757" xr:uid="{681A9604-916B-4C02-BF53-A60E0D793A2A}"/>
    <cellStyle name="Normal 22 6 3 2 2 3 3" xfId="37758" xr:uid="{BCA5DF18-F6A8-4181-90B7-EE49D6A7FD7E}"/>
    <cellStyle name="Normal 22 6 3 2 2 4" xfId="37759" xr:uid="{1E6732C6-317C-4BE0-93DE-F7BF7CDAFA8E}"/>
    <cellStyle name="Normal 22 6 3 2 2 4 2" xfId="37760" xr:uid="{02D1E001-9B73-4E55-9A32-0321E40FD511}"/>
    <cellStyle name="Normal 22 6 3 2 2 5" xfId="37761" xr:uid="{4C4C6AF5-B31F-4D01-8368-BAAD9BCDB2BF}"/>
    <cellStyle name="Normal 22 6 3 2 3" xfId="37762" xr:uid="{24658DB4-A61C-4712-AB0D-723DFA8AE373}"/>
    <cellStyle name="Normal 22 6 3 2 3 2" xfId="37763" xr:uid="{C8F7686C-7923-44B2-9D76-BFB88BF0AEF4}"/>
    <cellStyle name="Normal 22 6 3 2 3 2 2" xfId="37764" xr:uid="{F44C46B1-C72C-4E23-A1F7-73E08B743DE4}"/>
    <cellStyle name="Normal 22 6 3 2 3 2 2 2" xfId="37765" xr:uid="{C14642D8-377C-49A8-81D0-54A0EC20E337}"/>
    <cellStyle name="Normal 22 6 3 2 3 2 3" xfId="37766" xr:uid="{301A2B18-FFD1-4FBA-87F0-39AF4E195DF6}"/>
    <cellStyle name="Normal 22 6 3 2 3 3" xfId="37767" xr:uid="{9A05C3F1-9084-49D4-B79F-7F152D393617}"/>
    <cellStyle name="Normal 22 6 3 2 3 3 2" xfId="37768" xr:uid="{29388378-FB62-470D-A0D8-47C7D45AEE7E}"/>
    <cellStyle name="Normal 22 6 3 2 3 4" xfId="37769" xr:uid="{FB02AE14-87EA-4DF5-9127-317D103B4A65}"/>
    <cellStyle name="Normal 22 6 3 2 4" xfId="37770" xr:uid="{2220611C-8DDF-46AD-88D0-D246D13F8DDF}"/>
    <cellStyle name="Normal 22 6 3 2 4 2" xfId="37771" xr:uid="{012987F0-6EA0-4BC4-B9D6-6AAC11CDBE59}"/>
    <cellStyle name="Normal 22 6 3 2 4 2 2" xfId="37772" xr:uid="{E751587D-56CA-49C4-9DE6-2FB8585A7814}"/>
    <cellStyle name="Normal 22 6 3 2 4 3" xfId="37773" xr:uid="{D568AF62-0514-42B4-8F0D-94452378F3AD}"/>
    <cellStyle name="Normal 22 6 3 2 5" xfId="37774" xr:uid="{9828B1C0-17BD-4F32-A308-E400FCC5B590}"/>
    <cellStyle name="Normal 22 6 3 2 5 2" xfId="37775" xr:uid="{924F5697-DA4C-4EBA-A0FF-0E9ABCB8897E}"/>
    <cellStyle name="Normal 22 6 3 2 6" xfId="4943" xr:uid="{EC0E35B4-16CE-41AB-AB1D-9C953257E76A}"/>
    <cellStyle name="Normal 22 6 3 2 7" xfId="37776" xr:uid="{52630981-051A-4942-9D41-00B3AABC8829}"/>
    <cellStyle name="Normal 22 6 3 3" xfId="37777" xr:uid="{7242467B-1D96-4ED7-B968-F61ACF83DFE1}"/>
    <cellStyle name="Normal 22 6 3 3 2" xfId="37778" xr:uid="{AB0A3BB7-7F70-4F66-8DBE-77997A780CD4}"/>
    <cellStyle name="Normal 22 6 3 3 2 2" xfId="37779" xr:uid="{73F0D3C7-B064-4766-AABB-5F6742FD9C9F}"/>
    <cellStyle name="Normal 22 6 3 3 2 2 2" xfId="37780" xr:uid="{26993EBB-9766-44E2-A845-7B68A4BD516C}"/>
    <cellStyle name="Normal 22 6 3 3 2 2 2 2" xfId="37781" xr:uid="{C90F7BCD-6BB9-4D0E-BDAC-2264DEBE5044}"/>
    <cellStyle name="Normal 22 6 3 3 2 2 3" xfId="37782" xr:uid="{FA11B4CE-AE0A-4993-94E4-6562C556B5C4}"/>
    <cellStyle name="Normal 22 6 3 3 2 3" xfId="37783" xr:uid="{A52B936F-675F-4711-9AB3-DF3168215E11}"/>
    <cellStyle name="Normal 22 6 3 3 2 3 2" xfId="37784" xr:uid="{2D47A051-9546-466C-A24F-8AC5E85A9841}"/>
    <cellStyle name="Normal 22 6 3 3 2 4" xfId="37785" xr:uid="{43C8A594-05E6-484E-80DF-D2B6CAEBE0DE}"/>
    <cellStyle name="Normal 22 6 3 3 3" xfId="37786" xr:uid="{5949733D-25A1-4772-B0E9-2D13F389847D}"/>
    <cellStyle name="Normal 22 6 3 3 3 2" xfId="37787" xr:uid="{59354A4A-D7CE-467C-97C4-21BEEB838DFF}"/>
    <cellStyle name="Normal 22 6 3 3 3 2 2" xfId="37788" xr:uid="{7F55B8C4-0B40-4C85-BE25-DE671F50E57B}"/>
    <cellStyle name="Normal 22 6 3 3 3 3" xfId="36587" xr:uid="{F746BAFD-20BD-4C56-84FB-13B17CA0EB38}"/>
    <cellStyle name="Normal 22 6 3 3 4" xfId="37789" xr:uid="{B0F2F620-34F0-4DD8-831A-8BBA91E9E461}"/>
    <cellStyle name="Normal 22 6 3 3 4 2" xfId="37791" xr:uid="{1DE0A8D3-057F-403A-9A91-9013B16100C8}"/>
    <cellStyle name="Normal 22 6 3 3 5" xfId="37792" xr:uid="{3513BFCF-B325-48CD-AD44-80673711D859}"/>
    <cellStyle name="Normal 22 6 3 4" xfId="37794" xr:uid="{358B7882-789A-40F8-BD06-500C67BF1E8D}"/>
    <cellStyle name="Normal 22 6 3 4 2" xfId="37796" xr:uid="{6AB8F890-F65B-46FF-BE05-8FD9F6ADC347}"/>
    <cellStyle name="Normal 22 6 3 4 2 2" xfId="37798" xr:uid="{3D83A003-364F-421A-A450-7A8486177F21}"/>
    <cellStyle name="Normal 22 6 3 4 2 2 2" xfId="37799" xr:uid="{7418F7AC-A4A9-4347-9FD5-6F805FBF0385}"/>
    <cellStyle name="Normal 22 6 3 4 2 3" xfId="37800" xr:uid="{89346547-B80B-4EBB-81BB-D46F78280CE2}"/>
    <cellStyle name="Normal 22 6 3 4 3" xfId="37803" xr:uid="{280E58B2-7E92-48EE-BE9F-282786810C34}"/>
    <cellStyle name="Normal 22 6 3 4 3 2" xfId="37804" xr:uid="{C3E10369-F9B5-46B6-915B-AB05CDAC582B}"/>
    <cellStyle name="Normal 22 6 3 4 4" xfId="37805" xr:uid="{7E7050CE-78B1-48AE-8B2A-BFB39D28082F}"/>
    <cellStyle name="Normal 22 6 3 5" xfId="37808" xr:uid="{7C3D54B8-617C-4042-A64A-9B2FB2D6DE4B}"/>
    <cellStyle name="Normal 22 6 3 5 2" xfId="37811" xr:uid="{8C776247-595E-4038-B6D7-82D7BABBE2BD}"/>
    <cellStyle name="Normal 22 6 3 5 2 2" xfId="37814" xr:uid="{E1D31619-A567-47CF-99D4-FA6E155DCCCF}"/>
    <cellStyle name="Normal 22 6 3 5 3" xfId="37817" xr:uid="{A25D0B5C-FEB0-42D4-9C58-36088D47AEC5}"/>
    <cellStyle name="Normal 22 6 3 6" xfId="37820" xr:uid="{8EE476C0-8C98-4220-AF25-490CC1A80EBA}"/>
    <cellStyle name="Normal 22 6 3 6 2" xfId="37823" xr:uid="{B4EC2D5E-606D-451B-BCAA-FBA97D5D0E77}"/>
    <cellStyle name="Normal 22 6 3 7" xfId="37826" xr:uid="{C7778E99-904E-4C6E-9F28-9E6EE9338B13}"/>
    <cellStyle name="Normal 22 6 3 8" xfId="37828" xr:uid="{963BC201-1B02-48E8-9398-F61B0A42F05A}"/>
    <cellStyle name="Normal 22 6 4" xfId="37829" xr:uid="{015E673E-D296-465C-8430-88A72AB32946}"/>
    <cellStyle name="Normal 22 6 4 2" xfId="37830" xr:uid="{8938395D-3D91-4425-938B-2354A7054F46}"/>
    <cellStyle name="Normal 22 6 4 2 2" xfId="37831" xr:uid="{1F3EF83E-BEA3-4660-867C-F5DE59FDAA66}"/>
    <cellStyle name="Normal 22 6 4 2 2 2" xfId="37832" xr:uid="{01DFD033-6486-4670-B8F2-501A97DB449C}"/>
    <cellStyle name="Normal 22 6 4 2 2 2 2" xfId="13658" xr:uid="{1A7B8860-19F7-493D-90DD-336801A7E154}"/>
    <cellStyle name="Normal 22 6 4 2 2 2 2 2" xfId="37833" xr:uid="{D79D0CF7-7D6B-4987-9E34-16315B449DE2}"/>
    <cellStyle name="Normal 22 6 4 2 2 2 3" xfId="37834" xr:uid="{E1B3FD3C-F69A-4C9C-8261-16AABD66FCC9}"/>
    <cellStyle name="Normal 22 6 4 2 2 3" xfId="37835" xr:uid="{25301864-C4EE-4AE1-AB72-CCA5E72EFF9C}"/>
    <cellStyle name="Normal 22 6 4 2 2 3 2" xfId="37836" xr:uid="{6693B2DC-B773-421F-A935-7A5CE6BFD39E}"/>
    <cellStyle name="Normal 22 6 4 2 2 4" xfId="37837" xr:uid="{E89C1061-64A1-48BC-A8D0-A8E2676B0B0F}"/>
    <cellStyle name="Normal 22 6 4 2 3" xfId="37838" xr:uid="{A51367AC-76DB-4039-A2D7-0B385F00824A}"/>
    <cellStyle name="Normal 22 6 4 2 3 2" xfId="37839" xr:uid="{5DCB32C1-897C-4DA7-86A6-750769AAAC75}"/>
    <cellStyle name="Normal 22 6 4 2 3 2 2" xfId="37840" xr:uid="{6E8CA97B-D150-4DC8-9B15-D3953B5E38D1}"/>
    <cellStyle name="Normal 22 6 4 2 3 3" xfId="37841" xr:uid="{04E302C1-E806-45EF-9784-1471E03F8BA0}"/>
    <cellStyle name="Normal 22 6 4 2 4" xfId="37842" xr:uid="{CFB329DB-94D2-49B9-82E1-EB1099B2CFCA}"/>
    <cellStyle name="Normal 22 6 4 2 4 2" xfId="37844" xr:uid="{95051777-508C-41DD-932B-EF4AC91EB23D}"/>
    <cellStyle name="Normal 22 6 4 2 5" xfId="37845" xr:uid="{BAE17D5D-CB66-4C44-AE5A-88354703F0FB}"/>
    <cellStyle name="Normal 22 6 4 3" xfId="37846" xr:uid="{FFE72D14-8795-416D-A8A1-384D82ECCAF0}"/>
    <cellStyle name="Normal 22 6 4 3 2" xfId="37847" xr:uid="{CD035D98-93B1-47EB-B278-2C53AEA197B2}"/>
    <cellStyle name="Normal 22 6 4 3 2 2" xfId="37848" xr:uid="{098EED43-40F7-4195-B5F9-C8B22DEF0D9D}"/>
    <cellStyle name="Normal 22 6 4 3 2 2 2" xfId="37849" xr:uid="{A949A0C8-C548-4235-9A3F-FF10B50DA7EE}"/>
    <cellStyle name="Normal 22 6 4 3 2 3" xfId="37850" xr:uid="{510C4F07-BA05-4E9D-9DA3-98F15EB05FA5}"/>
    <cellStyle name="Normal 22 6 4 3 3" xfId="37851" xr:uid="{08242D77-9729-41D5-8988-C7956BDBCA6D}"/>
    <cellStyle name="Normal 22 6 4 3 3 2" xfId="31096" xr:uid="{5317C445-E481-4DB2-A3ED-C43590C004FF}"/>
    <cellStyle name="Normal 22 6 4 3 4" xfId="37852" xr:uid="{FAE02168-3A96-406D-95B8-A485D704AAA7}"/>
    <cellStyle name="Normal 22 6 4 4" xfId="7131" xr:uid="{784B1181-DC90-4E29-AABE-DE347E8FFBA6}"/>
    <cellStyle name="Normal 22 6 4 4 2" xfId="7136" xr:uid="{AEF2CAC9-AE6C-4A32-8AA4-605B47E10345}"/>
    <cellStyle name="Normal 22 6 4 4 2 2" xfId="8190" xr:uid="{49F76C08-EB5C-4344-A3F3-094E88D3E4FD}"/>
    <cellStyle name="Normal 22 6 4 4 3" xfId="6112" xr:uid="{7A3D9DE4-46D3-4107-859F-6D4EBD3A3EEC}"/>
    <cellStyle name="Normal 22 6 4 5" xfId="7144" xr:uid="{1F409749-6314-476C-9996-47D1E39FD41A}"/>
    <cellStyle name="Normal 22 6 4 5 2" xfId="8229" xr:uid="{02E3E5FE-D88A-4850-8F5B-3396B9C09A32}"/>
    <cellStyle name="Normal 22 6 4 6" xfId="7151" xr:uid="{56146C6D-E22C-49F2-B8B9-CDA44FC26861}"/>
    <cellStyle name="Normal 22 6 4 7" xfId="6004" xr:uid="{DAAD9012-3C0D-4608-B0FB-4FDEA3DB737B}"/>
    <cellStyle name="Normal 22 6 5" xfId="6716" xr:uid="{7A1D5683-2FE4-4498-84BF-1350BE633052}"/>
    <cellStyle name="Normal 22 6 5 2" xfId="10687" xr:uid="{0B36DE8E-4EC1-4925-88AA-E7B1F7563F5C}"/>
    <cellStyle name="Normal 22 6 5 2 2" xfId="37853" xr:uid="{14BA8FE9-3658-4FFE-BDEF-C439F5205359}"/>
    <cellStyle name="Normal 22 6 5 2 2 2" xfId="37854" xr:uid="{D06AE8FF-3F44-4ACD-99BF-70F74AB2401C}"/>
    <cellStyle name="Normal 22 6 5 2 2 2 2" xfId="37855" xr:uid="{2CE397F6-3644-4553-B94B-D95B4501DE5E}"/>
    <cellStyle name="Normal 22 6 5 2 2 3" xfId="37856" xr:uid="{7534FED3-FBAA-4E6F-98BC-8B93B6FFE8A8}"/>
    <cellStyle name="Normal 22 6 5 2 3" xfId="37857" xr:uid="{A7A04CD7-087F-4DBC-9BF3-DF6FFA0C795C}"/>
    <cellStyle name="Normal 22 6 5 2 3 2" xfId="37858" xr:uid="{20E6DD7A-F693-45C3-A9AA-DDDEB4C88A58}"/>
    <cellStyle name="Normal 22 6 5 2 4" xfId="37859" xr:uid="{333189B6-627A-4CF2-B72A-3F3D2C008572}"/>
    <cellStyle name="Normal 22 6 5 3" xfId="37860" xr:uid="{5E6817C6-6A37-4E21-A354-19ABFCFB5A11}"/>
    <cellStyle name="Normal 22 6 5 3 2" xfId="37861" xr:uid="{3CAFBA83-1BD7-49C9-B318-C74533480568}"/>
    <cellStyle name="Normal 22 6 5 3 2 2" xfId="37862" xr:uid="{B3E028FC-4BB9-4936-957A-2EA144EA010D}"/>
    <cellStyle name="Normal 22 6 5 3 3" xfId="37863" xr:uid="{17B60594-DE8F-47E2-AF83-E7ED9027123C}"/>
    <cellStyle name="Normal 22 6 5 4" xfId="7170" xr:uid="{4A2172BD-0C44-4651-AB2E-35693D4997D1}"/>
    <cellStyle name="Normal 22 6 5 4 2" xfId="6967" xr:uid="{F54EBB26-33E9-486A-B033-FBDE72D9C97A}"/>
    <cellStyle name="Normal 22 6 5 5" xfId="8244" xr:uid="{0795F6C7-4375-4E27-B25A-D2792153B59A}"/>
    <cellStyle name="Normal 22 6 6" xfId="37864" xr:uid="{712FDBE6-D9A2-4535-82D9-901681430A2F}"/>
    <cellStyle name="Normal 22 6 6 2" xfId="37865" xr:uid="{6E23CD21-8F28-417A-A8ED-5207EE57D5AD}"/>
    <cellStyle name="Normal 22 6 6 2 2" xfId="37866" xr:uid="{EAF9CE2E-2EB4-4345-BD90-DA8D16EF1A2D}"/>
    <cellStyle name="Normal 22 6 6 2 2 2" xfId="37867" xr:uid="{C042609C-14EA-403C-8DD9-7A5F54A51DA0}"/>
    <cellStyle name="Normal 22 6 6 2 3" xfId="37868" xr:uid="{EF814F1E-87FC-49B0-99C2-CA8821F66BD4}"/>
    <cellStyle name="Normal 22 6 6 3" xfId="37869" xr:uid="{9D2F4054-77E6-46B3-B92D-EE931A7D1FCE}"/>
    <cellStyle name="Normal 22 6 6 3 2" xfId="37870" xr:uid="{76B4D68A-4E54-4C99-841D-DFC07EC8DE73}"/>
    <cellStyle name="Normal 22 6 6 4" xfId="8250" xr:uid="{5B222822-F651-497A-80C0-2FF483C575C8}"/>
    <cellStyle name="Normal 22 6 7" xfId="24502" xr:uid="{E6C79A6B-F405-4FFF-83B3-E60CEB542037}"/>
    <cellStyle name="Normal 22 6 7 2" xfId="20207" xr:uid="{C8168F19-BED5-4F70-B802-03197DB87F9B}"/>
    <cellStyle name="Normal 22 6 7 2 2" xfId="37871" xr:uid="{ADF51FDA-3D83-4553-B8AF-AD89AC91F9CA}"/>
    <cellStyle name="Normal 22 6 7 3" xfId="37872" xr:uid="{8B15EEEA-C67E-4389-99B3-45C42B18FB47}"/>
    <cellStyle name="Normal 22 6 8" xfId="24504" xr:uid="{A5B892BE-BA1B-4ADD-8A1D-160D2E1364E8}"/>
    <cellStyle name="Normal 22 6 8 2" xfId="37873" xr:uid="{BE0A962F-5646-4744-BD48-CECEF36612A9}"/>
    <cellStyle name="Normal 22 6 9" xfId="37874" xr:uid="{1D2B48C9-5883-415A-9E31-C60940BE5366}"/>
    <cellStyle name="Normal 22 7" xfId="34820" xr:uid="{3249500D-4238-4217-B9EF-EECDABA41DB9}"/>
    <cellStyle name="Normal 22 7 2" xfId="37875" xr:uid="{73345C98-3257-4733-A9B0-7A6B26F79698}"/>
    <cellStyle name="Normal 22 7 2 2" xfId="37876" xr:uid="{F0833EB3-5AC7-441E-B3AA-FE8D38B9790B}"/>
    <cellStyle name="Normal 22 7 2 2 2" xfId="37877" xr:uid="{C3246A34-1C31-4ED2-8A29-AC8296955D7B}"/>
    <cellStyle name="Normal 22 7 2 2 2 2" xfId="37878" xr:uid="{72B5F5B3-96C8-4A0A-BFB8-F59C86751E52}"/>
    <cellStyle name="Normal 22 7 2 2 2 2 2" xfId="37879" xr:uid="{BB0ECE71-F45D-4747-A181-A7225F0C2701}"/>
    <cellStyle name="Normal 22 7 2 2 2 2 2 2" xfId="37880" xr:uid="{AE298B7B-BEC5-40E3-968A-FC9C248DF060}"/>
    <cellStyle name="Normal 22 7 2 2 2 2 2 2 2" xfId="37881" xr:uid="{45130DF8-D152-4364-A92D-F70FDBFE48FE}"/>
    <cellStyle name="Normal 22 7 2 2 2 2 2 3" xfId="37882" xr:uid="{A310AA0D-3432-412B-A19B-B0F6F37862F0}"/>
    <cellStyle name="Normal 22 7 2 2 2 2 3" xfId="37883" xr:uid="{06115775-A6D6-4F2C-8088-6AE733F546B8}"/>
    <cellStyle name="Normal 22 7 2 2 2 2 3 2" xfId="37884" xr:uid="{8069623F-21BE-49E8-8E24-48828B2AE837}"/>
    <cellStyle name="Normal 22 7 2 2 2 2 4" xfId="37885" xr:uid="{0BA5A207-8B67-4527-A128-501A3DCC898B}"/>
    <cellStyle name="Normal 22 7 2 2 2 3" xfId="37886" xr:uid="{44338C40-9692-4B9B-95BA-F6FA1B02CC30}"/>
    <cellStyle name="Normal 22 7 2 2 2 3 2" xfId="37887" xr:uid="{0BF6AAD3-F9B7-4BD3-9077-C39A0F4F5542}"/>
    <cellStyle name="Normal 22 7 2 2 2 3 2 2" xfId="37888" xr:uid="{DFABEA7D-587F-4DF5-AAC8-94453F803079}"/>
    <cellStyle name="Normal 22 7 2 2 2 3 3" xfId="37889" xr:uid="{8FBE412D-DCD9-4435-AD8F-5ABA214A469F}"/>
    <cellStyle name="Normal 22 7 2 2 2 4" xfId="37890" xr:uid="{772510D9-0CE3-4141-B42C-4BAED55F62EA}"/>
    <cellStyle name="Normal 22 7 2 2 2 4 2" xfId="37891" xr:uid="{421FBB94-997D-41D7-8F44-75E31E618D64}"/>
    <cellStyle name="Normal 22 7 2 2 2 5" xfId="37892" xr:uid="{F6DB69D5-81A0-4761-9D1C-021461D3BD4A}"/>
    <cellStyle name="Normal 22 7 2 2 3" xfId="37893" xr:uid="{85310AC4-CFC1-4521-A07B-308E02C8D37F}"/>
    <cellStyle name="Normal 22 7 2 2 3 2" xfId="37894" xr:uid="{0509B578-3FD0-45A5-ADED-D192E3091751}"/>
    <cellStyle name="Normal 22 7 2 2 3 2 2" xfId="37895" xr:uid="{6AE570FB-1514-4473-901F-10030576D5BE}"/>
    <cellStyle name="Normal 22 7 2 2 3 2 2 2" xfId="37896" xr:uid="{4BAFFAB2-9C3E-4E31-9DA1-90C155B48936}"/>
    <cellStyle name="Normal 22 7 2 2 3 2 3" xfId="37897" xr:uid="{4E3E6332-C574-4852-8C23-41CC099E446E}"/>
    <cellStyle name="Normal 22 7 2 2 3 3" xfId="37898" xr:uid="{ABE716DC-13C7-4D71-97A0-E98C8528171E}"/>
    <cellStyle name="Normal 22 7 2 2 3 3 2" xfId="19207" xr:uid="{F6EAB2CA-F218-4FE5-A882-7D1CD5A6CF06}"/>
    <cellStyle name="Normal 22 7 2 2 3 4" xfId="37899" xr:uid="{DD2566D1-F9D6-4341-929B-4817AFE97B10}"/>
    <cellStyle name="Normal 22 7 2 2 4" xfId="37900" xr:uid="{2C6A8869-227B-44F0-B877-9FFEA116DE31}"/>
    <cellStyle name="Normal 22 7 2 2 4 2" xfId="37901" xr:uid="{F155AB72-9030-481B-8717-DB78179D4461}"/>
    <cellStyle name="Normal 22 7 2 2 4 2 2" xfId="37902" xr:uid="{E122D5CB-B826-429B-BDFC-08344E25D21D}"/>
    <cellStyle name="Normal 22 7 2 2 4 3" xfId="37903" xr:uid="{B03EEA8C-3BF1-4735-9B49-6B715F4442A2}"/>
    <cellStyle name="Normal 22 7 2 2 5" xfId="37904" xr:uid="{560EF55D-B69A-458F-BF4E-1B21C9504F86}"/>
    <cellStyle name="Normal 22 7 2 2 5 2" xfId="37905" xr:uid="{F4F1B17B-0282-4502-A353-3A87F7E99638}"/>
    <cellStyle name="Normal 22 7 2 2 6" xfId="37906" xr:uid="{C47DE9C5-4017-4DB7-9CC4-A4DF7B5F1B76}"/>
    <cellStyle name="Normal 22 7 2 2 7" xfId="37907" xr:uid="{1BFE18B7-5A44-4252-8D49-73794EF45D60}"/>
    <cellStyle name="Normal 22 7 2 3" xfId="37908" xr:uid="{70E8CD34-747D-4EB2-9E36-4FED68CCED9D}"/>
    <cellStyle name="Normal 22 7 2 3 2" xfId="37909" xr:uid="{90594E34-E6DC-40F9-8383-EAA1648F3821}"/>
    <cellStyle name="Normal 22 7 2 3 2 2" xfId="37910" xr:uid="{D83A5DC3-9C50-447A-90D3-62DE6E5CEFB1}"/>
    <cellStyle name="Normal 22 7 2 3 2 2 2" xfId="37911" xr:uid="{5C5E4DA5-491F-4FAB-863C-6A52AE617CBA}"/>
    <cellStyle name="Normal 22 7 2 3 2 2 2 2" xfId="37912" xr:uid="{6598746F-43B8-49DD-96F8-1B72EF6F7EB9}"/>
    <cellStyle name="Normal 22 7 2 3 2 2 3" xfId="37914" xr:uid="{83857D27-32FF-4305-AF63-6D83AE2234CC}"/>
    <cellStyle name="Normal 22 7 2 3 2 3" xfId="37915" xr:uid="{18434539-76E2-498E-9343-AA43EF5D639E}"/>
    <cellStyle name="Normal 22 7 2 3 2 3 2" xfId="37916" xr:uid="{3BBAD70F-9B8C-4E59-AA6B-32BF5CCE2EC1}"/>
    <cellStyle name="Normal 22 7 2 3 2 4" xfId="37917" xr:uid="{5ED29F06-85FB-4D22-AB62-57B66E372906}"/>
    <cellStyle name="Normal 22 7 2 3 3" xfId="37918" xr:uid="{F99538AE-AF4D-438A-BCE8-A3EBACF075F3}"/>
    <cellStyle name="Normal 22 7 2 3 3 2" xfId="37919" xr:uid="{768B33D9-042A-4B96-B217-E8A2B5BFCA13}"/>
    <cellStyle name="Normal 22 7 2 3 3 2 2" xfId="37920" xr:uid="{2241CCD3-D58A-4FC0-8A5E-E00F363CEC93}"/>
    <cellStyle name="Normal 22 7 2 3 3 3" xfId="37921" xr:uid="{A8432CD2-1DC8-45AD-BB4A-B570A8299025}"/>
    <cellStyle name="Normal 22 7 2 3 4" xfId="37922" xr:uid="{8CA11DEF-AFC6-4661-9663-286DDEF2EE21}"/>
    <cellStyle name="Normal 22 7 2 3 4 2" xfId="37924" xr:uid="{23A8F6EB-F30D-4D82-8F8D-92F59EB46ECE}"/>
    <cellStyle name="Normal 22 7 2 3 5" xfId="37925" xr:uid="{F98E0258-86AB-4B23-BD0F-C2CC4E572A48}"/>
    <cellStyle name="Normal 22 7 2 4" xfId="37926" xr:uid="{CB0F7F16-5CF6-4C79-9AAC-2DA3C9735A3E}"/>
    <cellStyle name="Normal 22 7 2 4 2" xfId="37927" xr:uid="{DCBC7548-C0FC-4F1A-BB1B-B161AF4998A9}"/>
    <cellStyle name="Normal 22 7 2 4 2 2" xfId="37928" xr:uid="{F5A47DBC-172D-475D-946C-8A69656B039D}"/>
    <cellStyle name="Normal 22 7 2 4 2 2 2" xfId="37929" xr:uid="{AF05980F-F69A-47F6-942A-BD2FA4FBE63E}"/>
    <cellStyle name="Normal 22 7 2 4 2 3" xfId="37930" xr:uid="{FAEFA9B9-302B-4BEE-A35F-A03B01DEA4CD}"/>
    <cellStyle name="Normal 22 7 2 4 3" xfId="37931" xr:uid="{55E13BC0-7DE3-423A-9BCC-B467D0ABE118}"/>
    <cellStyle name="Normal 22 7 2 4 3 2" xfId="37932" xr:uid="{57CFCA82-3051-478B-AF5D-C13149E500AF}"/>
    <cellStyle name="Normal 22 7 2 4 4" xfId="37933" xr:uid="{37386B83-ABB8-4E4B-B74D-2AF9E94E46EC}"/>
    <cellStyle name="Normal 22 7 2 5" xfId="37934" xr:uid="{21E4A3A2-5173-42EE-9C22-6D5C4C4AA81A}"/>
    <cellStyle name="Normal 22 7 2 5 2" xfId="37935" xr:uid="{E6E5910D-B141-4F20-8BC1-06682CDDDF0B}"/>
    <cellStyle name="Normal 22 7 2 5 2 2" xfId="37936" xr:uid="{AD839954-9BC4-4E70-A8EB-04A9A57143F0}"/>
    <cellStyle name="Normal 22 7 2 5 3" xfId="37937" xr:uid="{07A4025D-B7D4-48F2-A944-0DD326F3714D}"/>
    <cellStyle name="Normal 22 7 2 6" xfId="37938" xr:uid="{CEE367FD-2901-4EB9-8E56-99FC0A1977F2}"/>
    <cellStyle name="Normal 22 7 2 6 2" xfId="37939" xr:uid="{BA5FBDBF-C9A6-4358-A718-F3E3FBE684CC}"/>
    <cellStyle name="Normal 22 7 2 7" xfId="37940" xr:uid="{96027DC0-6332-4520-8473-504818714CE3}"/>
    <cellStyle name="Normal 22 7 2 8" xfId="37941" xr:uid="{C98B2049-C099-48BB-8AEC-44C5B3343A1A}"/>
    <cellStyle name="Normal 22 7 3" xfId="37942" xr:uid="{AC2987F9-27EA-42AA-B336-606F81EF24AA}"/>
    <cellStyle name="Normal 22 7 3 2" xfId="11921" xr:uid="{BAABDF4E-757E-45E0-93D3-90F2E06D3DB4}"/>
    <cellStyle name="Normal 22 7 3 2 2" xfId="37943" xr:uid="{92F4DF1D-F198-4820-A881-619EB0C7BC31}"/>
    <cellStyle name="Normal 22 7 3 2 2 2" xfId="37944" xr:uid="{CA116882-5D32-40B2-A3DA-4F6DB0FB2B91}"/>
    <cellStyle name="Normal 22 7 3 2 2 2 2" xfId="37945" xr:uid="{52ED79A7-FCDD-4F56-B5FA-EDD6572751A0}"/>
    <cellStyle name="Normal 22 7 3 2 2 2 2 2" xfId="37946" xr:uid="{C69189C4-364D-498E-9934-73749ADBE238}"/>
    <cellStyle name="Normal 22 7 3 2 2 2 3" xfId="1980" xr:uid="{08572231-8B89-4CF2-946B-92A576F0A14F}"/>
    <cellStyle name="Normal 22 7 3 2 2 3" xfId="37947" xr:uid="{9DAD4FBC-E714-4946-B94E-070B3633561A}"/>
    <cellStyle name="Normal 22 7 3 2 2 3 2" xfId="37948" xr:uid="{A237C102-89C5-4F89-B7D8-EF896EA6AFAB}"/>
    <cellStyle name="Normal 22 7 3 2 2 4" xfId="37949" xr:uid="{67EC21E2-89A9-4DBC-BCE4-80CED892D750}"/>
    <cellStyle name="Normal 22 7 3 2 3" xfId="37950" xr:uid="{CC6DDE7F-BDF0-4DAA-BA03-0E49F9194279}"/>
    <cellStyle name="Normal 22 7 3 2 3 2" xfId="37951" xr:uid="{319893F1-594D-4381-855B-9D115286A8EC}"/>
    <cellStyle name="Normal 22 7 3 2 3 2 2" xfId="37952" xr:uid="{1432A850-5379-4EB0-B564-A1377715D16C}"/>
    <cellStyle name="Normal 22 7 3 2 3 3" xfId="37953" xr:uid="{3F2878F1-0B51-4493-A622-347282925597}"/>
    <cellStyle name="Normal 22 7 3 2 4" xfId="37954" xr:uid="{D5000ABF-D7E1-4642-9036-99118D38C2F3}"/>
    <cellStyle name="Normal 22 7 3 2 4 2" xfId="37955" xr:uid="{E9DFA43C-82D5-4808-9BCC-43B2DC344F41}"/>
    <cellStyle name="Normal 22 7 3 2 5" xfId="37956" xr:uid="{D606A7B4-A385-4D1A-9FD1-2A4D7A63D223}"/>
    <cellStyle name="Normal 22 7 3 3" xfId="37957" xr:uid="{657B1250-019D-4631-ABC5-6E80AE4AC855}"/>
    <cellStyle name="Normal 22 7 3 3 2" xfId="37958" xr:uid="{44E585A2-3E73-4F47-9209-9F2EE9CD4062}"/>
    <cellStyle name="Normal 22 7 3 3 2 2" xfId="37959" xr:uid="{F657B90F-5B78-4D32-940B-39F2E885AB12}"/>
    <cellStyle name="Normal 22 7 3 3 2 2 2" xfId="37960" xr:uid="{8810EEC0-D2FC-4B2C-9C48-390108FB3B7A}"/>
    <cellStyle name="Normal 22 7 3 3 2 3" xfId="37961" xr:uid="{4294BAA5-31E8-4DAB-B237-AA4EB60B4620}"/>
    <cellStyle name="Normal 22 7 3 3 3" xfId="37962" xr:uid="{1230D5C3-5B86-4668-8609-8726FA5413F7}"/>
    <cellStyle name="Normal 22 7 3 3 3 2" xfId="37963" xr:uid="{126AD64D-0EFA-48A6-99A0-19DDACC96C82}"/>
    <cellStyle name="Normal 22 7 3 3 4" xfId="37964" xr:uid="{78EDA596-0C57-41B3-81A9-A5DF1F1C1CC3}"/>
    <cellStyle name="Normal 22 7 3 4" xfId="37965" xr:uid="{56ABA333-FC9B-4B95-8B4B-0289D0269C06}"/>
    <cellStyle name="Normal 22 7 3 4 2" xfId="37966" xr:uid="{AE891EEB-725D-430C-B6C7-65B2C6EAECE4}"/>
    <cellStyle name="Normal 22 7 3 4 2 2" xfId="37967" xr:uid="{6546FF37-D86C-42D9-A69C-5BBD9258739D}"/>
    <cellStyle name="Normal 22 7 3 4 3" xfId="37968" xr:uid="{8411B2EF-A66E-4D83-8894-1178C8CE4DAF}"/>
    <cellStyle name="Normal 22 7 3 5" xfId="37970" xr:uid="{0BC0BE40-1179-425E-9111-554D93A940D5}"/>
    <cellStyle name="Normal 22 7 3 5 2" xfId="37972" xr:uid="{ACC04765-A2D4-4D8A-8ADA-0438DCC16A25}"/>
    <cellStyle name="Normal 22 7 3 6" xfId="37974" xr:uid="{E11D052B-3768-4711-9F7A-34E784414072}"/>
    <cellStyle name="Normal 22 7 3 7" xfId="37976" xr:uid="{7CA79B37-40AE-476E-81F7-02F23648C1F0}"/>
    <cellStyle name="Normal 22 7 4" xfId="37977" xr:uid="{7077186B-39C0-4E78-93F1-5DEB84AD5876}"/>
    <cellStyle name="Normal 22 7 4 2" xfId="37978" xr:uid="{30BEDF1F-C97D-40F0-A020-E80E09616501}"/>
    <cellStyle name="Normal 22 7 4 2 2" xfId="37979" xr:uid="{C4AAAA79-534B-4866-8DEF-E81E3FAAD168}"/>
    <cellStyle name="Normal 22 7 4 2 2 2" xfId="37980" xr:uid="{DB57CD07-6DDD-48BE-BC35-15D69FA2739D}"/>
    <cellStyle name="Normal 22 7 4 2 2 2 2" xfId="37981" xr:uid="{FFE764B0-AD50-4C66-AF54-D492B17D6928}"/>
    <cellStyle name="Normal 22 7 4 2 2 3" xfId="37982" xr:uid="{89423D68-8149-4FF7-A4C8-BFE78E2EC4FA}"/>
    <cellStyle name="Normal 22 7 4 2 3" xfId="37983" xr:uid="{7E3D3DC2-4D76-4DE2-86E9-ADDA6E763D30}"/>
    <cellStyle name="Normal 22 7 4 2 3 2" xfId="37984" xr:uid="{9FB69611-A866-4DB2-ABE6-2CFB223661FC}"/>
    <cellStyle name="Normal 22 7 4 2 4" xfId="37985" xr:uid="{0520A202-B1E6-446F-BFF0-438A895E7CF1}"/>
    <cellStyle name="Normal 22 7 4 3" xfId="37986" xr:uid="{166566D4-EFE7-4AF0-B3A8-991CA798F281}"/>
    <cellStyle name="Normal 22 7 4 3 2" xfId="37987" xr:uid="{5E3BD1DA-CD48-45EB-A52F-66ABF404350B}"/>
    <cellStyle name="Normal 22 7 4 3 2 2" xfId="37988" xr:uid="{1DB2CF22-DD77-461C-AD98-6B50C5BDE174}"/>
    <cellStyle name="Normal 22 7 4 3 3" xfId="37989" xr:uid="{3D847FFA-A01F-4721-AE37-4B2BC7EFD25C}"/>
    <cellStyle name="Normal 22 7 4 4" xfId="7225" xr:uid="{56CEF8C0-7E67-4BBB-9501-77EB2B00C336}"/>
    <cellStyle name="Normal 22 7 4 4 2" xfId="7924" xr:uid="{8DE3E275-5241-4359-BE1B-01BC4F4D3E1E}"/>
    <cellStyle name="Normal 22 7 4 5" xfId="7935" xr:uid="{4F398AB6-1CF8-4195-9E99-6A5ABBAEEAF4}"/>
    <cellStyle name="Normal 22 7 5" xfId="37990" xr:uid="{1637A684-6881-4121-A689-4A9A51983F8F}"/>
    <cellStyle name="Normal 22 7 5 2" xfId="37991" xr:uid="{B0B5E40C-9421-4156-B97D-1B3D934B9379}"/>
    <cellStyle name="Normal 22 7 5 2 2" xfId="37992" xr:uid="{0206E646-74A6-418F-8775-EC0B258B7ADA}"/>
    <cellStyle name="Normal 22 7 5 2 2 2" xfId="37993" xr:uid="{2F4EF9EA-5215-4103-8120-FE8137951D8B}"/>
    <cellStyle name="Normal 22 7 5 2 3" xfId="37994" xr:uid="{8FC1C808-4AE5-446B-9150-6BE083CB98F1}"/>
    <cellStyle name="Normal 22 7 5 3" xfId="37995" xr:uid="{1EC6A682-C19B-418F-8504-8D924E571B3B}"/>
    <cellStyle name="Normal 22 7 5 3 2" xfId="37996" xr:uid="{E12B87A2-BEAB-4155-A219-7124B0FB3F7D}"/>
    <cellStyle name="Normal 22 7 5 4" xfId="7953" xr:uid="{4470B381-7FA4-4337-A905-372CE3A2085C}"/>
    <cellStyle name="Normal 22 7 6" xfId="37997" xr:uid="{25413999-CBCB-4512-A323-45C13226A472}"/>
    <cellStyle name="Normal 22 7 6 2" xfId="37998" xr:uid="{5A6437E1-01CF-449A-9BBD-3CDC616CEF5E}"/>
    <cellStyle name="Normal 22 7 6 2 2" xfId="37999" xr:uid="{2DEB852C-EE79-4B72-BE33-DBC2B98218E5}"/>
    <cellStyle name="Normal 22 7 6 3" xfId="38000" xr:uid="{C23BC96E-9664-4E9D-8E15-3032B78B9C10}"/>
    <cellStyle name="Normal 22 7 7" xfId="24508" xr:uid="{50A8AE81-19AC-4B82-A418-8D7A7F48B6F1}"/>
    <cellStyle name="Normal 22 7 7 2" xfId="37188" xr:uid="{AE3AF02F-D020-42C1-A77E-6751EE511024}"/>
    <cellStyle name="Normal 22 7 8" xfId="38001" xr:uid="{BE348D39-CD7D-42B8-B526-32AEF1A6D207}"/>
    <cellStyle name="Normal 22 7 9" xfId="38002" xr:uid="{81782B63-4742-4948-8BE7-337AC1F4FE1D}"/>
    <cellStyle name="Normal 22 8" xfId="34822" xr:uid="{3F84363F-C92E-4745-BCE6-0FA5B3B6F7C1}"/>
    <cellStyle name="Normal 22 8 2" xfId="38003" xr:uid="{77FE1FCE-5A04-4332-9187-58DB2C88F580}"/>
    <cellStyle name="Normal 22 8 2 2" xfId="38004" xr:uid="{0F0D44A3-9700-4D14-9A94-6BA704DCC8A6}"/>
    <cellStyle name="Normal 22 8 2 2 2" xfId="38005" xr:uid="{56DAB9F1-C5CF-4D4D-8EFE-03F68BD9E2B7}"/>
    <cellStyle name="Normal 22 8 2 2 2 2" xfId="19895" xr:uid="{BCCFCB32-5571-42B6-B1D9-26325506D61B}"/>
    <cellStyle name="Normal 22 8 2 2 2 2 2" xfId="19901" xr:uid="{E6156EB5-3859-4050-A2B4-8E7850D0D13E}"/>
    <cellStyle name="Normal 22 8 2 2 2 2 2 2" xfId="38006" xr:uid="{EF4AC9C8-935D-406D-AE2F-E80C6F2FC6DA}"/>
    <cellStyle name="Normal 22 8 2 2 2 2 3" xfId="38007" xr:uid="{A7232EE5-52EA-4EE5-8E95-4343B6BE839F}"/>
    <cellStyle name="Normal 22 8 2 2 2 3" xfId="19907" xr:uid="{C9223D46-AEC5-436A-BA88-AAF320709C2D}"/>
    <cellStyle name="Normal 22 8 2 2 2 3 2" xfId="38008" xr:uid="{72A05D94-B163-45ED-8BBA-2D12389FB90D}"/>
    <cellStyle name="Normal 22 8 2 2 2 4" xfId="38009" xr:uid="{0701308C-B8B8-44F7-B99D-505CE740F53D}"/>
    <cellStyle name="Normal 22 8 2 2 3" xfId="38010" xr:uid="{8A3A8716-CC36-467C-8278-F70E9934D7F6}"/>
    <cellStyle name="Normal 22 8 2 2 3 2" xfId="19916" xr:uid="{BD3EFBBD-96E0-49A8-9B95-38F991D12DE4}"/>
    <cellStyle name="Normal 22 8 2 2 3 2 2" xfId="38011" xr:uid="{B74DE4E7-7154-43B5-A14C-FF8B4A5B34D1}"/>
    <cellStyle name="Normal 22 8 2 2 3 3" xfId="38012" xr:uid="{A0B7D365-677A-447D-BD30-F07DE0B4FCF1}"/>
    <cellStyle name="Normal 22 8 2 2 4" xfId="38013" xr:uid="{87E4C9A7-F9F5-4C80-AEF6-908B10CDC67F}"/>
    <cellStyle name="Normal 22 8 2 2 4 2" xfId="38014" xr:uid="{0500D9B4-EDC6-4107-B0C3-43B1FFCDCBD8}"/>
    <cellStyle name="Normal 22 8 2 2 5" xfId="38015" xr:uid="{31EA50B8-17CB-453A-A039-06B1D263BB01}"/>
    <cellStyle name="Normal 22 8 2 3" xfId="38016" xr:uid="{38FDC3C0-BF90-4191-9B73-317B6C097CF5}"/>
    <cellStyle name="Normal 22 8 2 3 2" xfId="38017" xr:uid="{175A5B23-CF1D-4F0E-9E4B-58E6CFD61592}"/>
    <cellStyle name="Normal 22 8 2 3 2 2" xfId="19924" xr:uid="{F2402C99-6FC3-47AF-A2A0-7F064D9EC77D}"/>
    <cellStyle name="Normal 22 8 2 3 2 2 2" xfId="38018" xr:uid="{863112E7-F172-4B1C-934C-3298368F0B92}"/>
    <cellStyle name="Normal 22 8 2 3 2 3" xfId="38019" xr:uid="{43A2F836-4F42-4A81-B557-C016AE9B93E9}"/>
    <cellStyle name="Normal 22 8 2 3 3" xfId="38020" xr:uid="{B3F1FF33-3CC9-4CF9-840E-D9126FE2DAF1}"/>
    <cellStyle name="Normal 22 8 2 3 3 2" xfId="38021" xr:uid="{18EAF693-1E18-47B3-B508-30FF47EA639E}"/>
    <cellStyle name="Normal 22 8 2 3 4" xfId="38022" xr:uid="{D6298828-C7A3-453C-B23F-1810DADACB72}"/>
    <cellStyle name="Normal 22 8 2 4" xfId="38023" xr:uid="{1230125A-FA40-4A3F-BD06-10AA3631E22F}"/>
    <cellStyle name="Normal 22 8 2 4 2" xfId="38024" xr:uid="{5478766A-A434-4A10-B35B-925663C34705}"/>
    <cellStyle name="Normal 22 8 2 4 2 2" xfId="38025" xr:uid="{311C5DB7-5F9E-4236-BFB4-051D5B4F02E1}"/>
    <cellStyle name="Normal 22 8 2 4 3" xfId="38026" xr:uid="{0BB78B73-F0F0-454D-85E4-3983F78020D0}"/>
    <cellStyle name="Normal 22 8 2 5" xfId="38027" xr:uid="{2B58897A-3409-4073-9807-5ED580D11A7F}"/>
    <cellStyle name="Normal 22 8 2 5 2" xfId="38028" xr:uid="{A9484B5E-B215-49D8-BC99-57818E8E7D58}"/>
    <cellStyle name="Normal 22 8 2 6" xfId="38029" xr:uid="{40D9AFB9-9B25-4932-8AB7-6E6B3CC2D2C1}"/>
    <cellStyle name="Normal 22 8 2 7" xfId="38030" xr:uid="{4F2499B7-1FA0-4317-8939-6BD411C55192}"/>
    <cellStyle name="Normal 22 8 3" xfId="38031" xr:uid="{B1BAA2BA-D1F3-4B3F-97C0-084165BC99A7}"/>
    <cellStyle name="Normal 22 8 3 2" xfId="38032" xr:uid="{94A8D896-BA9A-4E81-9BB3-11907B27916B}"/>
    <cellStyle name="Normal 22 8 3 2 2" xfId="38033" xr:uid="{72AD66AE-C96C-446D-84AF-EE0168FD1544}"/>
    <cellStyle name="Normal 22 8 3 2 2 2" xfId="19947" xr:uid="{5A62A3A1-24DD-4214-B837-256E27555C4E}"/>
    <cellStyle name="Normal 22 8 3 2 2 2 2" xfId="38034" xr:uid="{CF6FBBDA-4426-4462-BB98-F3EDCD96D9EA}"/>
    <cellStyle name="Normal 22 8 3 2 2 3" xfId="38035" xr:uid="{7DCB2A8A-51E1-43B7-8933-22463AFE63CD}"/>
    <cellStyle name="Normal 22 8 3 2 3" xfId="38036" xr:uid="{CC119B71-6B7E-4C91-8229-3D593FEE4432}"/>
    <cellStyle name="Normal 22 8 3 2 3 2" xfId="38037" xr:uid="{80D17BFD-103E-4958-B6A6-6D3692DDEC5E}"/>
    <cellStyle name="Normal 22 8 3 2 4" xfId="38038" xr:uid="{D146B360-4ADF-4077-BBB5-940BD015DF40}"/>
    <cellStyle name="Normal 22 8 3 3" xfId="38039" xr:uid="{26DAFC08-3DB8-4458-9B3E-E6F80E1A22A9}"/>
    <cellStyle name="Normal 22 8 3 3 2" xfId="38040" xr:uid="{720EAB6D-84C6-4364-B221-5C2308E926E5}"/>
    <cellStyle name="Normal 22 8 3 3 2 2" xfId="38041" xr:uid="{E6941F9B-0358-4503-A483-FDB44940042D}"/>
    <cellStyle name="Normal 22 8 3 3 3" xfId="38042" xr:uid="{602C7F03-7984-4B45-A159-9F85DCC4FA98}"/>
    <cellStyle name="Normal 22 8 3 4" xfId="38043" xr:uid="{156956A5-0879-41D0-96D3-A8722592C21A}"/>
    <cellStyle name="Normal 22 8 3 4 2" xfId="38044" xr:uid="{5F8B02F0-3012-4D2B-8279-227583B78E90}"/>
    <cellStyle name="Normal 22 8 3 5" xfId="38046" xr:uid="{263F4748-1FA8-4D10-AE29-4D7D434FB608}"/>
    <cellStyle name="Normal 22 8 4" xfId="38047" xr:uid="{3B2B6BDF-0697-42A8-9D50-AFEB092F63AC}"/>
    <cellStyle name="Normal 22 8 4 2" xfId="38048" xr:uid="{92F4F4C7-28D4-441D-85A9-05AB611F132F}"/>
    <cellStyle name="Normal 22 8 4 2 2" xfId="38049" xr:uid="{3435F7FF-E7EB-4EBC-A1CD-0B12F548C5FD}"/>
    <cellStyle name="Normal 22 8 4 2 2 2" xfId="38050" xr:uid="{5FE98F74-1DFB-4E98-AC91-1C228D3AC625}"/>
    <cellStyle name="Normal 22 8 4 2 3" xfId="38051" xr:uid="{A632D58F-51C8-49F1-B6DD-6E4EBA6E7700}"/>
    <cellStyle name="Normal 22 8 4 3" xfId="38052" xr:uid="{B9E60900-C3BB-45AB-B721-24FA3B3AE7A2}"/>
    <cellStyle name="Normal 22 8 4 3 2" xfId="38053" xr:uid="{E71D10D1-D5EF-4307-822B-673C3F6D7102}"/>
    <cellStyle name="Normal 22 8 4 4" xfId="2690" xr:uid="{2D1C219F-BA4A-44C5-AFD0-E11974A90BA6}"/>
    <cellStyle name="Normal 22 8 5" xfId="38054" xr:uid="{C17A78C9-CF03-4439-87B6-58F153ECFDAF}"/>
    <cellStyle name="Normal 22 8 5 2" xfId="38055" xr:uid="{33A08CA0-8806-4E0C-99BA-37336ABECD35}"/>
    <cellStyle name="Normal 22 8 5 2 2" xfId="38056" xr:uid="{CE4FB5F8-4641-4586-B8A7-0DEB8AE4B1DE}"/>
    <cellStyle name="Normal 22 8 5 3" xfId="38057" xr:uid="{8312C6DB-253A-443C-8D21-2319EB55A033}"/>
    <cellStyle name="Normal 22 8 6" xfId="38058" xr:uid="{4EC6F73C-DAD8-4C74-BBF7-C969172F8915}"/>
    <cellStyle name="Normal 22 8 6 2" xfId="38059" xr:uid="{75E738DC-DB2C-40C6-A2BF-FF3760428FC5}"/>
    <cellStyle name="Normal 22 8 7" xfId="38060" xr:uid="{D41E6EC7-AA0D-4FE5-AEE1-4BCE44653DC9}"/>
    <cellStyle name="Normal 22 8 8" xfId="38061" xr:uid="{52668875-535E-4645-84F7-0EED5571411D}"/>
    <cellStyle name="Normal 22 9" xfId="34824" xr:uid="{59D41221-9D95-4FFA-9A1C-DA5527305669}"/>
    <cellStyle name="Normal 22 9 2" xfId="38062" xr:uid="{544025B1-93FA-492B-AF2B-B4E0DC62C0C7}"/>
    <cellStyle name="Normal 22 9 2 2" xfId="38063" xr:uid="{8F5B933A-F163-4332-AF9E-0D4844040A59}"/>
    <cellStyle name="Normal 22 9 2 2 2" xfId="38064" xr:uid="{1AE3798C-644A-4C0A-BBA7-B1B5C3EBFE24}"/>
    <cellStyle name="Normal 22 9 2 2 2 2" xfId="20009" xr:uid="{31F549C6-866C-42F9-A7AD-81965A0D705F}"/>
    <cellStyle name="Normal 22 9 2 2 2 2 2" xfId="38065" xr:uid="{FEFF2DE3-B3C1-4878-AD0C-78691BC0CAFE}"/>
    <cellStyle name="Normal 22 9 2 2 2 3" xfId="38066" xr:uid="{ED60D16E-946A-4835-9C8F-7E0E68934B22}"/>
    <cellStyle name="Normal 22 9 2 2 3" xfId="38067" xr:uid="{9AAF4557-DD42-44BF-A9B4-6C118AF73C0B}"/>
    <cellStyle name="Normal 22 9 2 2 3 2" xfId="38068" xr:uid="{CB838262-4479-4348-9440-24F9BE79CFA2}"/>
    <cellStyle name="Normal 22 9 2 2 4" xfId="38069" xr:uid="{CE092296-6D11-44E4-ADD4-24A447AB645E}"/>
    <cellStyle name="Normal 22 9 2 3" xfId="38070" xr:uid="{5DA9675B-734E-4B5A-8843-8191CAAB5BA3}"/>
    <cellStyle name="Normal 22 9 2 3 2" xfId="38071" xr:uid="{F49E3396-16C0-454F-AA2D-34CED9FDA678}"/>
    <cellStyle name="Normal 22 9 2 3 2 2" xfId="38072" xr:uid="{4AAF1577-DEA8-4B6C-8D6F-0AC3329D1007}"/>
    <cellStyle name="Normal 22 9 2 3 3" xfId="38073" xr:uid="{F2104B03-F5E7-4C83-AD27-3AD9B192C3EA}"/>
    <cellStyle name="Normal 22 9 2 4" xfId="38074" xr:uid="{3A9A708C-4978-4878-A93C-2DD80385F07C}"/>
    <cellStyle name="Normal 22 9 2 4 2" xfId="38075" xr:uid="{07BD6343-B07B-4F66-A391-908C36853D1C}"/>
    <cellStyle name="Normal 22 9 2 5" xfId="38076" xr:uid="{AD5A72E3-7B7D-4770-A8A3-76FD53DE46D5}"/>
    <cellStyle name="Normal 22 9 3" xfId="38077" xr:uid="{1D99D0EF-35DA-4EB8-B52E-C70BC4181BDF}"/>
    <cellStyle name="Normal 22 9 3 2" xfId="38078" xr:uid="{AF1DB22D-A719-4E16-B009-A18D7BFA75E3}"/>
    <cellStyle name="Normal 22 9 3 2 2" xfId="17406" xr:uid="{9A184364-A980-43B6-BC34-3D71FD74BFBF}"/>
    <cellStyle name="Normal 22 9 3 2 2 2" xfId="38079" xr:uid="{B89CDF25-2C00-45A0-9E61-CA6457AA2C54}"/>
    <cellStyle name="Normal 22 9 3 2 3" xfId="17412" xr:uid="{0EFC78EB-6CCF-4CE0-AB93-0CB091485FC0}"/>
    <cellStyle name="Normal 22 9 3 3" xfId="38080" xr:uid="{C28C5B9E-BA7B-4F9C-841F-AA3F0FEEDEC8}"/>
    <cellStyle name="Normal 22 9 3 3 2" xfId="17422" xr:uid="{C53E772C-B589-481A-920E-51CB872CB1B4}"/>
    <cellStyle name="Normal 22 9 3 4" xfId="38081" xr:uid="{606DCF6C-D257-4E23-8B04-6BF41EC4C0E2}"/>
    <cellStyle name="Normal 22 9 4" xfId="38082" xr:uid="{C3107079-754B-4648-A819-C18704104000}"/>
    <cellStyle name="Normal 22 9 4 2" xfId="38083" xr:uid="{842928A4-B4BC-4DF2-9955-A4CDD17B74CA}"/>
    <cellStyle name="Normal 22 9 4 2 2" xfId="38084" xr:uid="{3CE51963-533F-40BB-83CE-A024F0A12A61}"/>
    <cellStyle name="Normal 22 9 4 3" xfId="38085" xr:uid="{D50318F7-C105-45BC-B074-A92183D90C12}"/>
    <cellStyle name="Normal 22 9 5" xfId="38086" xr:uid="{CFAE6675-FA63-46F8-AE04-12BA11E303F7}"/>
    <cellStyle name="Normal 22 9 5 2" xfId="38087" xr:uid="{135C29A1-3EE9-41A7-BAE0-0A8F18620E0A}"/>
    <cellStyle name="Normal 22 9 6" xfId="38088" xr:uid="{CE6CCCEF-D5F9-44BB-9F27-85F73BADFB96}"/>
    <cellStyle name="Normal 22 9 7" xfId="38089" xr:uid="{545002FE-85F4-4DEF-A93A-09171C1A61F9}"/>
    <cellStyle name="Normal 220" xfId="32896" xr:uid="{C78CF839-DAC7-49C5-96C3-D5EA884F2F1B}"/>
    <cellStyle name="Normal 220 2" xfId="29245" xr:uid="{B622048C-F337-4577-90AC-BA4C6DFB11DD}"/>
    <cellStyle name="Normal 220 2 2" xfId="29250" xr:uid="{BB52ADC9-11BC-45AF-B192-B5CA11AC1A72}"/>
    <cellStyle name="Normal 220 3" xfId="30078" xr:uid="{DF957ACD-42D8-4A11-AB80-6B086A7ADB0A}"/>
    <cellStyle name="Normal 221" xfId="32900" xr:uid="{0F3CCEEF-0E58-43B6-9549-024D966E9FB4}"/>
    <cellStyle name="Normal 221 2" xfId="29385" xr:uid="{D9970F18-6644-4A99-A138-5AA3042026E3}"/>
    <cellStyle name="Normal 221 2 2" xfId="32904" xr:uid="{B9662467-33F1-42D0-A445-B02A97C22AFC}"/>
    <cellStyle name="Normal 221 3" xfId="30087" xr:uid="{304F5ED7-2E4C-4AE7-A2F6-D9BF8FB66589}"/>
    <cellStyle name="Normal 222" xfId="32910" xr:uid="{14C8C14E-2014-475E-AB89-512DC75FF80D}"/>
    <cellStyle name="Normal 222 2" xfId="29463" xr:uid="{F89C5E34-0263-47F5-A18E-622FA730F80D}"/>
    <cellStyle name="Normal 222 2 2" xfId="32914" xr:uid="{9A6CB900-2B68-43FA-B860-AEA5FB390B27}"/>
    <cellStyle name="Normal 222 3" xfId="32919" xr:uid="{B7C50A76-0526-4BCB-96C7-EA291E367B6A}"/>
    <cellStyle name="Normal 223" xfId="32923" xr:uid="{E63062E7-B79A-49B0-8412-64E947B3D20A}"/>
    <cellStyle name="Normal 223 2" xfId="18225" xr:uid="{F82F7124-FE26-4EA1-8F3F-677010E05E1C}"/>
    <cellStyle name="Normal 223 2 2" xfId="3617" xr:uid="{6104AAB9-7DBD-414D-9063-B2253314B5C4}"/>
    <cellStyle name="Normal 223 3" xfId="32927" xr:uid="{34E9715D-4E2C-4E72-B4AC-C37DC656CD05}"/>
    <cellStyle name="Normal 224" xfId="32931" xr:uid="{FA3BCA00-7AB7-44C4-8D2E-6DFBE76B6F91}"/>
    <cellStyle name="Normal 224 2" xfId="32935" xr:uid="{94439CD3-9E04-4433-AC08-9BD5812D4CBF}"/>
    <cellStyle name="Normal 224 2 2" xfId="32939" xr:uid="{16220C51-D167-402A-8926-D1BBD62BD3F9}"/>
    <cellStyle name="Normal 224 3" xfId="32943" xr:uid="{92EA93EA-620A-49BA-8ECC-7CC4B270E648}"/>
    <cellStyle name="Normal 225" xfId="4092" xr:uid="{EBA6B4ED-3020-442C-8F1A-5AE5A6F01FAE}"/>
    <cellStyle name="Normal 225 2" xfId="34827" xr:uid="{7E428B1D-A629-4E1A-8A77-6A0D78B24E0D}"/>
    <cellStyle name="Normal 225 2 2" xfId="34831" xr:uid="{69ED7098-EC16-4C38-AE88-E6F525151E99}"/>
    <cellStyle name="Normal 225 3" xfId="34835" xr:uid="{CF053FA5-B004-4927-9196-4F154CF863A1}"/>
    <cellStyle name="Normal 226" xfId="2574" xr:uid="{932952EA-C862-4DE1-872A-DFDD6696F0A3}"/>
    <cellStyle name="Normal 226 2" xfId="2585" xr:uid="{EDB9E933-1F5D-4C97-AB8D-9895E81BE09C}"/>
    <cellStyle name="Normal 226 2 2" xfId="7572" xr:uid="{07BEE49C-9AA4-4FB9-897F-FA04890A3CDB}"/>
    <cellStyle name="Normal 226 3" xfId="2594" xr:uid="{F0F7C124-813A-4D7A-BA8F-125AB11A3278}"/>
    <cellStyle name="Normal 227" xfId="2608" xr:uid="{4B3C556D-85CD-4495-BA97-21FBCD6E5FA2}"/>
    <cellStyle name="Normal 227 2" xfId="7579" xr:uid="{A2D66079-8972-4F84-9B08-D2806B4F919E}"/>
    <cellStyle name="Normal 227 2 2" xfId="34102" xr:uid="{A1B33B51-930B-49C3-97CF-9A00CC235902}"/>
    <cellStyle name="Normal 227 3" xfId="34116" xr:uid="{BD7715BC-EE79-490B-993D-CEE552AB139F}"/>
    <cellStyle name="Normal 228" xfId="2618" xr:uid="{8C4E3670-162B-4087-B0C4-42F7A0747D86}"/>
    <cellStyle name="Normal 228 2" xfId="34138" xr:uid="{5CDCA853-5B4B-48A0-B603-59FC2C409983}"/>
    <cellStyle name="Normal 228 2 2" xfId="34144" xr:uid="{71E48F24-316F-4D47-A576-1BB5132F5FA1}"/>
    <cellStyle name="Normal 228 3" xfId="34152" xr:uid="{A5D7A33A-904B-4DF4-AE32-053C4E761BB8}"/>
    <cellStyle name="Normal 229" xfId="34165" xr:uid="{8AD7A7A6-F4A9-4278-8654-E0C2100BC52B}"/>
    <cellStyle name="Normal 229 2" xfId="34171" xr:uid="{7CF144A4-286A-471D-8781-FF752E6FA414}"/>
    <cellStyle name="Normal 229 2 2" xfId="34177" xr:uid="{D2515CA1-F0D4-4269-9F42-5FC107672C9E}"/>
    <cellStyle name="Normal 229 3" xfId="34184" xr:uid="{667A52DB-EE55-41D5-8F79-2F4D5750EC4D}"/>
    <cellStyle name="Normal 23" xfId="34841" xr:uid="{2145C0EB-2C4A-4750-AE87-81C90DB2DCB4}"/>
    <cellStyle name="Normal 23 10" xfId="34843" xr:uid="{3C85DE2A-F46E-43D2-9A82-C33E11657DD9}"/>
    <cellStyle name="Normal 23 11" xfId="34845" xr:uid="{27CC976B-F7EE-4380-A84A-8956271392AF}"/>
    <cellStyle name="Normal 23 2" xfId="34858" xr:uid="{8C3AD36C-C89F-454D-80BA-87E63BD799DA}"/>
    <cellStyle name="Normal 23 2 2" xfId="34862" xr:uid="{3D29C8C6-FE5A-406A-BBA4-B9C89ECA2857}"/>
    <cellStyle name="Normal 23 2 3" xfId="38090" xr:uid="{7DF090B5-1A1B-4C74-BA38-0F7F16494020}"/>
    <cellStyle name="Normal 23 3" xfId="3649" xr:uid="{8301C91B-FC29-4000-A2ED-D22F297DE4EC}"/>
    <cellStyle name="Normal 23 4" xfId="22342" xr:uid="{2C606354-DFCD-4569-8824-581AB6BFFD85}"/>
    <cellStyle name="Normal 23 5" xfId="24295" xr:uid="{EE63F7FE-0C30-4E1E-82B1-A75A3B890A0A}"/>
    <cellStyle name="Normal 23 6" xfId="24310" xr:uid="{0811AC22-72A7-4085-A968-FCD5247F907B}"/>
    <cellStyle name="Normal 23 7" xfId="24316" xr:uid="{7D61E4C5-2D3A-4E51-A2F9-1F9502222058}"/>
    <cellStyle name="Normal 23 8" xfId="31862" xr:uid="{F5150C3F-8E72-414F-8B7B-2DFC14F142B6}"/>
    <cellStyle name="Normal 23 9" xfId="27704" xr:uid="{ED0C4F88-4D70-4521-8AF5-2F15BB85367B}"/>
    <cellStyle name="Normal 230" xfId="4091" xr:uid="{AF3D81C4-55F3-4789-867B-9EDB7B0FCA86}"/>
    <cellStyle name="Normal 230 2" xfId="34826" xr:uid="{A9F7B011-73C5-4419-B4A1-EF049C3AA8B5}"/>
    <cellStyle name="Normal 230 2 2" xfId="34830" xr:uid="{6CF683B6-772C-49B3-89D7-2548B631AC3F}"/>
    <cellStyle name="Normal 230 3" xfId="34834" xr:uid="{4F351B62-5561-4509-A4BB-E11D9C95011E}"/>
    <cellStyle name="Normal 231" xfId="2573" xr:uid="{1BC6E997-6F7E-4347-8426-86ACDEC7FFB3}"/>
    <cellStyle name="Normal 231 2" xfId="2584" xr:uid="{42D3E447-C765-48C6-8BAD-8F75517C702B}"/>
    <cellStyle name="Normal 231 2 2" xfId="7571" xr:uid="{0C127A1A-1CC8-4B52-85CF-17EEF8E4C888}"/>
    <cellStyle name="Normal 231 3" xfId="2593" xr:uid="{D970E4EC-DF59-4204-9123-7A99D786ED48}"/>
    <cellStyle name="Normal 232" xfId="2607" xr:uid="{12F373C9-855F-4460-A9CC-67836AA14E64}"/>
    <cellStyle name="Normal 232 2" xfId="7578" xr:uid="{125DCD1E-40F2-4C5F-92FA-22E5A119E42A}"/>
    <cellStyle name="Normal 232 2 2" xfId="34101" xr:uid="{BA1FE73B-5CB7-4DE2-B540-566C003B2D9F}"/>
    <cellStyle name="Normal 232 3" xfId="34115" xr:uid="{1F222A50-7A7B-4770-A71B-9E9736C2EAA8}"/>
    <cellStyle name="Normal 233" xfId="2617" xr:uid="{A056BE55-017F-432A-8233-F479CB6DF353}"/>
    <cellStyle name="Normal 233 2" xfId="34137" xr:uid="{BA0D086C-F61D-4D86-BFB5-47F82D49FD54}"/>
    <cellStyle name="Normal 233 2 2" xfId="34143" xr:uid="{234D198B-C04C-4B8E-858D-C0AD93E7F195}"/>
    <cellStyle name="Normal 233 3" xfId="34151" xr:uid="{41046558-0A62-4C37-8836-E3A04CF565B9}"/>
    <cellStyle name="Normal 234" xfId="34164" xr:uid="{6FD16AF6-8708-4341-8DEB-C5001DEBF631}"/>
    <cellStyle name="Normal 234 2" xfId="34170" xr:uid="{C284FFB3-B2C9-402F-8652-518C02902E7B}"/>
    <cellStyle name="Normal 234 2 2" xfId="34176" xr:uid="{E29BDFA7-8F44-4F76-BD2C-7C2B65D39F88}"/>
    <cellStyle name="Normal 234 3" xfId="34183" xr:uid="{523ECC99-F14B-407F-A188-559B070879A9}"/>
    <cellStyle name="Normal 235" xfId="34192" xr:uid="{4B598C24-41B3-4BCB-BBBE-3A8C99E8AC7D}"/>
    <cellStyle name="Normal 235 2" xfId="34198" xr:uid="{F81A57DB-F848-4F98-8D07-1608AD43CB4C}"/>
    <cellStyle name="Normal 235 2 2" xfId="4436" xr:uid="{0E1DF0F9-46C8-44F0-877F-69970BE18C26}"/>
    <cellStyle name="Normal 235 3" xfId="34204" xr:uid="{26C63AD7-F08F-41E6-8157-2B15DC3DA7F5}"/>
    <cellStyle name="Normal 236" xfId="34209" xr:uid="{4A551EB9-1A16-432D-A962-128A73242652}"/>
    <cellStyle name="Normal 236 2" xfId="29429" xr:uid="{B34CF31F-7987-4F19-B833-9F56771BF45D}"/>
    <cellStyle name="Normal 236 2 2" xfId="26662" xr:uid="{1C78940F-9CFF-41A9-AAC2-D72795277F5E}"/>
    <cellStyle name="Normal 236 3" xfId="34871" xr:uid="{EEB0FDBA-726D-4C9C-A86C-58F0F1A2C0AD}"/>
    <cellStyle name="Normal 237" xfId="34217" xr:uid="{22E3B629-3B1A-4190-AAE6-80E109CA11C1}"/>
    <cellStyle name="Normal 237 2" xfId="34877" xr:uid="{03A10A41-0EEA-4DC8-AD24-AB030E4337D1}"/>
    <cellStyle name="Normal 237 2 2" xfId="13015" xr:uid="{16DC2FD4-F9B6-40B8-A63E-CB224B8158F9}"/>
    <cellStyle name="Normal 237 3" xfId="34882" xr:uid="{740212AA-E79E-4907-B85F-C66E4D1172AD}"/>
    <cellStyle name="Normal 238" xfId="20450" xr:uid="{CA319E7A-2DB2-475F-A164-626634575C00}"/>
    <cellStyle name="Normal 238 2" xfId="30437" xr:uid="{7E208050-B42E-402B-B27B-F6B8EA2BB7F0}"/>
    <cellStyle name="Normal 238 2 2" xfId="30443" xr:uid="{92A901EB-C386-4642-A72C-D9359D43ED99}"/>
    <cellStyle name="Normal 238 3" xfId="30449" xr:uid="{2E584322-7D65-457E-9496-4E3A16DA7005}"/>
    <cellStyle name="Normal 239" xfId="30455" xr:uid="{D7919E27-5142-4F79-9B5E-4749683AE235}"/>
    <cellStyle name="Normal 239 2" xfId="30462" xr:uid="{33019503-AC43-4BB2-A69E-AB7A76381255}"/>
    <cellStyle name="Normal 239 2 2" xfId="34887" xr:uid="{1C2F2CDE-1D62-4028-9B07-27300BA18836}"/>
    <cellStyle name="Normal 239 3" xfId="34892" xr:uid="{C098DF20-A71D-49BF-920C-C8145A0DB493}"/>
    <cellStyle name="Normal 24" xfId="28784" xr:uid="{5A505D78-9991-49BB-BA54-22DF83FD9EF1}"/>
    <cellStyle name="Normal 24 2" xfId="600" xr:uid="{042AAD4D-96CA-446F-8287-B6B805C1C736}"/>
    <cellStyle name="Normal 24 2 2" xfId="34900" xr:uid="{7CCE9C14-31F5-49E8-8D17-B51698CF8C2C}"/>
    <cellStyle name="Normal 24 2 3" xfId="32587" xr:uid="{33180D73-4F5C-4341-985D-2C00289DA98C}"/>
    <cellStyle name="Normal 24 3" xfId="613" xr:uid="{6F343079-E9A7-42F9-BD79-7F0E8150E64B}"/>
    <cellStyle name="Normal 24 4" xfId="623" xr:uid="{9E751A0C-EF3C-4343-9D3D-52183496F5A9}"/>
    <cellStyle name="Normal 24 5" xfId="627" xr:uid="{1EE82E80-E06D-4938-9867-ED6AC62685D0}"/>
    <cellStyle name="Normal 24 6" xfId="634" xr:uid="{00B0AA9E-B2FB-41ED-80FF-050539C2E5E2}"/>
    <cellStyle name="Normal 24 7" xfId="647" xr:uid="{7A2D9DEA-ECBB-4E86-A4B9-5DC848CF4AAD}"/>
    <cellStyle name="Normal 24 8" xfId="29053" xr:uid="{9EDFE2E8-6553-4493-ABB1-820ABE05366B}"/>
    <cellStyle name="Normal 24 9" xfId="13680" xr:uid="{6E6B8A03-16E7-40A5-9448-DB9768191EA4}"/>
    <cellStyle name="Normal 240" xfId="34191" xr:uid="{28E531C5-A30B-4439-8E25-4CC311C5BC86}"/>
    <cellStyle name="Normal 240 2" xfId="34197" xr:uid="{11E8E96F-03CA-4865-8ACC-D5E2AF384706}"/>
    <cellStyle name="Normal 240 2 2" xfId="4435" xr:uid="{20E49C97-9BD2-4C73-97A0-12664824C26D}"/>
    <cellStyle name="Normal 240 3" xfId="34203" xr:uid="{11A7C206-8E02-46A8-BF6D-25A2EDD43811}"/>
    <cellStyle name="Normal 241" xfId="34208" xr:uid="{0BDECB71-4793-48D8-B8C5-EEDE555FC33D}"/>
    <cellStyle name="Normal 241 2" xfId="29428" xr:uid="{6E5DED97-C209-469C-9DA1-C6327D5B1A30}"/>
    <cellStyle name="Normal 241 2 2" xfId="26661" xr:uid="{F65C5C33-CBD4-4C30-8CBF-E5D997986494}"/>
    <cellStyle name="Normal 241 3" xfId="34870" xr:uid="{2B63C607-2A1E-448B-8609-B7431E89647B}"/>
    <cellStyle name="Normal 242" xfId="34216" xr:uid="{42AFCE13-A038-486F-A20F-5C0C3228563B}"/>
    <cellStyle name="Normal 242 2" xfId="34876" xr:uid="{1E082CE9-96F0-4EC5-9158-E21BF3997915}"/>
    <cellStyle name="Normal 242 2 2" xfId="13014" xr:uid="{B95C1482-C274-4C5B-9ED5-5533FD89B147}"/>
    <cellStyle name="Normal 242 3" xfId="34881" xr:uid="{11E0ABF7-7626-419E-B6A3-82C0F565ED2E}"/>
    <cellStyle name="Normal 243" xfId="20449" xr:uid="{502E2935-BDF6-43BD-8F42-3205C03768DD}"/>
    <cellStyle name="Normal 243 2" xfId="30436" xr:uid="{EA51059E-4963-46D4-802F-EFC971B2B5D3}"/>
    <cellStyle name="Normal 243 2 2" xfId="30442" xr:uid="{6A9D4083-DC9D-4E16-A5FB-845233B0D6BA}"/>
    <cellStyle name="Normal 243 3" xfId="30448" xr:uid="{13490299-2B2F-4C16-A668-1183A6D8CD41}"/>
    <cellStyle name="Normal 244" xfId="30454" xr:uid="{29571A04-80E0-4458-B9F1-896A31740737}"/>
    <cellStyle name="Normal 244 2" xfId="30461" xr:uid="{62FDE4F3-E0A1-4C19-BD21-3B677868E94F}"/>
    <cellStyle name="Normal 244 2 2" xfId="34886" xr:uid="{AE56A420-AA98-4F1E-9F35-0489AA3A133E}"/>
    <cellStyle name="Normal 244 3" xfId="34891" xr:uid="{65D6E05E-7598-4F59-8A1D-51BA26DDF581}"/>
    <cellStyle name="Normal 245" xfId="30470" xr:uid="{A752E721-1523-4008-8E9E-AEF6206D99F1}"/>
    <cellStyle name="Normal 245 2" xfId="34906" xr:uid="{2D6B25A2-7172-4DE2-BA21-4118C883ED07}"/>
    <cellStyle name="Normal 245 2 2" xfId="34911" xr:uid="{7F83921D-1B53-4A57-BD7F-918FC0EFB5C5}"/>
    <cellStyle name="Normal 245 3" xfId="34916" xr:uid="{4B989DBA-E540-428B-ACE1-56F97BF8D324}"/>
    <cellStyle name="Normal 246" xfId="29741" xr:uid="{6B41962B-DCEE-4669-A10F-E427B5768DCB}"/>
    <cellStyle name="Normal 246 2" xfId="34921" xr:uid="{AC0DC98A-592E-447A-B844-8FD23C3290FA}"/>
    <cellStyle name="Normal 246 2 2" xfId="34926" xr:uid="{4A95440D-6465-433C-965E-6A7FAD9557C1}"/>
    <cellStyle name="Normal 246 3" xfId="34931" xr:uid="{2E3C4B25-5189-4864-BB8F-3B6987110DB0}"/>
    <cellStyle name="Normal 247" xfId="28308" xr:uid="{F1B3D32B-6DDE-4967-8FC1-C06722F6885E}"/>
    <cellStyle name="Normal 247 2" xfId="28316" xr:uid="{23F39AE7-0E70-4C26-83FC-497686216717}"/>
    <cellStyle name="Normal 247 2 2" xfId="28322" xr:uid="{78234BEB-69AF-4196-9161-CD0242ACB916}"/>
    <cellStyle name="Normal 247 3" xfId="21913" xr:uid="{2D9A01EF-5DE5-438A-8504-B143A078197F}"/>
    <cellStyle name="Normal 248" xfId="28338" xr:uid="{1C150BE4-472E-4486-BACD-75CD2309E835}"/>
    <cellStyle name="Normal 248 2" xfId="28346" xr:uid="{EBAEDEAB-9B5E-4761-A81F-0A1354FD7223}"/>
    <cellStyle name="Normal 248 2 2" xfId="28354" xr:uid="{18243FAD-CD59-4CEB-A5E8-D40E45A0D179}"/>
    <cellStyle name="Normal 248 3" xfId="28366" xr:uid="{D6543061-4D07-48B3-8778-5871BAF5D860}"/>
    <cellStyle name="Normal 249" xfId="28377" xr:uid="{2506599A-4CEF-4765-8748-4AF74729ABD7}"/>
    <cellStyle name="Normal 249 2" xfId="28384" xr:uid="{DC69E4CB-99CB-4458-8501-ADA182395B81}"/>
    <cellStyle name="Normal 249 2 2" xfId="28391" xr:uid="{E14A1CD8-11C9-4167-AE26-5C47C6D39A30}"/>
    <cellStyle name="Normal 249 3" xfId="28398" xr:uid="{1F8F187F-B7BA-4F80-AEE7-2FAD46B519C6}"/>
    <cellStyle name="Normal 25" xfId="38092" xr:uid="{7DC04CCA-3D15-4D9F-AED1-6A1F3623F0D7}"/>
    <cellStyle name="Normal 25 2" xfId="38094" xr:uid="{9189CB16-0FAA-4D0D-A954-43130BCD1EB2}"/>
    <cellStyle name="Normal 25 2 2" xfId="38096" xr:uid="{04A2C9B3-8916-4C07-A526-268E47A6DA63}"/>
    <cellStyle name="Normal 25 2 3" xfId="38097" xr:uid="{75019F93-5CE0-4E7F-9283-585E2BCFC25D}"/>
    <cellStyle name="Normal 25 3" xfId="38099" xr:uid="{CB5384B7-1A88-40E5-8FA2-DF8B45E4324C}"/>
    <cellStyle name="Normal 25 4" xfId="38100" xr:uid="{4F19F950-17B5-4A91-A6B2-58657379E39F}"/>
    <cellStyle name="Normal 25 5" xfId="38101" xr:uid="{C490B2DC-9D91-4648-B10B-3A437292AA39}"/>
    <cellStyle name="Normal 25 6" xfId="38102" xr:uid="{910673DD-A266-4751-8C43-6461F193C7C8}"/>
    <cellStyle name="Normal 25 7" xfId="38103" xr:uid="{120B32FC-60CB-4C20-BEAD-E1A88DA6B4F3}"/>
    <cellStyle name="Normal 25 8" xfId="38104" xr:uid="{7CE4A060-AA91-4A02-AED8-285AD247138C}"/>
    <cellStyle name="Normal 250" xfId="30469" xr:uid="{D2F5A58F-9CE0-4D77-94B1-B995F7AF5D21}"/>
    <cellStyle name="Normal 250 2" xfId="34905" xr:uid="{529C179B-6FEC-49B3-A02D-7CA3C27FF0D3}"/>
    <cellStyle name="Normal 250 2 2" xfId="34910" xr:uid="{EA2B600C-C413-4123-A814-D255AF15CEC2}"/>
    <cellStyle name="Normal 250 3" xfId="34915" xr:uid="{FE5DF55D-2334-41AF-A86A-E351414E6DF8}"/>
    <cellStyle name="Normal 251" xfId="29740" xr:uid="{4F85FA4C-3CC4-4394-9302-B78B99FBD5FA}"/>
    <cellStyle name="Normal 251 2" xfId="34920" xr:uid="{7D73B2C9-CD39-466E-ABD0-AE1D38F46D58}"/>
    <cellStyle name="Normal 251 2 2" xfId="34925" xr:uid="{2B068C13-56C3-4E56-BB34-ADB830EF0F0B}"/>
    <cellStyle name="Normal 251 3" xfId="34930" xr:uid="{5BCD3C1C-A855-4BDF-80B5-A62F129B59CD}"/>
    <cellStyle name="Normal 252" xfId="28307" xr:uid="{850A697E-1825-4DD7-AEBC-321088CFE1AC}"/>
    <cellStyle name="Normal 252 2" xfId="28315" xr:uid="{5FADFBF9-B1A7-41CE-BE6F-3C357718FE08}"/>
    <cellStyle name="Normal 252 2 2" xfId="28321" xr:uid="{72218D25-B1AF-4110-918D-C1801B418BC7}"/>
    <cellStyle name="Normal 252 3" xfId="21912" xr:uid="{02E07C0B-1414-4E66-ABE6-6780856364B3}"/>
    <cellStyle name="Normal 253" xfId="28337" xr:uid="{32886E26-E17C-405A-A521-70C2257AE4DC}"/>
    <cellStyle name="Normal 253 2" xfId="28345" xr:uid="{013D712D-8D8D-4B7D-BBB0-3048045ADDBB}"/>
    <cellStyle name="Normal 253 2 2" xfId="28353" xr:uid="{DC28C9B6-CD48-4BC5-90E4-6954558439B7}"/>
    <cellStyle name="Normal 253 3" xfId="28365" xr:uid="{88ED5F8D-8945-4921-A7F9-FA4653BD1CDB}"/>
    <cellStyle name="Normal 254" xfId="28376" xr:uid="{0B108BBC-BB3F-4EAF-B431-C1379B36670E}"/>
    <cellStyle name="Normal 254 2" xfId="28383" xr:uid="{A258B8B5-A1D1-4A9D-A081-8EADDE691F25}"/>
    <cellStyle name="Normal 254 2 2" xfId="28390" xr:uid="{6320F275-AFE1-4F3A-A8FF-724148CF2C86}"/>
    <cellStyle name="Normal 254 3" xfId="28397" xr:uid="{FDEB8839-8881-450A-B7BE-AB560CF83CD2}"/>
    <cellStyle name="Normal 255" xfId="28405" xr:uid="{FFDCD4E7-9B25-44D0-ABBD-B9837F6F18F4}"/>
    <cellStyle name="Normal 255 2" xfId="12033" xr:uid="{76EE4965-EE67-469E-B1E8-9950D64CC225}"/>
    <cellStyle name="Normal 255 2 2" xfId="38109" xr:uid="{CC58047B-24A2-411F-8262-84B1290AEA0D}"/>
    <cellStyle name="Normal 255 3" xfId="38114" xr:uid="{CA9D99F3-5839-4B81-B0F3-D9E7090027F3}"/>
    <cellStyle name="Normal 256" xfId="5211" xr:uid="{F028F060-A754-42A7-A30E-1DB07E7969FA}"/>
    <cellStyle name="Normal 256 2" xfId="5220" xr:uid="{89C19B20-0B28-40F7-9571-481609A06C94}"/>
    <cellStyle name="Normal 256 2 2" xfId="38119" xr:uid="{159EAE1D-F9B4-43F8-AE96-9677E44C73EC}"/>
    <cellStyle name="Normal 256 3" xfId="38124" xr:uid="{7A7A4C07-5AD7-4E8E-B5B2-FDF90B7E88CA}"/>
    <cellStyle name="Normal 257" xfId="5227" xr:uid="{7EE404CB-8808-4FDA-A5DC-24E24DB39C8E}"/>
    <cellStyle name="Normal 257 2" xfId="38129" xr:uid="{8FED5F76-9D6C-4E19-8524-49AB9CA2C55D}"/>
    <cellStyle name="Normal 257 2 2" xfId="38134" xr:uid="{F07C7F0A-1FC4-43C1-9D8C-AC08FC31BA47}"/>
    <cellStyle name="Normal 257 3" xfId="38139" xr:uid="{371DA369-8803-4C98-B356-932BC1101844}"/>
    <cellStyle name="Normal 258" xfId="38143" xr:uid="{A1F9B27D-3A77-458E-A0EA-E1AC5BF543F4}"/>
    <cellStyle name="Normal 258 2" xfId="38148" xr:uid="{FB926C1C-8319-4183-9C5E-BA8A00733923}"/>
    <cellStyle name="Normal 258 2 2" xfId="38153" xr:uid="{2536CD0D-8184-4F7C-9360-11F0D4430476}"/>
    <cellStyle name="Normal 258 3" xfId="38159" xr:uid="{8A463FCA-CEFD-4E7A-89DB-76CBA8A525EA}"/>
    <cellStyle name="Normal 259" xfId="38163" xr:uid="{741E4818-994A-4185-8828-2EB38ADF655A}"/>
    <cellStyle name="Normal 259 2" xfId="21739" xr:uid="{CB96245D-21EC-4AFA-B566-4CC119A324B0}"/>
    <cellStyle name="Normal 259 2 2" xfId="21744" xr:uid="{842D801D-A82D-4903-8B1F-A02F4C557978}"/>
    <cellStyle name="Normal 259 3" xfId="21750" xr:uid="{C7B1E3F8-6122-46DB-9E29-73966EE07E1E}"/>
    <cellStyle name="Normal 26" xfId="38165" xr:uid="{F9C17CDE-9FC1-4339-96DC-61467F924DED}"/>
    <cellStyle name="Normal 26 2" xfId="38167" xr:uid="{0C3CFD21-C277-4998-84DB-353F969DF3B2}"/>
    <cellStyle name="Normal 26 2 2" xfId="38169" xr:uid="{1A29758A-473F-4695-83AA-3C761168ECC2}"/>
    <cellStyle name="Normal 26 3" xfId="38170" xr:uid="{F913DCE7-3F8C-4F35-94D0-D011A9F37028}"/>
    <cellStyle name="Normal 26 4" xfId="38171" xr:uid="{F12CF851-41FF-4E46-B3AA-F4946854BAFC}"/>
    <cellStyle name="Normal 26 5" xfId="38172" xr:uid="{E3E2E76F-DA5D-4BD3-9572-A059E5FA46FC}"/>
    <cellStyle name="Normal 26 6" xfId="38173" xr:uid="{0744668B-8A91-4166-9253-49F34658D7DC}"/>
    <cellStyle name="Normal 260" xfId="28404" xr:uid="{9C05AF25-6063-46A6-988A-172628E406A5}"/>
    <cellStyle name="Normal 260 2" xfId="12032" xr:uid="{8F6D48BE-7F65-423F-BAAA-67FE04CB8783}"/>
    <cellStyle name="Normal 260 2 2" xfId="38108" xr:uid="{72B17645-9D25-46C2-A8C0-75D4FDB0D41A}"/>
    <cellStyle name="Normal 260 3" xfId="38113" xr:uid="{81CEFD87-974F-4A1A-8F72-FAF02502B66F}"/>
    <cellStyle name="Normal 261" xfId="5210" xr:uid="{4958130D-2A0E-44A5-B2B5-6DEA27936EC1}"/>
    <cellStyle name="Normal 261 2" xfId="5219" xr:uid="{AD289130-6DE7-48B6-8951-7CB7215511A2}"/>
    <cellStyle name="Normal 261 2 2" xfId="38118" xr:uid="{AF939288-55C0-48F7-B3C6-137893A0155D}"/>
    <cellStyle name="Normal 261 3" xfId="38123" xr:uid="{22395748-A9F8-4CFC-A24F-87FD346C54D8}"/>
    <cellStyle name="Normal 262" xfId="5226" xr:uid="{BC9ABDDB-F93A-4E81-9FC6-D5727BBBA953}"/>
    <cellStyle name="Normal 262 2" xfId="38128" xr:uid="{366D21FB-271C-4790-811C-CD8871B4042C}"/>
    <cellStyle name="Normal 262 2 2" xfId="38133" xr:uid="{0BB79253-406F-4682-801C-B7768FDC38D1}"/>
    <cellStyle name="Normal 262 3" xfId="38138" xr:uid="{960D8DFC-4B57-47F3-B037-4ECFA1D2B081}"/>
    <cellStyle name="Normal 263" xfId="38142" xr:uid="{4A0E16BE-399F-4CB3-B120-0E1366A57A6A}"/>
    <cellStyle name="Normal 263 2" xfId="38147" xr:uid="{30860436-ECD9-4676-91FA-CC6DCCD7748D}"/>
    <cellStyle name="Normal 263 2 2" xfId="38152" xr:uid="{F6A7C96A-FED2-47D7-96C0-21F7E9234972}"/>
    <cellStyle name="Normal 263 3" xfId="38158" xr:uid="{54518186-1D9B-4680-84D4-0A4918FD0725}"/>
    <cellStyle name="Normal 264" xfId="38162" xr:uid="{68DD8AC6-D64D-43E7-9F5B-AD8869217B1B}"/>
    <cellStyle name="Normal 264 2" xfId="21738" xr:uid="{72CE3FA5-9362-4876-B17A-430B3FC4C980}"/>
    <cellStyle name="Normal 264 2 2" xfId="21743" xr:uid="{AB50EC50-ACF0-4415-A82A-10DAEB9DC538}"/>
    <cellStyle name="Normal 264 3" xfId="21749" xr:uid="{A9E9A5F2-27FB-4695-A536-7B4EA082E54B}"/>
    <cellStyle name="Normal 265" xfId="38177" xr:uid="{180ECD78-088A-48A8-8DA4-B0A9EB8DC9AE}"/>
    <cellStyle name="Normal 265 2" xfId="21762" xr:uid="{3196A579-70A7-4CB3-9485-DD348CC45FD2}"/>
    <cellStyle name="Normal 265 2 2" xfId="38181" xr:uid="{F6008FE0-83AE-4EE4-BEC9-F4BEAB42BB3C}"/>
    <cellStyle name="Normal 265 3" xfId="38186" xr:uid="{54BAFB72-BA44-43BC-8DB8-29E4827AD466}"/>
    <cellStyle name="Normal 266" xfId="38190" xr:uid="{4870BA7B-00B3-447A-A513-3462C624C056}"/>
    <cellStyle name="Normal 266 2" xfId="38194" xr:uid="{87CBB2B2-DDE1-45A6-9244-BBB44C8D13B0}"/>
    <cellStyle name="Normal 266 2 2" xfId="38198" xr:uid="{84B4C3EC-D277-40F9-8CFC-858EAC5E6DD8}"/>
    <cellStyle name="Normal 266 3" xfId="38203" xr:uid="{941EA483-0811-4B54-B69D-F1AC4AE15E50}"/>
    <cellStyle name="Normal 267" xfId="38207" xr:uid="{1BB7392D-2499-470D-8C46-C23B44BD25BC}"/>
    <cellStyle name="Normal 267 2" xfId="38211" xr:uid="{339FD394-38AB-4C78-BFE1-438E83A653B9}"/>
    <cellStyle name="Normal 267 2 2" xfId="38215" xr:uid="{8566DFBB-44AD-437B-A1FA-BA48E3786E63}"/>
    <cellStyle name="Normal 267 3" xfId="38219" xr:uid="{05F4BFF9-231D-4587-A57D-E5054C091D5D}"/>
    <cellStyle name="Normal 268" xfId="38223" xr:uid="{5DB977F7-19DA-4C2F-A333-4489DC29EF65}"/>
    <cellStyle name="Normal 268 2" xfId="38227" xr:uid="{47B6E4E9-D24C-4BFE-872E-1C56A208A049}"/>
    <cellStyle name="Normal 268 2 2" xfId="38231" xr:uid="{AF46D190-C56F-40B2-890D-D5657A81E2D4}"/>
    <cellStyle name="Normal 268 3" xfId="38235" xr:uid="{585F7F2D-45E0-4079-93B7-9955D922C087}"/>
    <cellStyle name="Normal 269" xfId="38239" xr:uid="{BE7C52A4-EED3-4A74-A081-44A1C4F941B9}"/>
    <cellStyle name="Normal 269 2" xfId="38243" xr:uid="{9ED822B4-2038-4DAB-A1B3-0E7A4D7940C3}"/>
    <cellStyle name="Normal 269 2 2" xfId="38247" xr:uid="{9FC8330D-0D9D-482F-8199-C086BE99C92D}"/>
    <cellStyle name="Normal 269 3" xfId="38251" xr:uid="{2DE68D77-6D96-4CFB-A7A1-DF8D376B571A}"/>
    <cellStyle name="Normal 27" xfId="38253" xr:uid="{4A1022A6-7603-4CA1-B3C4-450C093860D7}"/>
    <cellStyle name="Normal 27 10" xfId="38254" xr:uid="{A8A61E51-C83C-44DB-8C59-2718A4A8BDD5}"/>
    <cellStyle name="Normal 27 10 2" xfId="38255" xr:uid="{07634F0B-6EDE-47BE-BA16-00F19FE9EA6B}"/>
    <cellStyle name="Normal 27 10 2 2" xfId="38256" xr:uid="{D0E32C8F-7276-4C52-A357-4D0BBFE08EFF}"/>
    <cellStyle name="Normal 27 10 2 2 2" xfId="38257" xr:uid="{385C02B7-34CF-47AE-A322-CDBCA471DE36}"/>
    <cellStyle name="Normal 27 10 2 2 2 2" xfId="38258" xr:uid="{EA6512D5-04F0-4976-8984-8B9BE4DA5851}"/>
    <cellStyle name="Normal 27 10 2 2 3" xfId="38259" xr:uid="{FD1368BD-32B8-49CC-BB3A-7191B81261A6}"/>
    <cellStyle name="Normal 27 10 2 3" xfId="38260" xr:uid="{507E2DC1-ED30-45A2-BDEB-7415AD58262F}"/>
    <cellStyle name="Normal 27 10 2 3 2" xfId="38261" xr:uid="{6FEF465B-A678-449F-8AEC-5F7062F01E3E}"/>
    <cellStyle name="Normal 27 10 2 4" xfId="38262" xr:uid="{CF4A5515-3282-4004-A132-82ABA07589AD}"/>
    <cellStyle name="Normal 27 10 3" xfId="38263" xr:uid="{E83EAEC8-3568-4CE4-8836-C23C7BAA64D8}"/>
    <cellStyle name="Normal 27 10 3 2" xfId="38264" xr:uid="{38F19FD8-9CFA-4847-8073-B394EE6EE93A}"/>
    <cellStyle name="Normal 27 10 3 2 2" xfId="38265" xr:uid="{EE93D624-B740-4FAB-81C2-98BB46E780C0}"/>
    <cellStyle name="Normal 27 10 3 3" xfId="38266" xr:uid="{B8848990-D9DB-4711-B6E4-E2596799B128}"/>
    <cellStyle name="Normal 27 10 4" xfId="38267" xr:uid="{5908AF88-DA15-45D5-A73A-3F0261F40671}"/>
    <cellStyle name="Normal 27 10 4 2" xfId="38268" xr:uid="{3266EE12-5FF1-4ABA-B2EF-14BC8571FC0A}"/>
    <cellStyle name="Normal 27 10 5" xfId="38269" xr:uid="{7266B240-1DE6-4E07-AA51-EB26E9D853E9}"/>
    <cellStyle name="Normal 27 11" xfId="38270" xr:uid="{110B4730-AC8F-4BBA-89A2-1FECAA930532}"/>
    <cellStyle name="Normal 27 11 2" xfId="38271" xr:uid="{CC491943-C0D7-47A4-B5F1-D3F9C356C9A9}"/>
    <cellStyle name="Normal 27 11 2 2" xfId="38272" xr:uid="{C2D77F59-4EC3-430F-94D7-A25B82771111}"/>
    <cellStyle name="Normal 27 11 2 2 2" xfId="38273" xr:uid="{68E1F8A2-987C-4ED3-AF21-A83F0B94109F}"/>
    <cellStyle name="Normal 27 11 2 3" xfId="38274" xr:uid="{A55B3AED-22F8-4609-B8FA-A4212E00A327}"/>
    <cellStyle name="Normal 27 11 3" xfId="38275" xr:uid="{5FA8B060-27ED-4E73-9862-E9BCAAD5EAF5}"/>
    <cellStyle name="Normal 27 11 3 2" xfId="38276" xr:uid="{36AE9679-D369-4591-9CA9-E66AF12B0DFE}"/>
    <cellStyle name="Normal 27 11 4" xfId="38277" xr:uid="{DF19159D-F72E-4EF6-B71A-78C1A0AB7F0E}"/>
    <cellStyle name="Normal 27 12" xfId="38278" xr:uid="{3EC6F968-0675-4E8C-ADD4-3D1BA5EE7B9B}"/>
    <cellStyle name="Normal 27 12 2" xfId="38279" xr:uid="{10C3894A-C29F-4727-B036-AEBF2C6005A4}"/>
    <cellStyle name="Normal 27 12 2 2" xfId="38280" xr:uid="{A1F07B56-13D7-4DE4-A128-14B5C8726781}"/>
    <cellStyle name="Normal 27 12 3" xfId="38281" xr:uid="{0FDACC25-914E-4CB5-8613-D2A5F48E6619}"/>
    <cellStyle name="Normal 27 13" xfId="38282" xr:uid="{22C801C8-A0EE-4C45-B633-6BD9F375159B}"/>
    <cellStyle name="Normal 27 13 2" xfId="38283" xr:uid="{A909874F-4BB7-450B-8833-F6B80C665B17}"/>
    <cellStyle name="Normal 27 14" xfId="38284" xr:uid="{EAC982B8-4E44-4424-9581-AB527C21855A}"/>
    <cellStyle name="Normal 27 15" xfId="38286" xr:uid="{14B49044-3FF6-4B0C-8D5F-3EF9E0F28C5B}"/>
    <cellStyle name="Normal 27 16" xfId="38288" xr:uid="{C5D2E18F-87CD-4BB6-94D1-317FEA3F3B67}"/>
    <cellStyle name="Normal 27 2" xfId="24149" xr:uid="{E62CD01A-6545-4F00-8581-683508252388}"/>
    <cellStyle name="Normal 27 2 10" xfId="38289" xr:uid="{A8116AF1-3669-4F1A-BB80-E92FAA1E520A}"/>
    <cellStyle name="Normal 27 2 10 2" xfId="38290" xr:uid="{7D8BB863-85F1-4211-894A-1786ECF75BB3}"/>
    <cellStyle name="Normal 27 2 11" xfId="38291" xr:uid="{D52E5104-88FD-49DB-9BAE-DD35556182A1}"/>
    <cellStyle name="Normal 27 2 12" xfId="38292" xr:uid="{8119720A-E9BC-48B6-9AC2-7FDE948DA880}"/>
    <cellStyle name="Normal 27 2 13" xfId="38293" xr:uid="{FD74B396-D6B7-44A3-8C18-5BADD1771E95}"/>
    <cellStyle name="Normal 27 2 14" xfId="38294" xr:uid="{D9C77543-5838-45AF-9955-681205E6E6DA}"/>
    <cellStyle name="Normal 27 2 2" xfId="8318" xr:uid="{50B71CBA-D6C5-43BF-8DDE-59C970F754CC}"/>
    <cellStyle name="Normal 27 2 2 10" xfId="38295" xr:uid="{4BFD88C9-9017-446B-9488-12C3F008E85E}"/>
    <cellStyle name="Normal 27 2 2 11" xfId="38296" xr:uid="{2903D9ED-1B81-480D-8D2A-8CB2DDE1E956}"/>
    <cellStyle name="Normal 27 2 2 12" xfId="38297" xr:uid="{3A734B71-183B-435D-BDAF-1B5B11746CEE}"/>
    <cellStyle name="Normal 27 2 2 2" xfId="8326" xr:uid="{FF464098-16FD-4321-A6C9-437A8F7339ED}"/>
    <cellStyle name="Normal 27 2 2 2 10" xfId="38298" xr:uid="{A8C659EE-D2F9-4BD0-A18C-C4BC0B520DB7}"/>
    <cellStyle name="Normal 27 2 2 2 2" xfId="8332" xr:uid="{5219351D-BED0-4E29-A54E-EBFF0650AE16}"/>
    <cellStyle name="Normal 27 2 2 2 2 2" xfId="38299" xr:uid="{DB4FED8F-081F-405B-BF05-A53BF1EFFA2D}"/>
    <cellStyle name="Normal 27 2 2 2 2 2 2" xfId="8338" xr:uid="{10E7A5B3-8573-4CF5-BC98-0FA43905E05D}"/>
    <cellStyle name="Normal 27 2 2 2 2 2 2 2" xfId="38300" xr:uid="{F72AB8C7-8170-43D5-A425-C778C4FB85A8}"/>
    <cellStyle name="Normal 27 2 2 2 2 2 2 2 2" xfId="38301" xr:uid="{ED60DB95-18F7-497E-AF32-F3A73A616632}"/>
    <cellStyle name="Normal 27 2 2 2 2 2 2 2 2 2" xfId="38302" xr:uid="{6E74FE9B-E5E8-4710-8291-E63F929EA615}"/>
    <cellStyle name="Normal 27 2 2 2 2 2 2 2 2 2 2" xfId="38303" xr:uid="{8620600A-0521-444F-92CF-489981EF8BF7}"/>
    <cellStyle name="Normal 27 2 2 2 2 2 2 2 2 2 2 2" xfId="3219" xr:uid="{F2720B2D-4B33-4FE4-8A84-A0FC0B49E18D}"/>
    <cellStyle name="Normal 27 2 2 2 2 2 2 2 2 2 3" xfId="38304" xr:uid="{4416A94A-11BC-49FC-8676-DA36858EB186}"/>
    <cellStyle name="Normal 27 2 2 2 2 2 2 2 2 3" xfId="38305" xr:uid="{A876EA11-1F05-499C-824E-E322651893EA}"/>
    <cellStyle name="Normal 27 2 2 2 2 2 2 2 2 3 2" xfId="38306" xr:uid="{BB6F0D07-EAA0-44C3-A20A-42AD7A232707}"/>
    <cellStyle name="Normal 27 2 2 2 2 2 2 2 2 4" xfId="38307" xr:uid="{37F977C3-B9E1-4BB6-AC6F-2EDC68D63494}"/>
    <cellStyle name="Normal 27 2 2 2 2 2 2 2 3" xfId="38308" xr:uid="{30E055DE-5333-4D67-9C15-7D25EE14D375}"/>
    <cellStyle name="Normal 27 2 2 2 2 2 2 2 3 2" xfId="38309" xr:uid="{0254F0F5-292B-4202-9437-6F706E84B8A5}"/>
    <cellStyle name="Normal 27 2 2 2 2 2 2 2 3 2 2" xfId="38310" xr:uid="{661DD62C-08ED-4E5B-8D5F-085F21210FA1}"/>
    <cellStyle name="Normal 27 2 2 2 2 2 2 2 3 3" xfId="38311" xr:uid="{C59B7394-B771-4777-8A1C-27A45BAB54DE}"/>
    <cellStyle name="Normal 27 2 2 2 2 2 2 2 4" xfId="38312" xr:uid="{3C5A5654-F02B-4723-8914-AF9E7784F981}"/>
    <cellStyle name="Normal 27 2 2 2 2 2 2 2 4 2" xfId="38313" xr:uid="{48BDD561-4E87-4B42-BFC7-86E9500D5D0B}"/>
    <cellStyle name="Normal 27 2 2 2 2 2 2 2 5" xfId="38314" xr:uid="{3A9E9D07-591D-4746-9716-C7162350D2FE}"/>
    <cellStyle name="Normal 27 2 2 2 2 2 2 3" xfId="38315" xr:uid="{36AD73DE-A4E4-4E99-9CE9-DF0884628B2A}"/>
    <cellStyle name="Normal 27 2 2 2 2 2 2 3 2" xfId="38316" xr:uid="{97A867A4-1FE7-4C1C-9200-FBE1E48BEAD0}"/>
    <cellStyle name="Normal 27 2 2 2 2 2 2 3 2 2" xfId="38317" xr:uid="{6673E2A4-ADCC-4BE1-92BF-6ABEF01CBD3F}"/>
    <cellStyle name="Normal 27 2 2 2 2 2 2 3 2 2 2" xfId="38318" xr:uid="{535ACD11-8DC8-49C4-ADE0-08D191C3EFB9}"/>
    <cellStyle name="Normal 27 2 2 2 2 2 2 3 2 3" xfId="38319" xr:uid="{ED8FCE80-DEDF-4228-811E-8C7123F013CE}"/>
    <cellStyle name="Normal 27 2 2 2 2 2 2 3 3" xfId="38320" xr:uid="{13EC151A-FEAD-46E5-A5CA-0376504213B7}"/>
    <cellStyle name="Normal 27 2 2 2 2 2 2 3 3 2" xfId="38321" xr:uid="{D408189E-FE4C-4EB5-B73E-8336FC8ACD3B}"/>
    <cellStyle name="Normal 27 2 2 2 2 2 2 3 4" xfId="38322" xr:uid="{7E1F2AB4-F35C-4004-8420-472BF9634E1B}"/>
    <cellStyle name="Normal 27 2 2 2 2 2 2 4" xfId="38323" xr:uid="{BBAE8440-D5E9-4EE0-8A79-AD6A4AE993FB}"/>
    <cellStyle name="Normal 27 2 2 2 2 2 2 4 2" xfId="38324" xr:uid="{44611414-0CC1-48D7-8CB2-8496D44B7CE6}"/>
    <cellStyle name="Normal 27 2 2 2 2 2 2 4 2 2" xfId="22165" xr:uid="{4C53FB4E-CA20-46CB-A188-ADD7DCEAE811}"/>
    <cellStyle name="Normal 27 2 2 2 2 2 2 4 3" xfId="38325" xr:uid="{BFEE71A8-114D-4EEF-98E6-FFAE7D4ACDD5}"/>
    <cellStyle name="Normal 27 2 2 2 2 2 2 5" xfId="38326" xr:uid="{B7CB180C-611A-4F85-A8C1-ECECC2BE2461}"/>
    <cellStyle name="Normal 27 2 2 2 2 2 2 5 2" xfId="38327" xr:uid="{A410B182-BB8F-4A00-88FC-A5DC392C28BB}"/>
    <cellStyle name="Normal 27 2 2 2 2 2 2 6" xfId="38328" xr:uid="{72A4A7A8-E415-4E1F-A39F-06E8F9D674A9}"/>
    <cellStyle name="Normal 27 2 2 2 2 2 2 7" xfId="38329" xr:uid="{60DAAE73-0B58-4EEE-936A-ACFBA4AC3B89}"/>
    <cellStyle name="Normal 27 2 2 2 2 2 3" xfId="6382" xr:uid="{63B733F7-60CF-4381-A760-0203F2775E62}"/>
    <cellStyle name="Normal 27 2 2 2 2 2 3 2" xfId="38330" xr:uid="{FAE5D75C-5B13-4006-B29E-FAFF1442D81E}"/>
    <cellStyle name="Normal 27 2 2 2 2 2 3 2 2" xfId="38331" xr:uid="{F2680B02-E949-49BB-BE6B-92D156B8E0CD}"/>
    <cellStyle name="Normal 27 2 2 2 2 2 3 2 2 2" xfId="38332" xr:uid="{52DED5C1-35E8-4B8E-9966-5D5B66BF8EB0}"/>
    <cellStyle name="Normal 27 2 2 2 2 2 3 2 2 2 2" xfId="3757" xr:uid="{1FAFE66D-1657-4F27-85BE-8BF583CA5950}"/>
    <cellStyle name="Normal 27 2 2 2 2 2 3 2 2 3" xfId="38334" xr:uid="{3849200C-52A1-486D-A530-4E849EB073DC}"/>
    <cellStyle name="Normal 27 2 2 2 2 2 3 2 3" xfId="38335" xr:uid="{53468D34-F66E-433D-B5F4-2E0CC4535339}"/>
    <cellStyle name="Normal 27 2 2 2 2 2 3 2 3 2" xfId="38336" xr:uid="{3CF4916A-5EAA-4CDC-A5BD-F24A2E5BBE4F}"/>
    <cellStyle name="Normal 27 2 2 2 2 2 3 2 4" xfId="38338" xr:uid="{B2853C17-76E9-4737-B3CF-86B9B7801C77}"/>
    <cellStyle name="Normal 27 2 2 2 2 2 3 3" xfId="38339" xr:uid="{CF675D68-E4F4-4356-A60B-059BA2DDD4F4}"/>
    <cellStyle name="Normal 27 2 2 2 2 2 3 3 2" xfId="38340" xr:uid="{BA9531FB-BF2B-4038-B0B5-6EAE4F0ABD80}"/>
    <cellStyle name="Normal 27 2 2 2 2 2 3 3 2 2" xfId="38341" xr:uid="{270B65D1-81C1-48EC-81E6-578BD2548317}"/>
    <cellStyle name="Normal 27 2 2 2 2 2 3 3 3" xfId="38343" xr:uid="{28B0D955-FE01-4F5C-BF90-6B210A8860DB}"/>
    <cellStyle name="Normal 27 2 2 2 2 2 3 4" xfId="38344" xr:uid="{43C7D742-F6F2-4197-A627-11D123D5A6FF}"/>
    <cellStyle name="Normal 27 2 2 2 2 2 3 4 2" xfId="38345" xr:uid="{313976F4-22DB-4B88-8153-07EAD1978662}"/>
    <cellStyle name="Normal 27 2 2 2 2 2 3 5" xfId="38346" xr:uid="{E651AA8E-F1E7-4EF3-845F-D9653E1C83B5}"/>
    <cellStyle name="Normal 27 2 2 2 2 2 4" xfId="8352" xr:uid="{DAD39455-6C9C-4AF8-8C2A-4AE3DD13C589}"/>
    <cellStyle name="Normal 27 2 2 2 2 2 4 2" xfId="38347" xr:uid="{8EC9ECE9-438D-4EBA-B783-2B23D063E9CA}"/>
    <cellStyle name="Normal 27 2 2 2 2 2 4 2 2" xfId="38348" xr:uid="{A2C703BE-C6D0-4C20-B624-FC2996743B51}"/>
    <cellStyle name="Normal 27 2 2 2 2 2 4 2 2 2" xfId="38349" xr:uid="{CF11C435-4617-4A86-A484-1BBDB02D036F}"/>
    <cellStyle name="Normal 27 2 2 2 2 2 4 2 3" xfId="38351" xr:uid="{2AD9064B-81BF-4FDD-8E6F-AE2B370EE7C7}"/>
    <cellStyle name="Normal 27 2 2 2 2 2 4 3" xfId="38352" xr:uid="{4B7E3F6B-69C7-4ABE-A636-91D42A68D0F1}"/>
    <cellStyle name="Normal 27 2 2 2 2 2 4 3 2" xfId="38353" xr:uid="{D0014293-84F9-4AB7-A86B-B8C231E78A35}"/>
    <cellStyle name="Normal 27 2 2 2 2 2 4 4" xfId="38354" xr:uid="{A15CF91F-D8D0-43DC-82C6-99764E443F56}"/>
    <cellStyle name="Normal 27 2 2 2 2 2 5" xfId="31485" xr:uid="{5BCEE6DC-29C1-4A73-9B69-296C87B8E693}"/>
    <cellStyle name="Normal 27 2 2 2 2 2 5 2" xfId="38355" xr:uid="{F02C5D3A-BA6F-432F-B6BC-B6F482F7CB08}"/>
    <cellStyle name="Normal 27 2 2 2 2 2 5 2 2" xfId="38356" xr:uid="{1A8CC9E9-7E68-4CA0-A08D-3BE3A5208942}"/>
    <cellStyle name="Normal 27 2 2 2 2 2 5 3" xfId="38357" xr:uid="{8B4A43F8-0086-4CB0-9670-CC15D2D76A5A}"/>
    <cellStyle name="Normal 27 2 2 2 2 2 6" xfId="31488" xr:uid="{AA6AB6EA-5A47-4509-A2EA-9C7F729ACE8F}"/>
    <cellStyle name="Normal 27 2 2 2 2 2 6 2" xfId="38358" xr:uid="{3E2E40E1-FE4B-404C-9415-853D80875C86}"/>
    <cellStyle name="Normal 27 2 2 2 2 2 7" xfId="35931" xr:uid="{6C7A023D-6395-446C-A359-76ECF64916C5}"/>
    <cellStyle name="Normal 27 2 2 2 2 2 8" xfId="35933" xr:uid="{A44509F7-0B07-43BF-85C4-3AB8FF41A85B}"/>
    <cellStyle name="Normal 27 2 2 2 2 3" xfId="38359" xr:uid="{B0AD1FB1-165F-4BBD-B8F7-6A71EFCBA3E5}"/>
    <cellStyle name="Normal 27 2 2 2 2 3 2" xfId="8358" xr:uid="{4B321AE2-FF10-4A27-97A6-6C6C7683ED08}"/>
    <cellStyle name="Normal 27 2 2 2 2 3 2 2" xfId="38360" xr:uid="{E49B8631-6D14-4BD8-A4C6-341B332E4C75}"/>
    <cellStyle name="Normal 27 2 2 2 2 3 2 2 2" xfId="38361" xr:uid="{FB2C5116-9087-46F2-9B8D-4773E7F2D27B}"/>
    <cellStyle name="Normal 27 2 2 2 2 3 2 2 2 2" xfId="38362" xr:uid="{D9428863-A96A-4A7E-8DC9-03A8134E165F}"/>
    <cellStyle name="Normal 27 2 2 2 2 3 2 2 2 2 2" xfId="1869" xr:uid="{7EF57214-B19E-4663-96F8-26F0DBDFA39F}"/>
    <cellStyle name="Normal 27 2 2 2 2 3 2 2 2 3" xfId="38363" xr:uid="{D0A63611-1FB4-4057-816D-C67FF2AD8BA8}"/>
    <cellStyle name="Normal 27 2 2 2 2 3 2 2 3" xfId="38364" xr:uid="{CA39E229-E540-453B-8EB5-F6BE809B48C6}"/>
    <cellStyle name="Normal 27 2 2 2 2 3 2 2 3 2" xfId="38365" xr:uid="{CD547C82-18F3-4ED2-A6BF-80A0A4C7AFE6}"/>
    <cellStyle name="Normal 27 2 2 2 2 3 2 2 4" xfId="38366" xr:uid="{B60C2268-FCF8-4273-92EE-1ECB5099D404}"/>
    <cellStyle name="Normal 27 2 2 2 2 3 2 3" xfId="38367" xr:uid="{EFD8A1C7-8A3E-44A8-9800-35141CE3F826}"/>
    <cellStyle name="Normal 27 2 2 2 2 3 2 3 2" xfId="38368" xr:uid="{24C513F5-4A8A-488A-8157-7B8875B1BF9A}"/>
    <cellStyle name="Normal 27 2 2 2 2 3 2 3 2 2" xfId="38369" xr:uid="{60E96CD3-5363-4624-BA58-51B6518E090E}"/>
    <cellStyle name="Normal 27 2 2 2 2 3 2 3 3" xfId="38370" xr:uid="{27DCE093-814F-49B5-BC84-7821073F4473}"/>
    <cellStyle name="Normal 27 2 2 2 2 3 2 4" xfId="38371" xr:uid="{0635248B-64E7-421D-B929-A1292CE96716}"/>
    <cellStyle name="Normal 27 2 2 2 2 3 2 4 2" xfId="38372" xr:uid="{EF4FDEA0-BD13-4B1A-9E35-F0AF6B3E1CC2}"/>
    <cellStyle name="Normal 27 2 2 2 2 3 2 5" xfId="38373" xr:uid="{188830F8-EF7C-40BE-9C52-AD463CDC381A}"/>
    <cellStyle name="Normal 27 2 2 2 2 3 3" xfId="6687" xr:uid="{3CE079E4-98B7-4AEE-8407-7A8E0D624ABF}"/>
    <cellStyle name="Normal 27 2 2 2 2 3 3 2" xfId="38374" xr:uid="{5F910FD0-EFB0-4D1D-BC8B-A14D1205A067}"/>
    <cellStyle name="Normal 27 2 2 2 2 3 3 2 2" xfId="38375" xr:uid="{D253E156-FD55-4590-842B-E046B46BA92A}"/>
    <cellStyle name="Normal 27 2 2 2 2 3 3 2 2 2" xfId="38376" xr:uid="{58552237-9D79-4E43-BA32-72CA54604E45}"/>
    <cellStyle name="Normal 27 2 2 2 2 3 3 2 3" xfId="38377" xr:uid="{B2104632-8699-4E10-8126-5A053B3DD29D}"/>
    <cellStyle name="Normal 27 2 2 2 2 3 3 3" xfId="38378" xr:uid="{44C254B6-4077-45F1-89F5-2AAD75A706E8}"/>
    <cellStyle name="Normal 27 2 2 2 2 3 3 3 2" xfId="38379" xr:uid="{84169D1B-E409-4C6E-B9CD-95EB406FF249}"/>
    <cellStyle name="Normal 27 2 2 2 2 3 3 4" xfId="38380" xr:uid="{C35F285A-9492-4A90-A3EA-F8BC38708F4A}"/>
    <cellStyle name="Normal 27 2 2 2 2 3 4" xfId="31528" xr:uid="{779CF7B3-07CE-4674-857F-D7605ED36035}"/>
    <cellStyle name="Normal 27 2 2 2 2 3 4 2" xfId="38381" xr:uid="{5ECF9F07-69CE-4BF5-9C46-99F15236883D}"/>
    <cellStyle name="Normal 27 2 2 2 2 3 4 2 2" xfId="38382" xr:uid="{9B4F8638-98B6-4BB3-B60E-9859E7302682}"/>
    <cellStyle name="Normal 27 2 2 2 2 3 4 3" xfId="38383" xr:uid="{844DE1DB-88A7-41D5-909D-94B86E492826}"/>
    <cellStyle name="Normal 27 2 2 2 2 3 5" xfId="38384" xr:uid="{EFB6E362-D5B1-4418-BA5F-726BF4994A58}"/>
    <cellStyle name="Normal 27 2 2 2 2 3 5 2" xfId="38385" xr:uid="{95F095B0-0435-43FF-B6DB-5FEF89A0D272}"/>
    <cellStyle name="Normal 27 2 2 2 2 3 6" xfId="38386" xr:uid="{6B09040C-748F-448D-B5DB-B342C15CEE00}"/>
    <cellStyle name="Normal 27 2 2 2 2 3 7" xfId="38387" xr:uid="{E98C7E00-912F-4325-A67C-B443068DB519}"/>
    <cellStyle name="Normal 27 2 2 2 2 4" xfId="38388" xr:uid="{84884382-F0C7-407A-9C89-D389CF2639D6}"/>
    <cellStyle name="Normal 27 2 2 2 2 4 2" xfId="4328" xr:uid="{DD43869B-ADCE-4418-988C-86C158401355}"/>
    <cellStyle name="Normal 27 2 2 2 2 4 2 2" xfId="38389" xr:uid="{433B6AFD-F038-4D98-A54B-23738F6AED97}"/>
    <cellStyle name="Normal 27 2 2 2 2 4 2 2 2" xfId="19994" xr:uid="{7F643B5D-136A-45C3-A84C-E264B54B9F4A}"/>
    <cellStyle name="Normal 27 2 2 2 2 4 2 2 2 2" xfId="38390" xr:uid="{A2F5961C-2256-4C59-A76C-C6FAF7B327C7}"/>
    <cellStyle name="Normal 27 2 2 2 2 4 2 2 3" xfId="38391" xr:uid="{352BC5CB-BE90-4CF2-821A-8C4B9FE940FE}"/>
    <cellStyle name="Normal 27 2 2 2 2 4 2 3" xfId="38392" xr:uid="{B4CFDC4B-C2E2-4B2F-8B4F-A7F6E261C161}"/>
    <cellStyle name="Normal 27 2 2 2 2 4 2 3 2" xfId="38393" xr:uid="{97F85201-945A-4894-B8A4-C8870AD58999}"/>
    <cellStyle name="Normal 27 2 2 2 2 4 2 4" xfId="38394" xr:uid="{DF034738-C18B-4F8A-847E-64CC6096CAF0}"/>
    <cellStyle name="Normal 27 2 2 2 2 4 3" xfId="31553" xr:uid="{E78EC8EF-EA26-40DC-9A78-8015609FC239}"/>
    <cellStyle name="Normal 27 2 2 2 2 4 3 2" xfId="38395" xr:uid="{ECBD2DA9-4391-4F01-AB1B-E3F432552655}"/>
    <cellStyle name="Normal 27 2 2 2 2 4 3 2 2" xfId="38396" xr:uid="{CC615E10-755A-4D23-AE67-A8AD0B80C9C5}"/>
    <cellStyle name="Normal 27 2 2 2 2 4 3 3" xfId="38397" xr:uid="{EDE4D2CF-E671-44E0-9765-6158E072893B}"/>
    <cellStyle name="Normal 27 2 2 2 2 4 4" xfId="35417" xr:uid="{38919F11-4192-419F-A657-8CB07864BF7D}"/>
    <cellStyle name="Normal 27 2 2 2 2 4 4 2" xfId="38398" xr:uid="{F417CC92-2B77-4F86-B43F-5282365D867A}"/>
    <cellStyle name="Normal 27 2 2 2 2 4 5" xfId="38399" xr:uid="{900553F7-E321-4217-86B9-04964A8F375B}"/>
    <cellStyle name="Normal 27 2 2 2 2 5" xfId="38400" xr:uid="{1C388F3D-760A-4FFC-9A22-712D1F592498}"/>
    <cellStyle name="Normal 27 2 2 2 2 5 2" xfId="38401" xr:uid="{7E9E0CE8-93FC-4528-B1C0-31EE5DD44428}"/>
    <cellStyle name="Normal 27 2 2 2 2 5 2 2" xfId="38402" xr:uid="{4DD869CC-5F4A-42E8-9F5E-4BCE3578C229}"/>
    <cellStyle name="Normal 27 2 2 2 2 5 2 2 2" xfId="38403" xr:uid="{FE71AD06-DAE4-4BF7-916A-3A0609D3B554}"/>
    <cellStyle name="Normal 27 2 2 2 2 5 2 3" xfId="38404" xr:uid="{754A4B70-8CDA-4AD3-8A59-9F8A61C05F8C}"/>
    <cellStyle name="Normal 27 2 2 2 2 5 3" xfId="38405" xr:uid="{B3610147-A023-49C6-9581-0AE9FBA5F62D}"/>
    <cellStyle name="Normal 27 2 2 2 2 5 3 2" xfId="38406" xr:uid="{4B102F80-73D2-4823-90CC-E3D3A28C3165}"/>
    <cellStyle name="Normal 27 2 2 2 2 5 4" xfId="38407" xr:uid="{5C9EEB6E-D26A-42B2-A756-5C6E38FA2571}"/>
    <cellStyle name="Normal 27 2 2 2 2 6" xfId="38408" xr:uid="{25E8AC8E-A019-45F4-9B3B-84E2A6567325}"/>
    <cellStyle name="Normal 27 2 2 2 2 6 2" xfId="38409" xr:uid="{271C2458-0B71-43B6-A153-69FC72CF0D84}"/>
    <cellStyle name="Normal 27 2 2 2 2 6 2 2" xfId="38410" xr:uid="{5FB198B0-5C23-42E0-ADD4-232AF022E2C7}"/>
    <cellStyle name="Normal 27 2 2 2 2 6 3" xfId="38411" xr:uid="{49AC815D-ABC1-43EA-826F-95D8B8044922}"/>
    <cellStyle name="Normal 27 2 2 2 2 7" xfId="38412" xr:uid="{1C94F5D5-2340-491B-994B-6C5030FE3EE2}"/>
    <cellStyle name="Normal 27 2 2 2 2 7 2" xfId="38413" xr:uid="{1B541F53-BC55-4124-A4CA-609C470A742C}"/>
    <cellStyle name="Normal 27 2 2 2 2 8" xfId="38414" xr:uid="{DAFDB862-0BD3-48AD-9827-601ACE6245D7}"/>
    <cellStyle name="Normal 27 2 2 2 2 9" xfId="38415" xr:uid="{376D5713-4C6F-45AD-8373-96ACA2081832}"/>
    <cellStyle name="Normal 27 2 2 2 3" xfId="38416" xr:uid="{62F0835A-67BF-4764-8114-47A0B1A85BEB}"/>
    <cellStyle name="Normal 27 2 2 2 3 2" xfId="38417" xr:uid="{94784690-49D7-48CA-99D9-DF810AAAEC00}"/>
    <cellStyle name="Normal 27 2 2 2 3 2 2" xfId="38418" xr:uid="{A1A605D8-30AA-4819-8836-E7D22D894FA5}"/>
    <cellStyle name="Normal 27 2 2 2 3 2 2 2" xfId="38419" xr:uid="{CE6B4C2C-D6AE-479F-A7C1-840B3B795E42}"/>
    <cellStyle name="Normal 27 2 2 2 3 2 2 2 2" xfId="38420" xr:uid="{639CB141-623F-4EC3-862D-9CFE448B628D}"/>
    <cellStyle name="Normal 27 2 2 2 3 2 2 2 2 2" xfId="38421" xr:uid="{201A8E45-E894-4FA8-829E-6C9552CD39D7}"/>
    <cellStyle name="Normal 27 2 2 2 3 2 2 2 2 2 2" xfId="38422" xr:uid="{679C6CE9-4FA5-48B4-A5D3-4F7CE13CCD5D}"/>
    <cellStyle name="Normal 27 2 2 2 3 2 2 2 2 3" xfId="38423" xr:uid="{061E28B0-85BF-4717-AF2B-A35D47807395}"/>
    <cellStyle name="Normal 27 2 2 2 3 2 2 2 3" xfId="38424" xr:uid="{122EF752-B98D-4AD3-8682-58E080C45D4B}"/>
    <cellStyle name="Normal 27 2 2 2 3 2 2 2 3 2" xfId="38425" xr:uid="{1BC1001F-357F-4F27-8592-FAFCA33B70BE}"/>
    <cellStyle name="Normal 27 2 2 2 3 2 2 2 4" xfId="38426" xr:uid="{C719A451-04C4-4F06-907B-7B858785C805}"/>
    <cellStyle name="Normal 27 2 2 2 3 2 2 3" xfId="38427" xr:uid="{A52AD466-6454-41F6-8FD9-BF12BF4C4DE9}"/>
    <cellStyle name="Normal 27 2 2 2 3 2 2 3 2" xfId="38428" xr:uid="{26581A52-9B45-4D17-B080-D3D118CE2593}"/>
    <cellStyle name="Normal 27 2 2 2 3 2 2 3 2 2" xfId="38429" xr:uid="{ACED5507-2E89-458C-885E-69F732ACE873}"/>
    <cellStyle name="Normal 27 2 2 2 3 2 2 3 3" xfId="38430" xr:uid="{4C511F9D-0B53-4936-8DF5-8E99F7CA9CF4}"/>
    <cellStyle name="Normal 27 2 2 2 3 2 2 4" xfId="38431" xr:uid="{D30E95E5-7008-4D3D-9A08-95D40DC23AF9}"/>
    <cellStyle name="Normal 27 2 2 2 3 2 2 4 2" xfId="38432" xr:uid="{106117DF-5516-4418-8924-2D98B51D53E3}"/>
    <cellStyle name="Normal 27 2 2 2 3 2 2 5" xfId="38433" xr:uid="{F79996DB-CD02-472E-812D-0EADB9F7DEC3}"/>
    <cellStyle name="Normal 27 2 2 2 3 2 3" xfId="38434" xr:uid="{FCAD6D6D-A42C-4F7A-AEB8-A324408658E7}"/>
    <cellStyle name="Normal 27 2 2 2 3 2 3 2" xfId="38435" xr:uid="{1238287F-2A3B-453D-B464-1A9AEB526D82}"/>
    <cellStyle name="Normal 27 2 2 2 3 2 3 2 2" xfId="36611" xr:uid="{C288F7E7-A3D4-4445-86E6-84ADC37FE8F4}"/>
    <cellStyle name="Normal 27 2 2 2 3 2 3 2 2 2" xfId="38436" xr:uid="{B78C54A1-981B-4B6F-B0F9-321FB3B076EA}"/>
    <cellStyle name="Normal 27 2 2 2 3 2 3 2 3" xfId="38437" xr:uid="{78FEA428-4BEF-4F3A-9D70-6FBCC0ADD03F}"/>
    <cellStyle name="Normal 27 2 2 2 3 2 3 3" xfId="38438" xr:uid="{8A235C31-67F7-4B7B-82D9-589E6D5926B8}"/>
    <cellStyle name="Normal 27 2 2 2 3 2 3 3 2" xfId="38439" xr:uid="{6AACAC12-3857-4174-A394-BF9F3EFFE33D}"/>
    <cellStyle name="Normal 27 2 2 2 3 2 3 4" xfId="38440" xr:uid="{9F2215F8-469E-4E90-9A2B-EBE026259435}"/>
    <cellStyle name="Normal 27 2 2 2 3 2 4" xfId="38441" xr:uid="{35F4708A-9EE7-46D0-BD79-4548289C3955}"/>
    <cellStyle name="Normal 27 2 2 2 3 2 4 2" xfId="38442" xr:uid="{A76767D3-DB34-429E-93D4-628C94E51CE6}"/>
    <cellStyle name="Normal 27 2 2 2 3 2 4 2 2" xfId="38443" xr:uid="{6BB70BD4-9D7F-4C85-ADBC-E7642023588B}"/>
    <cellStyle name="Normal 27 2 2 2 3 2 4 3" xfId="38444" xr:uid="{62D6A764-9E54-48A8-A219-3CE76AAF69D2}"/>
    <cellStyle name="Normal 27 2 2 2 3 2 5" xfId="38445" xr:uid="{F44743D8-2067-4780-8B3A-3CC26BC76BD0}"/>
    <cellStyle name="Normal 27 2 2 2 3 2 5 2" xfId="38446" xr:uid="{78A4667C-D158-4A00-B103-104E889C9680}"/>
    <cellStyle name="Normal 27 2 2 2 3 2 6" xfId="38447" xr:uid="{E8731478-6B4E-45AA-9AA1-B95C3FF3EE96}"/>
    <cellStyle name="Normal 27 2 2 2 3 2 7" xfId="38448" xr:uid="{F21F247F-8101-4C65-99FA-5CD27BEEA9C6}"/>
    <cellStyle name="Normal 27 2 2 2 3 3" xfId="38449" xr:uid="{4EC05352-F671-445F-B70A-62C24A9997B5}"/>
    <cellStyle name="Normal 27 2 2 2 3 3 2" xfId="38450" xr:uid="{177906DC-67D3-4129-A45A-FA196CCF2868}"/>
    <cellStyle name="Normal 27 2 2 2 3 3 2 2" xfId="38451" xr:uid="{BFA39ECA-D7CC-493B-BDF3-7449D22A5C0A}"/>
    <cellStyle name="Normal 27 2 2 2 3 3 2 2 2" xfId="38452" xr:uid="{F6B9A87A-8B22-4FBE-8D31-66DBBA5B7C09}"/>
    <cellStyle name="Normal 27 2 2 2 3 3 2 2 2 2" xfId="38453" xr:uid="{496F4963-00BC-4DF1-B62C-4C65F31E43C6}"/>
    <cellStyle name="Normal 27 2 2 2 3 3 2 2 3" xfId="38454" xr:uid="{49886E82-895C-417A-BDD9-DBA658348CE5}"/>
    <cellStyle name="Normal 27 2 2 2 3 3 2 3" xfId="38455" xr:uid="{D95321D9-296E-41F6-90A4-B51F9D5A86D8}"/>
    <cellStyle name="Normal 27 2 2 2 3 3 2 3 2" xfId="38456" xr:uid="{018AB69C-454A-47B0-A0E4-0CEC3929E3CF}"/>
    <cellStyle name="Normal 27 2 2 2 3 3 2 4" xfId="38457" xr:uid="{67AC0A7D-897E-4AC4-9004-750D9840D894}"/>
    <cellStyle name="Normal 27 2 2 2 3 3 3" xfId="38458" xr:uid="{34E4BFB0-8551-4AF4-8E86-271050D69449}"/>
    <cellStyle name="Normal 27 2 2 2 3 3 3 2" xfId="38459" xr:uid="{6F17CA47-7379-43F4-AA69-23933BBB7CC0}"/>
    <cellStyle name="Normal 27 2 2 2 3 3 3 2 2" xfId="34220" xr:uid="{9B92A2A6-EB0B-4EF9-8067-9898FD933CC3}"/>
    <cellStyle name="Normal 27 2 2 2 3 3 3 3" xfId="38460" xr:uid="{3D13F548-3258-4351-98AA-9DAF60D442AD}"/>
    <cellStyle name="Normal 27 2 2 2 3 3 4" xfId="38461" xr:uid="{A9FEE21E-54ED-4096-B4AF-365358E15C7B}"/>
    <cellStyle name="Normal 27 2 2 2 3 3 4 2" xfId="38462" xr:uid="{5677B91B-85D4-4129-ABCB-41E1F168B7B4}"/>
    <cellStyle name="Normal 27 2 2 2 3 3 5" xfId="38463" xr:uid="{6A7AB0D0-5EE0-4ACC-813E-FE63F24A0D9E}"/>
    <cellStyle name="Normal 27 2 2 2 3 4" xfId="38464" xr:uid="{D52C98CC-8BD7-417D-AF67-0E942101E77C}"/>
    <cellStyle name="Normal 27 2 2 2 3 4 2" xfId="38465" xr:uid="{C6CFAF77-7C60-4315-A12E-798A4A7332EF}"/>
    <cellStyle name="Normal 27 2 2 2 3 4 2 2" xfId="38467" xr:uid="{F6CDAD27-3DDB-466C-B8CB-21EB587C6FED}"/>
    <cellStyle name="Normal 27 2 2 2 3 4 2 2 2" xfId="38469" xr:uid="{0EDEB9AE-81D2-4658-8D43-57D59AE19CC0}"/>
    <cellStyle name="Normal 27 2 2 2 3 4 2 3" xfId="38471" xr:uid="{05826E08-2D74-420A-A31F-70996A1464DD}"/>
    <cellStyle name="Normal 27 2 2 2 3 4 3" xfId="38472" xr:uid="{3EC1DECC-EEB4-45E0-8153-6AA0AF6DE11D}"/>
    <cellStyle name="Normal 27 2 2 2 3 4 3 2" xfId="38474" xr:uid="{F92AAC15-BAF7-46B9-9350-360D31C6BA05}"/>
    <cellStyle name="Normal 27 2 2 2 3 4 4" xfId="38475" xr:uid="{55D2DE97-A30C-4CBD-9DFE-55E0926D6F40}"/>
    <cellStyle name="Normal 27 2 2 2 3 5" xfId="38476" xr:uid="{AAE94CBC-07FD-4000-B637-1D7FCCEB522A}"/>
    <cellStyle name="Normal 27 2 2 2 3 5 2" xfId="38477" xr:uid="{742F572A-66AB-4AF0-B7B2-AEB9D234BC91}"/>
    <cellStyle name="Normal 27 2 2 2 3 5 2 2" xfId="38479" xr:uid="{80D5CD95-C2E6-4C01-8913-8273EA8108D3}"/>
    <cellStyle name="Normal 27 2 2 2 3 5 3" xfId="38480" xr:uid="{E6651EF9-EB26-4B19-BA61-95920BA239C1}"/>
    <cellStyle name="Normal 27 2 2 2 3 6" xfId="38481" xr:uid="{F308E267-AC10-4840-BBB0-895B8D27F6A7}"/>
    <cellStyle name="Normal 27 2 2 2 3 6 2" xfId="38482" xr:uid="{D8AF8168-1104-410F-B5B4-284E5AB9EEF4}"/>
    <cellStyle name="Normal 27 2 2 2 3 7" xfId="38483" xr:uid="{8899758C-3EB3-47C2-9E85-2378EA779F75}"/>
    <cellStyle name="Normal 27 2 2 2 3 8" xfId="38484" xr:uid="{829CDFB0-723E-4AB7-B90A-C0F8DBE84222}"/>
    <cellStyle name="Normal 27 2 2 2 4" xfId="38485" xr:uid="{1B519217-1F91-47D2-B51C-3C1A20E3847B}"/>
    <cellStyle name="Normal 27 2 2 2 4 2" xfId="38486" xr:uid="{104F4CEC-B875-44EF-BE53-66576E68D8CD}"/>
    <cellStyle name="Normal 27 2 2 2 4 2 2" xfId="38487" xr:uid="{33C89F12-83CF-4A80-A510-2B68E418BCD7}"/>
    <cellStyle name="Normal 27 2 2 2 4 2 2 2" xfId="38488" xr:uid="{68D4F323-E9A7-4C28-BB93-286B3961E14E}"/>
    <cellStyle name="Normal 27 2 2 2 4 2 2 2 2" xfId="38489" xr:uid="{5C82AFA8-9BA5-4153-8DDE-B799414DB92A}"/>
    <cellStyle name="Normal 27 2 2 2 4 2 2 2 2 2" xfId="38490" xr:uid="{1DE95DDE-0F5D-417C-8F1F-FB526F0C1646}"/>
    <cellStyle name="Normal 27 2 2 2 4 2 2 2 3" xfId="38491" xr:uid="{70AD195E-7F8E-4228-9536-BA9168351FC9}"/>
    <cellStyle name="Normal 27 2 2 2 4 2 2 3" xfId="38492" xr:uid="{59A57D3F-E5B7-462D-9991-DC086EFCBE9A}"/>
    <cellStyle name="Normal 27 2 2 2 4 2 2 3 2" xfId="38493" xr:uid="{792DD15D-207D-44D1-85E4-A4265C59FE21}"/>
    <cellStyle name="Normal 27 2 2 2 4 2 2 4" xfId="38494" xr:uid="{04372D85-0F18-4F0A-ACC1-E544F22A9B83}"/>
    <cellStyle name="Normal 27 2 2 2 4 2 3" xfId="38495" xr:uid="{7E1E5C98-C0F9-4330-B0A6-BCB5DC10CD3F}"/>
    <cellStyle name="Normal 27 2 2 2 4 2 3 2" xfId="38496" xr:uid="{5D676664-0431-445A-9424-DF24EC06BB71}"/>
    <cellStyle name="Normal 27 2 2 2 4 2 3 2 2" xfId="38497" xr:uid="{6A944EDE-4444-4EC6-930D-8B000DCF59D0}"/>
    <cellStyle name="Normal 27 2 2 2 4 2 3 3" xfId="38498" xr:uid="{DE2C1F59-1D32-4BD6-BDA3-0F6F46CB1EE4}"/>
    <cellStyle name="Normal 27 2 2 2 4 2 4" xfId="38499" xr:uid="{EBD139CA-9DD7-491E-961C-5BD1E07606B0}"/>
    <cellStyle name="Normal 27 2 2 2 4 2 4 2" xfId="38500" xr:uid="{C66BD71D-4681-4CC5-8D30-5C2A721DC51F}"/>
    <cellStyle name="Normal 27 2 2 2 4 2 5" xfId="38501" xr:uid="{A900F505-9C32-429B-BFE8-B4F822EA97DF}"/>
    <cellStyle name="Normal 27 2 2 2 4 3" xfId="38502" xr:uid="{A988AE9D-D43A-42C7-A52D-13C7163C0142}"/>
    <cellStyle name="Normal 27 2 2 2 4 3 2" xfId="38503" xr:uid="{234C3CAB-26A1-4611-B019-2ED7DF011BF6}"/>
    <cellStyle name="Normal 27 2 2 2 4 3 2 2" xfId="38504" xr:uid="{CE377183-85B6-4D41-9472-56039AF91D84}"/>
    <cellStyle name="Normal 27 2 2 2 4 3 2 2 2" xfId="38505" xr:uid="{2895FCB6-CA7A-4BB4-A128-D51F8E2CFD94}"/>
    <cellStyle name="Normal 27 2 2 2 4 3 2 3" xfId="38506" xr:uid="{76B18B5F-A88B-49D8-A400-EA178E3D61BE}"/>
    <cellStyle name="Normal 27 2 2 2 4 3 3" xfId="38507" xr:uid="{853D3302-6C8D-47F8-80EC-9B1BAC7EC5DF}"/>
    <cellStyle name="Normal 27 2 2 2 4 3 3 2" xfId="38508" xr:uid="{836A2136-D8ED-4CCC-8AF6-93DE6CE16C0B}"/>
    <cellStyle name="Normal 27 2 2 2 4 3 4" xfId="38509" xr:uid="{0BBC8F87-DBB9-4451-865D-7E7C052E0252}"/>
    <cellStyle name="Normal 27 2 2 2 4 4" xfId="29818" xr:uid="{3E0742AE-CEAF-4FE4-BEA9-5D6D11E88509}"/>
    <cellStyle name="Normal 27 2 2 2 4 4 2" xfId="38510" xr:uid="{FC004A10-C648-4AF5-982C-FB9D6819BB9D}"/>
    <cellStyle name="Normal 27 2 2 2 4 4 2 2" xfId="38512" xr:uid="{CE6C4238-5B24-43C5-8B45-34880BD158B8}"/>
    <cellStyle name="Normal 27 2 2 2 4 4 3" xfId="38513" xr:uid="{AE896B23-D7DB-4370-B7B2-B62621E34D46}"/>
    <cellStyle name="Normal 27 2 2 2 4 5" xfId="38514" xr:uid="{4F4BBEB8-3193-46B0-BAA4-75F5AE6EDF0C}"/>
    <cellStyle name="Normal 27 2 2 2 4 5 2" xfId="38515" xr:uid="{86DE8646-0623-4F87-941B-3DB81316754A}"/>
    <cellStyle name="Normal 27 2 2 2 4 6" xfId="38516" xr:uid="{A20196C8-5EE5-4626-8D24-6E1862E8632C}"/>
    <cellStyle name="Normal 27 2 2 2 4 7" xfId="38517" xr:uid="{369B2B86-9D4A-411E-9A81-047F7DA06ADB}"/>
    <cellStyle name="Normal 27 2 2 2 5" xfId="38518" xr:uid="{675C150C-FB3C-4D13-A062-14DF789B60DF}"/>
    <cellStyle name="Normal 27 2 2 2 5 2" xfId="8385" xr:uid="{C8B961A1-D8A2-4E30-9D59-2B725DE1452D}"/>
    <cellStyle name="Normal 27 2 2 2 5 2 2" xfId="38519" xr:uid="{CA74F54A-7FCE-4CA7-8680-00A8EE8396F0}"/>
    <cellStyle name="Normal 27 2 2 2 5 2 2 2" xfId="38520" xr:uid="{3515AC84-C02F-4930-883D-3B26155F394B}"/>
    <cellStyle name="Normal 27 2 2 2 5 2 2 2 2" xfId="38521" xr:uid="{E8CF28D6-2BE4-4011-B35E-2B8700F1F60C}"/>
    <cellStyle name="Normal 27 2 2 2 5 2 2 3" xfId="38522" xr:uid="{2AC9E209-159D-465D-81DA-E49644BE338E}"/>
    <cellStyle name="Normal 27 2 2 2 5 2 3" xfId="38523" xr:uid="{C79EDADE-2A15-4AB5-A664-8431649891EF}"/>
    <cellStyle name="Normal 27 2 2 2 5 2 3 2" xfId="38524" xr:uid="{00E9DE9A-4960-4A2B-B352-C50B73A597BF}"/>
    <cellStyle name="Normal 27 2 2 2 5 2 4" xfId="38525" xr:uid="{A61ED90A-E8F6-4CB1-852D-9556AE9B05FD}"/>
    <cellStyle name="Normal 27 2 2 2 5 3" xfId="25111" xr:uid="{F805BEFD-6A9D-40D6-9D80-26BA84D983EC}"/>
    <cellStyle name="Normal 27 2 2 2 5 3 2" xfId="38526" xr:uid="{3553A7B9-64C0-4BE4-A441-5369B21F685B}"/>
    <cellStyle name="Normal 27 2 2 2 5 3 2 2" xfId="38527" xr:uid="{EA801977-4A1C-4037-BA70-A47339C19789}"/>
    <cellStyle name="Normal 27 2 2 2 5 3 3" xfId="38528" xr:uid="{23E83765-8E9E-4037-B433-342DA74DB8A2}"/>
    <cellStyle name="Normal 27 2 2 2 5 4" xfId="25114" xr:uid="{45F65BC2-AD00-4E12-BD42-8A94FBF98922}"/>
    <cellStyle name="Normal 27 2 2 2 5 4 2" xfId="38529" xr:uid="{BC9F4B58-ED2C-411A-A282-60E3E83E668F}"/>
    <cellStyle name="Normal 27 2 2 2 5 5" xfId="25117" xr:uid="{B1B6BF61-6C4F-477F-BF51-FA86C506A1D6}"/>
    <cellStyle name="Normal 27 2 2 2 6" xfId="38530" xr:uid="{0FC89881-D250-4762-B814-7A9E39E48A73}"/>
    <cellStyle name="Normal 27 2 2 2 6 2" xfId="38531" xr:uid="{BC07CFB9-98BC-4EC9-844C-3F832D3E81FF}"/>
    <cellStyle name="Normal 27 2 2 2 6 2 2" xfId="38532" xr:uid="{FA0C9D66-4EFE-4068-9369-750ED6F77D62}"/>
    <cellStyle name="Normal 27 2 2 2 6 2 2 2" xfId="38533" xr:uid="{CC849F68-537C-459B-A19D-3ADDDD5D7511}"/>
    <cellStyle name="Normal 27 2 2 2 6 2 3" xfId="38534" xr:uid="{3C2C219B-AB07-468C-9D2D-48B4A5AB1328}"/>
    <cellStyle name="Normal 27 2 2 2 6 3" xfId="38535" xr:uid="{3B554066-C5CB-4240-A641-EA38E82E830D}"/>
    <cellStyle name="Normal 27 2 2 2 6 3 2" xfId="38536" xr:uid="{AB162C80-7D77-4FF6-BEA1-A35D9A3CB9A7}"/>
    <cellStyle name="Normal 27 2 2 2 6 4" xfId="38537" xr:uid="{2D93CFD6-39B9-4B37-9328-D4C079ED8E80}"/>
    <cellStyle name="Normal 27 2 2 2 7" xfId="38538" xr:uid="{1180C1C0-08CD-473F-BE87-0716AFB16A05}"/>
    <cellStyle name="Normal 27 2 2 2 7 2" xfId="38539" xr:uid="{3BAE248E-2852-4DDD-98DE-DCA08531C478}"/>
    <cellStyle name="Normal 27 2 2 2 7 2 2" xfId="38540" xr:uid="{6605D487-9175-41A1-8F54-62DE2DF70BB0}"/>
    <cellStyle name="Normal 27 2 2 2 7 3" xfId="38541" xr:uid="{B2DE0F97-44E9-4981-B316-39C8038DF8FB}"/>
    <cellStyle name="Normal 27 2 2 2 8" xfId="38542" xr:uid="{E61BCC6D-5F8E-401B-A638-CF6E33457712}"/>
    <cellStyle name="Normal 27 2 2 2 8 2" xfId="38543" xr:uid="{5563E854-D505-4006-961B-AFBACDE2D4C4}"/>
    <cellStyle name="Normal 27 2 2 2 9" xfId="38544" xr:uid="{5686ACD5-C6A0-444C-93B3-43CE5ADF6E78}"/>
    <cellStyle name="Normal 27 2 2 3" xfId="7677" xr:uid="{18C78E12-0E72-4BB3-90A0-C81216E88926}"/>
    <cellStyle name="Normal 27 2 2 3 2" xfId="38545" xr:uid="{E6FA7A70-D5AE-41D3-9072-137E824064DE}"/>
    <cellStyle name="Normal 27 2 2 3 2 2" xfId="38547" xr:uid="{5B827F65-FBE0-4A3F-864C-9BB39840827B}"/>
    <cellStyle name="Normal 27 2 2 3 2 2 2" xfId="38548" xr:uid="{68CF30FB-5DA2-486D-8EE9-521D67184D61}"/>
    <cellStyle name="Normal 27 2 2 3 2 2 2 2" xfId="38549" xr:uid="{59D1D26A-4578-4199-AEF0-99F8A22CC5F9}"/>
    <cellStyle name="Normal 27 2 2 3 2 2 2 2 2" xfId="38550" xr:uid="{1282F172-8625-4568-B41F-2DAB15BD6C15}"/>
    <cellStyle name="Normal 27 2 2 3 2 2 2 2 2 2" xfId="38551" xr:uid="{82E0E322-CC36-4EB1-B8D6-0E4CCC8E5254}"/>
    <cellStyle name="Normal 27 2 2 3 2 2 2 2 2 2 2" xfId="38552" xr:uid="{3C4385B2-80BB-4A4B-873B-37445AE579E3}"/>
    <cellStyle name="Normal 27 2 2 3 2 2 2 2 2 3" xfId="38553" xr:uid="{20676E9D-1969-4B25-9FD0-9AE9FF8097D2}"/>
    <cellStyle name="Normal 27 2 2 3 2 2 2 2 3" xfId="38554" xr:uid="{904D0895-BDE1-40E0-A831-C34022A4C8E4}"/>
    <cellStyle name="Normal 27 2 2 3 2 2 2 2 3 2" xfId="38555" xr:uid="{F0FE864A-B89D-42B3-B20E-7825302DC4E9}"/>
    <cellStyle name="Normal 27 2 2 3 2 2 2 2 4" xfId="38556" xr:uid="{E95F2CC1-9DD9-4238-8FBA-87681BC20911}"/>
    <cellStyle name="Normal 27 2 2 3 2 2 2 3" xfId="38557" xr:uid="{9E4A917A-8827-4F63-B601-F61B93D64E08}"/>
    <cellStyle name="Normal 27 2 2 3 2 2 2 3 2" xfId="38558" xr:uid="{56460C13-B5DF-4665-BF37-7FFCF4B4AD1B}"/>
    <cellStyle name="Normal 27 2 2 3 2 2 2 3 2 2" xfId="38559" xr:uid="{691AC1A2-68BE-46B5-9D4C-7DE945D03DBE}"/>
    <cellStyle name="Normal 27 2 2 3 2 2 2 3 3" xfId="38560" xr:uid="{C576BEBD-D78F-4060-B0EC-ED54C5C1D199}"/>
    <cellStyle name="Normal 27 2 2 3 2 2 2 4" xfId="38561" xr:uid="{828B02ED-250A-4251-94A4-8E392A340865}"/>
    <cellStyle name="Normal 27 2 2 3 2 2 2 4 2" xfId="25668" xr:uid="{01763EC1-B772-4C7F-9CA2-8A171A60CBDA}"/>
    <cellStyle name="Normal 27 2 2 3 2 2 2 5" xfId="38562" xr:uid="{1BB46AAF-9759-479D-BB07-0945F15564B6}"/>
    <cellStyle name="Normal 27 2 2 3 2 2 3" xfId="38563" xr:uid="{E0CCC073-EDDA-4069-98FA-A1F0C888AF9C}"/>
    <cellStyle name="Normal 27 2 2 3 2 2 3 2" xfId="38564" xr:uid="{BB62ACE3-1EC8-4DF2-B0A6-70D8EC77882D}"/>
    <cellStyle name="Normal 27 2 2 3 2 2 3 2 2" xfId="38565" xr:uid="{ED7D9848-FF7F-49E5-8EC4-9250DA8D78F9}"/>
    <cellStyle name="Normal 27 2 2 3 2 2 3 2 2 2" xfId="38566" xr:uid="{097D1AA3-E10A-49F2-9DF5-4CE2B6136790}"/>
    <cellStyle name="Normal 27 2 2 3 2 2 3 2 3" xfId="38567" xr:uid="{04EB1AC8-3505-4C9F-A485-0D5C693D7035}"/>
    <cellStyle name="Normal 27 2 2 3 2 2 3 3" xfId="38568" xr:uid="{4B5A9CE2-3F92-4806-9A7E-D83E0CA81D4B}"/>
    <cellStyle name="Normal 27 2 2 3 2 2 3 3 2" xfId="38569" xr:uid="{64183C1B-4CC6-428D-BBFC-358BD526BE32}"/>
    <cellStyle name="Normal 27 2 2 3 2 2 3 4" xfId="38570" xr:uid="{0000995A-1F0A-4CE4-B8D7-C8173AA5E60C}"/>
    <cellStyle name="Normal 27 2 2 3 2 2 4" xfId="38571" xr:uid="{0C774932-A294-414B-B5DD-4ECA29C74EB0}"/>
    <cellStyle name="Normal 27 2 2 3 2 2 4 2" xfId="38572" xr:uid="{35C00B43-65C3-42EC-AFC5-7C0E287115EC}"/>
    <cellStyle name="Normal 27 2 2 3 2 2 4 2 2" xfId="38573" xr:uid="{5C7CD307-FB59-4F5E-8493-7FE40814C7C1}"/>
    <cellStyle name="Normal 27 2 2 3 2 2 4 3" xfId="38574" xr:uid="{A3478C55-6BAC-426F-8432-C957859CAFD6}"/>
    <cellStyle name="Normal 27 2 2 3 2 2 5" xfId="38575" xr:uid="{1C91E760-EEA8-4C4C-A24B-8B3038F1B5C3}"/>
    <cellStyle name="Normal 27 2 2 3 2 2 5 2" xfId="38576" xr:uid="{52C484AF-74FE-46E3-A117-86D3B5E6449E}"/>
    <cellStyle name="Normal 27 2 2 3 2 2 6" xfId="38577" xr:uid="{45BE5EEE-DE17-4A51-8BBC-831EE1764B54}"/>
    <cellStyle name="Normal 27 2 2 3 2 2 7" xfId="38578" xr:uid="{6E649007-59D5-42DE-A1D1-BD8556896056}"/>
    <cellStyle name="Normal 27 2 2 3 2 3" xfId="38579" xr:uid="{07B8D7E5-2FDA-42E3-A925-ADED78FED176}"/>
    <cellStyle name="Normal 27 2 2 3 2 3 2" xfId="38580" xr:uid="{5C75C068-DE9F-47BC-B180-DB842F71A353}"/>
    <cellStyle name="Normal 27 2 2 3 2 3 2 2" xfId="38581" xr:uid="{74C474D7-CF8B-4171-959F-A2977BC13B52}"/>
    <cellStyle name="Normal 27 2 2 3 2 3 2 2 2" xfId="38582" xr:uid="{3E6F13A9-FC8A-4B1D-8472-D3B16BA88F87}"/>
    <cellStyle name="Normal 27 2 2 3 2 3 2 2 2 2" xfId="38583" xr:uid="{EA887A61-0CDC-4725-80B3-085F4653519B}"/>
    <cellStyle name="Normal 27 2 2 3 2 3 2 2 3" xfId="38584" xr:uid="{DEFC0F1D-0235-424E-9FEE-A3B083FCC737}"/>
    <cellStyle name="Normal 27 2 2 3 2 3 2 3" xfId="38585" xr:uid="{E9E8B4C7-E4CF-47C4-8CBD-281692384182}"/>
    <cellStyle name="Normal 27 2 2 3 2 3 2 3 2" xfId="38586" xr:uid="{E9B47D97-EB95-4916-B9E2-363C02F6AA61}"/>
    <cellStyle name="Normal 27 2 2 3 2 3 2 4" xfId="38587" xr:uid="{6B11427C-0B7C-481D-9256-7AAD4BD67C12}"/>
    <cellStyle name="Normal 27 2 2 3 2 3 3" xfId="38588" xr:uid="{3BBCBD24-3533-4A00-B398-DCB7E7FEE423}"/>
    <cellStyle name="Normal 27 2 2 3 2 3 3 2" xfId="38589" xr:uid="{893AD46B-BD86-4311-9585-5F8503EADBFC}"/>
    <cellStyle name="Normal 27 2 2 3 2 3 3 2 2" xfId="38590" xr:uid="{6200EB52-461A-4225-B211-2DD04D587ABC}"/>
    <cellStyle name="Normal 27 2 2 3 2 3 3 3" xfId="38591" xr:uid="{CBE3E42D-9FF8-45C6-ADB5-E51F0210934A}"/>
    <cellStyle name="Normal 27 2 2 3 2 3 4" xfId="38592" xr:uid="{46A4DA1E-A17C-46C9-8DDB-99324A605C3A}"/>
    <cellStyle name="Normal 27 2 2 3 2 3 4 2" xfId="35464" xr:uid="{6385D40C-467B-425B-A930-A627C862FD5A}"/>
    <cellStyle name="Normal 27 2 2 3 2 3 5" xfId="38593" xr:uid="{2E8E95E1-E272-423C-8FB7-5E03B2DF46B3}"/>
    <cellStyle name="Normal 27 2 2 3 2 4" xfId="38594" xr:uid="{812A7E70-5032-454F-BA1C-D94E7DDBC383}"/>
    <cellStyle name="Normal 27 2 2 3 2 4 2" xfId="38595" xr:uid="{3428BF7D-07B2-434B-B10B-4AC7C5ADE729}"/>
    <cellStyle name="Normal 27 2 2 3 2 4 2 2" xfId="38596" xr:uid="{CDBF777B-2580-46AA-A372-7C4D4A7E63F2}"/>
    <cellStyle name="Normal 27 2 2 3 2 4 2 2 2" xfId="38597" xr:uid="{DB15023E-6CA5-49AF-9D9D-5A292BB321AD}"/>
    <cellStyle name="Normal 27 2 2 3 2 4 2 3" xfId="38598" xr:uid="{3D4C54C5-FD84-4E7C-8720-B17D09F5AFA4}"/>
    <cellStyle name="Normal 27 2 2 3 2 4 3" xfId="38599" xr:uid="{7DD02271-252F-44E4-8063-C998C54F236B}"/>
    <cellStyle name="Normal 27 2 2 3 2 4 3 2" xfId="38600" xr:uid="{66AA334F-EDDC-47F5-973A-F9A7EFD4FE7B}"/>
    <cellStyle name="Normal 27 2 2 3 2 4 4" xfId="38601" xr:uid="{08A78A2C-A15E-442A-93D4-4B66906D18C8}"/>
    <cellStyle name="Normal 27 2 2 3 2 5" xfId="38602" xr:uid="{2B9A4912-6945-4BE8-8940-1BF600C6221F}"/>
    <cellStyle name="Normal 27 2 2 3 2 5 2" xfId="38603" xr:uid="{59238436-A413-474D-AF98-343826DB5D35}"/>
    <cellStyle name="Normal 27 2 2 3 2 5 2 2" xfId="38604" xr:uid="{B3C2E32F-1837-4BBB-A05F-69087F86DE57}"/>
    <cellStyle name="Normal 27 2 2 3 2 5 3" xfId="38605" xr:uid="{F1993788-0E47-4C9F-B017-F7692FF94118}"/>
    <cellStyle name="Normal 27 2 2 3 2 6" xfId="38606" xr:uid="{D579E455-B8ED-45D7-A409-E9407F2EBEDF}"/>
    <cellStyle name="Normal 27 2 2 3 2 6 2" xfId="38607" xr:uid="{38F54089-7FB6-4476-8330-933B77EFE6E8}"/>
    <cellStyle name="Normal 27 2 2 3 2 7" xfId="38608" xr:uid="{D7B684A7-7A95-468A-81DF-9560C361FC31}"/>
    <cellStyle name="Normal 27 2 2 3 2 8" xfId="38609" xr:uid="{AF879471-6FF5-4EC5-9328-FDFEB800E0D3}"/>
    <cellStyle name="Normal 27 2 2 3 3" xfId="38610" xr:uid="{881DF0AC-3A49-4A24-B284-FF3FDCD7DDB0}"/>
    <cellStyle name="Normal 27 2 2 3 3 2" xfId="38611" xr:uid="{519BC497-7C48-4DBC-ACF5-3A9940EE3764}"/>
    <cellStyle name="Normal 27 2 2 3 3 2 2" xfId="38612" xr:uid="{B12217B1-C6FD-4622-930F-A9950D99C2B3}"/>
    <cellStyle name="Normal 27 2 2 3 3 2 2 2" xfId="38614" xr:uid="{BADB1C00-C860-4260-9DC2-F634C08FDF7B}"/>
    <cellStyle name="Normal 27 2 2 3 3 2 2 2 2" xfId="38615" xr:uid="{61734B1C-2289-4C9E-845A-82C66C5AD44F}"/>
    <cellStyle name="Normal 27 2 2 3 3 2 2 2 2 2" xfId="38616" xr:uid="{008B86AF-0B1E-4D61-A0F5-B2AD45A2FCCC}"/>
    <cellStyle name="Normal 27 2 2 3 3 2 2 2 3" xfId="38617" xr:uid="{0C7DC652-7EDF-41B8-92C2-F3D42AFF561D}"/>
    <cellStyle name="Normal 27 2 2 3 3 2 2 3" xfId="38618" xr:uid="{054CCD32-8BC2-4AD0-B1B3-E8D28B75CE2B}"/>
    <cellStyle name="Normal 27 2 2 3 3 2 2 3 2" xfId="38619" xr:uid="{86EB3C0A-71B0-4259-99AD-870A44483831}"/>
    <cellStyle name="Normal 27 2 2 3 3 2 2 4" xfId="38620" xr:uid="{A2DA7978-3799-4A17-A4C0-D40AC566C0D2}"/>
    <cellStyle name="Normal 27 2 2 3 3 2 3" xfId="38621" xr:uid="{1E2EACEF-BF95-452D-AF61-97543A18F5AA}"/>
    <cellStyle name="Normal 27 2 2 3 3 2 3 2" xfId="38623" xr:uid="{CD02F776-D096-4EB9-A157-ABB670D1F863}"/>
    <cellStyle name="Normal 27 2 2 3 3 2 3 2 2" xfId="38624" xr:uid="{784E5DAC-9868-4514-BB70-E942B4DF1C52}"/>
    <cellStyle name="Normal 27 2 2 3 3 2 3 3" xfId="38625" xr:uid="{285B1AFF-AB2E-41A8-B0ED-4E78D627DDCB}"/>
    <cellStyle name="Normal 27 2 2 3 3 2 4" xfId="38626" xr:uid="{79D8D5DE-A197-4561-966C-F794475F0B74}"/>
    <cellStyle name="Normal 27 2 2 3 3 2 4 2" xfId="38627" xr:uid="{5F3AA7F8-53D4-42CC-BF53-D0DD9CA314AC}"/>
    <cellStyle name="Normal 27 2 2 3 3 2 5" xfId="38628" xr:uid="{E080CB49-FA29-4C08-B65A-78AF500ACC31}"/>
    <cellStyle name="Normal 27 2 2 3 3 3" xfId="38629" xr:uid="{0A69FF43-0A6A-4EBB-92D3-6276A6768062}"/>
    <cellStyle name="Normal 27 2 2 3 3 3 2" xfId="38630" xr:uid="{EC7BC65C-56E3-4CBA-85A7-D054E9EABFE1}"/>
    <cellStyle name="Normal 27 2 2 3 3 3 2 2" xfId="38632" xr:uid="{944C731D-6386-433C-BF12-2DC1DE399531}"/>
    <cellStyle name="Normal 27 2 2 3 3 3 2 2 2" xfId="38633" xr:uid="{C7EB3D85-B267-47B2-9E18-2A4A227AAC5D}"/>
    <cellStyle name="Normal 27 2 2 3 3 3 2 3" xfId="38634" xr:uid="{FCD6531B-D836-4C99-B1D4-BB683AE611E9}"/>
    <cellStyle name="Normal 27 2 2 3 3 3 3" xfId="38635" xr:uid="{01D9163A-7FAD-40EE-AD10-7195B60410DA}"/>
    <cellStyle name="Normal 27 2 2 3 3 3 3 2" xfId="38636" xr:uid="{60F1D0AD-D813-4B32-BD26-8CE0F176F55E}"/>
    <cellStyle name="Normal 27 2 2 3 3 3 4" xfId="38637" xr:uid="{D7EFB956-7C51-462B-A6A7-4F2E9C156D07}"/>
    <cellStyle name="Normal 27 2 2 3 3 4" xfId="3948" xr:uid="{6363164A-867D-434A-BE5D-DA8A90C4F65D}"/>
    <cellStyle name="Normal 27 2 2 3 3 4 2" xfId="38638" xr:uid="{A10F6AD1-102D-4914-89B2-4C08D49D1F06}"/>
    <cellStyle name="Normal 27 2 2 3 3 4 2 2" xfId="36228" xr:uid="{5290F6A0-2B4A-466A-868D-98FB5A49BDAF}"/>
    <cellStyle name="Normal 27 2 2 3 3 4 3" xfId="38639" xr:uid="{2A87C479-FA88-4E9C-999E-F3E041925BD1}"/>
    <cellStyle name="Normal 27 2 2 3 3 5" xfId="38640" xr:uid="{6EB32527-710B-4054-8845-7C9AEA918A12}"/>
    <cellStyle name="Normal 27 2 2 3 3 5 2" xfId="38641" xr:uid="{5974265E-12BE-498F-9F11-B6FF1677B38F}"/>
    <cellStyle name="Normal 27 2 2 3 3 6" xfId="38642" xr:uid="{6E896F01-3FAC-438E-8E02-5E18FF524786}"/>
    <cellStyle name="Normal 27 2 2 3 3 7" xfId="38643" xr:uid="{4906AF9D-07AB-4BD1-ACE3-1C12EB192071}"/>
    <cellStyle name="Normal 27 2 2 3 4" xfId="38644" xr:uid="{6834E6DE-1DE6-4AA1-B1E3-E6803399D01D}"/>
    <cellStyle name="Normal 27 2 2 3 4 2" xfId="38645" xr:uid="{F8F705E3-D8EF-4D29-A676-6116F8636D09}"/>
    <cellStyle name="Normal 27 2 2 3 4 2 2" xfId="38646" xr:uid="{A3C835E4-DAD2-47AA-9656-D1751BA09C59}"/>
    <cellStyle name="Normal 27 2 2 3 4 2 2 2" xfId="38648" xr:uid="{0C08D14F-AF73-457E-9FAC-733AF4543141}"/>
    <cellStyle name="Normal 27 2 2 3 4 2 2 2 2" xfId="38649" xr:uid="{84072E06-BBD1-4C54-8DEB-9133D83FCEA6}"/>
    <cellStyle name="Normal 27 2 2 3 4 2 2 3" xfId="38650" xr:uid="{3AF71561-3F12-4C7A-80EE-5AC3ED481949}"/>
    <cellStyle name="Normal 27 2 2 3 4 2 3" xfId="38651" xr:uid="{249E4E09-94A1-4ED0-AEBE-1284B391740D}"/>
    <cellStyle name="Normal 27 2 2 3 4 2 3 2" xfId="38653" xr:uid="{5A991301-263C-456B-8B97-1FCE3E73552D}"/>
    <cellStyle name="Normal 27 2 2 3 4 2 4" xfId="38654" xr:uid="{A192B208-EBC7-4E4D-BF0B-34A76524C0EF}"/>
    <cellStyle name="Normal 27 2 2 3 4 3" xfId="38655" xr:uid="{8F525140-A6E3-4083-BE18-F6B2EF170F8C}"/>
    <cellStyle name="Normal 27 2 2 3 4 3 2" xfId="38656" xr:uid="{E1099106-8D44-4509-A257-DE37FEC71723}"/>
    <cellStyle name="Normal 27 2 2 3 4 3 2 2" xfId="38658" xr:uid="{7046DEEA-85D8-4D3A-A6FA-D6E1FC3EE66F}"/>
    <cellStyle name="Normal 27 2 2 3 4 3 3" xfId="38659" xr:uid="{378DB7B0-E510-4AFC-BDF3-8C2D7BF31F9E}"/>
    <cellStyle name="Normal 27 2 2 3 4 4" xfId="38660" xr:uid="{0326002A-93D0-4801-92F8-C514E825AF6E}"/>
    <cellStyle name="Normal 27 2 2 3 4 4 2" xfId="38661" xr:uid="{3DBDEE46-E6C1-4AAE-B4B0-6F407F5FCE40}"/>
    <cellStyle name="Normal 27 2 2 3 4 5" xfId="38662" xr:uid="{51DCD412-4226-489A-9818-B263906A1DE2}"/>
    <cellStyle name="Normal 27 2 2 3 5" xfId="38663" xr:uid="{491E4E1D-2A4E-4577-8305-0F223C155F82}"/>
    <cellStyle name="Normal 27 2 2 3 5 2" xfId="25214" xr:uid="{F718E67D-0C76-4FC0-B09A-C0CED107D6B2}"/>
    <cellStyle name="Normal 27 2 2 3 5 2 2" xfId="38664" xr:uid="{F9555F5E-A69B-4D81-BFEB-2440BF29BE86}"/>
    <cellStyle name="Normal 27 2 2 3 5 2 2 2" xfId="38665" xr:uid="{A39772DC-E24F-464B-B8E9-BFF763808EC0}"/>
    <cellStyle name="Normal 27 2 2 3 5 2 3" xfId="38666" xr:uid="{B0757E7F-26CF-45D8-B044-9C89DB13C3BD}"/>
    <cellStyle name="Normal 27 2 2 3 5 3" xfId="38667" xr:uid="{C9786C68-BA8E-44CC-A85B-123567C7E290}"/>
    <cellStyle name="Normal 27 2 2 3 5 3 2" xfId="38668" xr:uid="{F8126213-5701-4A2A-B928-900027D57D11}"/>
    <cellStyle name="Normal 27 2 2 3 5 4" xfId="38669" xr:uid="{E1802C27-408A-4C27-9D00-47A91DF62FA6}"/>
    <cellStyle name="Normal 27 2 2 3 6" xfId="38670" xr:uid="{FE07FBA7-8F41-4731-BFBF-D3CAA07C15D8}"/>
    <cellStyle name="Normal 27 2 2 3 6 2" xfId="38671" xr:uid="{32D283F1-FBB9-4CB4-8A21-3DAB51626AF6}"/>
    <cellStyle name="Normal 27 2 2 3 6 2 2" xfId="38672" xr:uid="{335F75E7-D520-4161-96B7-F6D8AEAF7954}"/>
    <cellStyle name="Normal 27 2 2 3 6 3" xfId="38673" xr:uid="{2A7451AA-0D03-4EC8-B4B4-D08865E137AF}"/>
    <cellStyle name="Normal 27 2 2 3 7" xfId="38674" xr:uid="{9A937C60-9F00-4A66-959A-3B7C09C38014}"/>
    <cellStyle name="Normal 27 2 2 3 7 2" xfId="38675" xr:uid="{5E9289F8-5FC8-4BFD-A91C-73C1BE8B6172}"/>
    <cellStyle name="Normal 27 2 2 3 8" xfId="38676" xr:uid="{F6A3BAF9-F61C-46FB-BAAC-9C24E465A9B6}"/>
    <cellStyle name="Normal 27 2 2 3 9" xfId="38677" xr:uid="{A104929E-0F7D-4A9F-9D61-C7929C845FE2}"/>
    <cellStyle name="Normal 27 2 2 4" xfId="38678" xr:uid="{EBFF2E6D-9F66-43BA-97EF-1780A28F052E}"/>
    <cellStyle name="Normal 27 2 2 4 2" xfId="38679" xr:uid="{7C17F883-ACAC-4F61-A379-EBC7E8CFAAE2}"/>
    <cellStyle name="Normal 27 2 2 4 2 2" xfId="38680" xr:uid="{C41C7498-3C4C-4A1F-820D-F5CA757C114D}"/>
    <cellStyle name="Normal 27 2 2 4 2 2 2" xfId="38681" xr:uid="{57E1F352-3701-4566-82B0-29CF50EF45EE}"/>
    <cellStyle name="Normal 27 2 2 4 2 2 2 2" xfId="38682" xr:uid="{13E48BA6-A045-4DC5-8264-89E11E3D98A2}"/>
    <cellStyle name="Normal 27 2 2 4 2 2 2 2 2" xfId="38683" xr:uid="{DCFCD312-307E-4F20-9FD1-01F67815A1BF}"/>
    <cellStyle name="Normal 27 2 2 4 2 2 2 2 2 2" xfId="38684" xr:uid="{840DAEBB-1EEC-4B69-828C-79DFB5FE3438}"/>
    <cellStyle name="Normal 27 2 2 4 2 2 2 2 3" xfId="38685" xr:uid="{831AB117-27FA-40C7-8F74-1B9B7F5CAF58}"/>
    <cellStyle name="Normal 27 2 2 4 2 2 2 3" xfId="38686" xr:uid="{112D61D3-E410-46CE-B355-AE1901BEE671}"/>
    <cellStyle name="Normal 27 2 2 4 2 2 2 3 2" xfId="38687" xr:uid="{460F4CEA-BBF1-45E0-AB39-436CA18E13E2}"/>
    <cellStyle name="Normal 27 2 2 4 2 2 2 4" xfId="38688" xr:uid="{BF7F4077-F259-4605-806F-4B44A42BED1C}"/>
    <cellStyle name="Normal 27 2 2 4 2 2 3" xfId="38689" xr:uid="{2AA85645-1AB1-4BB9-8F68-0799AB766500}"/>
    <cellStyle name="Normal 27 2 2 4 2 2 3 2" xfId="38690" xr:uid="{3F62D92A-D78E-47F5-AF92-ED8233733810}"/>
    <cellStyle name="Normal 27 2 2 4 2 2 3 2 2" xfId="38691" xr:uid="{97067AEB-5A5E-4059-8914-40DD50AF9531}"/>
    <cellStyle name="Normal 27 2 2 4 2 2 3 3" xfId="38692" xr:uid="{BD458CE3-8E4F-42BE-8D3C-F1D947BD8A9C}"/>
    <cellStyle name="Normal 27 2 2 4 2 2 4" xfId="38693" xr:uid="{72C16B56-96ED-41EE-9BAE-23437A0AE430}"/>
    <cellStyle name="Normal 27 2 2 4 2 2 4 2" xfId="38694" xr:uid="{42E62D02-2EAC-43DB-A7AB-1F8CBA45A6B4}"/>
    <cellStyle name="Normal 27 2 2 4 2 2 5" xfId="38695" xr:uid="{12F00016-4851-42CF-9227-4CC76E669B6D}"/>
    <cellStyle name="Normal 27 2 2 4 2 3" xfId="4632" xr:uid="{39DF693B-A561-4391-8E09-02CE8CAB46E3}"/>
    <cellStyle name="Normal 27 2 2 4 2 3 2" xfId="30520" xr:uid="{7B4A4818-4928-4084-81A2-561602A75975}"/>
    <cellStyle name="Normal 27 2 2 4 2 3 2 2" xfId="30522" xr:uid="{CFC900C1-F54A-4F81-B4A9-78D71333B442}"/>
    <cellStyle name="Normal 27 2 2 4 2 3 2 2 2" xfId="38696" xr:uid="{8940344A-1277-4C5E-BB15-A7597AA38D48}"/>
    <cellStyle name="Normal 27 2 2 4 2 3 2 3" xfId="38697" xr:uid="{B76DB5D6-137F-46A8-BD96-48F5F82EA985}"/>
    <cellStyle name="Normal 27 2 2 4 2 3 3" xfId="30524" xr:uid="{C21BD7E1-8F1B-49A7-9C53-7A67D76156B2}"/>
    <cellStyle name="Normal 27 2 2 4 2 3 3 2" xfId="38698" xr:uid="{D8BAE9F4-5EA8-42A4-962D-E281017C451E}"/>
    <cellStyle name="Normal 27 2 2 4 2 3 4" xfId="38699" xr:uid="{F4724FA3-CF52-4E6A-92A8-42CD9C9E85EB}"/>
    <cellStyle name="Normal 27 2 2 4 2 4" xfId="13094" xr:uid="{1B29D2CD-39BE-4A40-BC1C-6B3FB3790074}"/>
    <cellStyle name="Normal 27 2 2 4 2 4 2" xfId="25832" xr:uid="{CB5D0C57-8089-4E78-83C5-2695711BF44F}"/>
    <cellStyle name="Normal 27 2 2 4 2 4 2 2" xfId="38700" xr:uid="{40DCCE53-CBCD-4CC8-8A4D-1F46430DAA73}"/>
    <cellStyle name="Normal 27 2 2 4 2 4 3" xfId="38701" xr:uid="{969F5B48-FE45-4161-B122-8C79811F17EA}"/>
    <cellStyle name="Normal 27 2 2 4 2 5" xfId="21193" xr:uid="{A7E7D694-3412-4E74-AC17-3EF0204EF676}"/>
    <cellStyle name="Normal 27 2 2 4 2 5 2" xfId="38702" xr:uid="{A31E3734-F51A-44AD-A45D-7E087B532E44}"/>
    <cellStyle name="Normal 27 2 2 4 2 6" xfId="38703" xr:uid="{9A14D877-15DF-4265-B15A-E20C23CD9322}"/>
    <cellStyle name="Normal 27 2 2 4 2 7" xfId="38704" xr:uid="{A8A8D8E4-A5B8-4DCF-BB42-131B3A383D1C}"/>
    <cellStyle name="Normal 27 2 2 4 3" xfId="38705" xr:uid="{36621983-0CA7-49C1-8820-DDAE8B4680A8}"/>
    <cellStyle name="Normal 27 2 2 4 3 2" xfId="38706" xr:uid="{8BDE7096-BAC6-4687-8D87-076907B1F462}"/>
    <cellStyle name="Normal 27 2 2 4 3 2 2" xfId="38707" xr:uid="{DCFB6090-9BB2-4111-9EBB-BC9332BBD4E5}"/>
    <cellStyle name="Normal 27 2 2 4 3 2 2 2" xfId="38708" xr:uid="{313256B9-0442-4BC1-8F21-06C29EB4EA1A}"/>
    <cellStyle name="Normal 27 2 2 4 3 2 2 2 2" xfId="38709" xr:uid="{6CAC6A5E-CE12-4787-A45E-E86759BAE5C1}"/>
    <cellStyle name="Normal 27 2 2 4 3 2 2 3" xfId="38710" xr:uid="{E58F7262-B7DE-42E7-8D17-A8DE6E341C71}"/>
    <cellStyle name="Normal 27 2 2 4 3 2 3" xfId="38711" xr:uid="{504AE651-B5F8-43F7-8B18-C119A1995B29}"/>
    <cellStyle name="Normal 27 2 2 4 3 2 3 2" xfId="38712" xr:uid="{88368969-FC6A-47F9-90B7-CFE2517D57E2}"/>
    <cellStyle name="Normal 27 2 2 4 3 2 4" xfId="38713" xr:uid="{8FE755DA-249D-4AF4-9958-DB57D32F9615}"/>
    <cellStyle name="Normal 27 2 2 4 3 3" xfId="13160" xr:uid="{3DE05E81-1795-4C1B-B61E-046E49E4CEAA}"/>
    <cellStyle name="Normal 27 2 2 4 3 3 2" xfId="30528" xr:uid="{2B041ADE-1D53-4DB2-B403-11EBF9BADCDE}"/>
    <cellStyle name="Normal 27 2 2 4 3 3 2 2" xfId="38714" xr:uid="{81D28836-DD5B-4A35-8DC4-A9A2A9D67025}"/>
    <cellStyle name="Normal 27 2 2 4 3 3 3" xfId="38715" xr:uid="{92F7B5CB-AB6F-4B3C-9D9C-43C854D655A1}"/>
    <cellStyle name="Normal 27 2 2 4 3 4" xfId="30531" xr:uid="{24B3B2AD-83CE-48E1-ACEE-00B5B2D9FF33}"/>
    <cellStyle name="Normal 27 2 2 4 3 4 2" xfId="38716" xr:uid="{CC3A4B9E-4730-430A-9B18-A9EC90B1CC13}"/>
    <cellStyle name="Normal 27 2 2 4 3 5" xfId="38717" xr:uid="{7D8B2275-9600-4D9C-BE4B-C8E90261749E}"/>
    <cellStyle name="Normal 27 2 2 4 4" xfId="38718" xr:uid="{33ADADBD-7C69-4CAC-9CC9-96FA99434589}"/>
    <cellStyle name="Normal 27 2 2 4 4 2" xfId="38719" xr:uid="{D2ECCFFD-A5F7-440E-AEF7-8FE5EF92BF62}"/>
    <cellStyle name="Normal 27 2 2 4 4 2 2" xfId="38720" xr:uid="{9951D103-A2E0-4DE3-8FC6-6FD8E1FAC385}"/>
    <cellStyle name="Normal 27 2 2 4 4 2 2 2" xfId="38721" xr:uid="{CC8D3597-3390-4A52-B058-296630F508AE}"/>
    <cellStyle name="Normal 27 2 2 4 4 2 3" xfId="38722" xr:uid="{A9CE7535-8D0C-4A9C-8CFB-88C0F9400B41}"/>
    <cellStyle name="Normal 27 2 2 4 4 3" xfId="30535" xr:uid="{1E503A06-392C-4883-9B6A-65F84F0AE73B}"/>
    <cellStyle name="Normal 27 2 2 4 4 3 2" xfId="38723" xr:uid="{F14BA865-A2F0-4C0D-8F52-D10A5B505725}"/>
    <cellStyle name="Normal 27 2 2 4 4 4" xfId="38724" xr:uid="{D07981CC-99EA-429C-80B9-7FB3CA2DCA06}"/>
    <cellStyle name="Normal 27 2 2 4 5" xfId="38725" xr:uid="{967A0CAB-4B46-4772-8B50-9F87877216AD}"/>
    <cellStyle name="Normal 27 2 2 4 5 2" xfId="38726" xr:uid="{2B378767-B0E9-4296-BB40-2D741BCF1270}"/>
    <cellStyle name="Normal 27 2 2 4 5 2 2" xfId="38727" xr:uid="{839B7545-CBD0-4CB6-BFF0-FBC4EB3F9B77}"/>
    <cellStyle name="Normal 27 2 2 4 5 3" xfId="38728" xr:uid="{6DA2A3D4-95FD-4516-8536-1B89535FE465}"/>
    <cellStyle name="Normal 27 2 2 4 6" xfId="38729" xr:uid="{1A052468-64C1-4E08-AA38-1EFBBFCD7F27}"/>
    <cellStyle name="Normal 27 2 2 4 6 2" xfId="38730" xr:uid="{E6C6DF11-3852-4F45-A567-81ADDBC5C56D}"/>
    <cellStyle name="Normal 27 2 2 4 7" xfId="38731" xr:uid="{3E807C1C-FDAD-40ED-96B8-3662DE134A7A}"/>
    <cellStyle name="Normal 27 2 2 4 8" xfId="38732" xr:uid="{060817AA-6330-4FFB-9C7E-8181BE894949}"/>
    <cellStyle name="Normal 27 2 2 5" xfId="38733" xr:uid="{CAF5C0FC-11C4-4A84-96C1-C968AD611A12}"/>
    <cellStyle name="Normal 27 2 2 5 2" xfId="38734" xr:uid="{607BE502-8CE7-44AD-859A-D5E299DC9CF8}"/>
    <cellStyle name="Normal 27 2 2 5 2 2" xfId="38735" xr:uid="{42829620-07A9-41C1-9EE7-295F2FC7AC17}"/>
    <cellStyle name="Normal 27 2 2 5 2 2 2" xfId="38736" xr:uid="{8B98F2F7-080B-405B-ACC3-B0726BD22EF3}"/>
    <cellStyle name="Normal 27 2 2 5 2 2 2 2" xfId="38737" xr:uid="{D2C794D1-55FD-4B4F-9225-2ECEC0F72779}"/>
    <cellStyle name="Normal 27 2 2 5 2 2 2 2 2" xfId="38738" xr:uid="{5B94CF81-497A-4AD0-851B-4D200DC9BF7B}"/>
    <cellStyle name="Normal 27 2 2 5 2 2 2 3" xfId="38739" xr:uid="{74362D05-FFF6-4EF5-89EF-3CC69DADF3AC}"/>
    <cellStyle name="Normal 27 2 2 5 2 2 3" xfId="38740" xr:uid="{324FBFC4-D229-4B59-A8FC-A1796A80046A}"/>
    <cellStyle name="Normal 27 2 2 5 2 2 3 2" xfId="38741" xr:uid="{875C633A-DCA6-4DB4-BBE8-5E4D02CE4680}"/>
    <cellStyle name="Normal 27 2 2 5 2 2 4" xfId="38742" xr:uid="{D670F70C-9605-445B-9E77-8552DE894D6D}"/>
    <cellStyle name="Normal 27 2 2 5 2 3" xfId="13293" xr:uid="{062B7CF9-A337-4680-9976-CD77AB7BCD69}"/>
    <cellStyle name="Normal 27 2 2 5 2 3 2" xfId="30540" xr:uid="{4E4167D1-7DE3-4348-AC14-DB4EE6032374}"/>
    <cellStyle name="Normal 27 2 2 5 2 3 2 2" xfId="38743" xr:uid="{93FFAB83-7F30-42B6-974E-C40A0836FFBF}"/>
    <cellStyle name="Normal 27 2 2 5 2 3 3" xfId="38744" xr:uid="{A9A28337-7610-4737-9F1C-DD3C63D1B909}"/>
    <cellStyle name="Normal 27 2 2 5 2 4" xfId="30542" xr:uid="{CB28FA0D-AB27-41AF-8C4D-6FE2752A2F41}"/>
    <cellStyle name="Normal 27 2 2 5 2 4 2" xfId="38745" xr:uid="{3C82DC20-8E4A-4B5F-8DF8-500E2F13E959}"/>
    <cellStyle name="Normal 27 2 2 5 2 5" xfId="38746" xr:uid="{676AC3CD-867D-4616-95C4-8653FDFD1265}"/>
    <cellStyle name="Normal 27 2 2 5 3" xfId="38747" xr:uid="{EBA3DB50-101A-4762-8C69-2DC2D5FE3C75}"/>
    <cellStyle name="Normal 27 2 2 5 3 2" xfId="38748" xr:uid="{D2906A46-0001-4F5D-B01D-8F323B26C094}"/>
    <cellStyle name="Normal 27 2 2 5 3 2 2" xfId="38749" xr:uid="{94541D1A-749B-44DA-9AA7-B8A029C91374}"/>
    <cellStyle name="Normal 27 2 2 5 3 2 2 2" xfId="38750" xr:uid="{C1C3277E-7A87-4D7B-A238-3F613AFB87BE}"/>
    <cellStyle name="Normal 27 2 2 5 3 2 3" xfId="38751" xr:uid="{27B2E619-522C-446B-BB5F-8D8D63AE8C80}"/>
    <cellStyle name="Normal 27 2 2 5 3 3" xfId="30546" xr:uid="{BC0ABFB3-CAE3-4B67-A95A-458FC060C87C}"/>
    <cellStyle name="Normal 27 2 2 5 3 3 2" xfId="38752" xr:uid="{D9E7D9FB-2871-4149-B133-0164F86419D3}"/>
    <cellStyle name="Normal 27 2 2 5 3 4" xfId="38753" xr:uid="{982996CD-1B0E-4B74-8028-42A04BA0C2C2}"/>
    <cellStyle name="Normal 27 2 2 5 4" xfId="38754" xr:uid="{2DCB590C-55E2-45EC-9C28-92CA820C57DF}"/>
    <cellStyle name="Normal 27 2 2 5 4 2" xfId="38755" xr:uid="{B131C9B6-149D-44BC-929E-9D51762F1F78}"/>
    <cellStyle name="Normal 27 2 2 5 4 2 2" xfId="38756" xr:uid="{65D83613-E0C1-4659-ABC3-E1FA79170435}"/>
    <cellStyle name="Normal 27 2 2 5 4 3" xfId="38757" xr:uid="{56192E91-517E-4796-8920-4D04AA04D757}"/>
    <cellStyle name="Normal 27 2 2 5 5" xfId="38758" xr:uid="{F8F42905-9956-4896-AC94-D94AB1481460}"/>
    <cellStyle name="Normal 27 2 2 5 5 2" xfId="38759" xr:uid="{960B2C3E-8BEA-478A-B4E0-602096375CB1}"/>
    <cellStyle name="Normal 27 2 2 5 6" xfId="38760" xr:uid="{A903AF43-89C7-4CEB-A63C-94C41668DFF8}"/>
    <cellStyle name="Normal 27 2 2 5 7" xfId="38761" xr:uid="{A2BC13FC-8332-449E-B9A1-791BD2260EBF}"/>
    <cellStyle name="Normal 27 2 2 6" xfId="38762" xr:uid="{EDC8FA46-4488-4BEA-B4A4-DCDEC38F0160}"/>
    <cellStyle name="Normal 27 2 2 6 2" xfId="38763" xr:uid="{D246CAC9-01DA-4E20-9CA8-18AA051D89D3}"/>
    <cellStyle name="Normal 27 2 2 6 2 2" xfId="38764" xr:uid="{D869E131-ADD2-4E93-9483-315B355ABEA2}"/>
    <cellStyle name="Normal 27 2 2 6 2 2 2" xfId="38765" xr:uid="{FF90C3CC-683D-4EEF-A7E9-D8F30190731F}"/>
    <cellStyle name="Normal 27 2 2 6 2 2 2 2" xfId="38766" xr:uid="{6D51B12E-77F6-4A09-B7CE-D5F7585D692F}"/>
    <cellStyle name="Normal 27 2 2 6 2 2 3" xfId="38767" xr:uid="{AA117679-A815-40EF-BFF5-1537C70A1AC6}"/>
    <cellStyle name="Normal 27 2 2 6 2 3" xfId="30550" xr:uid="{82930EA5-6CC6-4FC9-AD72-8331263910E3}"/>
    <cellStyle name="Normal 27 2 2 6 2 3 2" xfId="38768" xr:uid="{D8EFEC1E-E098-45FC-B997-BD635F0E66C3}"/>
    <cellStyle name="Normal 27 2 2 6 2 4" xfId="38769" xr:uid="{7DFD7C2F-CE46-46BF-9575-ABAB861B75E1}"/>
    <cellStyle name="Normal 27 2 2 6 3" xfId="38770" xr:uid="{13069D12-5EFF-469E-97CB-57C524E1536B}"/>
    <cellStyle name="Normal 27 2 2 6 3 2" xfId="38771" xr:uid="{DAC86A7F-A7C1-460E-A51F-86AC478E97BB}"/>
    <cellStyle name="Normal 27 2 2 6 3 2 2" xfId="31663" xr:uid="{CABFE7A1-0716-4F9D-BA4F-DA0821798B63}"/>
    <cellStyle name="Normal 27 2 2 6 3 3" xfId="38772" xr:uid="{489EAA39-6703-44C6-B1C1-572AAC5456E0}"/>
    <cellStyle name="Normal 27 2 2 6 4" xfId="38773" xr:uid="{60B52D1B-3630-41C7-82A6-2AAE4C214BA4}"/>
    <cellStyle name="Normal 27 2 2 6 4 2" xfId="38774" xr:uid="{5AF29B7F-99D9-4856-8A0F-12694BFAE815}"/>
    <cellStyle name="Normal 27 2 2 6 5" xfId="38775" xr:uid="{758AB181-E1A7-4ACE-8B85-7DA7DA44D9E3}"/>
    <cellStyle name="Normal 27 2 2 7" xfId="38776" xr:uid="{73910358-78FF-4001-8E02-931D4CEB5C92}"/>
    <cellStyle name="Normal 27 2 2 7 2" xfId="38777" xr:uid="{89894300-AE54-411A-892E-DFB0C553FACA}"/>
    <cellStyle name="Normal 27 2 2 7 2 2" xfId="38778" xr:uid="{CFAA21A8-A2F1-400F-AF5E-C7FD5895643E}"/>
    <cellStyle name="Normal 27 2 2 7 2 2 2" xfId="38779" xr:uid="{67B6F677-E010-4886-B0AD-6F94FE459980}"/>
    <cellStyle name="Normal 27 2 2 7 2 3" xfId="38780" xr:uid="{5803BE0B-E6E6-46A7-ACD0-A86D74FEC951}"/>
    <cellStyle name="Normal 27 2 2 7 3" xfId="38781" xr:uid="{C4310D67-0789-4908-8F62-183C40169428}"/>
    <cellStyle name="Normal 27 2 2 7 3 2" xfId="38782" xr:uid="{7C0ECADD-00F4-4C77-BB7F-E6BDCC5ACEBE}"/>
    <cellStyle name="Normal 27 2 2 7 4" xfId="38783" xr:uid="{4E2F0AC2-209E-43BD-9F8F-0967F5B14317}"/>
    <cellStyle name="Normal 27 2 2 8" xfId="38784" xr:uid="{6F6C663C-D6DC-44E9-B98E-E08BCF454FED}"/>
    <cellStyle name="Normal 27 2 2 8 2" xfId="38785" xr:uid="{22E77C29-4DA9-40FB-A68A-2AEB4BA5C4CF}"/>
    <cellStyle name="Normal 27 2 2 8 2 2" xfId="38786" xr:uid="{89677A0E-D7CB-4B74-B1EA-317AB54B978C}"/>
    <cellStyle name="Normal 27 2 2 8 3" xfId="38787" xr:uid="{56969DB7-530A-4793-84FE-BD438CA1A16F}"/>
    <cellStyle name="Normal 27 2 2 9" xfId="38789" xr:uid="{50A0145E-3863-4A02-93D1-1A304027ABE6}"/>
    <cellStyle name="Normal 27 2 2 9 2" xfId="38790" xr:uid="{7CE97386-7BFA-40FC-B9F8-7A245CEF9BF8}"/>
    <cellStyle name="Normal 27 2 3" xfId="883" xr:uid="{39A0EB8A-3418-4F06-9F8B-9A9064F14564}"/>
    <cellStyle name="Normal 27 2 3 10" xfId="38791" xr:uid="{0119DE4B-A4FA-4AD5-8510-EFD8C2A48719}"/>
    <cellStyle name="Normal 27 2 3 2" xfId="934" xr:uid="{3E6DCD56-4389-45C9-8FC8-772ACA1EF1F4}"/>
    <cellStyle name="Normal 27 2 3 2 2" xfId="38792" xr:uid="{FC02804C-8B55-4F8F-B0FD-7A392D284C3E}"/>
    <cellStyle name="Normal 27 2 3 2 2 2" xfId="38793" xr:uid="{29AF9D48-3BB2-4B0E-BDBD-3E9352FF8F5B}"/>
    <cellStyle name="Normal 27 2 3 2 2 2 2" xfId="38794" xr:uid="{4AFCB136-1210-4DE7-B999-5C06ABC36672}"/>
    <cellStyle name="Normal 27 2 3 2 2 2 2 2" xfId="38795" xr:uid="{76BE9F1B-19C2-4334-A44E-C26C29C22186}"/>
    <cellStyle name="Normal 27 2 3 2 2 2 2 2 2" xfId="38796" xr:uid="{09084555-2B7A-4E54-906F-C34E4C2D0A9A}"/>
    <cellStyle name="Normal 27 2 3 2 2 2 2 2 2 2" xfId="38797" xr:uid="{9F1C8C34-51E1-4EF9-81D3-97668D0D21AE}"/>
    <cellStyle name="Normal 27 2 3 2 2 2 2 2 2 2 2" xfId="8822" xr:uid="{A27911A5-C4D4-439E-892E-4D5BA69CBD8F}"/>
    <cellStyle name="Normal 27 2 3 2 2 2 2 2 2 3" xfId="22349" xr:uid="{F7BC8730-1F34-45EF-8E4E-0831F7383FF2}"/>
    <cellStyle name="Normal 27 2 3 2 2 2 2 2 3" xfId="38798" xr:uid="{512DB920-0A6D-46A2-A43D-8D2FFB52EBFA}"/>
    <cellStyle name="Normal 27 2 3 2 2 2 2 2 3 2" xfId="38799" xr:uid="{2143A97E-C84F-4F9D-A05E-98B45AC00CE5}"/>
    <cellStyle name="Normal 27 2 3 2 2 2 2 2 4" xfId="38800" xr:uid="{2FB79FEC-184E-48E0-B9BC-8D332D3C6F2E}"/>
    <cellStyle name="Normal 27 2 3 2 2 2 2 3" xfId="38801" xr:uid="{49873A86-CA7B-4D7B-AC0E-5B4E5EED9C71}"/>
    <cellStyle name="Normal 27 2 3 2 2 2 2 3 2" xfId="38802" xr:uid="{CBEA0099-C2BD-4366-B3B4-938BACF771EB}"/>
    <cellStyle name="Normal 27 2 3 2 2 2 2 3 2 2" xfId="38803" xr:uid="{267319C7-6E63-460A-9C5E-8DF4D202FEE7}"/>
    <cellStyle name="Normal 27 2 3 2 2 2 2 3 3" xfId="38804" xr:uid="{E6E2785F-4763-407A-A391-E56F20746058}"/>
    <cellStyle name="Normal 27 2 3 2 2 2 2 4" xfId="38805" xr:uid="{0C552EC9-647E-4258-AB31-12FEAE6918E1}"/>
    <cellStyle name="Normal 27 2 3 2 2 2 2 4 2" xfId="38806" xr:uid="{9022CF7A-2A50-4E47-955B-C4A62775B5D4}"/>
    <cellStyle name="Normal 27 2 3 2 2 2 2 5" xfId="38807" xr:uid="{37E17F5E-A685-41AD-881A-D944B2AE2768}"/>
    <cellStyle name="Normal 27 2 3 2 2 2 3" xfId="38808" xr:uid="{0C50E1CF-FC7A-4254-989B-B79F46881044}"/>
    <cellStyle name="Normal 27 2 3 2 2 2 3 2" xfId="38809" xr:uid="{0DA36C48-833D-4758-B10D-85966A2AD416}"/>
    <cellStyle name="Normal 27 2 3 2 2 2 3 2 2" xfId="38810" xr:uid="{9FD20F91-F80C-4530-B87C-3F525134A420}"/>
    <cellStyle name="Normal 27 2 3 2 2 2 3 2 2 2" xfId="38811" xr:uid="{B4EDF2DC-5AF4-4FBD-8C38-C666F3656735}"/>
    <cellStyle name="Normal 27 2 3 2 2 2 3 2 3" xfId="38812" xr:uid="{D6296FF0-370B-454C-AACB-113D2A515322}"/>
    <cellStyle name="Normal 27 2 3 2 2 2 3 3" xfId="38813" xr:uid="{066E88DB-E227-4243-9650-D93AB081DED7}"/>
    <cellStyle name="Normal 27 2 3 2 2 2 3 3 2" xfId="38814" xr:uid="{DE5B9CCB-5A4F-4F78-9213-2A6C835B72B0}"/>
    <cellStyle name="Normal 27 2 3 2 2 2 3 4" xfId="38815" xr:uid="{8ECA6803-AB84-46D6-A51A-439D1B0CF01A}"/>
    <cellStyle name="Normal 27 2 3 2 2 2 4" xfId="26993" xr:uid="{B1DF5262-A183-42D8-B971-D1A9554D75D3}"/>
    <cellStyle name="Normal 27 2 3 2 2 2 4 2" xfId="18476" xr:uid="{CBBCA3A7-8F9B-4942-BAE1-FD239630933B}"/>
    <cellStyle name="Normal 27 2 3 2 2 2 4 2 2" xfId="38817" xr:uid="{AF6C7D0D-8BC0-436E-82A0-40CD5ABC865C}"/>
    <cellStyle name="Normal 27 2 3 2 2 2 4 3" xfId="38818" xr:uid="{67BE5472-E83C-468C-942F-4F4246C78291}"/>
    <cellStyle name="Normal 27 2 3 2 2 2 5" xfId="26996" xr:uid="{D813E826-B1E1-439B-B297-B38496D7DC61}"/>
    <cellStyle name="Normal 27 2 3 2 2 2 5 2" xfId="38819" xr:uid="{ED72A3ED-71E9-460A-97DB-16A0D67F1204}"/>
    <cellStyle name="Normal 27 2 3 2 2 2 6" xfId="38820" xr:uid="{6378459F-114B-41AA-AB59-24D760477CAA}"/>
    <cellStyle name="Normal 27 2 3 2 2 2 7" xfId="38821" xr:uid="{50D0FE02-9314-4AAD-851A-FD4FC67E434C}"/>
    <cellStyle name="Normal 27 2 3 2 2 3" xfId="38822" xr:uid="{B45A4E94-8FE9-452A-9EFE-BE7A0997E53F}"/>
    <cellStyle name="Normal 27 2 3 2 2 3 2" xfId="38823" xr:uid="{561416AA-515D-4269-87A7-03844DF197C9}"/>
    <cellStyle name="Normal 27 2 3 2 2 3 2 2" xfId="38824" xr:uid="{125E656E-3AEA-4733-AE58-3C6099C1DF8C}"/>
    <cellStyle name="Normal 27 2 3 2 2 3 2 2 2" xfId="38825" xr:uid="{C9D745EA-4A4A-4E79-BCAE-C4D1F079F846}"/>
    <cellStyle name="Normal 27 2 3 2 2 3 2 2 2 2" xfId="38826" xr:uid="{81827725-9F9D-4FA9-A0F5-51EE9C343C3D}"/>
    <cellStyle name="Normal 27 2 3 2 2 3 2 2 3" xfId="38827" xr:uid="{B06195ED-A6D1-4668-8B33-270E02BF5ED1}"/>
    <cellStyle name="Normal 27 2 3 2 2 3 2 3" xfId="38828" xr:uid="{470AB52A-6E01-4084-92B2-CA652A9D6DAF}"/>
    <cellStyle name="Normal 27 2 3 2 2 3 2 3 2" xfId="38829" xr:uid="{96A30A0A-7FB5-4716-9040-44D8B3228766}"/>
    <cellStyle name="Normal 27 2 3 2 2 3 2 4" xfId="38830" xr:uid="{1B01561B-FB88-4BB8-88E5-C9BFA0E4760D}"/>
    <cellStyle name="Normal 27 2 3 2 2 3 3" xfId="38831" xr:uid="{EB7E3C5F-55E5-41D3-A879-33B3C2BB2DB3}"/>
    <cellStyle name="Normal 27 2 3 2 2 3 3 2" xfId="38832" xr:uid="{5E5CD11E-753C-4B30-90E5-54DAEB6A9830}"/>
    <cellStyle name="Normal 27 2 3 2 2 3 3 2 2" xfId="38833" xr:uid="{D41FD5AD-E81D-4330-9274-F7B7B4B5DBC6}"/>
    <cellStyle name="Normal 27 2 3 2 2 3 3 3" xfId="38834" xr:uid="{F9388176-CCA6-4DD6-AF69-CF27257E0982}"/>
    <cellStyle name="Normal 27 2 3 2 2 3 4" xfId="27001" xr:uid="{EC7763D0-189D-4859-B545-4E84327C6B3D}"/>
    <cellStyle name="Normal 27 2 3 2 2 3 4 2" xfId="38835" xr:uid="{E84D3BE0-EF20-4965-A71E-49FAAB8F7894}"/>
    <cellStyle name="Normal 27 2 3 2 2 3 5" xfId="38836" xr:uid="{74A26386-5A17-47D7-A686-08C1984B0541}"/>
    <cellStyle name="Normal 27 2 3 2 2 4" xfId="38837" xr:uid="{8E4C2BAA-7C9D-487F-B454-4259DD97420B}"/>
    <cellStyle name="Normal 27 2 3 2 2 4 2" xfId="38838" xr:uid="{3AAA49F4-C040-4B73-985B-32D5FE1A42B2}"/>
    <cellStyle name="Normal 27 2 3 2 2 4 2 2" xfId="38839" xr:uid="{97EE45C5-9E8C-4F3D-B25D-0AC4DEA63EC1}"/>
    <cellStyle name="Normal 27 2 3 2 2 4 2 2 2" xfId="38840" xr:uid="{D8223F96-104C-41BD-A940-0472583E4DE1}"/>
    <cellStyle name="Normal 27 2 3 2 2 4 2 3" xfId="38841" xr:uid="{F5F000F6-7291-4DD9-8474-79747977DA0A}"/>
    <cellStyle name="Normal 27 2 3 2 2 4 3" xfId="38842" xr:uid="{8632C69E-9E69-466C-BFF4-9479387222A6}"/>
    <cellStyle name="Normal 27 2 3 2 2 4 3 2" xfId="38843" xr:uid="{34B4BD7B-9949-4238-9F30-9496E48FBC0F}"/>
    <cellStyle name="Normal 27 2 3 2 2 4 4" xfId="38844" xr:uid="{7C3F8A48-9E12-4DE9-8882-D73643771AF3}"/>
    <cellStyle name="Normal 27 2 3 2 2 5" xfId="15360" xr:uid="{0B9695BF-5BA7-4FE0-A260-EA669641A435}"/>
    <cellStyle name="Normal 27 2 3 2 2 5 2" xfId="32528" xr:uid="{5C328531-E387-4477-BE0C-0C30E651B4FF}"/>
    <cellStyle name="Normal 27 2 3 2 2 5 2 2" xfId="38845" xr:uid="{2EEEA8C1-86D6-40AC-8693-63C71D1B62F9}"/>
    <cellStyle name="Normal 27 2 3 2 2 5 3" xfId="38846" xr:uid="{7C8ADBED-709D-480E-A76A-38F6CA30557A}"/>
    <cellStyle name="Normal 27 2 3 2 2 6" xfId="8080" xr:uid="{CEA21181-88C2-460B-8FEE-DF009F18F613}"/>
    <cellStyle name="Normal 27 2 3 2 2 6 2" xfId="38847" xr:uid="{AAFF856F-A01B-4599-BE14-5898A3E7748E}"/>
    <cellStyle name="Normal 27 2 3 2 2 7" xfId="32704" xr:uid="{0F4B74D4-1878-451E-99B3-16CB88B5EAC8}"/>
    <cellStyle name="Normal 27 2 3 2 2 8" xfId="32781" xr:uid="{7C7A7FA2-0255-4343-B07F-868F646D6269}"/>
    <cellStyle name="Normal 27 2 3 2 3" xfId="38848" xr:uid="{D8E55427-FC0D-481A-B38B-FC262FCC9EB0}"/>
    <cellStyle name="Normal 27 2 3 2 3 2" xfId="38849" xr:uid="{EB9F26A3-1960-4AD9-A1B6-5D015F57CFA7}"/>
    <cellStyle name="Normal 27 2 3 2 3 2 2" xfId="38850" xr:uid="{941C41DE-4D2B-4716-9194-4826D6A4CA1E}"/>
    <cellStyle name="Normal 27 2 3 2 3 2 2 2" xfId="38851" xr:uid="{E6242AA7-A348-4321-8508-9BCF8CE65ADC}"/>
    <cellStyle name="Normal 27 2 3 2 3 2 2 2 2" xfId="232" xr:uid="{F7A9CE1C-33C2-4C89-A41F-528D595BEF5B}"/>
    <cellStyle name="Normal 27 2 3 2 3 2 2 2 2 2" xfId="279" xr:uid="{F63DE8BC-129A-4874-A592-22FD446F6E4D}"/>
    <cellStyle name="Normal 27 2 3 2 3 2 2 2 3" xfId="38852" xr:uid="{9C4C716A-E105-41E4-9EA8-A09AAFB57571}"/>
    <cellStyle name="Normal 27 2 3 2 3 2 2 3" xfId="38853" xr:uid="{606C7BEC-5C3A-477C-9FF2-0B69F2683ABC}"/>
    <cellStyle name="Normal 27 2 3 2 3 2 2 3 2" xfId="38854" xr:uid="{2B0DD7A8-5E11-48D6-8679-937ECD2A8B44}"/>
    <cellStyle name="Normal 27 2 3 2 3 2 2 4" xfId="38855" xr:uid="{477BE238-0154-4BEA-936C-CA7A2112D0CD}"/>
    <cellStyle name="Normal 27 2 3 2 3 2 3" xfId="38856" xr:uid="{70201AF6-59E2-4D44-ADF9-7E25D8754156}"/>
    <cellStyle name="Normal 27 2 3 2 3 2 3 2" xfId="38857" xr:uid="{082C6E96-9255-4618-93DB-61CFC5FC33D5}"/>
    <cellStyle name="Normal 27 2 3 2 3 2 3 2 2" xfId="38858" xr:uid="{A52E2F7B-552F-4E07-B0FD-C24723F1DB6C}"/>
    <cellStyle name="Normal 27 2 3 2 3 2 3 3" xfId="38859" xr:uid="{9D3CBFE3-A233-4A63-9692-458D32AB7E84}"/>
    <cellStyle name="Normal 27 2 3 2 3 2 4" xfId="27004" xr:uid="{52789511-AE93-4689-BF61-70996B391A7C}"/>
    <cellStyle name="Normal 27 2 3 2 3 2 4 2" xfId="38860" xr:uid="{FB46911D-D621-4AF4-BA70-B8EE6BD45175}"/>
    <cellStyle name="Normal 27 2 3 2 3 2 5" xfId="38861" xr:uid="{25EE82FB-D84E-40F0-941F-5C80BDEE6863}"/>
    <cellStyle name="Normal 27 2 3 2 3 3" xfId="38862" xr:uid="{1BFD61B8-10F9-48D6-A1E6-DB2CF8241BD0}"/>
    <cellStyle name="Normal 27 2 3 2 3 3 2" xfId="38863" xr:uid="{28EF5FC8-21C3-4461-92C8-44D9AE8923B0}"/>
    <cellStyle name="Normal 27 2 3 2 3 3 2 2" xfId="38864" xr:uid="{994E787A-D985-42C2-98CC-41686B5E766B}"/>
    <cellStyle name="Normal 27 2 3 2 3 3 2 2 2" xfId="38865" xr:uid="{B7BF4D97-2C7C-40AF-AD37-437CA5B8C96A}"/>
    <cellStyle name="Normal 27 2 3 2 3 3 2 3" xfId="38866" xr:uid="{C6203713-658D-4D50-86E1-2A9C6B32EC4D}"/>
    <cellStyle name="Normal 27 2 3 2 3 3 3" xfId="38867" xr:uid="{7BCEB3D3-F713-4CB0-AC79-AC4176719E43}"/>
    <cellStyle name="Normal 27 2 3 2 3 3 3 2" xfId="38868" xr:uid="{5FAD7D6E-A4BA-4A04-8F9A-89865E2B0BD0}"/>
    <cellStyle name="Normal 27 2 3 2 3 3 4" xfId="38869" xr:uid="{7F8128CC-53B4-4959-AEF9-F6B852BFF400}"/>
    <cellStyle name="Normal 27 2 3 2 3 4" xfId="38870" xr:uid="{F32543DE-E1A1-4D6B-AF12-B35CE7A566A5}"/>
    <cellStyle name="Normal 27 2 3 2 3 4 2" xfId="38871" xr:uid="{11387160-5F93-4927-AAC3-6D48E9A4584C}"/>
    <cellStyle name="Normal 27 2 3 2 3 4 2 2" xfId="38873" xr:uid="{1FA72EC7-3F56-4EC1-A538-7C82EDD0A1B7}"/>
    <cellStyle name="Normal 27 2 3 2 3 4 3" xfId="38874" xr:uid="{E54F8537-42E2-4588-B96A-2B229FD6AA4C}"/>
    <cellStyle name="Normal 27 2 3 2 3 5" xfId="33975" xr:uid="{3C0A77AF-6F5D-40B7-8EDF-885FDE62C78A}"/>
    <cellStyle name="Normal 27 2 3 2 3 5 2" xfId="38875" xr:uid="{0E794601-0B5C-4CE2-A981-3765B42B94DC}"/>
    <cellStyle name="Normal 27 2 3 2 3 6" xfId="38876" xr:uid="{121C6AE6-1DB0-4E08-94F6-8891E73E9B65}"/>
    <cellStyle name="Normal 27 2 3 2 3 7" xfId="38877" xr:uid="{58B0418C-C6EB-4DFF-94C8-556A28498A05}"/>
    <cellStyle name="Normal 27 2 3 2 4" xfId="38878" xr:uid="{157B3806-26F7-46EC-B3CE-B0B5EEC5F5B0}"/>
    <cellStyle name="Normal 27 2 3 2 4 2" xfId="38879" xr:uid="{6F522455-E61B-42F3-917A-5C58FB083D42}"/>
    <cellStyle name="Normal 27 2 3 2 4 2 2" xfId="38880" xr:uid="{609EC1A4-5FD3-40F3-843E-2A8D6BCDACE1}"/>
    <cellStyle name="Normal 27 2 3 2 4 2 2 2" xfId="38881" xr:uid="{963A635F-EF90-4D44-836E-40EDB9A8BDEC}"/>
    <cellStyle name="Normal 27 2 3 2 4 2 2 2 2" xfId="38882" xr:uid="{67B88D29-A126-4B34-9001-EE5FBA6B4CC2}"/>
    <cellStyle name="Normal 27 2 3 2 4 2 2 3" xfId="38883" xr:uid="{410AFC22-3205-4E18-A75C-61D89B14ED7B}"/>
    <cellStyle name="Normal 27 2 3 2 4 2 3" xfId="38884" xr:uid="{20863662-C26E-4D20-BBD6-04E9CBA8D9EE}"/>
    <cellStyle name="Normal 27 2 3 2 4 2 3 2" xfId="38885" xr:uid="{8A96FA9F-0A87-4EE9-87A3-723F7A850E37}"/>
    <cellStyle name="Normal 27 2 3 2 4 2 4" xfId="38886" xr:uid="{4182AEA9-ED2A-493C-8814-E7B1DACC087E}"/>
    <cellStyle name="Normal 27 2 3 2 4 3" xfId="38887" xr:uid="{DDB11D6D-61A0-488D-8C69-B35A2C9012FF}"/>
    <cellStyle name="Normal 27 2 3 2 4 3 2" xfId="38888" xr:uid="{D94FB702-D5AE-4208-B87A-4D5D1FB2C5B3}"/>
    <cellStyle name="Normal 27 2 3 2 4 3 2 2" xfId="38889" xr:uid="{AE106C62-6D0D-4A2D-83A4-6D248A84FF8B}"/>
    <cellStyle name="Normal 27 2 3 2 4 3 3" xfId="38890" xr:uid="{BC8E15CE-E6E9-46E6-BB7E-2BADC4B4E9B9}"/>
    <cellStyle name="Normal 27 2 3 2 4 4" xfId="38891" xr:uid="{658EADB9-E166-4FDE-BD7E-63F3AE6C46C4}"/>
    <cellStyle name="Normal 27 2 3 2 4 4 2" xfId="38892" xr:uid="{53C17AE2-328E-4DCD-B526-77F585E35368}"/>
    <cellStyle name="Normal 27 2 3 2 4 5" xfId="38893" xr:uid="{D72D3A9E-8343-4C17-88F6-CEC2A35F14DA}"/>
    <cellStyle name="Normal 27 2 3 2 5" xfId="1819" xr:uid="{A505285F-7AC2-4042-9ACB-59D166345F75}"/>
    <cellStyle name="Normal 27 2 3 2 5 2" xfId="28059" xr:uid="{90FDA89E-D51C-4FBD-B4E3-D3163CE6F31B}"/>
    <cellStyle name="Normal 27 2 3 2 5 2 2" xfId="20368" xr:uid="{2F45CB5D-9866-4C8C-903F-F1AB792B9D19}"/>
    <cellStyle name="Normal 27 2 3 2 5 2 2 2" xfId="20370" xr:uid="{2A594B36-C881-491B-93A5-C7EF8A7C468E}"/>
    <cellStyle name="Normal 27 2 3 2 5 2 3" xfId="20372" xr:uid="{BCD82CDE-E459-4CD6-90B0-5A433671F2E6}"/>
    <cellStyle name="Normal 27 2 3 2 5 3" xfId="38894" xr:uid="{A59E9EFB-FAFF-4C87-B6C1-38C929A2658B}"/>
    <cellStyle name="Normal 27 2 3 2 5 3 2" xfId="20392" xr:uid="{ABA51052-2F00-4C60-95B4-5D5B9C2CBB63}"/>
    <cellStyle name="Normal 27 2 3 2 5 4" xfId="38895" xr:uid="{6DEE71DD-7919-4469-85AA-9600B13EF5E9}"/>
    <cellStyle name="Normal 27 2 3 2 6" xfId="28062" xr:uid="{1DBCF2BB-25F6-4739-87D3-EFC5B0E6C609}"/>
    <cellStyle name="Normal 27 2 3 2 6 2" xfId="38896" xr:uid="{2B8CA868-8FED-4700-88D2-6486FC282870}"/>
    <cellStyle name="Normal 27 2 3 2 6 2 2" xfId="20488" xr:uid="{B81E5CC2-A508-4501-A030-D9BCC4664552}"/>
    <cellStyle name="Normal 27 2 3 2 6 3" xfId="38897" xr:uid="{16E6E43C-08F1-452B-BBB2-F8CF34B2D839}"/>
    <cellStyle name="Normal 27 2 3 2 7" xfId="38898" xr:uid="{81027A4E-0865-4315-9EE0-E54124A6A8F7}"/>
    <cellStyle name="Normal 27 2 3 2 7 2" xfId="35899" xr:uid="{3BBB3B8C-EF83-42ED-A992-FB045A7A81D6}"/>
    <cellStyle name="Normal 27 2 3 2 8" xfId="38899" xr:uid="{85C4A4ED-4B64-44C3-BD43-B60C5323E93B}"/>
    <cellStyle name="Normal 27 2 3 2 9" xfId="38900" xr:uid="{36A9581F-218E-4A37-AAC4-84F7B0B287EB}"/>
    <cellStyle name="Normal 27 2 3 3" xfId="38901" xr:uid="{BDC3D569-51C7-40CD-AAA2-C765A6106985}"/>
    <cellStyle name="Normal 27 2 3 3 2" xfId="38902" xr:uid="{76740806-EDB0-4724-876D-BB04A009CD08}"/>
    <cellStyle name="Normal 27 2 3 3 2 2" xfId="38903" xr:uid="{18093E58-B87B-43DC-8BCA-799C8DE585FB}"/>
    <cellStyle name="Normal 27 2 3 3 2 2 2" xfId="38904" xr:uid="{4E506726-9F19-4E45-8DB4-271331A2C3F4}"/>
    <cellStyle name="Normal 27 2 3 3 2 2 2 2" xfId="38905" xr:uid="{5B3B7A68-8399-4506-822E-8DFDA1CC449C}"/>
    <cellStyle name="Normal 27 2 3 3 2 2 2 2 2" xfId="38906" xr:uid="{F7B60C40-E457-4EB5-BA3F-AF26F4C5D251}"/>
    <cellStyle name="Normal 27 2 3 3 2 2 2 2 2 2" xfId="38907" xr:uid="{24444FE3-19AF-4A01-A494-BC8A67C3CA72}"/>
    <cellStyle name="Normal 27 2 3 3 2 2 2 2 3" xfId="38908" xr:uid="{2C920538-B1B6-4613-9ECD-9F38B3376745}"/>
    <cellStyle name="Normal 27 2 3 3 2 2 2 3" xfId="38909" xr:uid="{966095D2-AAD1-4852-8249-DF093F808782}"/>
    <cellStyle name="Normal 27 2 3 3 2 2 2 3 2" xfId="38910" xr:uid="{9090542F-396C-4BA4-B271-4AEBCCC7FCC2}"/>
    <cellStyle name="Normal 27 2 3 3 2 2 2 4" xfId="38911" xr:uid="{21E593E9-A1EF-4EFC-882D-09B893D6831D}"/>
    <cellStyle name="Normal 27 2 3 3 2 2 3" xfId="38912" xr:uid="{9EFE5B93-D8B2-4EEB-B2ED-E79757ED3B29}"/>
    <cellStyle name="Normal 27 2 3 3 2 2 3 2" xfId="38913" xr:uid="{1532102A-C476-4841-858A-93DA9C1B2A63}"/>
    <cellStyle name="Normal 27 2 3 3 2 2 3 2 2" xfId="38914" xr:uid="{B8E0D0E9-E48A-4E2C-9C44-06582E1014F1}"/>
    <cellStyle name="Normal 27 2 3 3 2 2 3 3" xfId="38915" xr:uid="{EEF11272-4208-451F-89CF-7D7B4803A182}"/>
    <cellStyle name="Normal 27 2 3 3 2 2 4" xfId="27014" xr:uid="{F977363C-AE96-4D7E-9997-0813EB9BBDAD}"/>
    <cellStyle name="Normal 27 2 3 3 2 2 4 2" xfId="38916" xr:uid="{BB316D48-0B42-4FD8-A9CA-3EBA820DFA24}"/>
    <cellStyle name="Normal 27 2 3 3 2 2 5" xfId="38917" xr:uid="{75602CB7-65C3-4622-AFCB-6873E09B978C}"/>
    <cellStyle name="Normal 27 2 3 3 2 3" xfId="38918" xr:uid="{7C984D61-D6B4-4286-873B-F42E72440E2B}"/>
    <cellStyle name="Normal 27 2 3 3 2 3 2" xfId="38919" xr:uid="{E8DB6C87-A4B4-4F1D-8064-F104AD38FBE4}"/>
    <cellStyle name="Normal 27 2 3 3 2 3 2 2" xfId="38920" xr:uid="{C59F3E24-7E89-4506-9D77-4EF1262C6A1E}"/>
    <cellStyle name="Normal 27 2 3 3 2 3 2 2 2" xfId="38921" xr:uid="{4C21ABC7-DA4B-4B6C-8A04-596567649820}"/>
    <cellStyle name="Normal 27 2 3 3 2 3 2 3" xfId="38922" xr:uid="{4277F9EE-F286-44FB-8D57-4B6080F4A810}"/>
    <cellStyle name="Normal 27 2 3 3 2 3 3" xfId="38923" xr:uid="{D9E1F7F3-8409-4950-AD3E-9750BA4A45A0}"/>
    <cellStyle name="Normal 27 2 3 3 2 3 3 2" xfId="38924" xr:uid="{11A3E11E-27FF-4567-AA86-39C3B2038F83}"/>
    <cellStyle name="Normal 27 2 3 3 2 3 4" xfId="38925" xr:uid="{66B9E574-11BA-4851-9572-3493EF2CC4D2}"/>
    <cellStyle name="Normal 27 2 3 3 2 4" xfId="38926" xr:uid="{8A0541D8-9705-4E02-9758-24410015D81B}"/>
    <cellStyle name="Normal 27 2 3 3 2 4 2" xfId="38927" xr:uid="{3341765B-6700-43E9-A6D2-171C5CB210F2}"/>
    <cellStyle name="Normal 27 2 3 3 2 4 2 2" xfId="38928" xr:uid="{3D7E72B9-04A5-4DAA-9099-37A7971F9E39}"/>
    <cellStyle name="Normal 27 2 3 3 2 4 3" xfId="38929" xr:uid="{404BD8D1-F405-4D2F-8B7D-9819F575BFAD}"/>
    <cellStyle name="Normal 27 2 3 3 2 5" xfId="33988" xr:uid="{8189552D-47F3-4816-922D-D41479528422}"/>
    <cellStyle name="Normal 27 2 3 3 2 5 2" xfId="38930" xr:uid="{4DE86B3F-3A5C-40B7-9C63-182ACF2F816A}"/>
    <cellStyle name="Normal 27 2 3 3 2 6" xfId="38931" xr:uid="{4678166A-6D2C-41D9-B746-293C013B9D0C}"/>
    <cellStyle name="Normal 27 2 3 3 2 7" xfId="35331" xr:uid="{7B94824C-80B1-4A66-ABDA-FA784663BDD8}"/>
    <cellStyle name="Normal 27 2 3 3 3" xfId="38932" xr:uid="{FEF85536-9573-4103-BB2E-02AAB91E0AC2}"/>
    <cellStyle name="Normal 27 2 3 3 3 2" xfId="38933" xr:uid="{46FF91DA-A4FC-459E-B3B8-2B7592934EAC}"/>
    <cellStyle name="Normal 27 2 3 3 3 2 2" xfId="38934" xr:uid="{166B8604-6A61-43D4-9921-A730A273D0C2}"/>
    <cellStyle name="Normal 27 2 3 3 3 2 2 2" xfId="38935" xr:uid="{97BA69CC-0FEB-4EAB-B77F-EA367A5506F6}"/>
    <cellStyle name="Normal 27 2 3 3 3 2 2 2 2" xfId="38936" xr:uid="{B35AB7DC-E384-4383-9E74-227067B6A4D1}"/>
    <cellStyle name="Normal 27 2 3 3 3 2 2 3" xfId="38937" xr:uid="{2280CB1C-A63A-4D2A-BED1-F31AD5A463FD}"/>
    <cellStyle name="Normal 27 2 3 3 3 2 3" xfId="38938" xr:uid="{A06FD5B0-92F7-4EBB-873B-4946067ED8EA}"/>
    <cellStyle name="Normal 27 2 3 3 3 2 3 2" xfId="38939" xr:uid="{662DA33C-1597-44CD-8996-01259D0C7F9A}"/>
    <cellStyle name="Normal 27 2 3 3 3 2 4" xfId="38940" xr:uid="{702FFA88-F14F-4B56-8DA6-848B0F5210B8}"/>
    <cellStyle name="Normal 27 2 3 3 3 3" xfId="38941" xr:uid="{C9C88444-9714-48C4-8202-F103E3B50FFF}"/>
    <cellStyle name="Normal 27 2 3 3 3 3 2" xfId="38942" xr:uid="{5700ED65-3A5A-4773-AE99-A6D7BA87C9CA}"/>
    <cellStyle name="Normal 27 2 3 3 3 3 2 2" xfId="38943" xr:uid="{B1B1EFBF-62BB-4109-9330-8A453392B51B}"/>
    <cellStyle name="Normal 27 2 3 3 3 3 3" xfId="38944" xr:uid="{54F26134-2A31-4E82-A0B7-9ACDB4F255D6}"/>
    <cellStyle name="Normal 27 2 3 3 3 4" xfId="38945" xr:uid="{4C95F5DC-C1A2-4E47-B70B-22D007A94DD3}"/>
    <cellStyle name="Normal 27 2 3 3 3 4 2" xfId="38946" xr:uid="{0F9444C9-71D3-4747-B30D-70D14F09D888}"/>
    <cellStyle name="Normal 27 2 3 3 3 5" xfId="38947" xr:uid="{D1020C4D-F93B-4966-96B2-16F9727F0FB9}"/>
    <cellStyle name="Normal 27 2 3 3 4" xfId="281" xr:uid="{06E80862-2F4C-4C67-A172-695597A06A49}"/>
    <cellStyle name="Normal 27 2 3 3 4 2" xfId="27828" xr:uid="{34B68AF0-28A1-41B0-9E95-90777498F8B9}"/>
    <cellStyle name="Normal 27 2 3 3 4 2 2" xfId="27831" xr:uid="{95BCA3F6-2D2B-4B90-B4BA-EB2659617A01}"/>
    <cellStyle name="Normal 27 2 3 3 4 2 2 2" xfId="38948" xr:uid="{96B95250-62EF-4F47-84EC-28A233EE7835}"/>
    <cellStyle name="Normal 27 2 3 3 4 2 3" xfId="38949" xr:uid="{DF45DD14-CA60-4CBE-8910-0AD4CE0F288F}"/>
    <cellStyle name="Normal 27 2 3 3 4 3" xfId="27833" xr:uid="{7E690F9A-BE86-42B8-B5FF-03B436139476}"/>
    <cellStyle name="Normal 27 2 3 3 4 3 2" xfId="38950" xr:uid="{62181BFC-D8A7-4620-AC2A-303FCB774D95}"/>
    <cellStyle name="Normal 27 2 3 3 4 4" xfId="38951" xr:uid="{7312C578-C49F-4AAC-A430-DA00605B7456}"/>
    <cellStyle name="Normal 27 2 3 3 5" xfId="566" xr:uid="{A726F059-5618-4AFD-AF99-A83F8D34AE5B}"/>
    <cellStyle name="Normal 27 2 3 3 5 2" xfId="4873" xr:uid="{92DD3F7D-439A-42AA-9CD5-3B1C6592805C}"/>
    <cellStyle name="Normal 27 2 3 3 5 2 2" xfId="20703" xr:uid="{591C24B1-FFE0-4CCA-AFA3-82A8EAAD742C}"/>
    <cellStyle name="Normal 27 2 3 3 5 3" xfId="38952" xr:uid="{DFA840AB-7F64-4BD3-8B3B-4544CC6D9EDA}"/>
    <cellStyle name="Normal 27 2 3 3 6" xfId="584" xr:uid="{AF986D89-D3A3-4F3D-BEC0-F6250F76AF82}"/>
    <cellStyle name="Normal 27 2 3 3 6 2" xfId="38953" xr:uid="{E88157FE-53D9-4D2C-BE31-747B5CF75AF4}"/>
    <cellStyle name="Normal 27 2 3 3 7" xfId="38954" xr:uid="{A96B3D04-1107-4586-AA73-2C33C4B6D98E}"/>
    <cellStyle name="Normal 27 2 3 3 8" xfId="38955" xr:uid="{22FB70CC-0372-4972-81AE-C10D813FF192}"/>
    <cellStyle name="Normal 27 2 3 4" xfId="38956" xr:uid="{A9056C0C-05E5-43D6-9282-E24A81D55B16}"/>
    <cellStyle name="Normal 27 2 3 4 2" xfId="38957" xr:uid="{167B351F-D454-4131-A6F6-9DD95B55A053}"/>
    <cellStyle name="Normal 27 2 3 4 2 2" xfId="38958" xr:uid="{A59D80CF-27C9-4B8D-8592-68FE828AEC95}"/>
    <cellStyle name="Normal 27 2 3 4 2 2 2" xfId="38959" xr:uid="{386651E5-B595-4408-A202-B48DF3C165EF}"/>
    <cellStyle name="Normal 27 2 3 4 2 2 2 2" xfId="38960" xr:uid="{B51D0295-9B95-4283-9D59-9B4667F28139}"/>
    <cellStyle name="Normal 27 2 3 4 2 2 2 2 2" xfId="38961" xr:uid="{D57D9CD1-E4C4-4222-978E-94E45CC6EEEA}"/>
    <cellStyle name="Normal 27 2 3 4 2 2 2 3" xfId="38962" xr:uid="{011F73DE-6D9A-4B1C-80BF-2841B507C21D}"/>
    <cellStyle name="Normal 27 2 3 4 2 2 3" xfId="38963" xr:uid="{ADA24BCD-0FAE-458F-B8D0-634ADA7B5086}"/>
    <cellStyle name="Normal 27 2 3 4 2 2 3 2" xfId="38964" xr:uid="{38986667-098C-4302-8160-9ED9BDF651E3}"/>
    <cellStyle name="Normal 27 2 3 4 2 2 4" xfId="38965" xr:uid="{F92A3DF4-EB6A-40A7-8088-94507719AE06}"/>
    <cellStyle name="Normal 27 2 3 4 2 3" xfId="13609" xr:uid="{69CC46AB-A0F5-4608-9BEF-7D1BC3CD4007}"/>
    <cellStyle name="Normal 27 2 3 4 2 3 2" xfId="30556" xr:uid="{AFEEF20F-3FDE-4FC1-B7C2-1D54A69A4E9A}"/>
    <cellStyle name="Normal 27 2 3 4 2 3 2 2" xfId="38966" xr:uid="{320F1FF7-03FD-4026-8994-BB51C0D5B5B9}"/>
    <cellStyle name="Normal 27 2 3 4 2 3 3" xfId="38967" xr:uid="{A78CCDEC-1910-490F-91C3-CB95D1A033B7}"/>
    <cellStyle name="Normal 27 2 3 4 2 4" xfId="30558" xr:uid="{E7A65099-62F6-4640-A294-D76CCD7E726F}"/>
    <cellStyle name="Normal 27 2 3 4 2 4 2" xfId="38968" xr:uid="{2FCB6464-4787-4D89-A0A6-E2F8D48511D8}"/>
    <cellStyle name="Normal 27 2 3 4 2 5" xfId="38969" xr:uid="{3B23A39F-AD36-4D92-99C8-881466AEDECB}"/>
    <cellStyle name="Normal 27 2 3 4 3" xfId="38970" xr:uid="{0E16FAA6-3DB8-4849-B4D0-AF8B10B30048}"/>
    <cellStyle name="Normal 27 2 3 4 3 2" xfId="38971" xr:uid="{01B70DC5-8059-4718-B87B-51F37EE24461}"/>
    <cellStyle name="Normal 27 2 3 4 3 2 2" xfId="38972" xr:uid="{BFCC4329-23DE-43C3-A27F-2A541C8E376E}"/>
    <cellStyle name="Normal 27 2 3 4 3 2 2 2" xfId="38973" xr:uid="{98E47A5F-9AA7-416C-97A2-8048D72121EE}"/>
    <cellStyle name="Normal 27 2 3 4 3 2 3" xfId="38974" xr:uid="{EC46030D-C623-40BA-8D3D-57D013C7688C}"/>
    <cellStyle name="Normal 27 2 3 4 3 3" xfId="30561" xr:uid="{6DE25BF3-5E0F-4803-835A-C08D5A94DF05}"/>
    <cellStyle name="Normal 27 2 3 4 3 3 2" xfId="38975" xr:uid="{2076AAE9-145C-43FA-8F87-A6D966AE2292}"/>
    <cellStyle name="Normal 27 2 3 4 3 4" xfId="38976" xr:uid="{5999A130-2ABF-4497-A209-E00AF742A092}"/>
    <cellStyle name="Normal 27 2 3 4 4" xfId="27835" xr:uid="{68B0B52E-8FF0-4E39-B9E8-630702557AA3}"/>
    <cellStyle name="Normal 27 2 3 4 4 2" xfId="27839" xr:uid="{B0D15AED-E397-46CB-B830-3C5B9765EB0E}"/>
    <cellStyle name="Normal 27 2 3 4 4 2 2" xfId="38977" xr:uid="{46047C7B-1EF0-4AAA-8A9C-57A6D5AE43C4}"/>
    <cellStyle name="Normal 27 2 3 4 4 3" xfId="38978" xr:uid="{D414351E-8D52-4179-B527-101282D2C45D}"/>
    <cellStyle name="Normal 27 2 3 4 5" xfId="4885" xr:uid="{81E346EF-9ED6-4B4B-902E-B668DFBDBE25}"/>
    <cellStyle name="Normal 27 2 3 4 5 2" xfId="38979" xr:uid="{9400BE4C-D8F2-4CF6-91AA-31AA4BD5C959}"/>
    <cellStyle name="Normal 27 2 3 4 6" xfId="38980" xr:uid="{83E4395C-3A71-40D1-AB98-E5FEAC24BB08}"/>
    <cellStyle name="Normal 27 2 3 4 7" xfId="38981" xr:uid="{2EEF83D4-ED7D-457C-B411-9341EBFA7652}"/>
    <cellStyle name="Normal 27 2 3 5" xfId="38982" xr:uid="{8DDC2BFB-F66A-4FD3-87C8-807BBAA5F369}"/>
    <cellStyle name="Normal 27 2 3 5 2" xfId="38983" xr:uid="{D5C87E1A-DF58-4139-8DE2-01A7F30B8918}"/>
    <cellStyle name="Normal 27 2 3 5 2 2" xfId="38984" xr:uid="{313D7E94-C60B-4BA2-875D-DDF6B7F9D73E}"/>
    <cellStyle name="Normal 27 2 3 5 2 2 2" xfId="38985" xr:uid="{76A41622-74BC-4731-AF36-B816F95DA37F}"/>
    <cellStyle name="Normal 27 2 3 5 2 2 2 2" xfId="38986" xr:uid="{CF5BE4ED-1043-4DA6-9882-F48D05B764F5}"/>
    <cellStyle name="Normal 27 2 3 5 2 2 3" xfId="18280" xr:uid="{25471732-4BA7-491B-9832-D79B99BCD3F7}"/>
    <cellStyle name="Normal 27 2 3 5 2 3" xfId="30564" xr:uid="{613B0EF8-AD21-402B-8D95-F6DACAE33D1B}"/>
    <cellStyle name="Normal 27 2 3 5 2 3 2" xfId="38987" xr:uid="{E19F6E3E-BD77-4827-9F49-7024E41617E7}"/>
    <cellStyle name="Normal 27 2 3 5 2 4" xfId="38988" xr:uid="{8F2B8E1C-7368-4165-AE43-D7960D7AB6CF}"/>
    <cellStyle name="Normal 27 2 3 5 3" xfId="3488" xr:uid="{A3C602D7-FC39-485D-9CC1-777E1EB81DD5}"/>
    <cellStyle name="Normal 27 2 3 5 3 2" xfId="38989" xr:uid="{22B6BA05-CDD4-4FF7-BDC3-A35529EBDFDB}"/>
    <cellStyle name="Normal 27 2 3 5 3 2 2" xfId="38990" xr:uid="{19D34D7C-04A0-47E0-A165-E925255F529B}"/>
    <cellStyle name="Normal 27 2 3 5 3 3" xfId="38991" xr:uid="{6CB58D1E-53F0-4555-A1AD-87522C105AEE}"/>
    <cellStyle name="Normal 27 2 3 5 4" xfId="27841" xr:uid="{7F4A213B-3BBD-4CA1-9F87-12EEDCED229C}"/>
    <cellStyle name="Normal 27 2 3 5 4 2" xfId="38992" xr:uid="{3F010AD1-F094-4654-AF47-B5C2103568C6}"/>
    <cellStyle name="Normal 27 2 3 5 5" xfId="38993" xr:uid="{EAC2B244-9CDC-4137-8966-48EDC0C58821}"/>
    <cellStyle name="Normal 27 2 3 6" xfId="38994" xr:uid="{34A10CCC-C422-4E04-8E16-6B1FA4BAB6A9}"/>
    <cellStyle name="Normal 27 2 3 6 2" xfId="38995" xr:uid="{A5C22A33-8E36-49F4-9E7E-8A2BB3BBACE9}"/>
    <cellStyle name="Normal 27 2 3 6 2 2" xfId="38996" xr:uid="{9F2AB26A-EA78-4638-A98D-78F3CE60E157}"/>
    <cellStyle name="Normal 27 2 3 6 2 2 2" xfId="38997" xr:uid="{B8B55B6E-594A-4F74-BF94-E9D0F3E260FD}"/>
    <cellStyle name="Normal 27 2 3 6 2 3" xfId="38998" xr:uid="{5B592DBE-F876-48B9-B382-DCB2AD4855C2}"/>
    <cellStyle name="Normal 27 2 3 6 3" xfId="38999" xr:uid="{BA3F380A-2780-4B05-ADD9-90C3FDC31E28}"/>
    <cellStyle name="Normal 27 2 3 6 3 2" xfId="39000" xr:uid="{C80BB838-841D-4FE2-850B-7EDFEB006334}"/>
    <cellStyle name="Normal 27 2 3 6 4" xfId="39001" xr:uid="{A785904D-0A28-4728-BA7B-FCC1B3841C25}"/>
    <cellStyle name="Normal 27 2 3 7" xfId="39002" xr:uid="{7E7D8F13-36E9-467C-A154-64750F57546C}"/>
    <cellStyle name="Normal 27 2 3 7 2" xfId="39003" xr:uid="{D8562194-26AF-48B5-A734-3FAB766D3DF5}"/>
    <cellStyle name="Normal 27 2 3 7 2 2" xfId="39004" xr:uid="{D787D43C-4901-4BE7-BD93-5EBA5B59EE41}"/>
    <cellStyle name="Normal 27 2 3 7 3" xfId="39005" xr:uid="{FF979A22-2794-4A8B-9A14-1C2C28BE0A2E}"/>
    <cellStyle name="Normal 27 2 3 8" xfId="39007" xr:uid="{2671B1F1-35F2-47E7-A7DE-8D1585D319A6}"/>
    <cellStyle name="Normal 27 2 3 8 2" xfId="39008" xr:uid="{01A12D3C-34B8-46C8-ACE6-AC2356732755}"/>
    <cellStyle name="Normal 27 2 3 9" xfId="39009" xr:uid="{7C2C44D4-81E0-4A8D-98DD-866583051264}"/>
    <cellStyle name="Normal 27 2 4" xfId="985" xr:uid="{CC75389C-6EB4-4004-9EB9-61A229F4C136}"/>
    <cellStyle name="Normal 27 2 4 2" xfId="39010" xr:uid="{A7AC38C4-64C2-459C-82DB-5A32811000C0}"/>
    <cellStyle name="Normal 27 2 4 2 2" xfId="1489" xr:uid="{8411E6C0-DD7F-4AAE-8823-288AA0995136}"/>
    <cellStyle name="Normal 27 2 4 2 2 2" xfId="1922" xr:uid="{B2F1325E-74B7-4313-B271-B2B052D01FF7}"/>
    <cellStyle name="Normal 27 2 4 2 2 2 2" xfId="39011" xr:uid="{059B0F63-6F4F-4900-ACC8-C243AA88600F}"/>
    <cellStyle name="Normal 27 2 4 2 2 2 2 2" xfId="39012" xr:uid="{78958753-6F4E-4A17-9B1F-8016DD9415FF}"/>
    <cellStyle name="Normal 27 2 4 2 2 2 2 2 2" xfId="39013" xr:uid="{1E13F78E-95F8-4F1F-8589-C2B3DA9599D6}"/>
    <cellStyle name="Normal 27 2 4 2 2 2 2 2 2 2" xfId="39014" xr:uid="{0BECCB42-D4E4-4998-B6C8-0ED48AF41D65}"/>
    <cellStyle name="Normal 27 2 4 2 2 2 2 2 3" xfId="39015" xr:uid="{688C18B1-C7DB-4E4F-8CB6-A837C4EC9AE4}"/>
    <cellStyle name="Normal 27 2 4 2 2 2 2 3" xfId="39016" xr:uid="{9319DBD9-19F3-4A56-A5E1-CE79F43AC413}"/>
    <cellStyle name="Normal 27 2 4 2 2 2 2 3 2" xfId="39017" xr:uid="{4FDC8FD0-F0E3-4F44-AFCC-0075E86FEC29}"/>
    <cellStyle name="Normal 27 2 4 2 2 2 2 4" xfId="39018" xr:uid="{0D4335AC-F928-47BE-9F9B-0A918DD272DC}"/>
    <cellStyle name="Normal 27 2 4 2 2 2 3" xfId="39019" xr:uid="{FB60B831-5FCD-412A-B4D6-296BC532DFF8}"/>
    <cellStyle name="Normal 27 2 4 2 2 2 3 2" xfId="39020" xr:uid="{485A3518-9C3A-4F17-BBC5-62A449B254DE}"/>
    <cellStyle name="Normal 27 2 4 2 2 2 3 2 2" xfId="39021" xr:uid="{F773FFC6-2B40-4942-9C41-5966EE7EB960}"/>
    <cellStyle name="Normal 27 2 4 2 2 2 3 3" xfId="39022" xr:uid="{3270F2C8-A5C9-4B21-B403-C236919DD0F5}"/>
    <cellStyle name="Normal 27 2 4 2 2 2 4" xfId="27035" xr:uid="{065BAB0B-3E0E-4C80-AF5E-BA87D971649B}"/>
    <cellStyle name="Normal 27 2 4 2 2 2 4 2" xfId="39023" xr:uid="{EBD95062-1EA3-459F-8524-58AFB37782BC}"/>
    <cellStyle name="Normal 27 2 4 2 2 2 5" xfId="39024" xr:uid="{89852FB4-DB29-45D1-A207-1062787BC714}"/>
    <cellStyle name="Normal 27 2 4 2 2 3" xfId="39025" xr:uid="{8E54E051-336D-41D0-AEE7-6653786A4B85}"/>
    <cellStyle name="Normal 27 2 4 2 2 3 2" xfId="39026" xr:uid="{9E8C82EB-EAC2-4517-A30F-C0F7EA6F68E3}"/>
    <cellStyle name="Normal 27 2 4 2 2 3 2 2" xfId="39027" xr:uid="{2A0EDFB8-5CC4-4366-A533-C0BE7F1245D0}"/>
    <cellStyle name="Normal 27 2 4 2 2 3 2 2 2" xfId="39028" xr:uid="{E179F8F5-DCF0-4478-A8FF-1430ABC4B959}"/>
    <cellStyle name="Normal 27 2 4 2 2 3 2 3" xfId="39029" xr:uid="{49535E88-3186-4CDC-9C86-2A13640E3E6E}"/>
    <cellStyle name="Normal 27 2 4 2 2 3 3" xfId="39030" xr:uid="{E0FE952D-632A-4F09-90EB-230BE20C9ECA}"/>
    <cellStyle name="Normal 27 2 4 2 2 3 3 2" xfId="39031" xr:uid="{754DB570-A91A-4F58-AEF1-CB070097E57F}"/>
    <cellStyle name="Normal 27 2 4 2 2 3 4" xfId="39032" xr:uid="{3A29A7C5-4E5A-44A6-BB1E-96BAD63E70AA}"/>
    <cellStyle name="Normal 27 2 4 2 2 4" xfId="39033" xr:uid="{27A90997-4B69-4558-9C8E-2C0FBDD1979C}"/>
    <cellStyle name="Normal 27 2 4 2 2 4 2" xfId="39034" xr:uid="{494BB74C-696E-4A6E-9D99-98159ABC7A58}"/>
    <cellStyle name="Normal 27 2 4 2 2 4 2 2" xfId="39035" xr:uid="{5CD0D437-3B33-4FE3-B7FF-9E75E2D622B9}"/>
    <cellStyle name="Normal 27 2 4 2 2 4 3" xfId="39036" xr:uid="{904DF478-B812-40DF-A30F-83F38EE7913C}"/>
    <cellStyle name="Normal 27 2 4 2 2 5" xfId="33994" xr:uid="{162B9373-6E76-4439-99B0-36337F3503C7}"/>
    <cellStyle name="Normal 27 2 4 2 2 5 2" xfId="39037" xr:uid="{8EAB8F05-8468-48A9-BF94-37C918BDA8E2}"/>
    <cellStyle name="Normal 27 2 4 2 2 6" xfId="39038" xr:uid="{7BB52237-90A8-4D17-B4E4-5DE680DA0719}"/>
    <cellStyle name="Normal 27 2 4 2 2 7" xfId="39039" xr:uid="{73256610-3887-451A-BC59-FEC820DA321A}"/>
    <cellStyle name="Normal 27 2 4 2 3" xfId="1499" xr:uid="{7A2A42FE-6B10-4D4A-B20F-45BB39382A7F}"/>
    <cellStyle name="Normal 27 2 4 2 3 2" xfId="39040" xr:uid="{5F6A7157-F41E-405E-838A-66E1058AEBC0}"/>
    <cellStyle name="Normal 27 2 4 2 3 2 2" xfId="39041" xr:uid="{A25B5E26-6A77-4FAA-80B1-5FF89176666F}"/>
    <cellStyle name="Normal 27 2 4 2 3 2 2 2" xfId="39042" xr:uid="{E8842EE0-96D8-4410-9A67-B85940084EDD}"/>
    <cellStyle name="Normal 27 2 4 2 3 2 2 2 2" xfId="39043" xr:uid="{4F8EBEA9-1344-433E-B8A3-6601F9DCA4E9}"/>
    <cellStyle name="Normal 27 2 4 2 3 2 2 3" xfId="39044" xr:uid="{28D72212-07A5-449D-B9AE-EEA829EFBD4F}"/>
    <cellStyle name="Normal 27 2 4 2 3 2 3" xfId="39045" xr:uid="{27C40692-B6AF-4C14-8654-D17C82068EBC}"/>
    <cellStyle name="Normal 27 2 4 2 3 2 3 2" xfId="39046" xr:uid="{661361D0-26E4-4119-A37E-1B03A9776DBF}"/>
    <cellStyle name="Normal 27 2 4 2 3 2 4" xfId="39047" xr:uid="{D84C6057-F29C-4E81-BE44-0D3998520253}"/>
    <cellStyle name="Normal 27 2 4 2 3 3" xfId="39048" xr:uid="{F480D350-2780-4A50-8C94-DD7D8CE25920}"/>
    <cellStyle name="Normal 27 2 4 2 3 3 2" xfId="39049" xr:uid="{302849F6-724F-4350-B163-1E54EAB4E094}"/>
    <cellStyle name="Normal 27 2 4 2 3 3 2 2" xfId="39050" xr:uid="{9DC1C28D-9500-4D4C-BFEA-CB73D59CFFE9}"/>
    <cellStyle name="Normal 27 2 4 2 3 3 3" xfId="39051" xr:uid="{BF0BCF08-AF92-4544-8827-41E9DC29A744}"/>
    <cellStyle name="Normal 27 2 4 2 3 4" xfId="39052" xr:uid="{2ED46EB0-734A-4B4A-AB88-C5833FB06F46}"/>
    <cellStyle name="Normal 27 2 4 2 3 4 2" xfId="39053" xr:uid="{488E49DE-29F3-4A50-B8EB-A69EA08E2E48}"/>
    <cellStyle name="Normal 27 2 4 2 3 5" xfId="39054" xr:uid="{82E03444-F9A0-4DEF-BDC6-7EDBC8D234AE}"/>
    <cellStyle name="Normal 27 2 4 2 4" xfId="39055" xr:uid="{4694FF22-3607-4ABF-A7C3-EDA1C9B1A792}"/>
    <cellStyle name="Normal 27 2 4 2 4 2" xfId="39056" xr:uid="{BBB18CCB-E79C-4DEF-95E1-EB28082C0D7A}"/>
    <cellStyle name="Normal 27 2 4 2 4 2 2" xfId="39057" xr:uid="{25B9C77A-11B5-46DC-A73E-D513C29467B0}"/>
    <cellStyle name="Normal 27 2 4 2 4 2 2 2" xfId="39058" xr:uid="{44BD6437-1D8C-477A-95F5-F3BAC633211D}"/>
    <cellStyle name="Normal 27 2 4 2 4 2 3" xfId="39059" xr:uid="{7E760738-80DF-4A7A-B50F-EB277756D634}"/>
    <cellStyle name="Normal 27 2 4 2 4 3" xfId="39060" xr:uid="{14F69E24-AFDE-4701-858D-55EA1E4CFC30}"/>
    <cellStyle name="Normal 27 2 4 2 4 3 2" xfId="39061" xr:uid="{4523EDB7-3426-4616-A6A8-217C806A1029}"/>
    <cellStyle name="Normal 27 2 4 2 4 4" xfId="39062" xr:uid="{7EBE512F-B9BF-4409-B20D-4F5D81E5B697}"/>
    <cellStyle name="Normal 27 2 4 2 5" xfId="28107" xr:uid="{0F8DB9DD-0DAA-4BD2-B4DB-C2883BB25ECC}"/>
    <cellStyle name="Normal 27 2 4 2 5 2" xfId="39063" xr:uid="{B7000F5D-C3F3-400D-A99E-8739B6C9DF4B}"/>
    <cellStyle name="Normal 27 2 4 2 5 2 2" xfId="21233" xr:uid="{416DF744-AA5A-45A4-AAB8-98253E5BA92B}"/>
    <cellStyle name="Normal 27 2 4 2 5 3" xfId="39064" xr:uid="{5BE3E65C-8812-4D22-BC78-4F406F4E79CF}"/>
    <cellStyle name="Normal 27 2 4 2 6" xfId="39065" xr:uid="{FAA59D42-E450-48DC-9BDC-1B7B7788CE77}"/>
    <cellStyle name="Normal 27 2 4 2 6 2" xfId="39066" xr:uid="{5FC1F289-1B92-439D-92B9-F6C0BEABCB74}"/>
    <cellStyle name="Normal 27 2 4 2 7" xfId="39067" xr:uid="{631AD43D-2217-4B43-B5C9-A82C2F5F4308}"/>
    <cellStyle name="Normal 27 2 4 2 8" xfId="39068" xr:uid="{2CB6AFEF-CEE9-4C9E-9FBF-132B1C3E61B4}"/>
    <cellStyle name="Normal 27 2 4 3" xfId="39069" xr:uid="{84D726F6-56CE-41B7-97B2-804F618DCA56}"/>
    <cellStyle name="Normal 27 2 4 3 2" xfId="414" xr:uid="{CFACDC06-AA7A-45B0-8892-BD9AA1A63C66}"/>
    <cellStyle name="Normal 27 2 4 3 2 2" xfId="39070" xr:uid="{95378A92-3724-43AD-9EFA-75D649F4BE99}"/>
    <cellStyle name="Normal 27 2 4 3 2 2 2" xfId="39071" xr:uid="{C079C6D2-6191-49DC-B498-7F28F85283BA}"/>
    <cellStyle name="Normal 27 2 4 3 2 2 2 2" xfId="39072" xr:uid="{4A124BA4-8357-4CDF-9F20-BAAA81E83483}"/>
    <cellStyle name="Normal 27 2 4 3 2 2 2 2 2" xfId="39073" xr:uid="{E8D14D4E-D1F2-408D-87B6-6EDDCA67C6BF}"/>
    <cellStyle name="Normal 27 2 4 3 2 2 2 3" xfId="39074" xr:uid="{54134B0E-4955-4829-9484-93932838B3FE}"/>
    <cellStyle name="Normal 27 2 4 3 2 2 3" xfId="39075" xr:uid="{010F861B-975B-4963-A027-E0151ECC216C}"/>
    <cellStyle name="Normal 27 2 4 3 2 2 3 2" xfId="39076" xr:uid="{E4A86E8C-AED9-4376-A00C-A49B61850F4A}"/>
    <cellStyle name="Normal 27 2 4 3 2 2 4" xfId="39077" xr:uid="{9F3469BC-40AB-498E-9B13-326EE2F0F98E}"/>
    <cellStyle name="Normal 27 2 4 3 2 3" xfId="39078" xr:uid="{3FF97170-2548-4079-A125-624FBEFDD9A2}"/>
    <cellStyle name="Normal 27 2 4 3 2 3 2" xfId="39079" xr:uid="{F3E5C138-4E8E-4610-8C3B-DB484C966673}"/>
    <cellStyle name="Normal 27 2 4 3 2 3 2 2" xfId="39080" xr:uid="{641A4027-FF78-493C-B3F9-45B50CAEFAF7}"/>
    <cellStyle name="Normal 27 2 4 3 2 3 3" xfId="39081" xr:uid="{BB073F61-A643-4AE3-A63F-59A94D6F7C9F}"/>
    <cellStyle name="Normal 27 2 4 3 2 4" xfId="11410" xr:uid="{59573B13-982F-4693-A140-5FDC8614D6BC}"/>
    <cellStyle name="Normal 27 2 4 3 2 4 2" xfId="11412" xr:uid="{7196247B-CBC9-4F9E-8534-23B58B6880CC}"/>
    <cellStyle name="Normal 27 2 4 3 2 5" xfId="11415" xr:uid="{9773A56F-11AE-4C31-9CE1-A600CD9DADFC}"/>
    <cellStyle name="Normal 27 2 4 3 3" xfId="432" xr:uid="{3D8AD5BF-C66D-41B4-BD74-FC20C7AAC7A9}"/>
    <cellStyle name="Normal 27 2 4 3 3 2" xfId="39082" xr:uid="{CCBB4205-0608-43EE-B067-A5C219853FFE}"/>
    <cellStyle name="Normal 27 2 4 3 3 2 2" xfId="39083" xr:uid="{453CF52C-01D0-4167-B1EB-48E0FC79C68D}"/>
    <cellStyle name="Normal 27 2 4 3 3 2 2 2" xfId="39084" xr:uid="{0CBB52C4-A451-4086-9203-27D1E8B1C365}"/>
    <cellStyle name="Normal 27 2 4 3 3 2 3" xfId="39085" xr:uid="{0FF19F78-9318-4DD3-8920-7B67720F4FEB}"/>
    <cellStyle name="Normal 27 2 4 3 3 3" xfId="39086" xr:uid="{7906C4B8-0297-4582-BC66-901F1AF7DE51}"/>
    <cellStyle name="Normal 27 2 4 3 3 3 2" xfId="39087" xr:uid="{F9C077B2-23AA-4A4A-86CB-C9CC26471A46}"/>
    <cellStyle name="Normal 27 2 4 3 3 4" xfId="11421" xr:uid="{61162E63-C976-468A-88B3-57BD6DA0FDFF}"/>
    <cellStyle name="Normal 27 2 4 3 4" xfId="452" xr:uid="{8899CB15-3BAC-4315-A68B-692A349FE0DF}"/>
    <cellStyle name="Normal 27 2 4 3 4 2" xfId="27843" xr:uid="{1775CCD8-F469-4040-B270-DA7B63AB06DD}"/>
    <cellStyle name="Normal 27 2 4 3 4 2 2" xfId="39088" xr:uid="{808AFA04-FBF0-4D00-BE1C-D22D29D7FA2F}"/>
    <cellStyle name="Normal 27 2 4 3 4 3" xfId="39089" xr:uid="{62F6B6FE-BF02-445A-9103-1755BCCB3A0B}"/>
    <cellStyle name="Normal 27 2 4 3 5" xfId="837" xr:uid="{C0C62642-3FC4-469A-AB1C-A21B440DCC8C}"/>
    <cellStyle name="Normal 27 2 4 3 5 2" xfId="39090" xr:uid="{A40A3D2E-E70E-4D45-AD1F-B96FF9085202}"/>
    <cellStyle name="Normal 27 2 4 3 6" xfId="39091" xr:uid="{669E564F-6065-4B43-B140-CA6B8EA6D89E}"/>
    <cellStyle name="Normal 27 2 4 3 7" xfId="39092" xr:uid="{25C527DA-FB2E-4E2A-AAB8-3A3F33A64528}"/>
    <cellStyle name="Normal 27 2 4 4" xfId="39093" xr:uid="{E9F8C6E9-B592-4D92-91F9-6ED79AC7646A}"/>
    <cellStyle name="Normal 27 2 4 4 2" xfId="1551" xr:uid="{5FFB26F8-EE18-477F-B1FA-537226DFDB78}"/>
    <cellStyle name="Normal 27 2 4 4 2 2" xfId="39094" xr:uid="{3032736F-CA23-43A2-B5B6-7A41FFD9EEFA}"/>
    <cellStyle name="Normal 27 2 4 4 2 2 2" xfId="39095" xr:uid="{170D93F9-DBF8-42F6-B608-39716B787621}"/>
    <cellStyle name="Normal 27 2 4 4 2 2 2 2" xfId="39096" xr:uid="{66D3D13E-DDF5-4174-9B57-0B664B11E472}"/>
    <cellStyle name="Normal 27 2 4 4 2 2 3" xfId="39097" xr:uid="{67DA1C73-D5A7-4ECA-B179-E41C40E6DB5C}"/>
    <cellStyle name="Normal 27 2 4 4 2 3" xfId="30569" xr:uid="{D2606286-BB7B-4439-81FE-76F2EA8F2DA7}"/>
    <cellStyle name="Normal 27 2 4 4 2 3 2" xfId="39098" xr:uid="{C53DCB54-5794-47F5-8586-4E11797F9F4A}"/>
    <cellStyle name="Normal 27 2 4 4 2 4" xfId="11434" xr:uid="{3720BCA8-6CFF-40E6-9D8B-3CED7A4795DC}"/>
    <cellStyle name="Normal 27 2 4 4 3" xfId="39099" xr:uid="{C084DA4F-DB33-4C6A-89C4-2D1CDE4ABE91}"/>
    <cellStyle name="Normal 27 2 4 4 3 2" xfId="39100" xr:uid="{3E35BEEA-D68C-46EA-ABB3-EDD5BEB6039A}"/>
    <cellStyle name="Normal 27 2 4 4 3 2 2" xfId="39101" xr:uid="{81D9C97B-B52A-4D5B-9013-5769F054B9CA}"/>
    <cellStyle name="Normal 27 2 4 4 3 3" xfId="39102" xr:uid="{8F44CB2E-F33B-4C3D-B875-D8EDF74C925C}"/>
    <cellStyle name="Normal 27 2 4 4 4" xfId="27845" xr:uid="{5E72D76D-9915-4946-8553-934F21535ABF}"/>
    <cellStyle name="Normal 27 2 4 4 4 2" xfId="39103" xr:uid="{46C81A43-876C-4E93-811B-93DAB68CDA93}"/>
    <cellStyle name="Normal 27 2 4 4 5" xfId="39104" xr:uid="{E025673A-2D5A-4F68-825E-CF3E19A9EDD6}"/>
    <cellStyle name="Normal 27 2 4 5" xfId="39105" xr:uid="{8EFBEB5D-84F5-453A-AC75-2774B72A97A4}"/>
    <cellStyle name="Normal 27 2 4 5 2" xfId="39106" xr:uid="{6051629C-D1FB-424F-A390-39BA23D2E876}"/>
    <cellStyle name="Normal 27 2 4 5 2 2" xfId="39107" xr:uid="{E5D34153-BFEC-4A88-9A16-F9DF734F3870}"/>
    <cellStyle name="Normal 27 2 4 5 2 2 2" xfId="39108" xr:uid="{DAA3E2E3-8EA4-44B6-B3EF-05C614BD60C6}"/>
    <cellStyle name="Normal 27 2 4 5 2 3" xfId="39109" xr:uid="{E083B9FC-B27D-4737-BAE2-C66C74465BCD}"/>
    <cellStyle name="Normal 27 2 4 5 3" xfId="39110" xr:uid="{6965F046-B701-4965-9AB4-65B2C5BC33B6}"/>
    <cellStyle name="Normal 27 2 4 5 3 2" xfId="39111" xr:uid="{6BD6BF44-CF5D-418F-80FC-3FA305589D4C}"/>
    <cellStyle name="Normal 27 2 4 5 4" xfId="39112" xr:uid="{A9EA327D-35A3-4743-B76B-6CE8A0E3FB2F}"/>
    <cellStyle name="Normal 27 2 4 6" xfId="39113" xr:uid="{E60E70AC-F429-4E9B-A4D6-A18CB5920D87}"/>
    <cellStyle name="Normal 27 2 4 6 2" xfId="39114" xr:uid="{107D9117-906C-4DCD-BCD9-6F55BF685C31}"/>
    <cellStyle name="Normal 27 2 4 6 2 2" xfId="39115" xr:uid="{41E52DBC-57BF-4F6B-B8A6-D9EF236E75F3}"/>
    <cellStyle name="Normal 27 2 4 6 3" xfId="39116" xr:uid="{EEC82E39-CFF6-4D96-8985-BD798CCECF3E}"/>
    <cellStyle name="Normal 27 2 4 7" xfId="39117" xr:uid="{2D0412AA-799D-4E3D-B11F-F88E6E24C43E}"/>
    <cellStyle name="Normal 27 2 4 7 2" xfId="39118" xr:uid="{51DF0F18-EF23-4FD8-9403-6C1EC462893C}"/>
    <cellStyle name="Normal 27 2 4 8" xfId="39119" xr:uid="{358AC1DA-2FF3-43EF-8173-CA1B745BD2A7}"/>
    <cellStyle name="Normal 27 2 4 9" xfId="39120" xr:uid="{D86D8B2F-0D4A-4B36-9E00-B42AEE808A96}"/>
    <cellStyle name="Normal 27 2 5" xfId="463" xr:uid="{A919EC4B-423B-467E-B58A-4FCFDF08B461}"/>
    <cellStyle name="Normal 27 2 5 2" xfId="1006" xr:uid="{29E0A504-E867-4149-B84D-4C9EF9137A41}"/>
    <cellStyle name="Normal 27 2 5 2 2" xfId="39121" xr:uid="{E827925A-3CE7-4EE5-8D1D-578D25511E06}"/>
    <cellStyle name="Normal 27 2 5 2 2 2" xfId="39122" xr:uid="{B1FD1372-0C2F-481C-8F13-8EB769451164}"/>
    <cellStyle name="Normal 27 2 5 2 2 2 2" xfId="39123" xr:uid="{F309CA8A-31CF-485E-A720-CCF0BDD1C925}"/>
    <cellStyle name="Normal 27 2 5 2 2 2 2 2" xfId="39124" xr:uid="{D08B17B8-D641-47CC-A355-4DEC23CADFE6}"/>
    <cellStyle name="Normal 27 2 5 2 2 2 2 2 2" xfId="39125" xr:uid="{881D443E-AD8E-429A-A53D-700DE84FBACE}"/>
    <cellStyle name="Normal 27 2 5 2 2 2 2 3" xfId="39126" xr:uid="{E3E03658-BB4C-471A-886E-0BB102F756CB}"/>
    <cellStyle name="Normal 27 2 5 2 2 2 3" xfId="39127" xr:uid="{5A677A10-336D-4027-AA50-28A0BC69B1E2}"/>
    <cellStyle name="Normal 27 2 5 2 2 2 3 2" xfId="39128" xr:uid="{ACF343D0-6A95-4BCE-BFE2-2B78C738F25A}"/>
    <cellStyle name="Normal 27 2 5 2 2 2 4" xfId="39129" xr:uid="{CBD6CEBA-8B19-4099-9461-C26B04F2210F}"/>
    <cellStyle name="Normal 27 2 5 2 2 3" xfId="39130" xr:uid="{A5336FED-321D-4879-81F7-B0B8355DC9BF}"/>
    <cellStyle name="Normal 27 2 5 2 2 3 2" xfId="39131" xr:uid="{A277FCBA-FB5D-4F45-B31A-648462A10BFC}"/>
    <cellStyle name="Normal 27 2 5 2 2 3 2 2" xfId="39132" xr:uid="{8E75263B-7A4D-4AC7-B6DC-25AD0B1201AC}"/>
    <cellStyle name="Normal 27 2 5 2 2 3 3" xfId="39133" xr:uid="{DE08B8AC-86B8-47EC-96CC-E47ED61CE3DE}"/>
    <cellStyle name="Normal 27 2 5 2 2 4" xfId="39134" xr:uid="{20E51198-DD55-4089-AD7F-25B685AEB652}"/>
    <cellStyle name="Normal 27 2 5 2 2 4 2" xfId="39135" xr:uid="{4C8E95E2-1E96-469E-A03D-4502CFA67F1E}"/>
    <cellStyle name="Normal 27 2 5 2 2 5" xfId="39136" xr:uid="{FE5E0603-C34C-4169-9DFD-3434924632E0}"/>
    <cellStyle name="Normal 27 2 5 2 3" xfId="39137" xr:uid="{CFBB1327-7AA9-476D-8EA8-8CACC33D1F04}"/>
    <cellStyle name="Normal 27 2 5 2 3 2" xfId="39138" xr:uid="{0B326147-B29B-4D93-A617-17F92C1D20AC}"/>
    <cellStyle name="Normal 27 2 5 2 3 2 2" xfId="39139" xr:uid="{80C380DF-35A4-4F85-B79A-C5E8D0B930FE}"/>
    <cellStyle name="Normal 27 2 5 2 3 2 2 2" xfId="39140" xr:uid="{1FCBE362-31A8-408A-A351-80D7E957D058}"/>
    <cellStyle name="Normal 27 2 5 2 3 2 3" xfId="39141" xr:uid="{6A900F68-E64C-43CB-BC26-0614FA67B08E}"/>
    <cellStyle name="Normal 27 2 5 2 3 3" xfId="39142" xr:uid="{5C80B989-4311-4D17-B482-A00998D11980}"/>
    <cellStyle name="Normal 27 2 5 2 3 3 2" xfId="39143" xr:uid="{3BBF69DB-DB48-4BB9-9AE9-77C16A88F00B}"/>
    <cellStyle name="Normal 27 2 5 2 3 4" xfId="39144" xr:uid="{0B6EB8D6-53B1-4C95-A564-045EEB9A17DD}"/>
    <cellStyle name="Normal 27 2 5 2 4" xfId="39145" xr:uid="{20F08DB8-CCF0-4F22-9506-5B6A36B4F52E}"/>
    <cellStyle name="Normal 27 2 5 2 4 2" xfId="39146" xr:uid="{09253F2A-E946-4839-9B2F-0C2E935EA777}"/>
    <cellStyle name="Normal 27 2 5 2 4 2 2" xfId="39147" xr:uid="{D9C73F58-0AA9-4167-A15C-288E44FAD189}"/>
    <cellStyle name="Normal 27 2 5 2 4 3" xfId="39148" xr:uid="{96393FF2-1F5C-485F-8084-F092BB778458}"/>
    <cellStyle name="Normal 27 2 5 2 5" xfId="39149" xr:uid="{7F3217B8-0B51-4D23-A55A-871A035B9707}"/>
    <cellStyle name="Normal 27 2 5 2 5 2" xfId="39150" xr:uid="{450BC9DD-F10E-425D-A2B5-0305648E7A8B}"/>
    <cellStyle name="Normal 27 2 5 2 6" xfId="39151" xr:uid="{956A4CD9-8E2F-4090-B1C0-B738E73DFD89}"/>
    <cellStyle name="Normal 27 2 5 2 7" xfId="39152" xr:uid="{0E93AFCF-5599-4C28-97D3-29476168CA44}"/>
    <cellStyle name="Normal 27 2 5 3" xfId="39153" xr:uid="{AAF10930-A272-454E-94C0-A6027038DC71}"/>
    <cellStyle name="Normal 27 2 5 3 2" xfId="39154" xr:uid="{E409E511-58FD-4A88-A3FB-539F1D50D26D}"/>
    <cellStyle name="Normal 27 2 5 3 2 2" xfId="39155" xr:uid="{769C3151-458B-4E24-89B9-2C7FC6894892}"/>
    <cellStyle name="Normal 27 2 5 3 2 2 2" xfId="39156" xr:uid="{1F266B87-C305-4C8C-B56D-3535D810BE61}"/>
    <cellStyle name="Normal 27 2 5 3 2 2 2 2" xfId="39157" xr:uid="{90492AA7-4831-4C6C-973A-E8888A3C116B}"/>
    <cellStyle name="Normal 27 2 5 3 2 2 3" xfId="39158" xr:uid="{EE603676-29FC-43CB-B030-D793AB111F02}"/>
    <cellStyle name="Normal 27 2 5 3 2 3" xfId="39159" xr:uid="{FAE62F5E-5C52-4E5F-BCFB-BE4647C4ADF4}"/>
    <cellStyle name="Normal 27 2 5 3 2 3 2" xfId="39160" xr:uid="{5AAEA767-1441-4EE6-979D-4F02C1639892}"/>
    <cellStyle name="Normal 27 2 5 3 2 4" xfId="11482" xr:uid="{7A0C4B8B-19FC-426B-8CE5-015C29E471E7}"/>
    <cellStyle name="Normal 27 2 5 3 3" xfId="39161" xr:uid="{CE4DD431-EA6B-4716-BF18-751FDCEACB8E}"/>
    <cellStyle name="Normal 27 2 5 3 3 2" xfId="39162" xr:uid="{F7AF9D49-2248-41F6-A8EC-F5DF5413C42D}"/>
    <cellStyle name="Normal 27 2 5 3 3 2 2" xfId="39163" xr:uid="{64C49C97-A611-4F33-8FD2-F7421AA1B5A6}"/>
    <cellStyle name="Normal 27 2 5 3 3 3" xfId="39164" xr:uid="{2F90A8D0-B36C-4403-A2AE-83D3557105A0}"/>
    <cellStyle name="Normal 27 2 5 3 4" xfId="121" xr:uid="{F61569A1-9BE3-44EC-96C7-F1F08C77F388}"/>
    <cellStyle name="Normal 27 2 5 3 4 2" xfId="39165" xr:uid="{EECF1F7C-1F46-41ED-B263-8E8D96F05064}"/>
    <cellStyle name="Normal 27 2 5 3 5" xfId="39166" xr:uid="{92B590A4-03BE-4312-BA1E-BDFB5E3DCE5C}"/>
    <cellStyle name="Normal 27 2 5 4" xfId="39167" xr:uid="{2F6B6079-23DC-4295-A4D9-BB6FC5FBDD40}"/>
    <cellStyle name="Normal 27 2 5 4 2" xfId="39168" xr:uid="{11E3BAFC-7495-45DC-BFA0-608E92E277D3}"/>
    <cellStyle name="Normal 27 2 5 4 2 2" xfId="39169" xr:uid="{6DEAE47B-0261-4152-B033-6237F0CF8FF6}"/>
    <cellStyle name="Normal 27 2 5 4 2 2 2" xfId="39170" xr:uid="{EC9152B3-47E6-487A-8F1E-9DA5975A6BAC}"/>
    <cellStyle name="Normal 27 2 5 4 2 3" xfId="39171" xr:uid="{1264DB58-132B-4BA8-8952-13A22A96499A}"/>
    <cellStyle name="Normal 27 2 5 4 3" xfId="39172" xr:uid="{F093D9D8-9F0A-4376-8512-DA22735B6EFB}"/>
    <cellStyle name="Normal 27 2 5 4 3 2" xfId="39173" xr:uid="{B9C5371A-9E03-47E3-8CFC-D644F55D907E}"/>
    <cellStyle name="Normal 27 2 5 4 4" xfId="39174" xr:uid="{98E8E2DC-B333-4EDB-9BBA-83D4B177F2A0}"/>
    <cellStyle name="Normal 27 2 5 5" xfId="39175" xr:uid="{E0DA0BC7-92A0-4D76-BD85-C6598598C68F}"/>
    <cellStyle name="Normal 27 2 5 5 2" xfId="14536" xr:uid="{C3ECE72A-59B8-40B0-85F8-F987ED0BDD4C}"/>
    <cellStyle name="Normal 27 2 5 5 2 2" xfId="14538" xr:uid="{D739E645-4117-4B92-9326-CA502697BF72}"/>
    <cellStyle name="Normal 27 2 5 5 3" xfId="12419" xr:uid="{E8032A98-A8AC-452F-8823-78F9123D8806}"/>
    <cellStyle name="Normal 27 2 5 6" xfId="39176" xr:uid="{E3570F9F-0F3C-4AC0-A876-C00C22630B48}"/>
    <cellStyle name="Normal 27 2 5 6 2" xfId="14545" xr:uid="{F6C2D906-DF0E-40D0-B38F-4D94228D16BB}"/>
    <cellStyle name="Normal 27 2 5 7" xfId="39177" xr:uid="{82026574-434D-44D1-89F0-70F1D0C2BEA6}"/>
    <cellStyle name="Normal 27 2 5 8" xfId="39178" xr:uid="{71E7DB1A-E6CC-4693-B8E3-B2385AB0DECD}"/>
    <cellStyle name="Normal 27 2 6" xfId="1012" xr:uid="{1455255A-48C5-44A8-B236-8A7C9B272EA8}"/>
    <cellStyle name="Normal 27 2 6 2" xfId="39179" xr:uid="{99610624-9577-4782-BAC5-977562881606}"/>
    <cellStyle name="Normal 27 2 6 2 2" xfId="39180" xr:uid="{8DEF9C42-D4FE-4AF8-A7E5-8E82F710DBB1}"/>
    <cellStyle name="Normal 27 2 6 2 2 2" xfId="39181" xr:uid="{C9C5EF8D-97E8-44AC-B2BB-E2BBF028E840}"/>
    <cellStyle name="Normal 27 2 6 2 2 2 2" xfId="39182" xr:uid="{605E6D0F-D9A4-4E0F-BFBF-89B0A30CF765}"/>
    <cellStyle name="Normal 27 2 6 2 2 2 2 2" xfId="39183" xr:uid="{97351577-FD55-4C53-AC70-EFDD6D1C35D9}"/>
    <cellStyle name="Normal 27 2 6 2 2 2 3" xfId="39184" xr:uid="{2496C2BD-2EF7-4D7F-9173-69265C65D3F4}"/>
    <cellStyle name="Normal 27 2 6 2 2 3" xfId="39185" xr:uid="{C7FA45BA-C6EE-4082-AE4E-9FD9949AC730}"/>
    <cellStyle name="Normal 27 2 6 2 2 3 2" xfId="39186" xr:uid="{F76E267A-A0CF-4D92-A478-81F51D4446E3}"/>
    <cellStyle name="Normal 27 2 6 2 2 4" xfId="39187" xr:uid="{BFDA4555-510F-47A0-AEDF-3D1A6F1B21F4}"/>
    <cellStyle name="Normal 27 2 6 2 3" xfId="39188" xr:uid="{2E8989F2-C7DD-4C20-921C-E38B319C1F5B}"/>
    <cellStyle name="Normal 27 2 6 2 3 2" xfId="39189" xr:uid="{CDD566EC-F286-427F-9320-5B001DFF8161}"/>
    <cellStyle name="Normal 27 2 6 2 3 2 2" xfId="39190" xr:uid="{8D6EE19F-FE6B-4EC8-A2E3-1BE199A0FD74}"/>
    <cellStyle name="Normal 27 2 6 2 3 3" xfId="39191" xr:uid="{5358439C-4AD8-43B9-AA0D-B4B45075CC8B}"/>
    <cellStyle name="Normal 27 2 6 2 4" xfId="39192" xr:uid="{D16CA2B5-11E8-4745-862C-37DF5364657A}"/>
    <cellStyle name="Normal 27 2 6 2 4 2" xfId="39193" xr:uid="{502C78C9-F8E1-4D2D-8A72-8B81D79D0F5F}"/>
    <cellStyle name="Normal 27 2 6 2 5" xfId="39194" xr:uid="{0C98A1F9-5F24-4CCA-A7CA-D9B4D130BCE7}"/>
    <cellStyle name="Normal 27 2 6 3" xfId="39195" xr:uid="{B2A38270-4DD2-42E1-B8A3-6A85005A598C}"/>
    <cellStyle name="Normal 27 2 6 3 2" xfId="39196" xr:uid="{89F6129C-6E22-4E48-8195-2322AD743F6C}"/>
    <cellStyle name="Normal 27 2 6 3 2 2" xfId="39197" xr:uid="{B8C9816A-E5E7-4B34-A4CF-F6FDD3F5BF3F}"/>
    <cellStyle name="Normal 27 2 6 3 2 2 2" xfId="39198" xr:uid="{8016DF9E-45AB-4842-8D7A-038B930E9836}"/>
    <cellStyle name="Normal 27 2 6 3 2 3" xfId="39199" xr:uid="{CC3D8B82-D550-46EA-80AE-462807A9D458}"/>
    <cellStyle name="Normal 27 2 6 3 3" xfId="39200" xr:uid="{39E944A2-EF7F-4187-8655-A63F1D643A26}"/>
    <cellStyle name="Normal 27 2 6 3 3 2" xfId="39201" xr:uid="{354DE48E-BE81-4630-8F3C-E7F6BE98DFD7}"/>
    <cellStyle name="Normal 27 2 6 3 4" xfId="39202" xr:uid="{C52B752C-BB8E-444F-920D-1CF5AB06A47B}"/>
    <cellStyle name="Normal 27 2 6 4" xfId="39203" xr:uid="{800282C6-74F5-4FF2-A4BE-C34106444D7E}"/>
    <cellStyle name="Normal 27 2 6 4 2" xfId="39204" xr:uid="{157F0E19-241F-4DCA-9483-1F2E95FD4634}"/>
    <cellStyle name="Normal 27 2 6 4 2 2" xfId="39205" xr:uid="{D0DE590D-D211-4667-B254-AA1819B65CAA}"/>
    <cellStyle name="Normal 27 2 6 4 3" xfId="39206" xr:uid="{98084BEC-B5E6-4E32-9D62-F613FB13E9EC}"/>
    <cellStyle name="Normal 27 2 6 5" xfId="39207" xr:uid="{A270A975-D509-4CBE-AE57-5FDA3E1E374E}"/>
    <cellStyle name="Normal 27 2 6 5 2" xfId="14572" xr:uid="{227364BA-131D-49F7-B42B-1D068D75E209}"/>
    <cellStyle name="Normal 27 2 6 6" xfId="39208" xr:uid="{0D86C736-676A-442A-A9FD-DF8AADB12A10}"/>
    <cellStyle name="Normal 27 2 6 7" xfId="39209" xr:uid="{7FFA3FE4-FF36-4D88-B1B1-5F9954E07122}"/>
    <cellStyle name="Normal 27 2 7" xfId="39210" xr:uid="{7C4E1305-545C-4132-9B8E-F6780FF15D98}"/>
    <cellStyle name="Normal 27 2 7 2" xfId="39211" xr:uid="{F31C5C29-5361-41DD-A1E6-DB63476CA336}"/>
    <cellStyle name="Normal 27 2 7 2 2" xfId="39212" xr:uid="{C1F0C257-C956-4910-9878-02F21FAB7B76}"/>
    <cellStyle name="Normal 27 2 7 2 2 2" xfId="39213" xr:uid="{5484B49A-A80C-484E-8B08-2BD8BB577A78}"/>
    <cellStyle name="Normal 27 2 7 2 2 2 2" xfId="39214" xr:uid="{94DE26A0-8B29-45E6-91CB-A03D772B4DA8}"/>
    <cellStyle name="Normal 27 2 7 2 2 3" xfId="39215" xr:uid="{1388CAB3-E76B-4AEE-9DB1-0C94E01E3D66}"/>
    <cellStyle name="Normal 27 2 7 2 3" xfId="39216" xr:uid="{71A87ED1-2FC7-4D4F-9FCF-2E934903C0B6}"/>
    <cellStyle name="Normal 27 2 7 2 3 2" xfId="39217" xr:uid="{7C0F0138-9980-4698-AF8C-DB6F3E7C29C8}"/>
    <cellStyle name="Normal 27 2 7 2 4" xfId="5515" xr:uid="{67B00DE3-7DFF-4349-B364-7B3824EF77CC}"/>
    <cellStyle name="Normal 27 2 7 3" xfId="39218" xr:uid="{30CBE1EF-FEC8-44ED-B240-693F646BFB04}"/>
    <cellStyle name="Normal 27 2 7 3 2" xfId="39219" xr:uid="{EFF8C1A5-BC06-4982-B66B-D7925E6132B1}"/>
    <cellStyle name="Normal 27 2 7 3 2 2" xfId="39220" xr:uid="{60B9A573-6485-49C5-BA39-EFB95CEF05D3}"/>
    <cellStyle name="Normal 27 2 7 3 3" xfId="39221" xr:uid="{C62AAC76-8FDF-4493-8906-C3E7C30D7E4B}"/>
    <cellStyle name="Normal 27 2 7 4" xfId="39222" xr:uid="{1F4AE9CC-8CE5-437E-888F-1F98BDD6562A}"/>
    <cellStyle name="Normal 27 2 7 4 2" xfId="39223" xr:uid="{56737553-D957-47CA-B697-A0AB8C38F866}"/>
    <cellStyle name="Normal 27 2 7 5" xfId="39224" xr:uid="{DC2049F0-8DCD-470E-B050-7130ADF10DD2}"/>
    <cellStyle name="Normal 27 2 8" xfId="39225" xr:uid="{6AC48083-28BB-4DC1-A86E-368369A47AA0}"/>
    <cellStyle name="Normal 27 2 8 2" xfId="39226" xr:uid="{45D1F9AE-2479-43C3-982C-CB47215B7274}"/>
    <cellStyle name="Normal 27 2 8 2 2" xfId="39227" xr:uid="{CB264FC0-886E-4634-A68A-C4A611AA7314}"/>
    <cellStyle name="Normal 27 2 8 2 2 2" xfId="39228" xr:uid="{0F8D43D6-F38D-49BD-9BF2-F294E21E50BB}"/>
    <cellStyle name="Normal 27 2 8 2 3" xfId="39229" xr:uid="{E13F0A23-7E6D-4593-8170-569276E76735}"/>
    <cellStyle name="Normal 27 2 8 3" xfId="39230" xr:uid="{F6CC7B06-DD64-4371-B4DA-1A8317358B00}"/>
    <cellStyle name="Normal 27 2 8 3 2" xfId="39231" xr:uid="{F641EA58-4ABE-423F-A88B-611420F102AD}"/>
    <cellStyle name="Normal 27 2 8 4" xfId="39232" xr:uid="{BD530F2C-7FDE-461C-A50E-6BDEC4035570}"/>
    <cellStyle name="Normal 27 2 9" xfId="39233" xr:uid="{DAD680CD-F9C0-4088-BA63-53F07B6680DB}"/>
    <cellStyle name="Normal 27 2 9 2" xfId="39234" xr:uid="{04A22FE8-C6DC-4AAB-9FC2-57EE61E15D67}"/>
    <cellStyle name="Normal 27 2 9 2 2" xfId="39235" xr:uid="{6E403B77-13CF-4AC0-8449-651D520CDF6B}"/>
    <cellStyle name="Normal 27 2 9 3" xfId="39236" xr:uid="{311F975E-609C-45B9-AE16-5964DBFB97A3}"/>
    <cellStyle name="Normal 27 3" xfId="24156" xr:uid="{65B0B497-0C4A-4E79-AEE5-5074DF5EC1DE}"/>
    <cellStyle name="Normal 27 3 2" xfId="9284" xr:uid="{D2F99651-94BD-4B86-AAF0-1F635B8C5260}"/>
    <cellStyle name="Normal 27 4" xfId="24159" xr:uid="{F0DC7E72-1688-4D04-A129-EEDD424B7FF4}"/>
    <cellStyle name="Normal 27 4 10" xfId="39237" xr:uid="{E6683C9C-7CF4-41BF-9349-8E1D5E247437}"/>
    <cellStyle name="Normal 27 4 11" xfId="39238" xr:uid="{BDFAFBC9-12F8-478B-993F-FE551CF572CD}"/>
    <cellStyle name="Normal 27 4 2" xfId="9866" xr:uid="{81D6B08A-BD39-4645-B7D8-B0E74EC9989F}"/>
    <cellStyle name="Normal 27 4 2 10" xfId="39239" xr:uid="{684BC50F-DDD3-4516-8997-FB971EBB306E}"/>
    <cellStyle name="Normal 27 4 2 2" xfId="39240" xr:uid="{A7048083-AF3A-40BD-A7DC-534F22EC352D}"/>
    <cellStyle name="Normal 27 4 2 2 2" xfId="9869" xr:uid="{FCAA003B-ADAC-401B-BED1-07F8C71EF8ED}"/>
    <cellStyle name="Normal 27 4 2 2 2 2" xfId="39241" xr:uid="{6CC6CB47-E424-4FD7-B3C8-F5164925CCAC}"/>
    <cellStyle name="Normal 27 4 2 2 2 2 2" xfId="39242" xr:uid="{3AA50CA1-F92A-4CF9-AB68-503B77B83C68}"/>
    <cellStyle name="Normal 27 4 2 2 2 2 2 2" xfId="39243" xr:uid="{BC0B26AE-24EA-42D3-9416-74118D892C49}"/>
    <cellStyle name="Normal 27 4 2 2 2 2 2 2 2" xfId="39244" xr:uid="{000D9316-7274-479B-A024-DEF2B4D12E26}"/>
    <cellStyle name="Normal 27 4 2 2 2 2 2 2 2 2" xfId="39245" xr:uid="{69DC92D7-6699-48B6-AB93-F0E3821DF756}"/>
    <cellStyle name="Normal 27 4 2 2 2 2 2 2 2 2 2" xfId="33730" xr:uid="{10E8790F-39AD-4F57-925C-C352B1B0ADAE}"/>
    <cellStyle name="Normal 27 4 2 2 2 2 2 2 2 3" xfId="39246" xr:uid="{9F812FEE-30DA-4BF7-8BC3-EBF295BE132F}"/>
    <cellStyle name="Normal 27 4 2 2 2 2 2 2 3" xfId="39247" xr:uid="{F72F6D14-776B-41A9-B916-08AE1AD68E7A}"/>
    <cellStyle name="Normal 27 4 2 2 2 2 2 2 3 2" xfId="39248" xr:uid="{7581B95F-A954-445F-A4EA-9A93375AB0D8}"/>
    <cellStyle name="Normal 27 4 2 2 2 2 2 2 4" xfId="39249" xr:uid="{A9C8B9D5-1CBE-48C4-8816-11ABA1040F03}"/>
    <cellStyle name="Normal 27 4 2 2 2 2 2 3" xfId="39250" xr:uid="{87BBD477-8CCB-46D0-88E0-EB2B43CBACDF}"/>
    <cellStyle name="Normal 27 4 2 2 2 2 2 3 2" xfId="39251" xr:uid="{66BDC9A4-2C16-436F-AE63-7E500BB23E58}"/>
    <cellStyle name="Normal 27 4 2 2 2 2 2 3 2 2" xfId="39252" xr:uid="{2DF29574-849A-4510-B7FC-1C2D595D0AAF}"/>
    <cellStyle name="Normal 27 4 2 2 2 2 2 3 3" xfId="39253" xr:uid="{6E0F939D-B50C-4306-9B92-78BD45DC2B08}"/>
    <cellStyle name="Normal 27 4 2 2 2 2 2 4" xfId="19477" xr:uid="{0E35F3A6-A2C3-4437-8416-5F7B8F12AE7C}"/>
    <cellStyle name="Normal 27 4 2 2 2 2 2 4 2" xfId="39254" xr:uid="{DF9B05B2-AA03-4F35-A46D-14E53E6209E9}"/>
    <cellStyle name="Normal 27 4 2 2 2 2 2 5" xfId="19479" xr:uid="{2B0C653A-261C-475F-B95E-525DC7649A5D}"/>
    <cellStyle name="Normal 27 4 2 2 2 2 3" xfId="39255" xr:uid="{02DF4414-D9DD-4569-B369-4A5FDD0B8EFF}"/>
    <cellStyle name="Normal 27 4 2 2 2 2 3 2" xfId="39256" xr:uid="{3A71819F-753C-428E-A9D4-9591D7E9CE54}"/>
    <cellStyle name="Normal 27 4 2 2 2 2 3 2 2" xfId="39257" xr:uid="{F5455CAD-5074-4B7B-8F73-ACEF2FC6CA43}"/>
    <cellStyle name="Normal 27 4 2 2 2 2 3 2 2 2" xfId="39258" xr:uid="{F8B48434-577C-44B8-9852-56FD2F10D42E}"/>
    <cellStyle name="Normal 27 4 2 2 2 2 3 2 3" xfId="35805" xr:uid="{81667614-16DA-4F88-81EA-FF8739D7F993}"/>
    <cellStyle name="Normal 27 4 2 2 2 2 3 3" xfId="39259" xr:uid="{1E551CC2-AB61-46D1-82D3-17946855BC1E}"/>
    <cellStyle name="Normal 27 4 2 2 2 2 3 3 2" xfId="39260" xr:uid="{FF56051D-19DA-4374-AC33-355C47E8CB85}"/>
    <cellStyle name="Normal 27 4 2 2 2 2 3 4" xfId="19481" xr:uid="{755EC202-8E66-4EE8-93AC-CDE4FE99A943}"/>
    <cellStyle name="Normal 27 4 2 2 2 2 4" xfId="39261" xr:uid="{1F8F994D-1057-4F1F-85C3-DDC336D32482}"/>
    <cellStyle name="Normal 27 4 2 2 2 2 4 2" xfId="39262" xr:uid="{A7DA8BE1-6EE7-4870-8BF3-5D66641306FE}"/>
    <cellStyle name="Normal 27 4 2 2 2 2 4 2 2" xfId="39263" xr:uid="{C94864A1-8FEA-488D-819F-0C53D7AC0FB7}"/>
    <cellStyle name="Normal 27 4 2 2 2 2 4 3" xfId="39264" xr:uid="{55413375-2CA2-416C-96FD-893CF1EB4281}"/>
    <cellStyle name="Normal 27 4 2 2 2 2 5" xfId="39265" xr:uid="{F4E9DB1B-99D4-4A14-8B6A-1A509D5723BF}"/>
    <cellStyle name="Normal 27 4 2 2 2 2 5 2" xfId="39266" xr:uid="{3B8F40EC-307B-477A-8AD4-592C5E7BA0A3}"/>
    <cellStyle name="Normal 27 4 2 2 2 2 6" xfId="39267" xr:uid="{D49A2B09-E5D4-4999-B4E0-F4CB3697B6E7}"/>
    <cellStyle name="Normal 27 4 2 2 2 2 7" xfId="39268" xr:uid="{A016C7B9-304C-442F-957F-E382DF522066}"/>
    <cellStyle name="Normal 27 4 2 2 2 3" xfId="39269" xr:uid="{6DA5A888-949E-4BDF-B5CA-99CAEA8EB4E3}"/>
    <cellStyle name="Normal 27 4 2 2 2 3 2" xfId="39270" xr:uid="{BD3CD0D1-0BCD-4130-96B0-DA27AFE60BD2}"/>
    <cellStyle name="Normal 27 4 2 2 2 3 2 2" xfId="39271" xr:uid="{AB862790-0478-43F0-BA43-62D02678C1B0}"/>
    <cellStyle name="Normal 27 4 2 2 2 3 2 2 2" xfId="39272" xr:uid="{A613917A-E61D-4C62-AC20-FAD8C442DFED}"/>
    <cellStyle name="Normal 27 4 2 2 2 3 2 2 2 2" xfId="39273" xr:uid="{5D044FED-C8A5-4B61-9C92-DC7C93B8EB41}"/>
    <cellStyle name="Normal 27 4 2 2 2 3 2 2 3" xfId="39274" xr:uid="{2CC899E2-B88D-4916-8A23-5B35274B770E}"/>
    <cellStyle name="Normal 27 4 2 2 2 3 2 3" xfId="39275" xr:uid="{5A2FE7DA-EDCD-4F42-B0F5-85DFDB15F4EC}"/>
    <cellStyle name="Normal 27 4 2 2 2 3 2 3 2" xfId="39276" xr:uid="{7EC35555-9AB5-4E15-AEC3-B835B29A38A0}"/>
    <cellStyle name="Normal 27 4 2 2 2 3 2 4" xfId="39277" xr:uid="{C3684386-4E85-4F25-95D4-10D2146C4EE8}"/>
    <cellStyle name="Normal 27 4 2 2 2 3 3" xfId="39278" xr:uid="{174D6929-D11F-44A0-A3B0-3B8A1CC70CA8}"/>
    <cellStyle name="Normal 27 4 2 2 2 3 3 2" xfId="39279" xr:uid="{E239CCB1-D9BD-420E-AE06-ED602F1B4B40}"/>
    <cellStyle name="Normal 27 4 2 2 2 3 3 2 2" xfId="39280" xr:uid="{536F4621-9153-4FBA-9151-0EF5B4C3A4E2}"/>
    <cellStyle name="Normal 27 4 2 2 2 3 3 3" xfId="39281" xr:uid="{5447A208-BDCD-46B6-BD43-9A742143B52F}"/>
    <cellStyle name="Normal 27 4 2 2 2 3 4" xfId="39282" xr:uid="{569B023F-6767-4A63-9F1F-EFA5FEA639AA}"/>
    <cellStyle name="Normal 27 4 2 2 2 3 4 2" xfId="39283" xr:uid="{27D13186-1E37-4586-9064-D3D47DE605E0}"/>
    <cellStyle name="Normal 27 4 2 2 2 3 5" xfId="39284" xr:uid="{784D2B1E-64AE-4BCC-83A9-5B9504AEB76E}"/>
    <cellStyle name="Normal 27 4 2 2 2 4" xfId="39285" xr:uid="{8A1302E0-E749-443E-BFAB-79B9B4A796A8}"/>
    <cellStyle name="Normal 27 4 2 2 2 4 2" xfId="39286" xr:uid="{00E0D03E-65EB-4E88-A6EC-25EC199DE4DF}"/>
    <cellStyle name="Normal 27 4 2 2 2 4 2 2" xfId="39287" xr:uid="{F0A49538-9F59-4FB6-B7A2-4863AD023159}"/>
    <cellStyle name="Normal 27 4 2 2 2 4 2 2 2" xfId="39288" xr:uid="{E39D6FDC-B5C2-435D-945A-A4525C70CB14}"/>
    <cellStyle name="Normal 27 4 2 2 2 4 2 3" xfId="39289" xr:uid="{426A051E-F1C9-46AD-9BB9-F7862616C9E6}"/>
    <cellStyle name="Normal 27 4 2 2 2 4 3" xfId="39290" xr:uid="{23B65C4F-A746-41F9-9958-B8F16C05EDC9}"/>
    <cellStyle name="Normal 27 4 2 2 2 4 3 2" xfId="39291" xr:uid="{AE43032F-425C-4478-9ED4-670FCC8CC8DE}"/>
    <cellStyle name="Normal 27 4 2 2 2 4 4" xfId="39292" xr:uid="{70EBCDFD-A5AE-473C-94B1-0AEAE08D3437}"/>
    <cellStyle name="Normal 27 4 2 2 2 5" xfId="39293" xr:uid="{3B8440C1-F1FC-4AF8-82DE-3E5AC4BD972F}"/>
    <cellStyle name="Normal 27 4 2 2 2 5 2" xfId="39294" xr:uid="{653494C7-A75F-4D44-A9F9-DEDD1096061A}"/>
    <cellStyle name="Normal 27 4 2 2 2 5 2 2" xfId="39295" xr:uid="{532BB0CE-566D-4622-BD97-B25455608050}"/>
    <cellStyle name="Normal 27 4 2 2 2 5 3" xfId="12307" xr:uid="{5F879917-F071-4175-B3BD-FEE9B15AC442}"/>
    <cellStyle name="Normal 27 4 2 2 2 6" xfId="39296" xr:uid="{1211BE8D-D8A5-4D81-8E0D-34D0AAE310DC}"/>
    <cellStyle name="Normal 27 4 2 2 2 6 2" xfId="39297" xr:uid="{034CE1C8-2741-4B0C-8A2E-D11E0657C9B6}"/>
    <cellStyle name="Normal 27 4 2 2 2 7" xfId="39298" xr:uid="{49D1D3D3-0E81-426D-BE6C-EE778A591438}"/>
    <cellStyle name="Normal 27 4 2 2 2 8" xfId="39299" xr:uid="{869F9D34-7678-4873-AFF6-7342EF123D2A}"/>
    <cellStyle name="Normal 27 4 2 2 3" xfId="9877" xr:uid="{ED494467-4040-4EBB-9F73-08D26F0BEDBB}"/>
    <cellStyle name="Normal 27 4 2 2 3 2" xfId="39300" xr:uid="{2D2E1976-CBB2-4A0B-B10C-D1205C0F7012}"/>
    <cellStyle name="Normal 27 4 2 2 3 2 2" xfId="39301" xr:uid="{B75640D0-3C35-46BE-B116-171D3BB3FC7E}"/>
    <cellStyle name="Normal 27 4 2 2 3 2 2 2" xfId="8368" xr:uid="{80449E45-3B78-4746-A346-D54FF2E64235}"/>
    <cellStyle name="Normal 27 4 2 2 3 2 2 2 2" xfId="8372" xr:uid="{703B1E32-B67C-4E4E-8D82-279132CAD52C}"/>
    <cellStyle name="Normal 27 4 2 2 3 2 2 2 2 2" xfId="8374" xr:uid="{48EB0291-80C6-4183-A53A-C5D16341333E}"/>
    <cellStyle name="Normal 27 4 2 2 3 2 2 2 3" xfId="8377" xr:uid="{927D72A4-EE89-41E6-844A-59FA10079008}"/>
    <cellStyle name="Normal 27 4 2 2 3 2 2 3" xfId="7643" xr:uid="{12754FD4-785A-45DC-A307-BBA6FBB9A9AE}"/>
    <cellStyle name="Normal 27 4 2 2 3 2 2 3 2" xfId="262" xr:uid="{59C4DFED-121B-49CF-A529-1DE69A0C953A}"/>
    <cellStyle name="Normal 27 4 2 2 3 2 2 4" xfId="8381" xr:uid="{C6DDA07B-C323-47CE-BB53-4CFDD463BD43}"/>
    <cellStyle name="Normal 27 4 2 2 3 2 3" xfId="39302" xr:uid="{AE85E1EC-73B2-4154-A87F-DFB64334434E}"/>
    <cellStyle name="Normal 27 4 2 2 3 2 3 2" xfId="8400" xr:uid="{2A1EC8C9-3EFA-446E-A966-3C9EBDCCE4E1}"/>
    <cellStyle name="Normal 27 4 2 2 3 2 3 2 2" xfId="8402" xr:uid="{AFD7F804-A9EC-4C86-96D1-2A059756EB87}"/>
    <cellStyle name="Normal 27 4 2 2 3 2 3 3" xfId="1236" xr:uid="{8AABE5E9-B17B-493B-9A2A-C4D00FC886CE}"/>
    <cellStyle name="Normal 27 4 2 2 3 2 4" xfId="39303" xr:uid="{1AB16F26-D573-4253-B4C7-8EA94FEDF261}"/>
    <cellStyle name="Normal 27 4 2 2 3 2 4 2" xfId="8412" xr:uid="{34E6D1E9-1AD1-46C1-8530-EA3744EF4C18}"/>
    <cellStyle name="Normal 27 4 2 2 3 2 5" xfId="39304" xr:uid="{91A4EA7F-8AAB-4351-9558-CBA16DCD88F7}"/>
    <cellStyle name="Normal 27 4 2 2 3 3" xfId="39305" xr:uid="{E24B9C54-2794-4B6B-9A55-40A304CA3E71}"/>
    <cellStyle name="Normal 27 4 2 2 3 3 2" xfId="39306" xr:uid="{3D1E80E1-7049-419F-9893-610065F0BC79}"/>
    <cellStyle name="Normal 27 4 2 2 3 3 2 2" xfId="1806" xr:uid="{EB62A3AA-00A1-49B9-96AC-2031400D0FBE}"/>
    <cellStyle name="Normal 27 4 2 2 3 3 2 2 2" xfId="3728" xr:uid="{D55EA61D-2FC0-427A-9E1F-A250CCED5E44}"/>
    <cellStyle name="Normal 27 4 2 2 3 3 2 3" xfId="1813" xr:uid="{CAFBE278-7800-420B-9298-7706EF99217B}"/>
    <cellStyle name="Normal 27 4 2 2 3 3 3" xfId="39307" xr:uid="{67B5FE46-F4BC-4B1E-AA81-921569220AEE}"/>
    <cellStyle name="Normal 27 4 2 2 3 3 3 2" xfId="3457" xr:uid="{9239FDC1-D2C4-4BC0-BE00-43474FABB632}"/>
    <cellStyle name="Normal 27 4 2 2 3 3 4" xfId="39308" xr:uid="{BFA67701-F391-40A6-A926-46DE7D8F52C7}"/>
    <cellStyle name="Normal 27 4 2 2 3 4" xfId="39309" xr:uid="{9A23A4A6-FB04-416A-99B2-2E8D180536D2}"/>
    <cellStyle name="Normal 27 4 2 2 3 4 2" xfId="39310" xr:uid="{9B0D2F27-AF0D-4A4A-AE7E-333B9BE17F55}"/>
    <cellStyle name="Normal 27 4 2 2 3 4 2 2" xfId="1502" xr:uid="{89B0A9E2-D072-4EEB-867A-2E407976585E}"/>
    <cellStyle name="Normal 27 4 2 2 3 4 3" xfId="39311" xr:uid="{3B673F8D-9186-4BC3-8664-C536C73B3DFC}"/>
    <cellStyle name="Normal 27 4 2 2 3 5" xfId="39312" xr:uid="{98A01559-DBEE-470D-977B-04763A73F512}"/>
    <cellStyle name="Normal 27 4 2 2 3 5 2" xfId="39313" xr:uid="{DF157C17-052F-48CD-9194-0817A29A3024}"/>
    <cellStyle name="Normal 27 4 2 2 3 6" xfId="39314" xr:uid="{03EA60B5-A4F5-4ECD-9C36-9A13CB572A39}"/>
    <cellStyle name="Normal 27 4 2 2 3 7" xfId="39315" xr:uid="{849F7015-6046-42D0-933B-E724F8329D11}"/>
    <cellStyle name="Normal 27 4 2 2 4" xfId="39316" xr:uid="{16BC54CB-CB41-423E-A75E-42802CBDFD65}"/>
    <cellStyle name="Normal 27 4 2 2 4 2" xfId="39317" xr:uid="{1A4C71A2-C192-41AD-910C-04D7BDC48D93}"/>
    <cellStyle name="Normal 27 4 2 2 4 2 2" xfId="39318" xr:uid="{DC3AED34-50BC-4CF1-AC43-239F06C7623E}"/>
    <cellStyle name="Normal 27 4 2 2 4 2 2 2" xfId="9302" xr:uid="{B0F7711A-1234-4FD5-8C67-593DB0E4376F}"/>
    <cellStyle name="Normal 27 4 2 2 4 2 2 2 2" xfId="9304" xr:uid="{9F97221F-0914-44D5-922B-A357FA675C19}"/>
    <cellStyle name="Normal 27 4 2 2 4 2 2 3" xfId="9308" xr:uid="{C161C938-8F8B-4768-A4EE-FC836148E4E7}"/>
    <cellStyle name="Normal 27 4 2 2 4 2 3" xfId="39319" xr:uid="{CA74BC8D-742B-4367-9680-3F4111EBA220}"/>
    <cellStyle name="Normal 27 4 2 2 4 2 3 2" xfId="9319" xr:uid="{34FD3287-925D-478B-882F-DEE6FB8D6E1A}"/>
    <cellStyle name="Normal 27 4 2 2 4 2 4" xfId="39320" xr:uid="{A3224481-9830-4002-BA7E-04F8BF862604}"/>
    <cellStyle name="Normal 27 4 2 2 4 3" xfId="39321" xr:uid="{FC317849-3006-4307-B222-A4A64CBE08AB}"/>
    <cellStyle name="Normal 27 4 2 2 4 3 2" xfId="39322" xr:uid="{FA15EB8E-2D20-41EA-A940-4A34A5A0C833}"/>
    <cellStyle name="Normal 27 4 2 2 4 3 2 2" xfId="9349" xr:uid="{2E8E9315-1799-4E3B-9F6B-025148BD641A}"/>
    <cellStyle name="Normal 27 4 2 2 4 3 3" xfId="39323" xr:uid="{21DD597F-0E24-41A2-930F-C7B83140F151}"/>
    <cellStyle name="Normal 27 4 2 2 4 4" xfId="39324" xr:uid="{6DAFE029-D161-4895-BFE4-E9599EC0368D}"/>
    <cellStyle name="Normal 27 4 2 2 4 4 2" xfId="39325" xr:uid="{82A446E0-E750-4BE4-80D9-9CBA4D572084}"/>
    <cellStyle name="Normal 27 4 2 2 4 5" xfId="39326" xr:uid="{F72C4652-34A4-4200-BC82-23698F2512BC}"/>
    <cellStyle name="Normal 27 4 2 2 5" xfId="39327" xr:uid="{CB13369B-17FA-4694-84DC-CF2392EA08D7}"/>
    <cellStyle name="Normal 27 4 2 2 5 2" xfId="39328" xr:uid="{4CF8CDC9-7B7B-4937-9D16-D710336B65AC}"/>
    <cellStyle name="Normal 27 4 2 2 5 2 2" xfId="39329" xr:uid="{DDF2923A-8AB4-4571-A5C0-7AFB5A2EC79D}"/>
    <cellStyle name="Normal 27 4 2 2 5 2 2 2" xfId="9880" xr:uid="{3BA32F27-2835-403C-BC33-E0EA6F6ECD52}"/>
    <cellStyle name="Normal 27 4 2 2 5 2 3" xfId="39330" xr:uid="{A9DFD831-E10A-4CCC-A11E-2BBA776E513E}"/>
    <cellStyle name="Normal 27 4 2 2 5 3" xfId="39331" xr:uid="{0E201538-0F05-424A-86F9-7497F986920D}"/>
    <cellStyle name="Normal 27 4 2 2 5 3 2" xfId="39332" xr:uid="{339F9BFD-ABFA-4641-ABF8-2D297B7D1F93}"/>
    <cellStyle name="Normal 27 4 2 2 5 4" xfId="39333" xr:uid="{846D5B3F-0DDE-4427-965D-21CF1B81429E}"/>
    <cellStyle name="Normal 27 4 2 2 6" xfId="39334" xr:uid="{95691DA3-A674-49BC-8F2F-E5AD6262D1A7}"/>
    <cellStyle name="Normal 27 4 2 2 6 2" xfId="39335" xr:uid="{E8AD8F6C-4395-4E18-AE7F-9530502E63DD}"/>
    <cellStyle name="Normal 27 4 2 2 6 2 2" xfId="39336" xr:uid="{410818C2-D464-41E7-A05F-9CCA528ABC67}"/>
    <cellStyle name="Normal 27 4 2 2 6 3" xfId="39337" xr:uid="{B20EABC4-5635-4162-8863-9C7EAB178BAC}"/>
    <cellStyle name="Normal 27 4 2 2 7" xfId="39338" xr:uid="{0B1D517A-431A-4438-B932-ABC81CFAE08B}"/>
    <cellStyle name="Normal 27 4 2 2 7 2" xfId="39339" xr:uid="{94F723A6-F87C-4442-B891-456AA25B1CCF}"/>
    <cellStyle name="Normal 27 4 2 2 8" xfId="39340" xr:uid="{37BAD154-3343-49B2-9409-95F93D742016}"/>
    <cellStyle name="Normal 27 4 2 2 9" xfId="39341" xr:uid="{9B6C6DD6-6D55-4795-B416-A11830C4EBBA}"/>
    <cellStyle name="Normal 27 4 2 3" xfId="39342" xr:uid="{F5EE5CB8-EF03-4566-B9C1-2A8CD1E5D858}"/>
    <cellStyle name="Normal 27 4 2 3 2" xfId="39343" xr:uid="{A688CED7-C92E-4437-AE6A-6D475B15C47C}"/>
    <cellStyle name="Normal 27 4 2 3 2 2" xfId="39344" xr:uid="{11860175-865A-4428-BF58-FC8AE2D8D3C0}"/>
    <cellStyle name="Normal 27 4 2 3 2 2 2" xfId="39345" xr:uid="{146C4380-BB75-43CF-92C2-331F04934B9D}"/>
    <cellStyle name="Normal 27 4 2 3 2 2 2 2" xfId="39346" xr:uid="{14D0CB90-E29A-4479-A13F-95258FEB9F9D}"/>
    <cellStyle name="Normal 27 4 2 3 2 2 2 2 2" xfId="39347" xr:uid="{E3D2A641-C94C-433F-B0A9-87173555DBA9}"/>
    <cellStyle name="Normal 27 4 2 3 2 2 2 2 2 2" xfId="39348" xr:uid="{4B4BED3C-0193-4637-B163-A569A9C309C3}"/>
    <cellStyle name="Normal 27 4 2 3 2 2 2 2 3" xfId="39349" xr:uid="{8471B025-F20A-48AA-BAE4-66DA9CE8D0AB}"/>
    <cellStyle name="Normal 27 4 2 3 2 2 2 3" xfId="39350" xr:uid="{37243C82-5284-4E6F-8456-EBFCAB945B8D}"/>
    <cellStyle name="Normal 27 4 2 3 2 2 2 3 2" xfId="39351" xr:uid="{633A405F-2285-4C81-B4F4-53865CA5D9B5}"/>
    <cellStyle name="Normal 27 4 2 3 2 2 2 4" xfId="19188" xr:uid="{A0716FF6-EB60-47F1-9A1F-5DEAC3AF5348}"/>
    <cellStyle name="Normal 27 4 2 3 2 2 3" xfId="39352" xr:uid="{62D590DE-D0B5-448A-8C63-99E42471D217}"/>
    <cellStyle name="Normal 27 4 2 3 2 2 3 2" xfId="39353" xr:uid="{A4EF3A4B-3A8C-41A0-9ED6-9F63D0BA21FA}"/>
    <cellStyle name="Normal 27 4 2 3 2 2 3 2 2" xfId="39354" xr:uid="{A80FF588-CB1A-4D5D-9D1B-F8B1D22755F9}"/>
    <cellStyle name="Normal 27 4 2 3 2 2 3 3" xfId="39355" xr:uid="{B441CB0C-D52B-4693-A6C5-63942B6AF538}"/>
    <cellStyle name="Normal 27 4 2 3 2 2 4" xfId="39356" xr:uid="{C49934A1-B694-4EEF-8265-C64A5AD85084}"/>
    <cellStyle name="Normal 27 4 2 3 2 2 4 2" xfId="39357" xr:uid="{4D080D1D-F227-41F4-9D1F-0FF83AC3E7D1}"/>
    <cellStyle name="Normal 27 4 2 3 2 2 5" xfId="39358" xr:uid="{D3D28CC4-CAAA-429C-897A-89B06D03EC11}"/>
    <cellStyle name="Normal 27 4 2 3 2 3" xfId="39359" xr:uid="{83FC4242-5F66-434F-9387-9E195BF5B7C6}"/>
    <cellStyle name="Normal 27 4 2 3 2 3 2" xfId="39360" xr:uid="{7A72EE15-376E-45BC-B182-7416C1A87C62}"/>
    <cellStyle name="Normal 27 4 2 3 2 3 2 2" xfId="39361" xr:uid="{3E66823C-67EB-49FA-AD07-E090D5FCD477}"/>
    <cellStyle name="Normal 27 4 2 3 2 3 2 2 2" xfId="39362" xr:uid="{40D56C80-E455-43BF-BE79-9E0AC79CF78D}"/>
    <cellStyle name="Normal 27 4 2 3 2 3 2 3" xfId="39363" xr:uid="{760AFF3E-C6A4-466F-BF08-438DE3D0CF40}"/>
    <cellStyle name="Normal 27 4 2 3 2 3 3" xfId="39364" xr:uid="{09A93A09-DBD8-42B3-B14A-55E0A173A051}"/>
    <cellStyle name="Normal 27 4 2 3 2 3 3 2" xfId="39365" xr:uid="{E53B2616-AB13-455D-9F14-6BC849B2E65F}"/>
    <cellStyle name="Normal 27 4 2 3 2 3 4" xfId="39366" xr:uid="{AA6BAE56-9188-47CA-8563-B975EDC82924}"/>
    <cellStyle name="Normal 27 4 2 3 2 4" xfId="39367" xr:uid="{DC5CB9AC-52CD-4952-ADFA-956F0C78B6CD}"/>
    <cellStyle name="Normal 27 4 2 3 2 4 2" xfId="39368" xr:uid="{9C1F54C6-B715-43D5-8619-ADFE8365D71F}"/>
    <cellStyle name="Normal 27 4 2 3 2 4 2 2" xfId="39369" xr:uid="{A771AD31-918A-42DC-9666-1CB1A110872F}"/>
    <cellStyle name="Normal 27 4 2 3 2 4 3" xfId="39370" xr:uid="{BA149483-1962-4D7D-9A7A-BBB0F9BB83C8}"/>
    <cellStyle name="Normal 27 4 2 3 2 5" xfId="5535" xr:uid="{34597102-6C49-4DA6-9CB6-B3C1875FC60D}"/>
    <cellStyle name="Normal 27 4 2 3 2 5 2" xfId="39371" xr:uid="{D139189A-A8A8-41D0-BEB1-6770B3DF7B59}"/>
    <cellStyle name="Normal 27 4 2 3 2 6" xfId="39372" xr:uid="{7F22FE47-32BE-4FF5-BA83-334C15CF3DB0}"/>
    <cellStyle name="Normal 27 4 2 3 2 7" xfId="39373" xr:uid="{94E1A885-8177-46AC-B15D-08F3A1CBB002}"/>
    <cellStyle name="Normal 27 4 2 3 3" xfId="39374" xr:uid="{4C89B29E-6485-4058-B3E2-23BC99D86EFB}"/>
    <cellStyle name="Normal 27 4 2 3 3 2" xfId="39375" xr:uid="{E3B411C6-D41C-444D-B32F-6716587F51C8}"/>
    <cellStyle name="Normal 27 4 2 3 3 2 2" xfId="39376" xr:uid="{01B658D1-DBB6-4FEC-B8E2-EA6B2D565A76}"/>
    <cellStyle name="Normal 27 4 2 3 3 2 2 2" xfId="11882" xr:uid="{71476322-C693-4F91-9D7B-C063CF8BB12E}"/>
    <cellStyle name="Normal 27 4 2 3 3 2 2 2 2" xfId="11884" xr:uid="{C4A6D1FC-B55D-4399-B61A-C496FB53808B}"/>
    <cellStyle name="Normal 27 4 2 3 3 2 2 3" xfId="11892" xr:uid="{0E018B9D-EF04-418D-9D0A-E389C04E76A6}"/>
    <cellStyle name="Normal 27 4 2 3 3 2 3" xfId="39377" xr:uid="{F4679077-EBFF-4747-876C-947C6C068DE5}"/>
    <cellStyle name="Normal 27 4 2 3 3 2 3 2" xfId="11928" xr:uid="{0FCB4127-9449-42B9-85EB-E93D3ED063B0}"/>
    <cellStyle name="Normal 27 4 2 3 3 2 4" xfId="39378" xr:uid="{FD49C6B3-8CAA-46FC-B2CD-C00D4D9411ED}"/>
    <cellStyle name="Normal 27 4 2 3 3 3" xfId="39379" xr:uid="{E2A9253B-B00A-48FE-8C40-4566831C3364}"/>
    <cellStyle name="Normal 27 4 2 3 3 3 2" xfId="39380" xr:uid="{011356BE-C01E-400E-8C4B-2BCF9417D9E8}"/>
    <cellStyle name="Normal 27 4 2 3 3 3 2 2" xfId="12015" xr:uid="{1230BEEE-FCBB-4CE2-A7C1-486AE763E3EE}"/>
    <cellStyle name="Normal 27 4 2 3 3 3 3" xfId="39381" xr:uid="{33AD241F-8AB3-4BD3-90E0-DC8700A9A2DD}"/>
    <cellStyle name="Normal 27 4 2 3 3 4" xfId="39382" xr:uid="{FD6A163F-08F9-45D7-BF34-723E7273C183}"/>
    <cellStyle name="Normal 27 4 2 3 3 4 2" xfId="39383" xr:uid="{71F60363-7C49-4A75-854A-0EE8F9594BD6}"/>
    <cellStyle name="Normal 27 4 2 3 3 5" xfId="39384" xr:uid="{692612A3-E3BD-42AA-B1F6-548498AB888A}"/>
    <cellStyle name="Normal 27 4 2 3 4" xfId="39385" xr:uid="{AEDFD11E-F424-4646-9141-4263CD359EA7}"/>
    <cellStyle name="Normal 27 4 2 3 4 2" xfId="39386" xr:uid="{73A538BD-8C3C-4A41-AA4C-55E577FC57C9}"/>
    <cellStyle name="Normal 27 4 2 3 4 2 2" xfId="39387" xr:uid="{D36AC1B9-53A1-435B-AB08-5BA8BC2A0848}"/>
    <cellStyle name="Normal 27 4 2 3 4 2 2 2" xfId="12856" xr:uid="{0ACBC56A-C3B1-4617-AB66-2270F321F293}"/>
    <cellStyle name="Normal 27 4 2 3 4 2 3" xfId="39388" xr:uid="{AA34AB3E-B3D2-46EB-83FB-E592C14D440A}"/>
    <cellStyle name="Normal 27 4 2 3 4 3" xfId="39389" xr:uid="{2F1B50AF-BDB2-406F-87EF-68190DC4EDF5}"/>
    <cellStyle name="Normal 27 4 2 3 4 3 2" xfId="39390" xr:uid="{665957E1-7814-4211-A95E-033552BD0424}"/>
    <cellStyle name="Normal 27 4 2 3 4 4" xfId="39391" xr:uid="{7CF7CE81-87D4-4856-A1F1-6E5ADA4B99AA}"/>
    <cellStyle name="Normal 27 4 2 3 5" xfId="39392" xr:uid="{AF929C4B-0303-49D0-87B0-E94FCA1D64D0}"/>
    <cellStyle name="Normal 27 4 2 3 5 2" xfId="39393" xr:uid="{3C424917-6ECA-4020-916A-199A0AC115B3}"/>
    <cellStyle name="Normal 27 4 2 3 5 2 2" xfId="39394" xr:uid="{5A25F2A4-3318-4FA9-9767-F63C534C9501}"/>
    <cellStyle name="Normal 27 4 2 3 5 3" xfId="39395" xr:uid="{2E931E3E-8AC9-4943-ACDA-87AB6364DC24}"/>
    <cellStyle name="Normal 27 4 2 3 6" xfId="39396" xr:uid="{A2BF51C1-AE20-4984-94A8-936BD2767608}"/>
    <cellStyle name="Normal 27 4 2 3 6 2" xfId="39397" xr:uid="{645406F3-3302-4276-809D-19CFDBFCE7C2}"/>
    <cellStyle name="Normal 27 4 2 3 7" xfId="39398" xr:uid="{929BC47D-7288-4264-8087-D06F1BD50095}"/>
    <cellStyle name="Normal 27 4 2 3 8" xfId="39399" xr:uid="{6F105BA3-EEB7-463A-86A3-D2E4A7648895}"/>
    <cellStyle name="Normal 27 4 2 4" xfId="39400" xr:uid="{E5CD26D7-DA35-4E5C-9910-C828A9CDB40A}"/>
    <cellStyle name="Normal 27 4 2 4 2" xfId="39401" xr:uid="{2D06B4E0-9134-4078-A1A8-924955FDB776}"/>
    <cellStyle name="Normal 27 4 2 4 2 2" xfId="39402" xr:uid="{42B8BB89-13C6-482D-8405-0E19EFD41BE1}"/>
    <cellStyle name="Normal 27 4 2 4 2 2 2" xfId="39403" xr:uid="{1FF900B2-8CBC-4B8A-885E-BFD9900847AA}"/>
    <cellStyle name="Normal 27 4 2 4 2 2 2 2" xfId="39404" xr:uid="{2C7CD84D-ECEA-4881-AEFF-411C8ABC9677}"/>
    <cellStyle name="Normal 27 4 2 4 2 2 2 2 2" xfId="39405" xr:uid="{9A82AF1C-7BD7-4FC6-86ED-909A701FB426}"/>
    <cellStyle name="Normal 27 4 2 4 2 2 2 3" xfId="39406" xr:uid="{C2909DE2-DC8D-4081-BD6C-2DEB6517B2DF}"/>
    <cellStyle name="Normal 27 4 2 4 2 2 3" xfId="39407" xr:uid="{B9EBE185-EB82-434F-99E4-C4035DAB0AE4}"/>
    <cellStyle name="Normal 27 4 2 4 2 2 3 2" xfId="39408" xr:uid="{7BE9B087-F773-423E-AE2F-B80C067E90DB}"/>
    <cellStyle name="Normal 27 4 2 4 2 2 4" xfId="39409" xr:uid="{DF2B1533-8E7A-4FF3-97C4-9A8B944FFB87}"/>
    <cellStyle name="Normal 27 4 2 4 2 3" xfId="30607" xr:uid="{C2B2F2AE-3491-4E62-9295-2C7C76579423}"/>
    <cellStyle name="Normal 27 4 2 4 2 3 2" xfId="39410" xr:uid="{7780BAD9-0957-4370-A400-41CF07812993}"/>
    <cellStyle name="Normal 27 4 2 4 2 3 2 2" xfId="39411" xr:uid="{68F24990-A9A9-470A-9686-ADE422093758}"/>
    <cellStyle name="Normal 27 4 2 4 2 3 3" xfId="39412" xr:uid="{ECE188A7-4F9B-451C-802E-3D5622E42922}"/>
    <cellStyle name="Normal 27 4 2 4 2 4" xfId="39413" xr:uid="{E54E4794-3AAB-41AF-9272-61830958F170}"/>
    <cellStyle name="Normal 27 4 2 4 2 4 2" xfId="39414" xr:uid="{0E702A0C-EBBC-4EB4-AE42-1FBFBDFA97F2}"/>
    <cellStyle name="Normal 27 4 2 4 2 5" xfId="39415" xr:uid="{A91C4546-FACB-4CDA-8878-C1344A7B39D4}"/>
    <cellStyle name="Normal 27 4 2 4 3" xfId="39416" xr:uid="{53BD18CA-0FB5-4442-B394-909103813C50}"/>
    <cellStyle name="Normal 27 4 2 4 3 2" xfId="39417" xr:uid="{D6235AD3-1C37-4C42-87B6-E5FA3C78F08D}"/>
    <cellStyle name="Normal 27 4 2 4 3 2 2" xfId="39418" xr:uid="{83F3FF60-71EE-4B91-BAFD-5C732C5F83F9}"/>
    <cellStyle name="Normal 27 4 2 4 3 2 2 2" xfId="14766" xr:uid="{62C11F30-D2C4-4402-8948-C265449C18C5}"/>
    <cellStyle name="Normal 27 4 2 4 3 2 3" xfId="39419" xr:uid="{8BE83C81-CFAF-4F25-B941-4ADE4AC67A0A}"/>
    <cellStyle name="Normal 27 4 2 4 3 3" xfId="39420" xr:uid="{A95B6A76-587D-4A01-B402-0D421915CD82}"/>
    <cellStyle name="Normal 27 4 2 4 3 3 2" xfId="39421" xr:uid="{69F42E9E-BA89-4E94-992F-369A14ED676F}"/>
    <cellStyle name="Normal 27 4 2 4 3 4" xfId="39422" xr:uid="{0EB6832A-80BB-4E7D-BF63-A09F581E6D1A}"/>
    <cellStyle name="Normal 27 4 2 4 4" xfId="39423" xr:uid="{2B8C1A5B-6C6C-41D0-8B87-3E13B2C9A6B5}"/>
    <cellStyle name="Normal 27 4 2 4 4 2" xfId="39424" xr:uid="{D627F1ED-CFC1-45DC-941B-BD29118B9E3A}"/>
    <cellStyle name="Normal 27 4 2 4 4 2 2" xfId="39425" xr:uid="{89BA0B99-1A77-42A5-BC49-F80A92FF2282}"/>
    <cellStyle name="Normal 27 4 2 4 4 3" xfId="39426" xr:uid="{76A8DFBE-846A-46E8-851A-FFDB1CE1F0B9}"/>
    <cellStyle name="Normal 27 4 2 4 5" xfId="39427" xr:uid="{B7F6F668-8299-4DB8-AFED-98699EF71149}"/>
    <cellStyle name="Normal 27 4 2 4 5 2" xfId="39428" xr:uid="{9F1823F5-3FCE-4F67-AEB6-F96B187B9046}"/>
    <cellStyle name="Normal 27 4 2 4 6" xfId="39429" xr:uid="{7CCE7164-A431-4900-940C-9ADB71EE6F6E}"/>
    <cellStyle name="Normal 27 4 2 4 7" xfId="39430" xr:uid="{61FC0212-AF8E-45AD-B2A5-C7D13F3685F5}"/>
    <cellStyle name="Normal 27 4 2 5" xfId="39431" xr:uid="{F36BB23C-15E0-4A22-9C58-1775DE656EDD}"/>
    <cellStyle name="Normal 27 4 2 5 2" xfId="39432" xr:uid="{A271CB84-8568-4A79-97D4-1F07B6672915}"/>
    <cellStyle name="Normal 27 4 2 5 2 2" xfId="39433" xr:uid="{0086D960-9AAB-4EED-9190-BD3F83A499B8}"/>
    <cellStyle name="Normal 27 4 2 5 2 2 2" xfId="39434" xr:uid="{A6E63369-5BEA-46B2-B31E-4E50D5356087}"/>
    <cellStyle name="Normal 27 4 2 5 2 2 2 2" xfId="39435" xr:uid="{C6E23A58-C446-44CB-BD35-D3736D5B9D03}"/>
    <cellStyle name="Normal 27 4 2 5 2 2 3" xfId="39436" xr:uid="{A055E4F3-7286-4D02-99E5-C60CDF2E8EB2}"/>
    <cellStyle name="Normal 27 4 2 5 2 3" xfId="2084" xr:uid="{E073E582-DC5F-4D9F-B47A-FF7649847873}"/>
    <cellStyle name="Normal 27 4 2 5 2 3 2" xfId="39437" xr:uid="{EF109F53-9B9A-4685-8817-5B86E16A0B63}"/>
    <cellStyle name="Normal 27 4 2 5 2 4" xfId="39438" xr:uid="{FDB89349-7823-495F-9733-DC1BCBD3AB2D}"/>
    <cellStyle name="Normal 27 4 2 5 3" xfId="39439" xr:uid="{F47C2AF6-31A5-428A-BC53-518BD8194B79}"/>
    <cellStyle name="Normal 27 4 2 5 3 2" xfId="39440" xr:uid="{3C555FAF-9888-42B5-989C-8B8CE16F0DF0}"/>
    <cellStyle name="Normal 27 4 2 5 3 2 2" xfId="39441" xr:uid="{0B7FDE7C-7879-4B90-A27B-36E779A98009}"/>
    <cellStyle name="Normal 27 4 2 5 3 3" xfId="39442" xr:uid="{0F4E9F92-916C-41B5-BC90-D93C0E991920}"/>
    <cellStyle name="Normal 27 4 2 5 4" xfId="39443" xr:uid="{C45A0D31-6515-4D1F-962F-FD8874354CF1}"/>
    <cellStyle name="Normal 27 4 2 5 4 2" xfId="39444" xr:uid="{88F9F2DB-18EC-4B7C-AE42-BC406A34B48A}"/>
    <cellStyle name="Normal 27 4 2 5 5" xfId="39445" xr:uid="{5EE8941A-3E5F-4F24-91D6-B4ADAF60D19D}"/>
    <cellStyle name="Normal 27 4 2 6" xfId="39446" xr:uid="{5DED860E-4806-4BB5-B1B1-ABD93FC912D2}"/>
    <cellStyle name="Normal 27 4 2 6 2" xfId="39447" xr:uid="{345E22B2-F093-45ED-9C33-80DE311E93C1}"/>
    <cellStyle name="Normal 27 4 2 6 2 2" xfId="39448" xr:uid="{71BB17EF-2E14-477B-9A9F-93D953E4C786}"/>
    <cellStyle name="Normal 27 4 2 6 2 2 2" xfId="39449" xr:uid="{9238C6B5-18BF-48BC-B051-4FACCF3F515E}"/>
    <cellStyle name="Normal 27 4 2 6 2 3" xfId="39450" xr:uid="{193877F2-EC6C-4DAC-A445-3457CA0939EE}"/>
    <cellStyle name="Normal 27 4 2 6 3" xfId="39451" xr:uid="{4538FE5C-CB74-4501-B832-F1E4DD4E5055}"/>
    <cellStyle name="Normal 27 4 2 6 3 2" xfId="39452" xr:uid="{53A5332F-513B-4A0B-880C-D779CABE46FB}"/>
    <cellStyle name="Normal 27 4 2 6 4" xfId="39453" xr:uid="{E8C069E0-0D41-40B0-880E-E660E155925C}"/>
    <cellStyle name="Normal 27 4 2 7" xfId="39454" xr:uid="{551CB673-927E-4D88-8E2C-E590B22DDC88}"/>
    <cellStyle name="Normal 27 4 2 7 2" xfId="39455" xr:uid="{50BEF029-84FD-426B-B527-0102C0634B34}"/>
    <cellStyle name="Normal 27 4 2 7 2 2" xfId="39456" xr:uid="{EC91CDA6-82DB-4EF9-959C-3E2AA1FE52BB}"/>
    <cellStyle name="Normal 27 4 2 7 3" xfId="39457" xr:uid="{01D02FC0-35E3-41C5-B356-7DE817FB24BB}"/>
    <cellStyle name="Normal 27 4 2 8" xfId="39458" xr:uid="{2AB2E4C2-8694-48EC-83CA-8803098DAA48}"/>
    <cellStyle name="Normal 27 4 2 8 2" xfId="39459" xr:uid="{711C97FD-3A16-4765-84CE-F7E6A59B58DA}"/>
    <cellStyle name="Normal 27 4 2 9" xfId="39460" xr:uid="{B9CE2DCE-557E-4A5E-BE8A-12F74ED61071}"/>
    <cellStyle name="Normal 27 4 3" xfId="39461" xr:uid="{EA1B4236-1F9A-46B3-8FBE-38E96989F8E7}"/>
    <cellStyle name="Normal 27 4 3 2" xfId="39462" xr:uid="{7E02BBBE-AA35-417E-AFF5-0E8AD0B2E23F}"/>
    <cellStyle name="Normal 27 4 3 2 2" xfId="39463" xr:uid="{BC0A836E-3207-4690-A67B-463DDD5BCCF7}"/>
    <cellStyle name="Normal 27 4 3 2 2 2" xfId="39464" xr:uid="{29EA8F01-1D64-4515-BC69-4D05BCEBDB78}"/>
    <cellStyle name="Normal 27 4 3 2 2 2 2" xfId="39465" xr:uid="{8A90BABD-D1FC-4D00-8D40-3518CFE41BA1}"/>
    <cellStyle name="Normal 27 4 3 2 2 2 2 2" xfId="21806" xr:uid="{D66E313A-0D5A-4C4F-9F54-65F4A91D7CD7}"/>
    <cellStyle name="Normal 27 4 3 2 2 2 2 2 2" xfId="39466" xr:uid="{99980596-0DF9-4E97-9791-165D564C1477}"/>
    <cellStyle name="Normal 27 4 3 2 2 2 2 2 2 2" xfId="39467" xr:uid="{B518B6DE-4B89-4D15-B00E-B93B534F0287}"/>
    <cellStyle name="Normal 27 4 3 2 2 2 2 2 3" xfId="39468" xr:uid="{381D97BE-C6B9-45BA-B6CF-601D4D9CF95D}"/>
    <cellStyle name="Normal 27 4 3 2 2 2 2 3" xfId="39469" xr:uid="{146B2B78-48B7-49C3-AAAF-A65DFFD00169}"/>
    <cellStyle name="Normal 27 4 3 2 2 2 2 3 2" xfId="39470" xr:uid="{0BB5ACF0-F869-44BD-9EB1-FC7A9682AB5F}"/>
    <cellStyle name="Normal 27 4 3 2 2 2 2 4" xfId="39471" xr:uid="{6A02FC5B-74B4-42C4-8023-217A9F3B5526}"/>
    <cellStyle name="Normal 27 4 3 2 2 2 3" xfId="39472" xr:uid="{6F345044-B991-4936-A6FF-E7BD808AA352}"/>
    <cellStyle name="Normal 27 4 3 2 2 2 3 2" xfId="39473" xr:uid="{4BEFD862-B66B-4117-AFAF-2206DF5F8EF5}"/>
    <cellStyle name="Normal 27 4 3 2 2 2 3 2 2" xfId="39474" xr:uid="{C900732F-0D21-4750-8A0D-B8D9DD4154F6}"/>
    <cellStyle name="Normal 27 4 3 2 2 2 3 3" xfId="39475" xr:uid="{004497ED-2EDD-4665-B890-638AC4CCDBED}"/>
    <cellStyle name="Normal 27 4 3 2 2 2 4" xfId="39476" xr:uid="{607DD1D8-EE51-499F-A65D-8EE321226320}"/>
    <cellStyle name="Normal 27 4 3 2 2 2 4 2" xfId="39477" xr:uid="{A719BDAD-63AB-4123-8DCA-92A2380EEA14}"/>
    <cellStyle name="Normal 27 4 3 2 2 2 5" xfId="39478" xr:uid="{025193E6-CB40-41E9-A643-C0630FF23BA9}"/>
    <cellStyle name="Normal 27 4 3 2 2 3" xfId="39479" xr:uid="{F21B7CB4-C175-4DDD-A348-0E8BBE90EA7D}"/>
    <cellStyle name="Normal 27 4 3 2 2 3 2" xfId="39480" xr:uid="{CF66EE33-BA74-44DB-BBF4-556B4807D518}"/>
    <cellStyle name="Normal 27 4 3 2 2 3 2 2" xfId="39481" xr:uid="{D9B0C7FD-38D5-435C-B369-B4C399C43CB2}"/>
    <cellStyle name="Normal 27 4 3 2 2 3 2 2 2" xfId="39482" xr:uid="{E61F61CE-251B-4D09-BEE3-5B89FDFED2D2}"/>
    <cellStyle name="Normal 27 4 3 2 2 3 2 3" xfId="39483" xr:uid="{FAE605BC-50CA-448F-B5F5-DD1B4FC3949D}"/>
    <cellStyle name="Normal 27 4 3 2 2 3 3" xfId="39484" xr:uid="{1643762A-A9AF-4FBA-9253-9241C6B1C8B6}"/>
    <cellStyle name="Normal 27 4 3 2 2 3 3 2" xfId="39485" xr:uid="{137C40ED-897B-4983-90ED-FE33CB775C75}"/>
    <cellStyle name="Normal 27 4 3 2 2 3 4" xfId="39486" xr:uid="{1A928607-08D9-4A03-8DF0-DAF6706B768E}"/>
    <cellStyle name="Normal 27 4 3 2 2 4" xfId="39487" xr:uid="{D69DF7D6-D4D2-488F-AAED-9746AC6AF1ED}"/>
    <cellStyle name="Normal 27 4 3 2 2 4 2" xfId="39488" xr:uid="{714714EC-49C8-46D1-8BEC-68E8D3558843}"/>
    <cellStyle name="Normal 27 4 3 2 2 4 2 2" xfId="39489" xr:uid="{FAABE6B8-5A2E-4848-AD9D-01E40FB1E98C}"/>
    <cellStyle name="Normal 27 4 3 2 2 4 3" xfId="39490" xr:uid="{63C269AE-8B51-4D59-BA3A-16F1B2D4CD71}"/>
    <cellStyle name="Normal 27 4 3 2 2 5" xfId="39492" xr:uid="{6DED0C18-F280-460F-8711-6D26C6210478}"/>
    <cellStyle name="Normal 27 4 3 2 2 5 2" xfId="39494" xr:uid="{5728CC93-745D-4B67-B672-92AA4907A8E2}"/>
    <cellStyle name="Normal 27 4 3 2 2 6" xfId="39496" xr:uid="{DADCD0DB-1B10-47B1-89ED-7E3B8CA27ADA}"/>
    <cellStyle name="Normal 27 4 3 2 2 7" xfId="39498" xr:uid="{74FC56D8-E6F8-45F1-9EE2-B9C55A48B99C}"/>
    <cellStyle name="Normal 27 4 3 2 3" xfId="39499" xr:uid="{B7AA4929-3B08-4A7C-971C-A7065560CAFB}"/>
    <cellStyle name="Normal 27 4 3 2 3 2" xfId="39500" xr:uid="{ED38B61C-A5C3-41D2-B151-62B578E7F5E8}"/>
    <cellStyle name="Normal 27 4 3 2 3 2 2" xfId="39501" xr:uid="{266031DD-D700-40E1-A33B-5E17F09BC298}"/>
    <cellStyle name="Normal 27 4 3 2 3 2 2 2" xfId="39502" xr:uid="{FEA640B6-4B50-40D1-9C49-A390F8B6788A}"/>
    <cellStyle name="Normal 27 4 3 2 3 2 2 2 2" xfId="39503" xr:uid="{5F25F128-741B-4320-A8A7-2984864491A0}"/>
    <cellStyle name="Normal 27 4 3 2 3 2 2 3" xfId="39504" xr:uid="{61EEFA62-B39D-4A7B-8344-09DB932D3E04}"/>
    <cellStyle name="Normal 27 4 3 2 3 2 3" xfId="39505" xr:uid="{73712BD2-5D0D-4378-9DE7-BF7FBC5B5438}"/>
    <cellStyle name="Normal 27 4 3 2 3 2 3 2" xfId="39506" xr:uid="{1E9D1360-4A9D-4C2D-8279-415E484D952D}"/>
    <cellStyle name="Normal 27 4 3 2 3 2 4" xfId="39507" xr:uid="{70F788FF-A646-4497-9386-B8CB224DB12C}"/>
    <cellStyle name="Normal 27 4 3 2 3 3" xfId="39508" xr:uid="{3418AD31-F54F-4E1D-B4BE-D0CDE9A93466}"/>
    <cellStyle name="Normal 27 4 3 2 3 3 2" xfId="39509" xr:uid="{58BEBA7E-1C06-4B54-9762-BB45283950EF}"/>
    <cellStyle name="Normal 27 4 3 2 3 3 2 2" xfId="39510" xr:uid="{E2EEF78B-1B87-4D43-BFAD-9CE145398CFA}"/>
    <cellStyle name="Normal 27 4 3 2 3 3 3" xfId="39511" xr:uid="{D9979780-1C31-4ED7-A323-32F6E03C364A}"/>
    <cellStyle name="Normal 27 4 3 2 3 4" xfId="39512" xr:uid="{024E3FF9-C1B9-472E-B2B1-110D718F0CA0}"/>
    <cellStyle name="Normal 27 4 3 2 3 4 2" xfId="39513" xr:uid="{4B5EBF5E-BBDA-42F8-AF03-1D4C7360CC7A}"/>
    <cellStyle name="Normal 27 4 3 2 3 5" xfId="39515" xr:uid="{61EC13D2-4867-48EC-87CE-07616999CFA3}"/>
    <cellStyle name="Normal 27 4 3 2 4" xfId="39516" xr:uid="{45539654-00D8-4381-BE9B-30DB148611F4}"/>
    <cellStyle name="Normal 27 4 3 2 4 2" xfId="39517" xr:uid="{D12FA016-4CDE-4141-A8D1-C0B79760DDCE}"/>
    <cellStyle name="Normal 27 4 3 2 4 2 2" xfId="39518" xr:uid="{60CDBF04-3BCC-41B3-83AD-4D58B8C52C8C}"/>
    <cellStyle name="Normal 27 4 3 2 4 2 2 2" xfId="39519" xr:uid="{2EA1C2FA-5099-4570-88AA-007BAA532D8C}"/>
    <cellStyle name="Normal 27 4 3 2 4 2 3" xfId="39520" xr:uid="{BD172B5D-B607-48F8-B7D6-BD6602C59B04}"/>
    <cellStyle name="Normal 27 4 3 2 4 3" xfId="39521" xr:uid="{A9C5BF57-0E5A-4573-9148-281A77BA824F}"/>
    <cellStyle name="Normal 27 4 3 2 4 3 2" xfId="39522" xr:uid="{3E5B0DB1-F30F-4308-947D-21ED098C05ED}"/>
    <cellStyle name="Normal 27 4 3 2 4 4" xfId="39523" xr:uid="{62CEAC11-4B30-4A31-AE34-5CB1CAAD65E6}"/>
    <cellStyle name="Normal 27 4 3 2 5" xfId="39524" xr:uid="{50335796-1684-4F19-B5C2-868490248D00}"/>
    <cellStyle name="Normal 27 4 3 2 5 2" xfId="39525" xr:uid="{C67D3787-2FBB-42EC-96A6-E5AD046E1C44}"/>
    <cellStyle name="Normal 27 4 3 2 5 2 2" xfId="39526" xr:uid="{C68161D8-18F6-442D-880F-48D0766AB143}"/>
    <cellStyle name="Normal 27 4 3 2 5 3" xfId="39527" xr:uid="{DD2051B0-427E-4C11-B29D-DED7B2F3230D}"/>
    <cellStyle name="Normal 27 4 3 2 6" xfId="39528" xr:uid="{47A362FC-2D40-4962-919D-588251E0AFB9}"/>
    <cellStyle name="Normal 27 4 3 2 6 2" xfId="39529" xr:uid="{04A6DEBA-EB1F-4930-A378-C2F84B0117EA}"/>
    <cellStyle name="Normal 27 4 3 2 7" xfId="39530" xr:uid="{BF333E3A-6D3D-490B-93E2-45382529D34E}"/>
    <cellStyle name="Normal 27 4 3 2 8" xfId="39531" xr:uid="{6928591C-E180-469B-AC5E-DF54BD65075D}"/>
    <cellStyle name="Normal 27 4 3 3" xfId="39532" xr:uid="{5701C2CE-C4F1-44EA-B235-BD4D6E0D253C}"/>
    <cellStyle name="Normal 27 4 3 3 2" xfId="39533" xr:uid="{8624A5C9-E451-412B-A855-7C2704F48A08}"/>
    <cellStyle name="Normal 27 4 3 3 2 2" xfId="39534" xr:uid="{8CD6EF69-6405-4457-A84B-8EF1D3F1F817}"/>
    <cellStyle name="Normal 27 4 3 3 2 2 2" xfId="39535" xr:uid="{4ED2C957-89A7-40BD-A607-6FEBA00816A4}"/>
    <cellStyle name="Normal 27 4 3 3 2 2 2 2" xfId="39536" xr:uid="{650BA2A0-DC1C-447D-8F1A-0D1A00280772}"/>
    <cellStyle name="Normal 27 4 3 3 2 2 2 2 2" xfId="39537" xr:uid="{6EC254F9-A1DB-4208-840D-1A20A2DE024D}"/>
    <cellStyle name="Normal 27 4 3 3 2 2 2 3" xfId="39538" xr:uid="{D1874189-B15E-45CF-8224-1157C3785749}"/>
    <cellStyle name="Normal 27 4 3 3 2 2 3" xfId="39539" xr:uid="{265FB245-79D1-4777-890A-2E4D6BAC727E}"/>
    <cellStyle name="Normal 27 4 3 3 2 2 3 2" xfId="39540" xr:uid="{D1CE9189-CE35-480B-BE3D-B3593E8B35C5}"/>
    <cellStyle name="Normal 27 4 3 3 2 2 4" xfId="39541" xr:uid="{E27C4448-1CB0-442E-A3D8-F50A1087B853}"/>
    <cellStyle name="Normal 27 4 3 3 2 3" xfId="39542" xr:uid="{6D33BCDE-71C5-4806-B237-08EA2860C7D7}"/>
    <cellStyle name="Normal 27 4 3 3 2 3 2" xfId="39543" xr:uid="{701D09DD-113E-4562-AF99-954B2DF66105}"/>
    <cellStyle name="Normal 27 4 3 3 2 3 2 2" xfId="39544" xr:uid="{555A142C-7F87-4407-97BB-22D68FD3CF4F}"/>
    <cellStyle name="Normal 27 4 3 3 2 3 3" xfId="39545" xr:uid="{A5DDA52D-36AC-49CF-A9CC-C71580534554}"/>
    <cellStyle name="Normal 27 4 3 3 2 4" xfId="39546" xr:uid="{EEA8F4FA-FC47-4B02-9EEF-EA908DC491F5}"/>
    <cellStyle name="Normal 27 4 3 3 2 4 2" xfId="39547" xr:uid="{5024D105-5825-4FC6-9077-DFCEF51F26A0}"/>
    <cellStyle name="Normal 27 4 3 3 2 5" xfId="39549" xr:uid="{6DF705C9-70A6-4176-88AC-D19A817432D4}"/>
    <cellStyle name="Normal 27 4 3 3 3" xfId="39550" xr:uid="{901703B5-DC83-4F0B-9FF3-4F8D03633F65}"/>
    <cellStyle name="Normal 27 4 3 3 3 2" xfId="39551" xr:uid="{0CEFA040-4BE0-46D5-AEE1-38EE82E8E8AE}"/>
    <cellStyle name="Normal 27 4 3 3 3 2 2" xfId="39552" xr:uid="{63FB4DEC-5A90-48C2-A46B-A60BEE728C02}"/>
    <cellStyle name="Normal 27 4 3 3 3 2 2 2" xfId="39553" xr:uid="{A405B611-9509-4A6E-BD66-1D514A504CF4}"/>
    <cellStyle name="Normal 27 4 3 3 3 2 3" xfId="39554" xr:uid="{1A3CAD4A-8D54-406D-AB4D-866AB8C0EA64}"/>
    <cellStyle name="Normal 27 4 3 3 3 3" xfId="39555" xr:uid="{ECDAF4AA-6AF0-451C-B6B1-764CAD4E37F6}"/>
    <cellStyle name="Normal 27 4 3 3 3 3 2" xfId="39556" xr:uid="{7ABCC952-43DF-4E8A-BDBA-CCA3CDE0EE91}"/>
    <cellStyle name="Normal 27 4 3 3 3 4" xfId="39557" xr:uid="{CB339E17-ED60-49F3-A366-E1C4DB492B84}"/>
    <cellStyle name="Normal 27 4 3 3 4" xfId="27864" xr:uid="{96663907-C288-4970-B6F4-B455395B4CEC}"/>
    <cellStyle name="Normal 27 4 3 3 4 2" xfId="39558" xr:uid="{EFC7713A-497C-4E96-9C85-F26313CA7A9E}"/>
    <cellStyle name="Normal 27 4 3 3 4 2 2" xfId="39559" xr:uid="{9A42D9BD-AB86-44E6-99ED-420752716C5B}"/>
    <cellStyle name="Normal 27 4 3 3 4 3" xfId="39560" xr:uid="{F503E7EC-90D1-4AD6-871C-D0F3DEBB25AF}"/>
    <cellStyle name="Normal 27 4 3 3 5" xfId="39561" xr:uid="{6831EDDD-2331-4105-A19F-EB7CB2FF7632}"/>
    <cellStyle name="Normal 27 4 3 3 5 2" xfId="39562" xr:uid="{B05B770F-F3FE-4682-9453-AC5FFDDB7714}"/>
    <cellStyle name="Normal 27 4 3 3 6" xfId="39563" xr:uid="{6A19B6A5-15D8-4759-87C8-B5B998680AA7}"/>
    <cellStyle name="Normal 27 4 3 3 7" xfId="39564" xr:uid="{EFCE57FC-C60B-4503-9486-D8B0EEF25972}"/>
    <cellStyle name="Normal 27 4 3 4" xfId="39565" xr:uid="{74C6E000-1324-4E37-9F15-AF74238DE6C0}"/>
    <cellStyle name="Normal 27 4 3 4 2" xfId="39566" xr:uid="{F0667701-5218-4448-B2A5-A3A4B2FA4306}"/>
    <cellStyle name="Normal 27 4 3 4 2 2" xfId="39567" xr:uid="{A88FCA0A-25B3-4098-90A9-3F3D3643B4BA}"/>
    <cellStyle name="Normal 27 4 3 4 2 2 2" xfId="39568" xr:uid="{2A68A962-A1CC-4876-93E6-A23832FDDF0C}"/>
    <cellStyle name="Normal 27 4 3 4 2 2 2 2" xfId="39569" xr:uid="{6552D53A-DC77-4F89-B198-613C0CECD2E0}"/>
    <cellStyle name="Normal 27 4 3 4 2 2 3" xfId="39570" xr:uid="{B8EDB2D0-B154-423E-BE83-3001AC1CA321}"/>
    <cellStyle name="Normal 27 4 3 4 2 3" xfId="39571" xr:uid="{18D3D949-543D-4018-951D-4E010EEBFEF0}"/>
    <cellStyle name="Normal 27 4 3 4 2 3 2" xfId="39572" xr:uid="{7E94E10F-9B57-4050-86FA-C15ED97D6D75}"/>
    <cellStyle name="Normal 27 4 3 4 2 4" xfId="39573" xr:uid="{4FBDC025-708D-4671-BE56-80FCE312468F}"/>
    <cellStyle name="Normal 27 4 3 4 3" xfId="39574" xr:uid="{0C4ABD01-9664-45C0-B83A-5666952A3625}"/>
    <cellStyle name="Normal 27 4 3 4 3 2" xfId="39575" xr:uid="{F27D5D70-7E10-4606-948B-8A3F55501AA2}"/>
    <cellStyle name="Normal 27 4 3 4 3 2 2" xfId="39576" xr:uid="{8AD31732-DF96-495D-BBC2-EA30F813ACE6}"/>
    <cellStyle name="Normal 27 4 3 4 3 3" xfId="39577" xr:uid="{D67BDB2D-E069-437E-B50D-230F546E4129}"/>
    <cellStyle name="Normal 27 4 3 4 4" xfId="39578" xr:uid="{E9BC2A4D-4EFB-4370-B3AE-20CD655413C3}"/>
    <cellStyle name="Normal 27 4 3 4 4 2" xfId="39579" xr:uid="{401B848C-1A43-48B1-A17E-136B7992F1DF}"/>
    <cellStyle name="Normal 27 4 3 4 5" xfId="39580" xr:uid="{2844C65A-D6C4-472F-91B2-920FE61B78C7}"/>
    <cellStyle name="Normal 27 4 3 5" xfId="39582" xr:uid="{F9762436-07E8-4247-B59A-DB76F6878A08}"/>
    <cellStyle name="Normal 27 4 3 5 2" xfId="39584" xr:uid="{048D7FAE-3A88-449F-B3B2-08765A8090C7}"/>
    <cellStyle name="Normal 27 4 3 5 2 2" xfId="39585" xr:uid="{7CD5EF08-5A25-4BA3-B64E-163B124FA2FA}"/>
    <cellStyle name="Normal 27 4 3 5 2 2 2" xfId="39586" xr:uid="{E94A3DF4-74A7-47D0-A366-ACABA0B9F846}"/>
    <cellStyle name="Normal 27 4 3 5 2 3" xfId="39587" xr:uid="{BA7FBDB1-96C6-4662-9F01-5E4E4B802599}"/>
    <cellStyle name="Normal 27 4 3 5 3" xfId="39588" xr:uid="{87AC7309-E282-4FF9-9406-27860F221942}"/>
    <cellStyle name="Normal 27 4 3 5 3 2" xfId="39589" xr:uid="{8DC8C65E-4109-4E8D-B9BF-6A8C190B752E}"/>
    <cellStyle name="Normal 27 4 3 5 4" xfId="39590" xr:uid="{C688679E-AB15-4A38-93E9-5C131F6F8E92}"/>
    <cellStyle name="Normal 27 4 3 6" xfId="39593" xr:uid="{8A1973F3-154D-468A-83D9-D7458C4EB413}"/>
    <cellStyle name="Normal 27 4 3 6 2" xfId="39594" xr:uid="{DD688500-C0CB-4FBB-85DD-2322FE63D3A5}"/>
    <cellStyle name="Normal 27 4 3 6 2 2" xfId="39595" xr:uid="{DAB3E358-3244-4AFF-ACBD-93ED5A112334}"/>
    <cellStyle name="Normal 27 4 3 6 3" xfId="39596" xr:uid="{B1A8FE73-A6F9-4BBB-AB72-17F4C1FEEC9E}"/>
    <cellStyle name="Normal 27 4 3 7" xfId="39597" xr:uid="{360942A1-C701-4303-AF72-FB13DBA7CCA9}"/>
    <cellStyle name="Normal 27 4 3 7 2" xfId="39598" xr:uid="{8980CE08-0BF6-4B1C-BDCF-B6F9B4B2BDE7}"/>
    <cellStyle name="Normal 27 4 3 8" xfId="39599" xr:uid="{1CB613FE-08D1-4D44-81AD-864AA5C57E17}"/>
    <cellStyle name="Normal 27 4 3 9" xfId="39600" xr:uid="{87D8D0D0-2E4F-47F6-8E9B-2480C78EABB3}"/>
    <cellStyle name="Normal 27 4 4" xfId="39601" xr:uid="{2794FFEF-6200-44AD-BEA9-8A20DCF89636}"/>
    <cellStyle name="Normal 27 4 4 2" xfId="39602" xr:uid="{86602AA0-0EC0-4CBC-BE29-A6E8A23041A5}"/>
    <cellStyle name="Normal 27 4 4 2 2" xfId="39603" xr:uid="{AA2BC366-69A2-40C5-A7A1-C5B6DD6CC005}"/>
    <cellStyle name="Normal 27 4 4 2 2 2" xfId="22183" xr:uid="{B885F917-9101-42CC-BFE6-81572417924D}"/>
    <cellStyle name="Normal 27 4 4 2 2 2 2" xfId="39604" xr:uid="{E390DD3B-AEFC-4047-A998-1E90C03DB449}"/>
    <cellStyle name="Normal 27 4 4 2 2 2 2 2" xfId="39607" xr:uid="{929D97A7-6349-4C5C-BE2F-0C14C91479DB}"/>
    <cellStyle name="Normal 27 4 4 2 2 2 2 2 2" xfId="39608" xr:uid="{4EACF3A4-740D-48F1-ADE6-4345E67E0C80}"/>
    <cellStyle name="Normal 27 4 4 2 2 2 2 3" xfId="39609" xr:uid="{50487FED-2019-4015-9FB4-E09BE1BD0DE8}"/>
    <cellStyle name="Normal 27 4 4 2 2 2 3" xfId="39610" xr:uid="{066DBB03-63A4-4789-8EB5-F63AF8802443}"/>
    <cellStyle name="Normal 27 4 4 2 2 2 3 2" xfId="39613" xr:uid="{85CE8C45-0D44-48F9-BB5A-11B27E72762C}"/>
    <cellStyle name="Normal 27 4 4 2 2 2 4" xfId="39614" xr:uid="{EBD934BA-1B4A-4595-929B-A25B0E0E943F}"/>
    <cellStyle name="Normal 27 4 4 2 2 3" xfId="39615" xr:uid="{B9333684-EE17-4788-A95C-E98C41856AE9}"/>
    <cellStyle name="Normal 27 4 4 2 2 3 2" xfId="39616" xr:uid="{E2430367-BC81-4A7F-9D5E-E57769A67AC6}"/>
    <cellStyle name="Normal 27 4 4 2 2 3 2 2" xfId="39617" xr:uid="{9A727459-DDB7-4170-81EA-A8EBDB22B83A}"/>
    <cellStyle name="Normal 27 4 4 2 2 3 3" xfId="39618" xr:uid="{C1142FF9-48A5-4FF8-B7FA-8450AD8689FE}"/>
    <cellStyle name="Normal 27 4 4 2 2 4" xfId="39619" xr:uid="{38F93F37-94CE-4897-96E0-C033484838C8}"/>
    <cellStyle name="Normal 27 4 4 2 2 4 2" xfId="39620" xr:uid="{877D2371-3723-45BD-8FCA-C4CD50C40803}"/>
    <cellStyle name="Normal 27 4 4 2 2 5" xfId="39622" xr:uid="{3893211E-6BC9-49E9-AD51-E4FE910F852A}"/>
    <cellStyle name="Normal 27 4 4 2 3" xfId="39623" xr:uid="{0206FF1F-EA85-44CE-89E1-2D9D4839382A}"/>
    <cellStyle name="Normal 27 4 4 2 3 2" xfId="39624" xr:uid="{64021572-2FEB-4A55-A84E-0BC12A70DD61}"/>
    <cellStyle name="Normal 27 4 4 2 3 2 2" xfId="39625" xr:uid="{0017B33F-7FD6-4BF9-AE02-57133B331C8A}"/>
    <cellStyle name="Normal 27 4 4 2 3 2 2 2" xfId="39626" xr:uid="{8E8FECA5-B013-45D0-95F7-8A8D6E06F94D}"/>
    <cellStyle name="Normal 27 4 4 2 3 2 3" xfId="39627" xr:uid="{745B4579-DAC9-44D9-9F97-2395206A6746}"/>
    <cellStyle name="Normal 27 4 4 2 3 3" xfId="39628" xr:uid="{AC8314EB-533E-431C-B395-E595D216BC78}"/>
    <cellStyle name="Normal 27 4 4 2 3 3 2" xfId="39629" xr:uid="{B641FCC8-57DD-485A-8FFE-D5A3D8B42B8D}"/>
    <cellStyle name="Normal 27 4 4 2 3 4" xfId="39630" xr:uid="{5F361090-4BFE-444E-A6DF-62029FFDD122}"/>
    <cellStyle name="Normal 27 4 4 2 4" xfId="39631" xr:uid="{F68C8775-CF80-48A3-A60C-B46448430915}"/>
    <cellStyle name="Normal 27 4 4 2 4 2" xfId="39632" xr:uid="{95123EB7-BCEF-46E3-9DCF-3BA0F858EBAD}"/>
    <cellStyle name="Normal 27 4 4 2 4 2 2" xfId="39633" xr:uid="{BB6F6B08-61DE-47D3-A69F-1D150A36E243}"/>
    <cellStyle name="Normal 27 4 4 2 4 3" xfId="39634" xr:uid="{0979A1E1-29CB-4360-A260-6E7388C475F1}"/>
    <cellStyle name="Normal 27 4 4 2 5" xfId="39635" xr:uid="{4B40D6D7-5FB8-48F0-930C-BC3D6B0D7CBE}"/>
    <cellStyle name="Normal 27 4 4 2 5 2" xfId="39636" xr:uid="{D39FA0A7-D1F4-4586-A24C-2D80E5690769}"/>
    <cellStyle name="Normal 27 4 4 2 6" xfId="39637" xr:uid="{ACE6F1D5-57F8-4FD4-80FC-9D13423F55FE}"/>
    <cellStyle name="Normal 27 4 4 2 7" xfId="39638" xr:uid="{669D3C94-6622-44F8-90A4-3A13F9CC6C54}"/>
    <cellStyle name="Normal 27 4 4 3" xfId="39639" xr:uid="{3EBD8DED-1CD1-4B37-83BB-BF898FE84998}"/>
    <cellStyle name="Normal 27 4 4 3 2" xfId="39640" xr:uid="{EEAA23E7-F51A-414B-A836-9ED75A622527}"/>
    <cellStyle name="Normal 27 4 4 3 2 2" xfId="39641" xr:uid="{35CB2B3D-C117-4E14-B7E5-444F5225FAEA}"/>
    <cellStyle name="Normal 27 4 4 3 2 2 2" xfId="39642" xr:uid="{9CBFA672-9D96-4ADD-97A3-6A200443CEC1}"/>
    <cellStyle name="Normal 27 4 4 3 2 2 2 2" xfId="39643" xr:uid="{4470DE91-7893-4B2C-A746-C4342AB1E14C}"/>
    <cellStyle name="Normal 27 4 4 3 2 2 3" xfId="39644" xr:uid="{0475A26C-AC0B-4C42-B044-65C1B84E94A5}"/>
    <cellStyle name="Normal 27 4 4 3 2 3" xfId="39645" xr:uid="{C4032942-BD18-4FE2-8AFF-D7AF6C000947}"/>
    <cellStyle name="Normal 27 4 4 3 2 3 2" xfId="39646" xr:uid="{9C9BACB1-0197-4ACB-8C38-E2088DF38A1A}"/>
    <cellStyle name="Normal 27 4 4 3 2 4" xfId="39647" xr:uid="{60824E73-B2BD-4350-92D1-024E9D44B69C}"/>
    <cellStyle name="Normal 27 4 4 3 3" xfId="39648" xr:uid="{B9BDBECE-74BE-4D66-BC6A-302D30FD2CD7}"/>
    <cellStyle name="Normal 27 4 4 3 3 2" xfId="39649" xr:uid="{74BAC808-37F1-4378-95F2-1CBFAB1388EC}"/>
    <cellStyle name="Normal 27 4 4 3 3 2 2" xfId="39650" xr:uid="{05575D17-0905-4D76-AFCF-1F97BDC2DF7C}"/>
    <cellStyle name="Normal 27 4 4 3 3 3" xfId="39651" xr:uid="{587E6C04-D3C3-47D2-BC2C-9DE3E0AE72DA}"/>
    <cellStyle name="Normal 27 4 4 3 4" xfId="39652" xr:uid="{A3951BC7-746F-4C3A-B190-9AF56C2A103C}"/>
    <cellStyle name="Normal 27 4 4 3 4 2" xfId="39653" xr:uid="{211BCE3A-0F38-4923-8C4D-B401C9A345E3}"/>
    <cellStyle name="Normal 27 4 4 3 5" xfId="39654" xr:uid="{0FCEF16F-7ED6-4FDD-8BF5-D33EBFBE5A6E}"/>
    <cellStyle name="Normal 27 4 4 4" xfId="39655" xr:uid="{BD5AF3E2-C2E7-4991-A8E6-47B98A378FE8}"/>
    <cellStyle name="Normal 27 4 4 4 2" xfId="39656" xr:uid="{C252D03E-C290-4251-998F-6AB79B86E400}"/>
    <cellStyle name="Normal 27 4 4 4 2 2" xfId="39657" xr:uid="{648A9C12-83C9-4110-8F55-F299FA0A215C}"/>
    <cellStyle name="Normal 27 4 4 4 2 2 2" xfId="39658" xr:uid="{0DF771C9-7080-4FDD-958E-D64F419F5F36}"/>
    <cellStyle name="Normal 27 4 4 4 2 3" xfId="39659" xr:uid="{CB01931F-8E96-439E-87C4-E47A9FDA24B9}"/>
    <cellStyle name="Normal 27 4 4 4 3" xfId="39660" xr:uid="{B479394E-BCAD-4565-AFFB-BD9670184E2D}"/>
    <cellStyle name="Normal 27 4 4 4 3 2" xfId="39661" xr:uid="{F3301531-812F-40A7-8090-143064A012FF}"/>
    <cellStyle name="Normal 27 4 4 4 4" xfId="39662" xr:uid="{3663EB78-B245-48A0-9892-884DD509BA9A}"/>
    <cellStyle name="Normal 27 4 4 5" xfId="39664" xr:uid="{BF5C8247-8E30-4CEE-B91D-E91F9272D398}"/>
    <cellStyle name="Normal 27 4 4 5 2" xfId="39666" xr:uid="{34B9AC99-7418-4ABC-8F88-38F8D7874F15}"/>
    <cellStyle name="Normal 27 4 4 5 2 2" xfId="39667" xr:uid="{08310050-B64B-4410-BF0A-834A13E96DC8}"/>
    <cellStyle name="Normal 27 4 4 5 3" xfId="39668" xr:uid="{992766CB-8E1E-455B-9068-8C039F8B3A3C}"/>
    <cellStyle name="Normal 27 4 4 6" xfId="39670" xr:uid="{FB52B2BB-2EE5-44A8-AEBE-8C151348C7EA}"/>
    <cellStyle name="Normal 27 4 4 6 2" xfId="39671" xr:uid="{852034F0-87BD-40EF-B057-49EC3708188D}"/>
    <cellStyle name="Normal 27 4 4 7" xfId="39672" xr:uid="{8C985E69-BA38-4763-9727-DA76471D0F47}"/>
    <cellStyle name="Normal 27 4 4 8" xfId="39673" xr:uid="{E04D7F2C-4E88-4373-8ED6-61C621A4A2FC}"/>
    <cellStyle name="Normal 27 4 5" xfId="39674" xr:uid="{AB4A5019-D3E5-49CB-9C76-37BBB61EEB85}"/>
    <cellStyle name="Normal 27 4 5 2" xfId="39675" xr:uid="{C3D32A77-52B3-4BD3-BAEA-48DEDF2947C6}"/>
    <cellStyle name="Normal 27 4 5 2 2" xfId="39676" xr:uid="{000CF5E9-6538-4C39-B1B4-BA1F27CE3CC2}"/>
    <cellStyle name="Normal 27 4 5 2 2 2" xfId="39677" xr:uid="{DD6D4A27-72AD-4480-AF49-DB1C8BEC6089}"/>
    <cellStyle name="Normal 27 4 5 2 2 2 2" xfId="39678" xr:uid="{0128E940-BAE2-43F9-9EC6-9E4065AE8163}"/>
    <cellStyle name="Normal 27 4 5 2 2 2 2 2" xfId="39679" xr:uid="{BE3B9220-8400-4391-817F-132EADE2D1E4}"/>
    <cellStyle name="Normal 27 4 5 2 2 2 3" xfId="39680" xr:uid="{41F9019D-EA0A-4B1E-AAC6-2FDE3F2BB602}"/>
    <cellStyle name="Normal 27 4 5 2 2 3" xfId="39681" xr:uid="{FF8DC075-FC48-48F8-AD57-8703A78E743D}"/>
    <cellStyle name="Normal 27 4 5 2 2 3 2" xfId="39682" xr:uid="{732B64F7-8FBD-4DFA-9EE7-7F674EB8001C}"/>
    <cellStyle name="Normal 27 4 5 2 2 4" xfId="39683" xr:uid="{D944403F-2E06-4322-8FFE-A225D648875A}"/>
    <cellStyle name="Normal 27 4 5 2 3" xfId="39684" xr:uid="{06AE3491-85D9-4965-8A89-2951E961C459}"/>
    <cellStyle name="Normal 27 4 5 2 3 2" xfId="39685" xr:uid="{5E6EC291-12F2-4447-9C68-6DCA57B4B48F}"/>
    <cellStyle name="Normal 27 4 5 2 3 2 2" xfId="39686" xr:uid="{995A9150-F355-4885-8F9E-75E39C2DE985}"/>
    <cellStyle name="Normal 27 4 5 2 3 3" xfId="39687" xr:uid="{95F76D34-6A83-4C81-8FF0-FC8F833B56E6}"/>
    <cellStyle name="Normal 27 4 5 2 4" xfId="39688" xr:uid="{D5B43FB4-3121-4B3B-9D19-F58C20B34856}"/>
    <cellStyle name="Normal 27 4 5 2 4 2" xfId="39689" xr:uid="{9A2A902D-926D-4D0E-BB02-2E0CFBC72F03}"/>
    <cellStyle name="Normal 27 4 5 2 5" xfId="39690" xr:uid="{D1200BF3-84C3-44B5-9A46-9E239AF92735}"/>
    <cellStyle name="Normal 27 4 5 3" xfId="39691" xr:uid="{2694F540-EF6D-48B7-9E94-6BA7D0E5985C}"/>
    <cellStyle name="Normal 27 4 5 3 2" xfId="39692" xr:uid="{84C734F3-9C37-4A67-945E-D75B6DB0B95E}"/>
    <cellStyle name="Normal 27 4 5 3 2 2" xfId="39693" xr:uid="{0EACB248-486B-4CDF-A5E8-143ED093368C}"/>
    <cellStyle name="Normal 27 4 5 3 2 2 2" xfId="39694" xr:uid="{A746ADCC-D914-42B0-AB42-EED0F1DF72BA}"/>
    <cellStyle name="Normal 27 4 5 3 2 3" xfId="39695" xr:uid="{1893C61A-4D27-4944-B266-950F2178C746}"/>
    <cellStyle name="Normal 27 4 5 3 3" xfId="39696" xr:uid="{F6F344D8-27C4-43D2-AAF4-592311EB43B0}"/>
    <cellStyle name="Normal 27 4 5 3 3 2" xfId="39697" xr:uid="{D1443758-8B71-4A8A-9E63-668AB7C32DCB}"/>
    <cellStyle name="Normal 27 4 5 3 4" xfId="39698" xr:uid="{8689A4B2-ACC7-4586-A352-1D98BA695F6A}"/>
    <cellStyle name="Normal 27 4 5 4" xfId="39699" xr:uid="{075C3919-C808-4CBD-83D6-DF92FC789EFD}"/>
    <cellStyle name="Normal 27 4 5 4 2" xfId="39700" xr:uid="{C2CDB9DE-30F1-431B-AA07-2FF5D00A3739}"/>
    <cellStyle name="Normal 27 4 5 4 2 2" xfId="39701" xr:uid="{63A4CB9E-11A4-4E6B-B2FF-1CD97198CC71}"/>
    <cellStyle name="Normal 27 4 5 4 3" xfId="39702" xr:uid="{152AF200-9246-4DED-81B3-F5EC2D6F6BAF}"/>
    <cellStyle name="Normal 27 4 5 5" xfId="39704" xr:uid="{B41AA41B-1415-4F4A-9093-07B07CE14339}"/>
    <cellStyle name="Normal 27 4 5 5 2" xfId="39705" xr:uid="{9533F3C3-04F0-4D33-8DD3-4EDD08CCBF09}"/>
    <cellStyle name="Normal 27 4 5 6" xfId="39706" xr:uid="{66EFFCD0-F5FF-41D4-A3CE-B66838936C1C}"/>
    <cellStyle name="Normal 27 4 5 7" xfId="39707" xr:uid="{E79580CE-5BAC-4AEC-9AB9-99895B83B7B0}"/>
    <cellStyle name="Normal 27 4 6" xfId="39708" xr:uid="{D19301CD-B1E2-43AA-87AA-B1A1A5A41830}"/>
    <cellStyle name="Normal 27 4 6 2" xfId="39709" xr:uid="{82C581BA-6152-4FAB-9D6F-6BEA81722369}"/>
    <cellStyle name="Normal 27 4 6 2 2" xfId="39710" xr:uid="{40804D49-7697-4D1F-8E0B-0645F5786B6F}"/>
    <cellStyle name="Normal 27 4 6 2 2 2" xfId="39711" xr:uid="{D9A8B7AD-F176-4613-B081-6D0CB4DD8814}"/>
    <cellStyle name="Normal 27 4 6 2 2 2 2" xfId="39712" xr:uid="{7682B17F-D4D1-4535-AED4-6D53CB8B13CB}"/>
    <cellStyle name="Normal 27 4 6 2 2 3" xfId="39715" xr:uid="{17242027-4A25-4B69-B5F0-24555E370567}"/>
    <cellStyle name="Normal 27 4 6 2 3" xfId="39716" xr:uid="{7F7095A3-7CC1-45DB-A66C-0F76FC2DFC22}"/>
    <cellStyle name="Normal 27 4 6 2 3 2" xfId="39717" xr:uid="{2C2C2695-F0F1-41E5-A7C0-659D42154F02}"/>
    <cellStyle name="Normal 27 4 6 2 4" xfId="39718" xr:uid="{E87732CC-F086-4EAB-A58D-3D57FE3F2B43}"/>
    <cellStyle name="Normal 27 4 6 3" xfId="39719" xr:uid="{7FB8C3FC-456E-4EF0-99CD-B90E6240BFBE}"/>
    <cellStyle name="Normal 27 4 6 3 2" xfId="39720" xr:uid="{C5E06491-330F-4A23-AFC4-84FBD687D61A}"/>
    <cellStyle name="Normal 27 4 6 3 2 2" xfId="39721" xr:uid="{2CC6CC19-2EDA-43CA-A3E0-9CBDE41306AB}"/>
    <cellStyle name="Normal 27 4 6 3 3" xfId="39722" xr:uid="{45487F6D-2562-4F7C-9069-11077D4A66C2}"/>
    <cellStyle name="Normal 27 4 6 4" xfId="39723" xr:uid="{62913569-5869-4B08-AA6E-DCE9006E6E87}"/>
    <cellStyle name="Normal 27 4 6 4 2" xfId="39724" xr:uid="{B7E1D057-9400-43B3-97B8-2003F82F46D1}"/>
    <cellStyle name="Normal 27 4 6 5" xfId="39725" xr:uid="{800A1298-8628-425D-A7EF-DBE1E54D6DF3}"/>
    <cellStyle name="Normal 27 4 7" xfId="39726" xr:uid="{E71E301D-9B5B-4D03-B868-B92B1E06E384}"/>
    <cellStyle name="Normal 27 4 7 2" xfId="39727" xr:uid="{C9A77A4C-6985-4B59-987E-5E71B9E1E087}"/>
    <cellStyle name="Normal 27 4 7 2 2" xfId="39728" xr:uid="{E0514E3D-8FE9-4821-9A84-7BBAE96EAB23}"/>
    <cellStyle name="Normal 27 4 7 2 2 2" xfId="39729" xr:uid="{E0FEB10B-80BE-41F6-A51A-E23C250DAA04}"/>
    <cellStyle name="Normal 27 4 7 2 3" xfId="39730" xr:uid="{4FD082D0-80C8-42DD-9D84-53976071BEEB}"/>
    <cellStyle name="Normal 27 4 7 3" xfId="39731" xr:uid="{737DB130-F0F5-475D-934C-8F4BFC16D3DB}"/>
    <cellStyle name="Normal 27 4 7 3 2" xfId="39732" xr:uid="{05439E58-B536-42FF-88B9-479B640E1F8F}"/>
    <cellStyle name="Normal 27 4 7 4" xfId="39733" xr:uid="{F1BD65EE-4A9F-42B6-B962-D9E05A367B10}"/>
    <cellStyle name="Normal 27 4 8" xfId="39734" xr:uid="{6C93EFD0-56D9-4ECD-8D53-9AB594536BD3}"/>
    <cellStyle name="Normal 27 4 8 2" xfId="39735" xr:uid="{3A9A7211-CE3A-446B-9C61-D3FE7E49ABDF}"/>
    <cellStyle name="Normal 27 4 8 2 2" xfId="39736" xr:uid="{4A0562A5-2670-4C0A-B2E2-A9F93D698109}"/>
    <cellStyle name="Normal 27 4 8 3" xfId="39737" xr:uid="{9B8A130F-B359-4CF4-A252-83571FD5DFD3}"/>
    <cellStyle name="Normal 27 4 9" xfId="39738" xr:uid="{E45EB95E-546C-44F6-B7C5-C1D1757C9A55}"/>
    <cellStyle name="Normal 27 4 9 2" xfId="39739" xr:uid="{F0F1B438-004B-43C8-8D55-D697BED82E32}"/>
    <cellStyle name="Normal 27 5" xfId="26528" xr:uid="{8BD89F93-9D15-41C0-8B7B-83DBFA79032C}"/>
    <cellStyle name="Normal 27 6" xfId="20814" xr:uid="{0A938A0B-140A-451B-AECD-FAA9EAF7BCFF}"/>
    <cellStyle name="Normal 27 6 10" xfId="39740" xr:uid="{34458EAD-0338-427E-AB35-7EEF6B6F85E2}"/>
    <cellStyle name="Normal 27 6 2" xfId="39741" xr:uid="{5E535B6E-8092-4D71-92E8-51FBE04F45E8}"/>
    <cellStyle name="Normal 27 6 2 2" xfId="39742" xr:uid="{A3BAF541-8FC0-4156-ADB3-17E69A7A4097}"/>
    <cellStyle name="Normal 27 6 2 2 2" xfId="39743" xr:uid="{808BA4B1-8637-4431-8BF7-1E024EE837CF}"/>
    <cellStyle name="Normal 27 6 2 2 2 2" xfId="39744" xr:uid="{00391A1B-F7FA-480F-A7F0-48452727AA03}"/>
    <cellStyle name="Normal 27 6 2 2 2 2 2" xfId="39745" xr:uid="{85D75A68-B8E9-490E-A4DD-377F2119FC54}"/>
    <cellStyle name="Normal 27 6 2 2 2 2 2 2" xfId="39746" xr:uid="{5A4F3656-663F-4874-86B1-D08357998364}"/>
    <cellStyle name="Normal 27 6 2 2 2 2 2 2 2" xfId="39747" xr:uid="{AA5EFF88-E13B-41BE-B9C8-8232A19EC8C6}"/>
    <cellStyle name="Normal 27 6 2 2 2 2 2 2 2 2" xfId="39748" xr:uid="{13DCE0E5-1122-4053-9D0F-262E4D6953DB}"/>
    <cellStyle name="Normal 27 6 2 2 2 2 2 2 3" xfId="39749" xr:uid="{A58F4040-BF98-4FF8-B871-DA7355B0624A}"/>
    <cellStyle name="Normal 27 6 2 2 2 2 2 3" xfId="39750" xr:uid="{4E3FC40F-3BFD-46D9-AF6F-2FB83B9037B0}"/>
    <cellStyle name="Normal 27 6 2 2 2 2 2 3 2" xfId="39751" xr:uid="{2F3A318E-B651-4833-B180-83896EADD62C}"/>
    <cellStyle name="Normal 27 6 2 2 2 2 2 4" xfId="39752" xr:uid="{9545F230-5C03-4E83-AFDA-0C601E5D52D6}"/>
    <cellStyle name="Normal 27 6 2 2 2 2 3" xfId="5283" xr:uid="{870EDC7D-B7BF-448C-AA03-D0B9B37B880D}"/>
    <cellStyle name="Normal 27 6 2 2 2 2 3 2" xfId="5289" xr:uid="{288FAB6F-6607-4A40-967A-2512D23B64EB}"/>
    <cellStyle name="Normal 27 6 2 2 2 2 3 2 2" xfId="4049" xr:uid="{9DF4A0F1-5E32-4A3C-8EEF-0947CBAEC460}"/>
    <cellStyle name="Normal 27 6 2 2 2 2 3 3" xfId="5305" xr:uid="{A163D72F-D815-4FD9-8384-7196020924B3}"/>
    <cellStyle name="Normal 27 6 2 2 2 2 4" xfId="5309" xr:uid="{15C001F8-78D6-43E0-8CA4-CA6FAE5108C6}"/>
    <cellStyle name="Normal 27 6 2 2 2 2 4 2" xfId="1347" xr:uid="{6E27CD5E-A525-4BE2-8C1B-43B0CA121F07}"/>
    <cellStyle name="Normal 27 6 2 2 2 2 5" xfId="5316" xr:uid="{1F4A7EE7-23DE-4971-B14B-7011D904AF7A}"/>
    <cellStyle name="Normal 27 6 2 2 2 3" xfId="39753" xr:uid="{EA33CE68-54C7-43D5-BE56-10461B925390}"/>
    <cellStyle name="Normal 27 6 2 2 2 3 2" xfId="39754" xr:uid="{347E5ED4-30AF-4833-9763-7871AD06153D}"/>
    <cellStyle name="Normal 27 6 2 2 2 3 2 2" xfId="39755" xr:uid="{42224E7A-0331-4068-859F-805786A3E9EF}"/>
    <cellStyle name="Normal 27 6 2 2 2 3 2 2 2" xfId="39756" xr:uid="{95C8D253-64ED-4FB5-B3E5-4059519592BF}"/>
    <cellStyle name="Normal 27 6 2 2 2 3 2 3" xfId="39757" xr:uid="{639CFEFD-3A04-4EA6-B443-CB55463177A0}"/>
    <cellStyle name="Normal 27 6 2 2 2 3 3" xfId="539" xr:uid="{06B0E983-A1B8-44AE-9DF5-913848E425F7}"/>
    <cellStyle name="Normal 27 6 2 2 2 3 3 2" xfId="5330" xr:uid="{A082CCE1-1149-4F1F-BDE3-54E806A0E002}"/>
    <cellStyle name="Normal 27 6 2 2 2 3 4" xfId="1052" xr:uid="{A225B279-948B-4D49-A5B1-BDD5103FCB43}"/>
    <cellStyle name="Normal 27 6 2 2 2 4" xfId="39758" xr:uid="{94D22D30-B8A8-40B0-9F29-A67865C733EF}"/>
    <cellStyle name="Normal 27 6 2 2 2 4 2" xfId="39759" xr:uid="{26EB5931-5CEF-4363-B9DA-23013A4E2888}"/>
    <cellStyle name="Normal 27 6 2 2 2 4 2 2" xfId="39760" xr:uid="{B06EA7FD-0261-426C-8739-880B0F4B4572}"/>
    <cellStyle name="Normal 27 6 2 2 2 4 3" xfId="5345" xr:uid="{BC8AD945-0715-4FC3-9833-6D47EC319126}"/>
    <cellStyle name="Normal 27 6 2 2 2 5" xfId="39761" xr:uid="{7D7703C4-0B8E-446A-9A8C-863858F1437B}"/>
    <cellStyle name="Normal 27 6 2 2 2 5 2" xfId="39762" xr:uid="{075024F1-00B5-485B-8FF4-1FBDDF4E72ED}"/>
    <cellStyle name="Normal 27 6 2 2 2 6" xfId="39763" xr:uid="{D73483EA-D27F-4694-8EED-A5AC82D2598A}"/>
    <cellStyle name="Normal 27 6 2 2 2 7" xfId="39764" xr:uid="{EDA7FB1C-F98D-4C91-8660-4A2847B53401}"/>
    <cellStyle name="Normal 27 6 2 2 3" xfId="32369" xr:uid="{38307204-2561-4380-A288-501DB5976823}"/>
    <cellStyle name="Normal 27 6 2 2 3 2" xfId="32371" xr:uid="{B261285D-074E-408C-A18C-2534D51C0CBD}"/>
    <cellStyle name="Normal 27 6 2 2 3 2 2" xfId="39765" xr:uid="{07BF44D1-094C-4560-A4D2-18363B7C80C4}"/>
    <cellStyle name="Normal 27 6 2 2 3 2 2 2" xfId="39766" xr:uid="{6E25AB8F-853F-4EB8-AE67-02B4659F44FF}"/>
    <cellStyle name="Normal 27 6 2 2 3 2 2 2 2" xfId="39767" xr:uid="{F6C30933-E297-4920-8DC9-97D69310B8FD}"/>
    <cellStyle name="Normal 27 6 2 2 3 2 2 3" xfId="39768" xr:uid="{DA73C426-EA2A-4536-909E-9105C4CA66A3}"/>
    <cellStyle name="Normal 27 6 2 2 3 2 3" xfId="5400" xr:uid="{3B9A66F0-AE8C-478A-AAC7-65C85086119C}"/>
    <cellStyle name="Normal 27 6 2 2 3 2 3 2" xfId="5406" xr:uid="{D1138B63-4D01-4EDA-A547-5F7A57ED58C7}"/>
    <cellStyle name="Normal 27 6 2 2 3 2 4" xfId="5413" xr:uid="{0E5A4AE2-A351-442E-BD9D-68B258882AD4}"/>
    <cellStyle name="Normal 27 6 2 2 3 3" xfId="39769" xr:uid="{A2CE59C8-B73A-48F0-B8D8-11E47FAE32AC}"/>
    <cellStyle name="Normal 27 6 2 2 3 3 2" xfId="39770" xr:uid="{DAD2BEF6-DA24-4063-A33D-98C3EE644648}"/>
    <cellStyle name="Normal 27 6 2 2 3 3 2 2" xfId="39771" xr:uid="{F42F1245-2423-413C-BA83-F9D5947CEBEF}"/>
    <cellStyle name="Normal 27 6 2 2 3 3 3" xfId="356" xr:uid="{D12B3AE3-DEB6-4773-935A-5090CBD16872}"/>
    <cellStyle name="Normal 27 6 2 2 3 4" xfId="39772" xr:uid="{11054B7B-B349-4E2D-99AC-78C48C3FFFD0}"/>
    <cellStyle name="Normal 27 6 2 2 3 4 2" xfId="39773" xr:uid="{1A038074-D426-4364-8DD0-D73445AF48CC}"/>
    <cellStyle name="Normal 27 6 2 2 3 5" xfId="39774" xr:uid="{F25FDBF5-DDC9-459F-AFBA-48376C235288}"/>
    <cellStyle name="Normal 27 6 2 2 4" xfId="32373" xr:uid="{9DA4DBB9-B3A2-4F08-8303-4E6FB317610B}"/>
    <cellStyle name="Normal 27 6 2 2 4 2" xfId="39775" xr:uid="{C12F7CE7-E717-41D9-A9C8-F755C799486C}"/>
    <cellStyle name="Normal 27 6 2 2 4 2 2" xfId="39776" xr:uid="{DC0B9980-D033-4C22-848C-3C23B4E006B3}"/>
    <cellStyle name="Normal 27 6 2 2 4 2 2 2" xfId="39777" xr:uid="{65161B55-25FD-4276-9F46-377B4FA2BE2F}"/>
    <cellStyle name="Normal 27 6 2 2 4 2 3" xfId="5457" xr:uid="{7FEB2BEB-8A57-4168-8C7E-8A7853D712F3}"/>
    <cellStyle name="Normal 27 6 2 2 4 3" xfId="39778" xr:uid="{009EBA4F-3A2B-4989-A32A-935B7234842D}"/>
    <cellStyle name="Normal 27 6 2 2 4 3 2" xfId="39779" xr:uid="{618D16F5-32DC-49D6-AC64-809C75BD9C49}"/>
    <cellStyle name="Normal 27 6 2 2 4 4" xfId="39780" xr:uid="{9516C3BA-A3FA-41A6-A1A3-213E55BB4626}"/>
    <cellStyle name="Normal 27 6 2 2 5" xfId="39781" xr:uid="{18C2CB58-6ECE-4F3D-A235-6A6D641320D6}"/>
    <cellStyle name="Normal 27 6 2 2 5 2" xfId="39782" xr:uid="{07648858-AC6B-4953-9478-D8837BD6833A}"/>
    <cellStyle name="Normal 27 6 2 2 5 2 2" xfId="39783" xr:uid="{85E10538-3ECB-43F2-A407-28D9BB509ABB}"/>
    <cellStyle name="Normal 27 6 2 2 5 3" xfId="39784" xr:uid="{A8A825E7-12E8-4097-A700-B45BECD3F6AB}"/>
    <cellStyle name="Normal 27 6 2 2 6" xfId="39785" xr:uid="{62B6228A-8BD4-48A7-A188-CAB03C26528F}"/>
    <cellStyle name="Normal 27 6 2 2 6 2" xfId="39786" xr:uid="{4FF2A7C7-791B-462D-A4E2-916E91ACD294}"/>
    <cellStyle name="Normal 27 6 2 2 7" xfId="39787" xr:uid="{9D1F888C-3E06-4452-8B4B-E9B9F5FEBA7C}"/>
    <cellStyle name="Normal 27 6 2 2 8" xfId="39788" xr:uid="{524D9609-CB5A-47D3-8A49-E4C806E06D59}"/>
    <cellStyle name="Normal 27 6 2 3" xfId="39789" xr:uid="{CAE7F90F-9078-4FC0-B6C2-69CB4187ECAF}"/>
    <cellStyle name="Normal 27 6 2 3 2" xfId="39790" xr:uid="{DAA46E98-5C59-4FEC-A8FF-47DBA2C387D6}"/>
    <cellStyle name="Normal 27 6 2 3 2 2" xfId="39791" xr:uid="{0B9CC77E-23EE-441B-83C6-59AEC7B0650B}"/>
    <cellStyle name="Normal 27 6 2 3 2 2 2" xfId="39792" xr:uid="{B5C432AF-7E8F-447A-AF02-49B253BD4705}"/>
    <cellStyle name="Normal 27 6 2 3 2 2 2 2" xfId="39793" xr:uid="{7BF45234-95D8-42DF-95F6-A69610BAA4A0}"/>
    <cellStyle name="Normal 27 6 2 3 2 2 2 2 2" xfId="39794" xr:uid="{CDD70019-B433-4BFE-B577-ECEFEC33D6C4}"/>
    <cellStyle name="Normal 27 6 2 3 2 2 2 3" xfId="39795" xr:uid="{1B428157-3E3A-4086-A01A-BC8DC5D4D36E}"/>
    <cellStyle name="Normal 27 6 2 3 2 2 3" xfId="5926" xr:uid="{4DA5E721-860E-4520-88C8-DC2D58CB2433}"/>
    <cellStyle name="Normal 27 6 2 3 2 2 3 2" xfId="5930" xr:uid="{93556A13-A053-4405-81E2-0061541E6825}"/>
    <cellStyle name="Normal 27 6 2 3 2 2 4" xfId="5935" xr:uid="{CB42F0FC-4DBA-46BF-9287-21F534542106}"/>
    <cellStyle name="Normal 27 6 2 3 2 3" xfId="39796" xr:uid="{D209C908-09F1-4FBD-AB9F-7506AE4FDB5E}"/>
    <cellStyle name="Normal 27 6 2 3 2 3 2" xfId="39797" xr:uid="{4C1ADBD6-A318-4953-AAD3-2A46C17A5AA4}"/>
    <cellStyle name="Normal 27 6 2 3 2 3 2 2" xfId="39798" xr:uid="{E14BE4DA-1A57-4F23-AD02-23FC09E95B61}"/>
    <cellStyle name="Normal 27 6 2 3 2 3 3" xfId="846" xr:uid="{47326B58-1AE0-48EF-A821-4E8DF39570A5}"/>
    <cellStyle name="Normal 27 6 2 3 2 4" xfId="39799" xr:uid="{783E51B4-4589-4264-B5F6-78F2DCF3AA05}"/>
    <cellStyle name="Normal 27 6 2 3 2 4 2" xfId="39800" xr:uid="{AE3D1E04-36BA-43B7-9763-A5D5E652406F}"/>
    <cellStyle name="Normal 27 6 2 3 2 5" xfId="39801" xr:uid="{B124A58C-7E50-4E0E-AD39-83FFB0DD365F}"/>
    <cellStyle name="Normal 27 6 2 3 3" xfId="5300" xr:uid="{CD4A276A-DA1D-49D5-B01C-EB597DC83780}"/>
    <cellStyle name="Normal 27 6 2 3 3 2" xfId="39802" xr:uid="{384B2CD1-7DC2-471C-95E8-5D73F8124B25}"/>
    <cellStyle name="Normal 27 6 2 3 3 2 2" xfId="39803" xr:uid="{8E84334E-C883-4169-BC27-8226E822EB2A}"/>
    <cellStyle name="Normal 27 6 2 3 3 2 2 2" xfId="39804" xr:uid="{3F053583-5D42-4BC9-8A31-43A9506166B3}"/>
    <cellStyle name="Normal 27 6 2 3 3 2 3" xfId="5968" xr:uid="{47B86821-D609-496A-9598-C7DE19D04A14}"/>
    <cellStyle name="Normal 27 6 2 3 3 3" xfId="39805" xr:uid="{F9A11735-E342-4EDA-89AB-6C252DD3FD6F}"/>
    <cellStyle name="Normal 27 6 2 3 3 3 2" xfId="39806" xr:uid="{9400C034-02DB-44C9-8DBE-674643A25C8E}"/>
    <cellStyle name="Normal 27 6 2 3 3 4" xfId="39807" xr:uid="{0E2D1BF9-36A2-48A3-81D0-3513D42C75A4}"/>
    <cellStyle name="Normal 27 6 2 3 4" xfId="39808" xr:uid="{AEC9CD9F-36E4-470D-A04C-487EB67E2B2E}"/>
    <cellStyle name="Normal 27 6 2 3 4 2" xfId="39809" xr:uid="{35C96F83-FB95-46B6-9B45-9300CF2BD58B}"/>
    <cellStyle name="Normal 27 6 2 3 4 2 2" xfId="39810" xr:uid="{55B91382-E935-4F59-9877-F02CBCA0F807}"/>
    <cellStyle name="Normal 27 6 2 3 4 3" xfId="39811" xr:uid="{96314BE0-179E-43F4-8B00-0C6DCE45F0C8}"/>
    <cellStyle name="Normal 27 6 2 3 5" xfId="39812" xr:uid="{C8ED808A-23C7-45F8-8847-FF3AE576B0DD}"/>
    <cellStyle name="Normal 27 6 2 3 5 2" xfId="39813" xr:uid="{863023D2-BAD6-44A5-B206-FC64D1A08FDC}"/>
    <cellStyle name="Normal 27 6 2 3 6" xfId="39814" xr:uid="{323A6A2F-1499-4259-8D45-2DC68B9E1ADE}"/>
    <cellStyle name="Normal 27 6 2 3 7" xfId="39815" xr:uid="{A33D77E2-1DA5-408C-86A1-3570D39AEEE8}"/>
    <cellStyle name="Normal 27 6 2 4" xfId="39816" xr:uid="{02D385E5-79CA-4284-86C4-E8B6FBE27F9E}"/>
    <cellStyle name="Normal 27 6 2 4 2" xfId="39817" xr:uid="{F4AB4176-8863-4355-AB5E-C5DA7E2EBAEF}"/>
    <cellStyle name="Normal 27 6 2 4 2 2" xfId="39818" xr:uid="{F48EDBCC-B1BF-43BC-BE9F-B4AC336CB1F9}"/>
    <cellStyle name="Normal 27 6 2 4 2 2 2" xfId="39819" xr:uid="{E88DDAAD-124B-45F7-80C3-C97D867AAFEF}"/>
    <cellStyle name="Normal 27 6 2 4 2 2 2 2" xfId="39820" xr:uid="{978EAC24-480D-4C45-A534-2D9468E9C70E}"/>
    <cellStyle name="Normal 27 6 2 4 2 2 3" xfId="6301" xr:uid="{F303F9B0-E023-4EA6-9A99-4294D829C253}"/>
    <cellStyle name="Normal 27 6 2 4 2 3" xfId="39821" xr:uid="{F0A4DE6E-3C7B-40C9-8DE7-6F1EA5A6EFDB}"/>
    <cellStyle name="Normal 27 6 2 4 2 3 2" xfId="39822" xr:uid="{FD806579-A375-4E75-8B0B-64045FAA6E1B}"/>
    <cellStyle name="Normal 27 6 2 4 2 4" xfId="39823" xr:uid="{4FC38460-C3FC-4AF0-ACE6-48CD10978D69}"/>
    <cellStyle name="Normal 27 6 2 4 3" xfId="39824" xr:uid="{7CE10F3C-FE42-4AED-A90E-B0F1A5943132}"/>
    <cellStyle name="Normal 27 6 2 4 3 2" xfId="39825" xr:uid="{69FB2A68-1EED-4AF1-82E9-4DD5EF12BC06}"/>
    <cellStyle name="Normal 27 6 2 4 3 2 2" xfId="39826" xr:uid="{336C8320-784F-4E4E-BB63-2A7414961412}"/>
    <cellStyle name="Normal 27 6 2 4 3 3" xfId="39827" xr:uid="{FD749241-8725-4B6B-B85F-856D7BD9DDA2}"/>
    <cellStyle name="Normal 27 6 2 4 4" xfId="39828" xr:uid="{49367ED4-5962-4DBC-999F-1B1C4E598761}"/>
    <cellStyle name="Normal 27 6 2 4 4 2" xfId="39829" xr:uid="{10EFB050-D798-4157-A184-E590BF37F62D}"/>
    <cellStyle name="Normal 27 6 2 4 5" xfId="39830" xr:uid="{E033BC9D-8740-457B-9008-577CF468E364}"/>
    <cellStyle name="Normal 27 6 2 5" xfId="39831" xr:uid="{DF0F7435-5E0C-4856-8C45-1AC57627AF37}"/>
    <cellStyle name="Normal 27 6 2 5 2" xfId="39832" xr:uid="{9ABB0479-52BD-4BE5-89AF-3477283DF00B}"/>
    <cellStyle name="Normal 27 6 2 5 2 2" xfId="39833" xr:uid="{E2C21B99-F3A6-4A98-A18A-47DAE2C79CAF}"/>
    <cellStyle name="Normal 27 6 2 5 2 2 2" xfId="39834" xr:uid="{257F0494-3905-485C-AEF5-AFB9C8FDEB80}"/>
    <cellStyle name="Normal 27 6 2 5 2 3" xfId="39835" xr:uid="{E2FD552C-24D6-451B-8557-33489061D10F}"/>
    <cellStyle name="Normal 27 6 2 5 3" xfId="39836" xr:uid="{6357B41C-8FC4-4872-AB6C-E584D865D01C}"/>
    <cellStyle name="Normal 27 6 2 5 3 2" xfId="39837" xr:uid="{9E5582BB-ECCE-4B7C-A200-4CDC5D8504DC}"/>
    <cellStyle name="Normal 27 6 2 5 4" xfId="39838" xr:uid="{DAFA7373-C9C8-4C45-AFA1-BD3DDCECBD79}"/>
    <cellStyle name="Normal 27 6 2 6" xfId="39840" xr:uid="{3AB439BD-FC6E-4AAF-B2A2-3EDBDCC85BFB}"/>
    <cellStyle name="Normal 27 6 2 6 2" xfId="39842" xr:uid="{5F19D5A0-FD9D-4A9A-B4CC-37C5F6CC9B16}"/>
    <cellStyle name="Normal 27 6 2 6 2 2" xfId="39844" xr:uid="{8AB24597-44CC-4B85-9CBC-6CB58AABF174}"/>
    <cellStyle name="Normal 27 6 2 6 3" xfId="39846" xr:uid="{81A98D8B-36CF-404B-B7C5-67FEFF6362EA}"/>
    <cellStyle name="Normal 27 6 2 7" xfId="39848" xr:uid="{C676A023-DEF1-495E-A36F-6FAF69476C7B}"/>
    <cellStyle name="Normal 27 6 2 7 2" xfId="39850" xr:uid="{2E2B2C3E-30EF-44D4-9FB4-A0CFDE099884}"/>
    <cellStyle name="Normal 27 6 2 8" xfId="39852" xr:uid="{C29DADE2-2F3D-4C61-B586-39E57CB525A0}"/>
    <cellStyle name="Normal 27 6 2 9" xfId="39854" xr:uid="{A447F8F3-9274-46FA-ACB6-1EF5965FAD00}"/>
    <cellStyle name="Normal 27 6 3" xfId="39855" xr:uid="{C8FE20DD-B00A-4330-8BC1-C7441804A788}"/>
    <cellStyle name="Normal 27 6 3 2" xfId="39856" xr:uid="{4C6A9ED7-3D25-4737-8E3E-BD6FD638A461}"/>
    <cellStyle name="Normal 27 6 3 2 2" xfId="39857" xr:uid="{BD5A1A80-9FD4-404D-BF61-B6CC413E7441}"/>
    <cellStyle name="Normal 27 6 3 2 2 2" xfId="39858" xr:uid="{D2732ABD-ABEC-4BD5-93D4-0B156CFDB9CE}"/>
    <cellStyle name="Normal 27 6 3 2 2 2 2" xfId="39859" xr:uid="{D24E95A3-0D6D-47AC-96C6-16357CC31DB7}"/>
    <cellStyle name="Normal 27 6 3 2 2 2 2 2" xfId="39860" xr:uid="{F4312AA7-1EB3-4F99-8849-3D3685B23928}"/>
    <cellStyle name="Normal 27 6 3 2 2 2 2 2 2" xfId="39861" xr:uid="{F6E46664-446C-4B15-8F98-C33B71DA8A9B}"/>
    <cellStyle name="Normal 27 6 3 2 2 2 2 3" xfId="39862" xr:uid="{A7988276-F674-4379-B155-DF9358B7C2BC}"/>
    <cellStyle name="Normal 27 6 3 2 2 2 3" xfId="7068" xr:uid="{E2228470-74CF-4560-A002-7F023005DC02}"/>
    <cellStyle name="Normal 27 6 3 2 2 2 3 2" xfId="5094" xr:uid="{22744677-5F86-4646-9F40-253DE79E71E3}"/>
    <cellStyle name="Normal 27 6 3 2 2 2 4" xfId="7071" xr:uid="{E9C2AEFA-5C1F-4F42-98C4-FF6DC9532259}"/>
    <cellStyle name="Normal 27 6 3 2 2 3" xfId="39863" xr:uid="{90B6465C-3774-4431-9A75-69EA980AAE67}"/>
    <cellStyle name="Normal 27 6 3 2 2 3 2" xfId="39864" xr:uid="{8A65E488-F8B6-41B9-AD09-E1D5F1CB29CB}"/>
    <cellStyle name="Normal 27 6 3 2 2 3 2 2" xfId="39865" xr:uid="{B9861227-CB87-4E49-B876-B1093B67EA04}"/>
    <cellStyle name="Normal 27 6 3 2 2 3 3" xfId="1959" xr:uid="{973B01DF-238B-40DA-9464-B1B973471EC4}"/>
    <cellStyle name="Normal 27 6 3 2 2 4" xfId="39866" xr:uid="{3FEEBFC3-15A7-481E-8023-C5E6193C1E93}"/>
    <cellStyle name="Normal 27 6 3 2 2 4 2" xfId="39867" xr:uid="{FBA72078-275D-44BF-8BC9-1BBB76D230FC}"/>
    <cellStyle name="Normal 27 6 3 2 2 5" xfId="39868" xr:uid="{9C68113C-10CE-4420-8E6A-835128C0D0AA}"/>
    <cellStyle name="Normal 27 6 3 2 3" xfId="32388" xr:uid="{69F7F798-6DCE-4598-8693-3C0720953D5F}"/>
    <cellStyle name="Normal 27 6 3 2 3 2" xfId="39869" xr:uid="{D0D8FDE7-E132-4FF7-BACB-A1A71748A427}"/>
    <cellStyle name="Normal 27 6 3 2 3 2 2" xfId="39870" xr:uid="{A4261C66-C460-4C6D-A18A-897282B13AA5}"/>
    <cellStyle name="Normal 27 6 3 2 3 2 2 2" xfId="39871" xr:uid="{1167A453-C1C6-4A7D-A797-D294F5FC57B5}"/>
    <cellStyle name="Normal 27 6 3 2 3 2 3" xfId="2257" xr:uid="{6B21AEDC-36C3-4D9E-BE25-5255F07D11FC}"/>
    <cellStyle name="Normal 27 6 3 2 3 3" xfId="39872" xr:uid="{AA384133-FF4F-4D9C-AE28-911F1D6C8DB7}"/>
    <cellStyle name="Normal 27 6 3 2 3 3 2" xfId="39873" xr:uid="{C9631B07-BF1E-4447-A886-2481CD0F7DEA}"/>
    <cellStyle name="Normal 27 6 3 2 3 4" xfId="39874" xr:uid="{AFC51817-1478-4672-8185-17F40E1DE3B0}"/>
    <cellStyle name="Normal 27 6 3 2 4" xfId="39875" xr:uid="{740FB9B8-B5D1-4714-9F36-233904F8D054}"/>
    <cellStyle name="Normal 27 6 3 2 4 2" xfId="39876" xr:uid="{6E70A4EA-C429-4ECA-AFC1-DB9DE12EDC81}"/>
    <cellStyle name="Normal 27 6 3 2 4 2 2" xfId="39877" xr:uid="{20CB95B2-8B2C-4F31-BAC0-4BD8B1A48D06}"/>
    <cellStyle name="Normal 27 6 3 2 4 3" xfId="39878" xr:uid="{25C8FF40-15E3-470A-939F-545642519DD8}"/>
    <cellStyle name="Normal 27 6 3 2 5" xfId="39879" xr:uid="{3CB361DE-A42C-434F-8A80-F48706079F9E}"/>
    <cellStyle name="Normal 27 6 3 2 5 2" xfId="39880" xr:uid="{3B7AC922-C6D9-4BE7-B068-C9D7576CCB12}"/>
    <cellStyle name="Normal 27 6 3 2 6" xfId="39881" xr:uid="{9B4F2C0A-B61B-46E6-B38B-A22BA27638E7}"/>
    <cellStyle name="Normal 27 6 3 2 7" xfId="39882" xr:uid="{CAB8D18B-F3F2-4B66-809F-469FA8B3D088}"/>
    <cellStyle name="Normal 27 6 3 3" xfId="39883" xr:uid="{99B1A168-F21A-4729-890C-599B0BE192E1}"/>
    <cellStyle name="Normal 27 6 3 3 2" xfId="39884" xr:uid="{E612FF3B-F168-4A09-BD9B-81375428B809}"/>
    <cellStyle name="Normal 27 6 3 3 2 2" xfId="39885" xr:uid="{AC7A053B-5500-475E-9E0E-523C10FC4A9D}"/>
    <cellStyle name="Normal 27 6 3 3 2 2 2" xfId="39886" xr:uid="{AE3EA56D-9001-4A76-B943-46AE9189ABED}"/>
    <cellStyle name="Normal 27 6 3 3 2 2 2 2" xfId="39887" xr:uid="{1C834C0B-1F5D-4CF4-A8A7-7657E0C02381}"/>
    <cellStyle name="Normal 27 6 3 3 2 2 3" xfId="7184" xr:uid="{6C1E020C-1BED-4A4E-A066-DD979EA8F5A6}"/>
    <cellStyle name="Normal 27 6 3 3 2 3" xfId="39888" xr:uid="{6962408E-E0C3-4A40-8113-EE3217C40EB9}"/>
    <cellStyle name="Normal 27 6 3 3 2 3 2" xfId="39889" xr:uid="{20B24B9D-9878-412E-9340-1E3EE81A727C}"/>
    <cellStyle name="Normal 27 6 3 3 2 4" xfId="39890" xr:uid="{3648C2BF-DC65-4972-88EA-7976AC543318}"/>
    <cellStyle name="Normal 27 6 3 3 3" xfId="39891" xr:uid="{48DDEFBE-17D6-441D-8CEF-3CE3F95C063E}"/>
    <cellStyle name="Normal 27 6 3 3 3 2" xfId="39892" xr:uid="{E536C55B-2B9B-4888-813D-595EBFB18BCB}"/>
    <cellStyle name="Normal 27 6 3 3 3 2 2" xfId="39893" xr:uid="{05CBEE24-4631-4E67-B494-6678C13855AB}"/>
    <cellStyle name="Normal 27 6 3 3 3 3" xfId="39894" xr:uid="{7348CD51-6FF5-4AD1-A84C-E6EE0B778870}"/>
    <cellStyle name="Normal 27 6 3 3 4" xfId="39895" xr:uid="{449A47F3-43A1-4DAD-934E-7F2D97F55ACB}"/>
    <cellStyle name="Normal 27 6 3 3 4 2" xfId="39896" xr:uid="{B888B95F-39D3-4E15-922B-A7C2757FBF2C}"/>
    <cellStyle name="Normal 27 6 3 3 5" xfId="39897" xr:uid="{91C7B351-6239-4DD3-94EF-8E9FAF8AE729}"/>
    <cellStyle name="Normal 27 6 3 4" xfId="39899" xr:uid="{6C8EE151-0080-4F6A-9DD1-C45B4575E0DB}"/>
    <cellStyle name="Normal 27 6 3 4 2" xfId="39900" xr:uid="{BC642A90-46D2-4E50-AB9F-649D40AC43A1}"/>
    <cellStyle name="Normal 27 6 3 4 2 2" xfId="39901" xr:uid="{FD0D0F21-7F2B-4057-86E4-A6796DA78820}"/>
    <cellStyle name="Normal 27 6 3 4 2 2 2" xfId="39902" xr:uid="{85BEDFC1-33F6-45E9-97E7-F53BFDBAC15B}"/>
    <cellStyle name="Normal 27 6 3 4 2 3" xfId="39903" xr:uid="{B3C6E27C-95C0-45CB-93CF-2E443C866E6E}"/>
    <cellStyle name="Normal 27 6 3 4 3" xfId="39904" xr:uid="{ED412370-3C39-48E6-9580-1773669997A2}"/>
    <cellStyle name="Normal 27 6 3 4 3 2" xfId="39905" xr:uid="{75515DE9-68BA-444E-9B64-20AA5620B2EA}"/>
    <cellStyle name="Normal 27 6 3 4 4" xfId="11095" xr:uid="{890B2FCE-DA1D-4B5B-8B33-824072D236C9}"/>
    <cellStyle name="Normal 27 6 3 5" xfId="39907" xr:uid="{89814FB9-50B3-4EE5-9135-CABB93B8B506}"/>
    <cellStyle name="Normal 27 6 3 5 2" xfId="39908" xr:uid="{DFCD1B5C-D969-47AA-BDDA-C15D875A30E1}"/>
    <cellStyle name="Normal 27 6 3 5 2 2" xfId="39909" xr:uid="{412187AA-C4DE-481B-9ED1-A82F78874839}"/>
    <cellStyle name="Normal 27 6 3 5 3" xfId="39910" xr:uid="{40BD0B62-F236-4B31-9AFE-F17AD8CAF28F}"/>
    <cellStyle name="Normal 27 6 3 6" xfId="39912" xr:uid="{8CD8CE13-CF4C-4997-B367-D0CE84ABF5AA}"/>
    <cellStyle name="Normal 27 6 3 6 2" xfId="39914" xr:uid="{5C9A281E-9939-4F98-AA91-B7A875424BE7}"/>
    <cellStyle name="Normal 27 6 3 7" xfId="39916" xr:uid="{03FF0246-BEE6-4B3F-B4D6-2AB34BCC9487}"/>
    <cellStyle name="Normal 27 6 3 8" xfId="39918" xr:uid="{70A5E4FC-5141-4182-AF1F-053D250D2302}"/>
    <cellStyle name="Normal 27 6 4" xfId="39919" xr:uid="{CC890C31-1096-4672-ADA3-79DA58E62C9F}"/>
    <cellStyle name="Normal 27 6 4 2" xfId="39920" xr:uid="{CEED0F24-3CF1-4AE9-BB1B-3DFDD228A4DF}"/>
    <cellStyle name="Normal 27 6 4 2 2" xfId="39921" xr:uid="{173759A9-3A5F-4D76-9772-A6C4AB09AB5D}"/>
    <cellStyle name="Normal 27 6 4 2 2 2" xfId="39922" xr:uid="{2E337731-F177-4B8D-A630-B98946E461AC}"/>
    <cellStyle name="Normal 27 6 4 2 2 2 2" xfId="39923" xr:uid="{A5AD468A-2892-4C44-AA2D-C670FFF4E062}"/>
    <cellStyle name="Normal 27 6 4 2 2 2 2 2" xfId="39924" xr:uid="{B0652BDE-19D5-4AA4-AE65-671F9BE29621}"/>
    <cellStyle name="Normal 27 6 4 2 2 2 3" xfId="39925" xr:uid="{960B5E13-3DA8-40CA-B5B6-08A409EFE3E3}"/>
    <cellStyle name="Normal 27 6 4 2 2 3" xfId="39926" xr:uid="{2F381C43-75BF-4FB2-AC3C-3A5255894A7C}"/>
    <cellStyle name="Normal 27 6 4 2 2 3 2" xfId="39927" xr:uid="{08D7BED0-43E4-4B49-8CE4-46491EB7B095}"/>
    <cellStyle name="Normal 27 6 4 2 2 4" xfId="39928" xr:uid="{6D8CA5A6-D846-41C8-B9E3-EF1EEE056F03}"/>
    <cellStyle name="Normal 27 6 4 2 3" xfId="39929" xr:uid="{FB8BE16A-8366-43D1-885E-0D334BBDA89F}"/>
    <cellStyle name="Normal 27 6 4 2 3 2" xfId="39930" xr:uid="{9FE2951D-D041-49DC-841B-69F45B64C47E}"/>
    <cellStyle name="Normal 27 6 4 2 3 2 2" xfId="39931" xr:uid="{592A3290-D47E-4674-AC54-789DDFB03990}"/>
    <cellStyle name="Normal 27 6 4 2 3 3" xfId="39932" xr:uid="{1B75B760-7783-4ADC-8427-5D5BE05FE7FF}"/>
    <cellStyle name="Normal 27 6 4 2 4" xfId="39933" xr:uid="{5D4AD479-4039-4A28-8BE4-9B304C4AB9F1}"/>
    <cellStyle name="Normal 27 6 4 2 4 2" xfId="39934" xr:uid="{9D9A0A7B-ACDB-400D-A227-E6A52D82F9BD}"/>
    <cellStyle name="Normal 27 6 4 2 5" xfId="39935" xr:uid="{004C609B-4200-4DF4-8951-0BE407B43764}"/>
    <cellStyle name="Normal 27 6 4 3" xfId="39936" xr:uid="{90B0A208-534B-4028-B247-B5F76157DC8E}"/>
    <cellStyle name="Normal 27 6 4 3 2" xfId="39937" xr:uid="{DE0953B3-01F1-4E2F-BFFF-C2B9AD87B3B6}"/>
    <cellStyle name="Normal 27 6 4 3 2 2" xfId="39938" xr:uid="{4FF2B4D8-9D43-4FBF-8DAB-433F83A96EC4}"/>
    <cellStyle name="Normal 27 6 4 3 2 2 2" xfId="39939" xr:uid="{80638862-1327-4356-887C-EF7B3AE224C2}"/>
    <cellStyle name="Normal 27 6 4 3 2 3" xfId="39940" xr:uid="{DBC6A002-1E64-44AA-B4EE-D97C2BA7066F}"/>
    <cellStyle name="Normal 27 6 4 3 3" xfId="39941" xr:uid="{977B3106-450A-45F0-A9DA-997CF69B1F7A}"/>
    <cellStyle name="Normal 27 6 4 3 3 2" xfId="39942" xr:uid="{B87E7FDC-61C0-4388-8E9B-0B3904E77C9D}"/>
    <cellStyle name="Normal 27 6 4 3 4" xfId="39943" xr:uid="{7F05D075-DBC3-4450-BF2D-D2EE7463D540}"/>
    <cellStyle name="Normal 27 6 4 4" xfId="39944" xr:uid="{31FC3173-A94D-403A-AB99-1EA516A2FAA4}"/>
    <cellStyle name="Normal 27 6 4 4 2" xfId="39945" xr:uid="{628308AD-7AF9-4B16-9616-369453B65ADF}"/>
    <cellStyle name="Normal 27 6 4 4 2 2" xfId="39946" xr:uid="{996A0351-4BED-49FD-8B70-860F80F595A5}"/>
    <cellStyle name="Normal 27 6 4 4 3" xfId="39947" xr:uid="{30770D63-C4B0-46A8-8158-29213E16FF16}"/>
    <cellStyle name="Normal 27 6 4 5" xfId="39948" xr:uid="{C22F06AC-6F62-47D2-BCB4-4435ECE38000}"/>
    <cellStyle name="Normal 27 6 4 5 2" xfId="39949" xr:uid="{5914D4AE-B8D9-47B4-8EE4-D77294E6A559}"/>
    <cellStyle name="Normal 27 6 4 6" xfId="39951" xr:uid="{2BEC5E92-FDF3-4414-B60A-7A5F8F4A2C11}"/>
    <cellStyle name="Normal 27 6 4 7" xfId="39953" xr:uid="{9B25C0E7-94BD-45C1-AF77-99B2F96984B1}"/>
    <cellStyle name="Normal 27 6 5" xfId="39954" xr:uid="{47D14BA1-3DA2-45B7-A138-D687A1B908AB}"/>
    <cellStyle name="Normal 27 6 5 2" xfId="39955" xr:uid="{9FC7DDA8-129B-41FB-A63B-F2E84169EAB7}"/>
    <cellStyle name="Normal 27 6 5 2 2" xfId="39956" xr:uid="{C23BC2A6-C0BC-49DB-994D-FDC02A868561}"/>
    <cellStyle name="Normal 27 6 5 2 2 2" xfId="39957" xr:uid="{11B01725-8459-4AFC-8D2B-7E01731FCAF1}"/>
    <cellStyle name="Normal 27 6 5 2 2 2 2" xfId="39958" xr:uid="{1F4590A1-E112-471E-B3F7-4557B445E302}"/>
    <cellStyle name="Normal 27 6 5 2 2 3" xfId="39959" xr:uid="{C84D0883-6EA9-469D-82BF-7D4AC2122FC0}"/>
    <cellStyle name="Normal 27 6 5 2 3" xfId="39960" xr:uid="{7C2A8ACD-594A-427D-880D-2FEFE0C9C572}"/>
    <cellStyle name="Normal 27 6 5 2 3 2" xfId="39961" xr:uid="{D5EAF717-A6DA-413E-A540-A755B967DF1B}"/>
    <cellStyle name="Normal 27 6 5 2 4" xfId="39962" xr:uid="{58B39999-1EFC-4E72-8BF0-6B8989A5DD56}"/>
    <cellStyle name="Normal 27 6 5 3" xfId="39963" xr:uid="{886C87B5-567B-4A96-ABE3-497DDF6B2240}"/>
    <cellStyle name="Normal 27 6 5 3 2" xfId="39964" xr:uid="{3259C88B-381F-4EAE-AB91-D4979ADB0AE1}"/>
    <cellStyle name="Normal 27 6 5 3 2 2" xfId="39965" xr:uid="{3EB0AA10-68C2-45E2-A9A6-6F47666ED483}"/>
    <cellStyle name="Normal 27 6 5 3 3" xfId="39966" xr:uid="{BF0D9513-6A7C-41E1-95EA-2596FE01874F}"/>
    <cellStyle name="Normal 27 6 5 4" xfId="39967" xr:uid="{B429AF31-9F65-48ED-9E51-5345A2FE5098}"/>
    <cellStyle name="Normal 27 6 5 4 2" xfId="39968" xr:uid="{3C882105-98E3-4B83-92C1-BA688BC356A5}"/>
    <cellStyle name="Normal 27 6 5 5" xfId="39969" xr:uid="{2069264D-6F0D-4888-8A46-5F520B62419D}"/>
    <cellStyle name="Normal 27 6 6" xfId="39970" xr:uid="{8E9480BE-6477-4450-917D-BC437580E826}"/>
    <cellStyle name="Normal 27 6 6 2" xfId="39971" xr:uid="{2E13A32B-FDE8-46F4-A1FC-32ACAA647C49}"/>
    <cellStyle name="Normal 27 6 6 2 2" xfId="39972" xr:uid="{CE2D5264-99D6-4C56-B539-B174784A04A7}"/>
    <cellStyle name="Normal 27 6 6 2 2 2" xfId="39973" xr:uid="{9CE14439-40C7-48CA-920D-884E5B0918E1}"/>
    <cellStyle name="Normal 27 6 6 2 3" xfId="39974" xr:uid="{C5C88A00-8E6A-4B5D-BFA3-1FC7F586F929}"/>
    <cellStyle name="Normal 27 6 6 3" xfId="39975" xr:uid="{FA4016D4-CC14-492B-B539-5C4D9797DB03}"/>
    <cellStyle name="Normal 27 6 6 3 2" xfId="39976" xr:uid="{23288281-0A9D-42A6-A5BD-EEBE2841E633}"/>
    <cellStyle name="Normal 27 6 6 4" xfId="39977" xr:uid="{CBA71B25-2237-4ECD-B27A-6D8FC0D01BC2}"/>
    <cellStyle name="Normal 27 6 7" xfId="39978" xr:uid="{F18367E3-0595-416F-83E6-8B882967061B}"/>
    <cellStyle name="Normal 27 6 7 2" xfId="39979" xr:uid="{9DBC95ED-B936-4CEE-9C0D-FB8CA784E0E9}"/>
    <cellStyle name="Normal 27 6 7 2 2" xfId="39980" xr:uid="{39C89464-37AE-462B-8C3A-4E3DBAC592F9}"/>
    <cellStyle name="Normal 27 6 7 3" xfId="39981" xr:uid="{C38BFD8B-A9FD-4C4F-9C7D-1536D87FE70A}"/>
    <cellStyle name="Normal 27 6 8" xfId="39982" xr:uid="{DF53E59C-08AC-411F-8A1D-EB3E1D6E543B}"/>
    <cellStyle name="Normal 27 6 8 2" xfId="39983" xr:uid="{DC5F3FB3-3A99-46D4-857F-3051B32B11B3}"/>
    <cellStyle name="Normal 27 6 9" xfId="39984" xr:uid="{F8230FCF-B984-426D-9F07-8681329F1321}"/>
    <cellStyle name="Normal 27 7" xfId="39985" xr:uid="{D7C7D7FE-C930-49E4-BE38-EB3231241954}"/>
    <cellStyle name="Normal 27 7 2" xfId="39986" xr:uid="{3EC945A3-57AB-49C3-9740-3C30FF0971E5}"/>
    <cellStyle name="Normal 27 7 2 2" xfId="39987" xr:uid="{B116CA01-77ED-429C-924A-16C574E4BCF6}"/>
    <cellStyle name="Normal 27 7 2 2 2" xfId="39988" xr:uid="{70B2AA63-01C5-4324-B7CD-E95A52FCCD4C}"/>
    <cellStyle name="Normal 27 7 2 2 2 2" xfId="39989" xr:uid="{F913F17F-435C-4BDC-9DF3-FA36DB257625}"/>
    <cellStyle name="Normal 27 7 2 2 2 2 2" xfId="39990" xr:uid="{769D9571-1BBB-4DF5-9F65-8780C97AB4CD}"/>
    <cellStyle name="Normal 27 7 2 2 2 2 2 2" xfId="39991" xr:uid="{14CABF4C-3615-4FC0-9923-DBE6956B90B2}"/>
    <cellStyle name="Normal 27 7 2 2 2 2 2 2 2" xfId="39992" xr:uid="{6ADED7A6-7B12-4008-9F60-D393C3BFE5EA}"/>
    <cellStyle name="Normal 27 7 2 2 2 2 2 3" xfId="39993" xr:uid="{34D6C628-F1A3-497B-9AAD-C1DF7A698AE9}"/>
    <cellStyle name="Normal 27 7 2 2 2 2 3" xfId="12785" xr:uid="{D4E4751C-4953-4A60-A23B-5B419AF31E27}"/>
    <cellStyle name="Normal 27 7 2 2 2 2 3 2" xfId="12787" xr:uid="{8C26251E-FB11-4258-B9D8-027C9C30FA1C}"/>
    <cellStyle name="Normal 27 7 2 2 2 2 4" xfId="12797" xr:uid="{757064B4-07F8-494A-BCB5-1C47F7A2F7D3}"/>
    <cellStyle name="Normal 27 7 2 2 2 3" xfId="39994" xr:uid="{D493806C-5256-46CE-BD41-0A173F7946B8}"/>
    <cellStyle name="Normal 27 7 2 2 2 3 2" xfId="39995" xr:uid="{9AD980C5-00A3-4704-8097-CECBD2CC4C90}"/>
    <cellStyle name="Normal 27 7 2 2 2 3 2 2" xfId="39996" xr:uid="{B4A5D787-E9A8-433C-A2BC-4137268F5EC3}"/>
    <cellStyle name="Normal 27 7 2 2 2 3 3" xfId="12814" xr:uid="{99C98086-F8F9-4C03-8D0C-81075AF90037}"/>
    <cellStyle name="Normal 27 7 2 2 2 4" xfId="39997" xr:uid="{EAE03FF3-FAB5-4CD5-9C4B-B52DF09C9AD1}"/>
    <cellStyle name="Normal 27 7 2 2 2 4 2" xfId="39998" xr:uid="{87470B45-212D-47EC-B9CB-50AA08A22401}"/>
    <cellStyle name="Normal 27 7 2 2 2 5" xfId="39999" xr:uid="{9BC75D25-2370-444E-A9E1-23D243EF9184}"/>
    <cellStyle name="Normal 27 7 2 2 3" xfId="40000" xr:uid="{086E5EBF-5E10-44A0-B1FB-B19BFE33A0E8}"/>
    <cellStyle name="Normal 27 7 2 2 3 2" xfId="40001" xr:uid="{E13AF436-F67E-48A4-B3D0-C9B946DA20FE}"/>
    <cellStyle name="Normal 27 7 2 2 3 2 2" xfId="40002" xr:uid="{246E3D79-106B-4B68-A853-34ACD74EED57}"/>
    <cellStyle name="Normal 27 7 2 2 3 2 2 2" xfId="40003" xr:uid="{F2E22B76-51C2-42BE-B8C0-E4B73BD1F5FE}"/>
    <cellStyle name="Normal 27 7 2 2 3 2 3" xfId="12870" xr:uid="{015429D1-48D7-4935-A777-654B068EB52C}"/>
    <cellStyle name="Normal 27 7 2 2 3 3" xfId="40004" xr:uid="{760CC07B-A020-4068-BFD2-23B6B2031121}"/>
    <cellStyle name="Normal 27 7 2 2 3 3 2" xfId="40005" xr:uid="{F752BB2A-35DD-4CA6-B34E-708A6B48DC7D}"/>
    <cellStyle name="Normal 27 7 2 2 3 4" xfId="40006" xr:uid="{77DB42B6-3D07-4B0D-BFE3-137EF93BA700}"/>
    <cellStyle name="Normal 27 7 2 2 4" xfId="40007" xr:uid="{63A7AE79-CBB4-403D-8C8F-0BC753DB968A}"/>
    <cellStyle name="Normal 27 7 2 2 4 2" xfId="40008" xr:uid="{DF6E45C8-C066-4669-9F76-100BB5610EB0}"/>
    <cellStyle name="Normal 27 7 2 2 4 2 2" xfId="40009" xr:uid="{407F2A6D-BC53-4400-8FDA-42474E9FAE62}"/>
    <cellStyle name="Normal 27 7 2 2 4 3" xfId="40010" xr:uid="{14329393-522A-4252-BE40-CE411C3264C8}"/>
    <cellStyle name="Normal 27 7 2 2 5" xfId="40011" xr:uid="{CDB5FCE8-1107-4EB2-BA99-3C5CB234E806}"/>
    <cellStyle name="Normal 27 7 2 2 5 2" xfId="40013" xr:uid="{C200850E-B08A-41E7-AC64-0682B5C6B274}"/>
    <cellStyle name="Normal 27 7 2 2 6" xfId="40014" xr:uid="{A644475F-6B83-431E-B1F4-29177D145AB4}"/>
    <cellStyle name="Normal 27 7 2 2 7" xfId="40015" xr:uid="{18080DB8-974B-411F-87D0-D9CF6F1940C2}"/>
    <cellStyle name="Normal 27 7 2 3" xfId="40016" xr:uid="{EFB8F946-80D8-4215-B9D5-6E4F0A623A74}"/>
    <cellStyle name="Normal 27 7 2 3 2" xfId="40017" xr:uid="{C5DB4313-25A3-4AD8-83F1-59C86632FEF1}"/>
    <cellStyle name="Normal 27 7 2 3 2 2" xfId="40018" xr:uid="{C04C06A3-BB23-410F-AD39-B7AE04575B71}"/>
    <cellStyle name="Normal 27 7 2 3 2 2 2" xfId="40019" xr:uid="{0AF2EA9F-F455-4F12-91F2-AD7C18EB620B}"/>
    <cellStyle name="Normal 27 7 2 3 2 2 2 2" xfId="40020" xr:uid="{3640A8B3-F9F8-4EE3-B8FE-1B022B86E175}"/>
    <cellStyle name="Normal 27 7 2 3 2 2 3" xfId="13401" xr:uid="{B9662E4E-97B0-47ED-A3F6-00267386BDB4}"/>
    <cellStyle name="Normal 27 7 2 3 2 3" xfId="40021" xr:uid="{2D16257E-BC1A-4971-BACB-647B60E8AF05}"/>
    <cellStyle name="Normal 27 7 2 3 2 3 2" xfId="40022" xr:uid="{5F5AE4BC-9458-4063-ABCD-5583A97C32D5}"/>
    <cellStyle name="Normal 27 7 2 3 2 4" xfId="40023" xr:uid="{7F664A8C-3227-4CAD-BAF9-DDA7F62CE91D}"/>
    <cellStyle name="Normal 27 7 2 3 3" xfId="40024" xr:uid="{61D4991F-1CDC-4887-BCFB-67730DBB598C}"/>
    <cellStyle name="Normal 27 7 2 3 3 2" xfId="40025" xr:uid="{CE796BC8-5EAD-49CB-9FC1-9D791340D417}"/>
    <cellStyle name="Normal 27 7 2 3 3 2 2" xfId="40026" xr:uid="{1195A05C-9DC7-4091-9D1E-527FB5A38B71}"/>
    <cellStyle name="Normal 27 7 2 3 3 3" xfId="40027" xr:uid="{5C8165F7-CD76-4015-A29B-355EE5B176E9}"/>
    <cellStyle name="Normal 27 7 2 3 4" xfId="40028" xr:uid="{B3C9788C-A53B-41A2-8DEF-964A3F268DD0}"/>
    <cellStyle name="Normal 27 7 2 3 4 2" xfId="40029" xr:uid="{73A8B26D-317E-4F45-8F8F-5E1B21043CC0}"/>
    <cellStyle name="Normal 27 7 2 3 5" xfId="40030" xr:uid="{6368DD76-1F22-4FEF-902C-003F7B4A39C8}"/>
    <cellStyle name="Normal 27 7 2 4" xfId="40031" xr:uid="{64377EBA-AD58-4499-9E71-DA6AEA1D9CFE}"/>
    <cellStyle name="Normal 27 7 2 4 2" xfId="40032" xr:uid="{223F49C7-1480-4240-A728-5CBA2D4FE8B8}"/>
    <cellStyle name="Normal 27 7 2 4 2 2" xfId="40033" xr:uid="{12C3E588-EAC4-42B9-B1A8-9DE8A07EBAE0}"/>
    <cellStyle name="Normal 27 7 2 4 2 2 2" xfId="40034" xr:uid="{2CDDD058-AAB7-46BD-96C8-E97D61FBDA3D}"/>
    <cellStyle name="Normal 27 7 2 4 2 3" xfId="40035" xr:uid="{9AA9A63E-CCCA-4656-9375-DF13B4C7DCD8}"/>
    <cellStyle name="Normal 27 7 2 4 3" xfId="40036" xr:uid="{8607D3AE-F56E-4D7B-A5C9-1D175F404E98}"/>
    <cellStyle name="Normal 27 7 2 4 3 2" xfId="40037" xr:uid="{BAE66035-A6F0-44A8-BCF5-B2CBEB56D113}"/>
    <cellStyle name="Normal 27 7 2 4 4" xfId="40038" xr:uid="{9954A318-685D-46E7-982C-FF873E41CA96}"/>
    <cellStyle name="Normal 27 7 2 5" xfId="40039" xr:uid="{EFE8CBF6-82BD-4C9C-84E3-8A01731C8E1A}"/>
    <cellStyle name="Normal 27 7 2 5 2" xfId="40040" xr:uid="{5B65C858-AA25-455E-9450-531AC169A1B3}"/>
    <cellStyle name="Normal 27 7 2 5 2 2" xfId="40041" xr:uid="{26E5458F-1377-4C7D-B2A5-9AF9A2309745}"/>
    <cellStyle name="Normal 27 7 2 5 3" xfId="40042" xr:uid="{7E589370-2C4F-4BA9-A418-7D1B0CFF300D}"/>
    <cellStyle name="Normal 27 7 2 6" xfId="40044" xr:uid="{EDF2C933-C252-4EEA-B855-4D4D87709B81}"/>
    <cellStyle name="Normal 27 7 2 6 2" xfId="40046" xr:uid="{18C6CC4D-3554-4332-9B9B-DDA7B74246A8}"/>
    <cellStyle name="Normal 27 7 2 7" xfId="40048" xr:uid="{3357D595-1B34-413A-90BE-E02DFCB4A665}"/>
    <cellStyle name="Normal 27 7 2 8" xfId="40050" xr:uid="{EAC03828-6B67-4A3F-8BE2-4423087F6F2E}"/>
    <cellStyle name="Normal 27 7 3" xfId="40051" xr:uid="{0F6D106D-FC33-4AD1-83A8-5582F43DD778}"/>
    <cellStyle name="Normal 27 7 3 2" xfId="40052" xr:uid="{13F71B80-79C0-4541-AC40-6AC5E2239173}"/>
    <cellStyle name="Normal 27 7 3 2 2" xfId="40053" xr:uid="{DC9A436C-BADC-4731-B990-D5F03851CD08}"/>
    <cellStyle name="Normal 27 7 3 2 2 2" xfId="40054" xr:uid="{F6C7A5DC-F37D-4799-AFF6-ADAFA4BFF792}"/>
    <cellStyle name="Normal 27 7 3 2 2 2 2" xfId="40055" xr:uid="{0AEAD0A5-430D-4F90-9DFA-69B6AEE065D5}"/>
    <cellStyle name="Normal 27 7 3 2 2 2 2 2" xfId="40056" xr:uid="{49423428-C644-4F67-8C07-1C0617C5C934}"/>
    <cellStyle name="Normal 27 7 3 2 2 2 3" xfId="1682" xr:uid="{656C7E0B-08C6-414A-B01E-A46EBBD9EA61}"/>
    <cellStyle name="Normal 27 7 3 2 2 3" xfId="40057" xr:uid="{E550B822-59C6-40ED-975C-0C5D50164FBA}"/>
    <cellStyle name="Normal 27 7 3 2 2 3 2" xfId="40058" xr:uid="{D100F83F-3A9A-4B11-9C7F-F5495E408790}"/>
    <cellStyle name="Normal 27 7 3 2 2 4" xfId="40059" xr:uid="{39AD0C9F-0DC8-4741-98AB-1DE960024A31}"/>
    <cellStyle name="Normal 27 7 3 2 3" xfId="40060" xr:uid="{FFACE96E-AB25-4429-BB78-EFE7075565C5}"/>
    <cellStyle name="Normal 27 7 3 2 3 2" xfId="40061" xr:uid="{6A8D9F5C-A932-46BC-80C0-62DC9D66C169}"/>
    <cellStyle name="Normal 27 7 3 2 3 2 2" xfId="40062" xr:uid="{20CAB77E-D162-4702-809E-18A115342E12}"/>
    <cellStyle name="Normal 27 7 3 2 3 3" xfId="40063" xr:uid="{9F289C81-0160-451B-8F87-92F1FE8ABB6E}"/>
    <cellStyle name="Normal 27 7 3 2 4" xfId="40064" xr:uid="{DA03237C-B29A-4AFD-BEFE-A734C463996D}"/>
    <cellStyle name="Normal 27 7 3 2 4 2" xfId="40065" xr:uid="{08028E57-2828-4BD9-8692-F6462980781F}"/>
    <cellStyle name="Normal 27 7 3 2 5" xfId="40066" xr:uid="{2DAC70F3-F928-45D5-83E1-758B6D0D1B9B}"/>
    <cellStyle name="Normal 27 7 3 3" xfId="40067" xr:uid="{9AF63772-DAD5-4214-9423-FF2DE73CEF28}"/>
    <cellStyle name="Normal 27 7 3 3 2" xfId="40068" xr:uid="{F75C109F-F578-434A-A332-95A911D4AE8B}"/>
    <cellStyle name="Normal 27 7 3 3 2 2" xfId="40069" xr:uid="{BFEE6B36-F456-4845-A4E5-13FF42568D25}"/>
    <cellStyle name="Normal 27 7 3 3 2 2 2" xfId="40070" xr:uid="{7C0EB7C4-60C4-4D8F-9FB4-432234D4844A}"/>
    <cellStyle name="Normal 27 7 3 3 2 3" xfId="40071" xr:uid="{373F0FAA-5360-42C6-B672-FA4E9A7B6E25}"/>
    <cellStyle name="Normal 27 7 3 3 3" xfId="40072" xr:uid="{F4769B01-4A66-4BF6-A6F2-16E9AD316D71}"/>
    <cellStyle name="Normal 27 7 3 3 3 2" xfId="40073" xr:uid="{982129F3-23E0-417C-8174-93CD1AC12CDD}"/>
    <cellStyle name="Normal 27 7 3 3 4" xfId="40074" xr:uid="{BF9C25D5-E0A2-48BA-8005-9C9E49668551}"/>
    <cellStyle name="Normal 27 7 3 4" xfId="40075" xr:uid="{7887341E-0756-4805-8619-BFB37681186A}"/>
    <cellStyle name="Normal 27 7 3 4 2" xfId="40076" xr:uid="{BB4B003A-3E08-4B91-87F4-37FEDA70EE1C}"/>
    <cellStyle name="Normal 27 7 3 4 2 2" xfId="40077" xr:uid="{67F894E9-941A-4CA6-97CF-3049A9AE71CE}"/>
    <cellStyle name="Normal 27 7 3 4 3" xfId="40078" xr:uid="{9040DE5F-5576-4CFE-9CE1-2371AB1F9D77}"/>
    <cellStyle name="Normal 27 7 3 5" xfId="40079" xr:uid="{0301DF07-C18A-4F76-B5F8-8DAC6CD232BA}"/>
    <cellStyle name="Normal 27 7 3 5 2" xfId="40080" xr:uid="{FE23BAA9-2D65-436D-A0F0-46A420957538}"/>
    <cellStyle name="Normal 27 7 3 6" xfId="40082" xr:uid="{7C70133C-ABC5-4B00-9CC5-11A50E0FA586}"/>
    <cellStyle name="Normal 27 7 3 7" xfId="40084" xr:uid="{C2A1BD0E-BF47-4F06-BC72-09154D91306B}"/>
    <cellStyle name="Normal 27 7 4" xfId="40085" xr:uid="{8B0B8336-01D1-4840-8D42-F09889D33A61}"/>
    <cellStyle name="Normal 27 7 4 2" xfId="40086" xr:uid="{7B54A131-7F16-46ED-9658-5F2F8E29FD2A}"/>
    <cellStyle name="Normal 27 7 4 2 2" xfId="40087" xr:uid="{6AE03A4F-3331-4E6D-B4AC-18B299AC3EAD}"/>
    <cellStyle name="Normal 27 7 4 2 2 2" xfId="40088" xr:uid="{96818F51-0ACF-450F-B661-B860B10B1917}"/>
    <cellStyle name="Normal 27 7 4 2 2 2 2" xfId="6308" xr:uid="{F81AFDDA-1B5B-4762-81DE-A71C3C5B3082}"/>
    <cellStyle name="Normal 27 7 4 2 2 3" xfId="40089" xr:uid="{5649B214-A040-47E4-80C3-1B6FD2076497}"/>
    <cellStyle name="Normal 27 7 4 2 3" xfId="40090" xr:uid="{5DDD5D7A-1580-4A2C-9431-A49056DFEAAE}"/>
    <cellStyle name="Normal 27 7 4 2 3 2" xfId="40091" xr:uid="{09AA8BA5-1403-4433-8441-E554E6916BBA}"/>
    <cellStyle name="Normal 27 7 4 2 4" xfId="40092" xr:uid="{CEF754DC-EF42-46EC-B030-DE468009DBAD}"/>
    <cellStyle name="Normal 27 7 4 3" xfId="40093" xr:uid="{21D03867-03B8-4183-9423-A0331E1DA0D8}"/>
    <cellStyle name="Normal 27 7 4 3 2" xfId="40094" xr:uid="{24049A16-7BEF-4DC0-BA7E-0B8786804B2F}"/>
    <cellStyle name="Normal 27 7 4 3 2 2" xfId="40095" xr:uid="{3810819F-490D-4D38-AB7D-AF59F48BCAED}"/>
    <cellStyle name="Normal 27 7 4 3 3" xfId="40096" xr:uid="{F16012FB-7AA4-4423-8C8A-052C61AF7D56}"/>
    <cellStyle name="Normal 27 7 4 4" xfId="40097" xr:uid="{2DF83381-6F23-4EE8-8A27-7842FC3BDA61}"/>
    <cellStyle name="Normal 27 7 4 4 2" xfId="40098" xr:uid="{E81C35C6-7586-40D5-9C6D-79588B45BF4E}"/>
    <cellStyle name="Normal 27 7 4 5" xfId="40099" xr:uid="{093E8D4B-2DD7-44BF-AD85-C69791E51F3D}"/>
    <cellStyle name="Normal 27 7 5" xfId="40100" xr:uid="{B5D81B3E-BB4F-4DB5-A388-4F48E9C8FE5A}"/>
    <cellStyle name="Normal 27 7 5 2" xfId="40101" xr:uid="{E8105A9D-4B2F-4F52-AC52-5F06A67DBF92}"/>
    <cellStyle name="Normal 27 7 5 2 2" xfId="40102" xr:uid="{EF84F666-D5E8-44DC-8BB0-D3A28A0EBBB6}"/>
    <cellStyle name="Normal 27 7 5 2 2 2" xfId="40103" xr:uid="{5EA6018D-641F-4F5A-BE67-B64B984D6D0D}"/>
    <cellStyle name="Normal 27 7 5 2 3" xfId="40104" xr:uid="{150A987F-70A6-42E8-95BA-3B8D3B8A7DAD}"/>
    <cellStyle name="Normal 27 7 5 3" xfId="40105" xr:uid="{86B2B517-BF21-462D-87A0-4987C709F473}"/>
    <cellStyle name="Normal 27 7 5 3 2" xfId="40106" xr:uid="{6473E88D-2856-4DC1-BCD9-7DA1D7F1B811}"/>
    <cellStyle name="Normal 27 7 5 4" xfId="12431" xr:uid="{C96A4343-69BC-4C3E-BEC5-0A3259A9C5DD}"/>
    <cellStyle name="Normal 27 7 6" xfId="40107" xr:uid="{07467B74-C420-4D3D-93E3-1652496CBFCF}"/>
    <cellStyle name="Normal 27 7 6 2" xfId="40108" xr:uid="{61224F80-5243-4D2A-A41D-3342CCBAA113}"/>
    <cellStyle name="Normal 27 7 6 2 2" xfId="40109" xr:uid="{2CC86801-2C33-458B-9CCB-6F16E6CA07E3}"/>
    <cellStyle name="Normal 27 7 6 3" xfId="40110" xr:uid="{F5AA264A-6A39-44A3-84C3-EEE33054D7CE}"/>
    <cellStyle name="Normal 27 7 7" xfId="40111" xr:uid="{0E4EE0F7-8CC4-4E01-A16C-5AFA6B855AD8}"/>
    <cellStyle name="Normal 27 7 7 2" xfId="40112" xr:uid="{57235E1B-DCEB-438A-B511-0C1681B55F6F}"/>
    <cellStyle name="Normal 27 7 8" xfId="40113" xr:uid="{E01D3EDC-AC58-44FE-A4EB-55F4FBD2110A}"/>
    <cellStyle name="Normal 27 7 9" xfId="40114" xr:uid="{4CFA268D-16E9-45E1-AD0F-B5E28B161E9B}"/>
    <cellStyle name="Normal 27 8" xfId="40115" xr:uid="{A36332F5-F254-4DA2-B137-95DA0F3E7D3B}"/>
    <cellStyle name="Normal 27 8 2" xfId="40116" xr:uid="{8AA64614-11E9-4A0A-B2B7-AFDD714078B6}"/>
    <cellStyle name="Normal 27 8 2 2" xfId="40117" xr:uid="{EC74F1F8-ADCA-4C51-9E21-836A48CB27F6}"/>
    <cellStyle name="Normal 27 8 2 2 2" xfId="40118" xr:uid="{96C53D3A-828D-41E2-BCAC-6353E2B7E1DE}"/>
    <cellStyle name="Normal 27 8 2 2 2 2" xfId="40119" xr:uid="{E1E296CE-E303-4B05-B688-2B22AA77F6E2}"/>
    <cellStyle name="Normal 27 8 2 2 2 2 2" xfId="40120" xr:uid="{23E5E509-0A3B-4DCE-B8C1-08FECD875731}"/>
    <cellStyle name="Normal 27 8 2 2 2 2 2 2" xfId="40121" xr:uid="{4745710E-60E4-4A03-945A-F4E7D31252B6}"/>
    <cellStyle name="Normal 27 8 2 2 2 2 3" xfId="40122" xr:uid="{EA3FC298-DE74-44F8-BB39-6EC028689101}"/>
    <cellStyle name="Normal 27 8 2 2 2 3" xfId="40123" xr:uid="{FDB1F0E8-C7F1-4EB8-BA1D-227F154F9E95}"/>
    <cellStyle name="Normal 27 8 2 2 2 3 2" xfId="40124" xr:uid="{3CE3D2EC-10E1-4E67-8331-0DAFE23F91BD}"/>
    <cellStyle name="Normal 27 8 2 2 2 4" xfId="40125" xr:uid="{9CF5390F-3219-43FA-9AF6-C4EA48147998}"/>
    <cellStyle name="Normal 27 8 2 2 3" xfId="15782" xr:uid="{F0358D71-97E6-4159-AA4B-6E64007B6E34}"/>
    <cellStyle name="Normal 27 8 2 2 3 2" xfId="40126" xr:uid="{5085236D-8871-4B7C-A9B3-3D0B8166BD00}"/>
    <cellStyle name="Normal 27 8 2 2 3 2 2" xfId="40127" xr:uid="{AE85B64C-1EDF-4EA9-8D4F-91EF0D62BBE2}"/>
    <cellStyle name="Normal 27 8 2 2 3 3" xfId="40128" xr:uid="{9A4D3570-D5F2-4BE3-A430-CCF1AC79B591}"/>
    <cellStyle name="Normal 27 8 2 2 4" xfId="40129" xr:uid="{DD4D172D-C5DB-42C9-AEE4-CCB4CF9D6D12}"/>
    <cellStyle name="Normal 27 8 2 2 4 2" xfId="40130" xr:uid="{8696801B-254E-4BC3-85FD-C6263B5E37E9}"/>
    <cellStyle name="Normal 27 8 2 2 5" xfId="40131" xr:uid="{38E89EBA-E927-4336-8F77-AB92D47CA803}"/>
    <cellStyle name="Normal 27 8 2 3" xfId="40132" xr:uid="{FA48FD62-789B-44FB-8B26-16667859500E}"/>
    <cellStyle name="Normal 27 8 2 3 2" xfId="40133" xr:uid="{9C71098B-7C9B-485D-BBB8-1FA0BF615CEF}"/>
    <cellStyle name="Normal 27 8 2 3 2 2" xfId="40134" xr:uid="{BA68ADD0-67B9-4128-90B1-D8D75E770E1F}"/>
    <cellStyle name="Normal 27 8 2 3 2 2 2" xfId="40135" xr:uid="{04C271CD-8CBB-4F22-9352-AF18B0F4ED40}"/>
    <cellStyle name="Normal 27 8 2 3 2 3" xfId="40136" xr:uid="{6B27C45D-3FCA-42FF-B6C7-F2D1FD2A4F9D}"/>
    <cellStyle name="Normal 27 8 2 3 3" xfId="40137" xr:uid="{9A457EEF-65F2-4D4A-8917-6F8A2C009044}"/>
    <cellStyle name="Normal 27 8 2 3 3 2" xfId="40138" xr:uid="{0F6B4A75-33F2-45A0-B04D-E6B6E5513185}"/>
    <cellStyle name="Normal 27 8 2 3 4" xfId="40139" xr:uid="{7777EAE5-13C4-4117-B602-EF6C0945997F}"/>
    <cellStyle name="Normal 27 8 2 4" xfId="40140" xr:uid="{E529340A-9589-4EEF-8CCC-50C96C0845B5}"/>
    <cellStyle name="Normal 27 8 2 4 2" xfId="40141" xr:uid="{DF8790CB-4111-4F31-985C-EE363B3FAE00}"/>
    <cellStyle name="Normal 27 8 2 4 2 2" xfId="40142" xr:uid="{1846EEC4-A5D6-4D63-A8A3-9F4CE8850982}"/>
    <cellStyle name="Normal 27 8 2 4 3" xfId="40143" xr:uid="{0714AB72-0BE6-4FAA-B021-8E71BA27FC2A}"/>
    <cellStyle name="Normal 27 8 2 5" xfId="40144" xr:uid="{2B53A7B3-A2A6-40D5-A1BF-9CF4448D6128}"/>
    <cellStyle name="Normal 27 8 2 5 2" xfId="40145" xr:uid="{0399F37E-70F2-4616-ADBB-F3927F8D55EE}"/>
    <cellStyle name="Normal 27 8 2 6" xfId="40147" xr:uid="{05B78B4F-13A8-403F-AA40-9DB844244272}"/>
    <cellStyle name="Normal 27 8 2 7" xfId="40149" xr:uid="{6E662CEA-1A5D-4C0D-BBBB-0955AEBE1B44}"/>
    <cellStyle name="Normal 27 8 3" xfId="40151" xr:uid="{995B770C-B867-47DE-9D9E-F557D8C27540}"/>
    <cellStyle name="Normal 27 8 3 2" xfId="40153" xr:uid="{B8C9BEA1-FCBC-4963-A025-3AE17E595426}"/>
    <cellStyle name="Normal 27 8 3 2 2" xfId="40155" xr:uid="{B15A40BC-EA00-4ACB-905E-141D58CE0BA8}"/>
    <cellStyle name="Normal 27 8 3 2 2 2" xfId="25120" xr:uid="{014D923C-8033-4ED9-A887-5491CAE01176}"/>
    <cellStyle name="Normal 27 8 3 2 2 2 2" xfId="40156" xr:uid="{7E82019A-5D30-4690-9E2B-3F67635C33CF}"/>
    <cellStyle name="Normal 27 8 3 2 2 3" xfId="25123" xr:uid="{802D3422-AD56-41CA-8246-6DB32F8024DF}"/>
    <cellStyle name="Normal 27 8 3 2 3" xfId="40157" xr:uid="{A8F8DBEC-EB93-47C5-8663-91856C60FABD}"/>
    <cellStyle name="Normal 27 8 3 2 3 2" xfId="40158" xr:uid="{2D487138-8A5D-41A7-A223-D685992EAC6D}"/>
    <cellStyle name="Normal 27 8 3 2 4" xfId="4168" xr:uid="{7C2DF55C-45D6-49FB-BE61-C1BBD97F19FD}"/>
    <cellStyle name="Normal 27 8 3 3" xfId="40160" xr:uid="{A2E145ED-FADE-4023-8166-35522278D9A3}"/>
    <cellStyle name="Normal 27 8 3 3 2" xfId="40161" xr:uid="{8D99BCD1-F0BA-4D3B-98A4-5B3210178FC5}"/>
    <cellStyle name="Normal 27 8 3 3 2 2" xfId="40162" xr:uid="{196AD445-92DC-48CF-8E75-7F68A9510381}"/>
    <cellStyle name="Normal 27 8 3 3 3" xfId="40163" xr:uid="{47F725AF-AE0E-4B91-89C6-75CFD4BD4D5C}"/>
    <cellStyle name="Normal 27 8 3 4" xfId="40164" xr:uid="{D578F363-72F7-45CB-A04F-EB05856AA5AE}"/>
    <cellStyle name="Normal 27 8 3 4 2" xfId="40165" xr:uid="{091164A1-A07C-4614-A370-D5E0CFEAA3E4}"/>
    <cellStyle name="Normal 27 8 3 5" xfId="40166" xr:uid="{9F5290FA-0757-4139-A3D4-4D0D32394255}"/>
    <cellStyle name="Normal 27 8 4" xfId="40168" xr:uid="{4826F2A4-0A1D-4BAE-8B74-0572E2E1F5B9}"/>
    <cellStyle name="Normal 27 8 4 2" xfId="40170" xr:uid="{B9B725D4-7250-4D91-B496-FFA2115D6AC8}"/>
    <cellStyle name="Normal 27 8 4 2 2" xfId="40171" xr:uid="{19408B3E-96FB-40E6-A9AD-61AC00E62FE5}"/>
    <cellStyle name="Normal 27 8 4 2 2 2" xfId="40172" xr:uid="{6648D841-4866-444D-AD4D-E48737009EB2}"/>
    <cellStyle name="Normal 27 8 4 2 3" xfId="40173" xr:uid="{DD3CDB4D-632F-46D8-8A68-B56573A256EF}"/>
    <cellStyle name="Normal 27 8 4 3" xfId="40174" xr:uid="{DF4732B3-FCCF-46DC-AD38-1209DB7EE1B0}"/>
    <cellStyle name="Normal 27 8 4 3 2" xfId="40175" xr:uid="{A7421045-866D-4A69-9790-DE767EEBC42A}"/>
    <cellStyle name="Normal 27 8 4 4" xfId="40176" xr:uid="{373BAC6D-0E2A-465D-854B-27C0171F7E40}"/>
    <cellStyle name="Normal 27 8 5" xfId="40178" xr:uid="{65C00AB7-B4D1-4908-9AD1-CFEA28F63CCD}"/>
    <cellStyle name="Normal 27 8 5 2" xfId="40179" xr:uid="{29D21210-2EDD-49D3-8C67-3C87FE90C31A}"/>
    <cellStyle name="Normal 27 8 5 2 2" xfId="40180" xr:uid="{B075C99E-6E9B-4BC2-AB48-EA7BADEFC738}"/>
    <cellStyle name="Normal 27 8 5 3" xfId="40181" xr:uid="{3941D958-6B03-4BE7-8D2F-A5FD2C7BD716}"/>
    <cellStyle name="Normal 27 8 6" xfId="40182" xr:uid="{E6A84118-A7D9-4E34-A8C9-FE6844AEAB1B}"/>
    <cellStyle name="Normal 27 8 6 2" xfId="40183" xr:uid="{349832E7-A3F9-48BD-811F-09FA94D4933F}"/>
    <cellStyle name="Normal 27 8 7" xfId="40184" xr:uid="{75A02B49-76C1-4C9B-8694-30A72C7753B8}"/>
    <cellStyle name="Normal 27 8 8" xfId="40185" xr:uid="{BAC5411F-9693-4930-AABC-5F95882E1D61}"/>
    <cellStyle name="Normal 27 9" xfId="40186" xr:uid="{8D73D821-C9EC-43BC-9844-4759C5874A41}"/>
    <cellStyle name="Normal 27 9 2" xfId="40188" xr:uid="{06B5C4D1-414C-463C-8648-9683D90B78F3}"/>
    <cellStyle name="Normal 27 9 2 2" xfId="40190" xr:uid="{40414A4B-ED32-4096-AAFA-76716169C68B}"/>
    <cellStyle name="Normal 27 9 2 2 2" xfId="40192" xr:uid="{F756A083-43D9-4636-95CC-760710FA1623}"/>
    <cellStyle name="Normal 27 9 2 2 2 2" xfId="40193" xr:uid="{B84B2FE0-528E-4C43-8969-F8BE39D23FCD}"/>
    <cellStyle name="Normal 27 9 2 2 2 2 2" xfId="19015" xr:uid="{B849133B-AE60-4BB2-8E8B-0E1F610CB4AD}"/>
    <cellStyle name="Normal 27 9 2 2 2 3" xfId="40194" xr:uid="{4B5852B4-5F1B-493F-BC7D-34A07E66F2B6}"/>
    <cellStyle name="Normal 27 9 2 2 3" xfId="40195" xr:uid="{481357AF-D746-4F3B-9DCE-2E313F898CA2}"/>
    <cellStyle name="Normal 27 9 2 2 3 2" xfId="40196" xr:uid="{49211CA6-5B58-4B7B-A4B3-084033563041}"/>
    <cellStyle name="Normal 27 9 2 2 4" xfId="40197" xr:uid="{4304936F-7EFD-4889-9F45-023DB8338514}"/>
    <cellStyle name="Normal 27 9 2 3" xfId="40199" xr:uid="{E66FE17E-60B0-43E2-B709-CBF38FC23AFD}"/>
    <cellStyle name="Normal 27 9 2 3 2" xfId="40200" xr:uid="{8C3812EA-1302-47BC-B8EF-3C97DE4A068D}"/>
    <cellStyle name="Normal 27 9 2 3 2 2" xfId="40201" xr:uid="{215D1533-5C5F-4C50-AAD3-F8A96BBBFB20}"/>
    <cellStyle name="Normal 27 9 2 3 3" xfId="40202" xr:uid="{4B168064-43A3-4B38-AB8B-AC4F466806E5}"/>
    <cellStyle name="Normal 27 9 2 4" xfId="40203" xr:uid="{04659FF0-6AE0-4A9E-8724-93162A90E002}"/>
    <cellStyle name="Normal 27 9 2 4 2" xfId="40204" xr:uid="{EF544B2F-CC73-4738-A149-F83FE3A2DE6C}"/>
    <cellStyle name="Normal 27 9 2 5" xfId="40205" xr:uid="{0EDA64C0-FDF9-4DDB-9C54-6FF20EDA9B4B}"/>
    <cellStyle name="Normal 27 9 3" xfId="40209" xr:uid="{07B29779-6A15-4C0B-8FC7-ABE72511862D}"/>
    <cellStyle name="Normal 27 9 3 2" xfId="40213" xr:uid="{4E177FC9-C949-468C-AD0C-3CC4F1019540}"/>
    <cellStyle name="Normal 27 9 3 2 2" xfId="40216" xr:uid="{A9ABB137-BAED-4026-A6E1-5B64622C1030}"/>
    <cellStyle name="Normal 27 9 3 2 2 2" xfId="40217" xr:uid="{C44D9A5B-B4A6-4E4F-B3D8-F865CE64B338}"/>
    <cellStyle name="Normal 27 9 3 2 3" xfId="40218" xr:uid="{7C9D95B5-D127-4826-91E0-565AA255E2A3}"/>
    <cellStyle name="Normal 27 9 3 3" xfId="40221" xr:uid="{B41CA724-7A3F-4C25-AD6F-66AAC8A110D4}"/>
    <cellStyle name="Normal 27 9 3 3 2" xfId="40222" xr:uid="{00199EF8-769F-4404-8279-AFEB059992D8}"/>
    <cellStyle name="Normal 27 9 3 4" xfId="40223" xr:uid="{BD2749E6-2969-43AF-9D15-7154BD92D9D5}"/>
    <cellStyle name="Normal 27 9 4" xfId="40227" xr:uid="{98447911-CC38-440E-B5DF-54A1C349C22A}"/>
    <cellStyle name="Normal 27 9 4 2" xfId="40230" xr:uid="{4AA0F28D-4108-41A8-BC14-0450C7748B35}"/>
    <cellStyle name="Normal 27 9 4 2 2" xfId="40233" xr:uid="{EBA0627A-F67D-4BAC-AC53-BB5663A27702}"/>
    <cellStyle name="Normal 27 9 4 3" xfId="40236" xr:uid="{B843AD9A-BE34-4565-96AB-BDF4A48BE068}"/>
    <cellStyle name="Normal 27 9 5" xfId="15009" xr:uid="{BF0898D1-C0D3-4A0D-BDC1-50D40D09FC5F}"/>
    <cellStyle name="Normal 27 9 5 2" xfId="15016" xr:uid="{92970D8A-4719-4DB1-B9F0-EBCC91051F68}"/>
    <cellStyle name="Normal 27 9 6" xfId="15020" xr:uid="{6C3C00B7-015B-43C8-86B1-B23D1793E0D7}"/>
    <cellStyle name="Normal 27 9 7" xfId="20281" xr:uid="{62C2EAD7-B5E9-4863-8801-C495A76E0CB2}"/>
    <cellStyle name="Normal 270" xfId="38176" xr:uid="{95D1AE88-C1FC-41B0-85FF-57BF7DD678C3}"/>
    <cellStyle name="Normal 270 2" xfId="21761" xr:uid="{FAA3E5B2-1ADD-42B3-ADF8-4BF0EB3727F0}"/>
    <cellStyle name="Normal 270 2 2" xfId="38180" xr:uid="{67BE1BF4-E3AA-480E-B3B3-AE6961D15A8A}"/>
    <cellStyle name="Normal 270 3" xfId="38185" xr:uid="{92143BB5-3201-433B-B206-015BDB6A304A}"/>
    <cellStyle name="Normal 271" xfId="38189" xr:uid="{6865AB05-F55E-4CCE-9BE9-8161130B89FC}"/>
    <cellStyle name="Normal 271 2" xfId="38193" xr:uid="{0A98915E-75C5-4187-BA01-8B61B5CA526E}"/>
    <cellStyle name="Normal 271 2 2" xfId="38197" xr:uid="{49A80292-1944-4C35-8394-31CE0B394B94}"/>
    <cellStyle name="Normal 271 3" xfId="38202" xr:uid="{95A29A33-E01E-426B-A2C3-9F4AA23F355A}"/>
    <cellStyle name="Normal 272" xfId="38206" xr:uid="{0830CADA-1646-432F-9A1B-F5A0A40AEEC5}"/>
    <cellStyle name="Normal 272 2" xfId="38210" xr:uid="{EC8C3D05-7286-4A27-B27A-0FD6B8A0F1E5}"/>
    <cellStyle name="Normal 272 2 2" xfId="38214" xr:uid="{16266014-F8EB-4FF0-98D6-EF5CF1B6C8FE}"/>
    <cellStyle name="Normal 272 3" xfId="38218" xr:uid="{4AA05B02-CAAF-4015-BF76-9A3C2549919A}"/>
    <cellStyle name="Normal 273" xfId="38222" xr:uid="{4648C6B6-A1C7-4A4A-901D-96B646981049}"/>
    <cellStyle name="Normal 273 2" xfId="38226" xr:uid="{8E1DEE21-1313-472E-83A2-FF64F791A90C}"/>
    <cellStyle name="Normal 273 2 2" xfId="38230" xr:uid="{30B2830A-7A1E-4AD3-8E60-241E71528D86}"/>
    <cellStyle name="Normal 273 3" xfId="38234" xr:uid="{80FC9989-DDBF-47F6-A060-7E40BF22756E}"/>
    <cellStyle name="Normal 274" xfId="38238" xr:uid="{4CC5F027-B052-4272-8218-1BF24702CEE8}"/>
    <cellStyle name="Normal 274 2" xfId="38242" xr:uid="{5AE1EF99-C72A-4635-A61F-41672CEDAD67}"/>
    <cellStyle name="Normal 274 2 2" xfId="38246" xr:uid="{2D73CEBC-1900-4D62-A56D-F5B1784B975A}"/>
    <cellStyle name="Normal 274 3" xfId="38250" xr:uid="{0E9656B7-9E5D-4FE0-B53D-D21B029F4ED8}"/>
    <cellStyle name="Normal 275" xfId="40240" xr:uid="{BFEBE857-441C-4FC3-8A9F-2CE31A70D87F}"/>
    <cellStyle name="Normal 275 2" xfId="40244" xr:uid="{C04CCB5D-4967-4D90-89C3-60B18841F5D7}"/>
    <cellStyle name="Normal 275 2 2" xfId="40248" xr:uid="{CF0A27A8-47F2-4CAE-ABCC-09C2A1D54C2F}"/>
    <cellStyle name="Normal 275 3" xfId="40252" xr:uid="{BC9E7F6E-DF39-4C41-946C-9EF8CE848E61}"/>
    <cellStyle name="Normal 276" xfId="40256" xr:uid="{055500C4-7673-4471-A3E4-631195E191FF}"/>
    <cellStyle name="Normal 276 2" xfId="40260" xr:uid="{B2E37D15-BA6B-4FC0-8A95-0238069AB40E}"/>
    <cellStyle name="Normal 276 2 2" xfId="40264" xr:uid="{68B5B777-E282-4DC3-BC59-815C99587A64}"/>
    <cellStyle name="Normal 276 3" xfId="40268" xr:uid="{B674FE7D-56FB-4033-9FE7-812D4E6555E6}"/>
    <cellStyle name="Normal 277" xfId="40272" xr:uid="{9CAEFADD-5182-4C42-A86E-303DD3D42F9D}"/>
    <cellStyle name="Normal 277 2" xfId="40276" xr:uid="{89026609-56CA-4A90-BE4D-1E506530F825}"/>
    <cellStyle name="Normal 277 2 2" xfId="40280" xr:uid="{27A76E80-3C1B-4DF4-AB03-3429F7352997}"/>
    <cellStyle name="Normal 277 3" xfId="40284" xr:uid="{4722DE8D-2416-4792-83E0-F3D4F45E79CF}"/>
    <cellStyle name="Normal 278" xfId="40288" xr:uid="{32920D75-477D-4DF3-9AF4-884FD962D43A}"/>
    <cellStyle name="Normal 278 2" xfId="40292" xr:uid="{4631D430-F8FF-4E90-81EF-7B1190EDC2D9}"/>
    <cellStyle name="Normal 278 2 2" xfId="40296" xr:uid="{BDE43F94-DF53-4FA4-8AE5-66508EB01426}"/>
    <cellStyle name="Normal 278 3" xfId="40300" xr:uid="{E52C495B-02BB-4C6B-B54A-36283B3DD9BB}"/>
    <cellStyle name="Normal 279" xfId="40304" xr:uid="{8932C34E-D235-48A9-AE58-E49B672D61CC}"/>
    <cellStyle name="Normal 279 2" xfId="40308" xr:uid="{0EF032BB-19EB-4AE1-9723-D9463382FEC4}"/>
    <cellStyle name="Normal 279 2 2" xfId="40312" xr:uid="{BA24C916-89C6-418E-9F22-7F71B965FD2E}"/>
    <cellStyle name="Normal 279 3" xfId="40316" xr:uid="{182492C6-1927-4C7C-923C-BA4AC083AF9C}"/>
    <cellStyle name="Normal 28" xfId="40318" xr:uid="{4D8ECD19-539A-49F4-85B0-E4B68D0C00C7}"/>
    <cellStyle name="Normal 28 2" xfId="24174" xr:uid="{7B26039E-9B4D-4A44-9DFE-5BB4CC8F1B16}"/>
    <cellStyle name="Normal 28 2 2" xfId="11853" xr:uid="{2AD9DA72-4B07-4B35-A365-6B23E767DD03}"/>
    <cellStyle name="Normal 28 3" xfId="24183" xr:uid="{25AD20BD-FE78-4E22-8F34-AD8ABEC924D5}"/>
    <cellStyle name="Normal 280" xfId="40239" xr:uid="{ECD262B6-970F-4147-842F-C64FE48A0860}"/>
    <cellStyle name="Normal 280 2" xfId="40243" xr:uid="{764DA656-B8CA-4E05-886D-371AA3B9A74E}"/>
    <cellStyle name="Normal 280 2 2" xfId="40247" xr:uid="{09147727-5113-4196-991A-36B85A14EB5C}"/>
    <cellStyle name="Normal 280 3" xfId="40251" xr:uid="{0DD8356C-D88E-4336-9E3D-B9E035F16818}"/>
    <cellStyle name="Normal 281" xfId="40255" xr:uid="{7DA4102D-71B2-4513-B541-BC75B995DC90}"/>
    <cellStyle name="Normal 281 2" xfId="40259" xr:uid="{5F640020-8316-4B57-B51A-9BBDBA835B4E}"/>
    <cellStyle name="Normal 281 2 2" xfId="40263" xr:uid="{59F7B3C6-66A4-40C5-B62E-52FE976986C6}"/>
    <cellStyle name="Normal 281 3" xfId="40267" xr:uid="{C1F2B2BD-3613-4688-B4F8-700C48806F28}"/>
    <cellStyle name="Normal 282" xfId="40271" xr:uid="{E9248A78-9BCA-44CC-BB56-A0969DEFAC06}"/>
    <cellStyle name="Normal 282 2" xfId="40275" xr:uid="{2D24CF69-6F5F-406F-96CB-D4D5C0E691C2}"/>
    <cellStyle name="Normal 282 2 2" xfId="40279" xr:uid="{CEFD8F30-6A79-4894-BE9E-E530382B857C}"/>
    <cellStyle name="Normal 282 3" xfId="40283" xr:uid="{AA4D57EA-684D-4792-9430-9B3B9F7A04BB}"/>
    <cellStyle name="Normal 283" xfId="40287" xr:uid="{382E7A91-D567-4872-A636-3AD2E7ADE6AB}"/>
    <cellStyle name="Normal 283 2" xfId="40291" xr:uid="{256B8A2F-224E-44A1-BF1B-96ACAC4EAC3B}"/>
    <cellStyle name="Normal 283 2 2" xfId="40295" xr:uid="{42A4A423-AECC-4982-8B7F-FA5C5E3E3361}"/>
    <cellStyle name="Normal 283 3" xfId="40299" xr:uid="{2F08A4FC-5B84-4A5D-B956-CC2AEBE670CF}"/>
    <cellStyle name="Normal 284" xfId="40303" xr:uid="{F811F5BE-CE29-4D6F-AC24-A94E99E441BA}"/>
    <cellStyle name="Normal 284 2" xfId="40307" xr:uid="{08CDBA3C-BDC0-4085-A306-1EF3B45211FF}"/>
    <cellStyle name="Normal 284 2 2" xfId="40311" xr:uid="{4AA02998-CC49-4FD4-923C-24FEF8AE89F1}"/>
    <cellStyle name="Normal 284 3" xfId="40315" xr:uid="{8CE56CC4-1E8A-4A3F-93D0-8D35DB21C16D}"/>
    <cellStyle name="Normal 285" xfId="40322" xr:uid="{93E2937B-543C-4EA6-AB55-4E416250F4AC}"/>
    <cellStyle name="Normal 285 2" xfId="40326" xr:uid="{D2B3A4B3-889C-40F6-BC64-E35DA3B8E449}"/>
    <cellStyle name="Normal 285 2 2" xfId="40330" xr:uid="{02DC3276-6D9E-4AB8-99BC-1A6D8ACA4F17}"/>
    <cellStyle name="Normal 285 3" xfId="40334" xr:uid="{84BB8185-2A31-44BF-B63B-4EC88F06C1EE}"/>
    <cellStyle name="Normal 286" xfId="40338" xr:uid="{675DBAEE-63FF-41B3-ADA1-C115150E6027}"/>
    <cellStyle name="Normal 286 2" xfId="40342" xr:uid="{24C5FFF8-36E0-43CB-A584-CBA49AE109EA}"/>
    <cellStyle name="Normal 286 2 2" xfId="40346" xr:uid="{E76DD9CD-7854-49F9-8CE2-4FA57045B9F8}"/>
    <cellStyle name="Normal 286 3" xfId="40349" xr:uid="{05C997BB-99CF-4477-9BFD-3EF08F702F72}"/>
    <cellStyle name="Normal 287" xfId="40354" xr:uid="{EFDD1A8F-F2A6-45E0-BB4B-5C3C0D4EDCE7}"/>
    <cellStyle name="Normal 287 2" xfId="40359" xr:uid="{F1CDB0E1-7DAB-405C-B321-D3B0208939E0}"/>
    <cellStyle name="Normal 287 2 2" xfId="40364" xr:uid="{57D0832C-DBE2-4463-9917-202F30F9733D}"/>
    <cellStyle name="Normal 287 3" xfId="40369" xr:uid="{68F09AFD-0442-481C-B64F-C56B28C85611}"/>
    <cellStyle name="Normal 288" xfId="40374" xr:uid="{94774285-9C57-4D43-8845-883EE46B1704}"/>
    <cellStyle name="Normal 288 2" xfId="40378" xr:uid="{A6492D4B-1457-41A9-95E8-7E8859B6B397}"/>
    <cellStyle name="Normal 288 2 2" xfId="40382" xr:uid="{2BFEA8AF-5990-400F-87FA-47320F2C8B75}"/>
    <cellStyle name="Normal 288 3" xfId="40386" xr:uid="{4CC023C7-9788-4FEC-8FAA-B8935299A12C}"/>
    <cellStyle name="Normal 289" xfId="40391" xr:uid="{DE5F5EB6-4012-4E13-8B2A-01BA02686E90}"/>
    <cellStyle name="Normal 289 2" xfId="40395" xr:uid="{8EC4BE80-E24A-4801-85E7-E2C6A19C4A4B}"/>
    <cellStyle name="Normal 289 2 2" xfId="40399" xr:uid="{A969C290-44C8-4559-A80C-5DF34CBF318C}"/>
    <cellStyle name="Normal 289 3" xfId="40403" xr:uid="{F5DB6BAD-988C-4618-817C-7C4281D083DC}"/>
    <cellStyle name="Normal 29" xfId="40405" xr:uid="{6577F022-E265-427C-AD40-D9E7C4345F81}"/>
    <cellStyle name="Normal 29 2" xfId="24195" xr:uid="{02B2445C-3B00-4537-AEEC-FB6BDE2B9520}"/>
    <cellStyle name="Normal 29 2 2" xfId="14749" xr:uid="{867F659D-E241-417B-8478-77F30E7D59EF}"/>
    <cellStyle name="Normal 29 2 3" xfId="40406" xr:uid="{D8D7FC7C-9927-47D6-BC5F-47C1F4617923}"/>
    <cellStyle name="Normal 29 7" xfId="40407" xr:uid="{4A0C7E69-810D-4435-86D8-02B33CC1B1F9}"/>
    <cellStyle name="Normal 29 8" xfId="40408" xr:uid="{41471B00-0088-4317-A85D-C60403E88173}"/>
    <cellStyle name="Normal 290" xfId="40321" xr:uid="{958CE794-4EC5-46C1-9CA4-10254693B0AC}"/>
    <cellStyle name="Normal 290 2" xfId="40325" xr:uid="{CF983EDC-68B0-4A88-A281-D1DDA2B7E481}"/>
    <cellStyle name="Normal 290 2 2" xfId="40329" xr:uid="{2531FD7E-44BA-4CC4-89C6-E9A734622DEC}"/>
    <cellStyle name="Normal 290 3" xfId="40333" xr:uid="{3E403A84-B688-48CD-BE6D-B95542F94476}"/>
    <cellStyle name="Normal 291" xfId="40337" xr:uid="{7D25BC28-D395-4517-BCEF-9E861E5609DD}"/>
    <cellStyle name="Normal 291 2" xfId="40341" xr:uid="{9FC7E54D-0785-429F-B5D5-A590CF8D6457}"/>
    <cellStyle name="Normal 291 2 2" xfId="40345" xr:uid="{169E2CF9-4542-422E-989F-EDBAAF09D336}"/>
    <cellStyle name="Normal 291 3" xfId="40348" xr:uid="{EEF8D899-F6DB-4163-8B9F-D8C949951CCA}"/>
    <cellStyle name="Normal 292" xfId="40353" xr:uid="{2B3B518A-AB65-468B-9B33-A62DBEF361EB}"/>
    <cellStyle name="Normal 292 2" xfId="40358" xr:uid="{A1E3A4C0-BAEC-466C-966B-4E0F6282870F}"/>
    <cellStyle name="Normal 292 2 2" xfId="40363" xr:uid="{6F392AD5-E547-40B9-AE6F-4208E398499B}"/>
    <cellStyle name="Normal 292 3" xfId="40368" xr:uid="{D227558C-E52E-4ACF-A73D-99A1F54AADA6}"/>
    <cellStyle name="Normal 293" xfId="40373" xr:uid="{328A07E5-55B6-4755-90CD-726EAFC7C187}"/>
    <cellStyle name="Normal 293 2" xfId="40377" xr:uid="{E2D7F478-F4AE-422E-B338-880C4AA42C28}"/>
    <cellStyle name="Normal 293 2 2" xfId="40381" xr:uid="{4D79E76B-6F14-41B4-8A54-28774138A342}"/>
    <cellStyle name="Normal 293 3" xfId="40385" xr:uid="{92A6BB40-1E61-45B2-AEEF-3A8891D1C4D2}"/>
    <cellStyle name="Normal 294" xfId="40390" xr:uid="{D488A63E-C3B0-4C00-8D62-E2D24B8185C7}"/>
    <cellStyle name="Normal 294 2" xfId="40394" xr:uid="{0DB65B01-F0FC-4C9B-A41C-19C823F3A147}"/>
    <cellStyle name="Normal 294 2 2" xfId="40398" xr:uid="{CB55A463-7372-41B8-926E-2DC8F9079951}"/>
    <cellStyle name="Normal 294 3" xfId="40402" xr:uid="{40305681-CC75-406B-B419-5335BC253A95}"/>
    <cellStyle name="Normal 295" xfId="40413" xr:uid="{FB876A70-3C60-4EBE-B335-7CFD090EDE94}"/>
    <cellStyle name="Normal 295 2" xfId="40416" xr:uid="{93A8577E-1BFD-4E5E-9745-367778139CDB}"/>
    <cellStyle name="Normal 295 2 2" xfId="40418" xr:uid="{EAF6C4A4-D123-4A24-9C21-6ACAA0E80F1A}"/>
    <cellStyle name="Normal 295 3" xfId="40420" xr:uid="{55CEED48-9662-457C-8826-FF1C125CA9AA}"/>
    <cellStyle name="Normal 296" xfId="40425" xr:uid="{D8902FC0-07D2-494E-9B0D-323A53B24E89}"/>
    <cellStyle name="Normal 296 2" xfId="40428" xr:uid="{9C241735-B991-4516-A4CF-600AE52086FC}"/>
    <cellStyle name="Normal 296 2 2" xfId="40430" xr:uid="{9CD5A345-F032-4D37-A376-AAFC6CB5FAF2}"/>
    <cellStyle name="Normal 296 3" xfId="40432" xr:uid="{67F61F80-1922-487E-88E9-D841E59B11C5}"/>
    <cellStyle name="Normal 297" xfId="28415" xr:uid="{E83B8AEA-76B7-4812-93D8-82122866C846}"/>
    <cellStyle name="Normal 297 2" xfId="28420" xr:uid="{46C4DA9B-6464-413D-9627-6C976CCD20C4}"/>
    <cellStyle name="Normal 297 2 2" xfId="28423" xr:uid="{EF6D4451-30AC-4D19-A55A-F14B9171EB63}"/>
    <cellStyle name="Normal 297 3" xfId="28428" xr:uid="{74B5601E-C8CE-4E70-8CED-B1C14E3C2504}"/>
    <cellStyle name="Normal 298" xfId="28437" xr:uid="{FAA83048-3965-4226-9950-DB7246FC1360}"/>
    <cellStyle name="Normal 298 2" xfId="28443" xr:uid="{D9D2A8BF-2FB5-451A-BB7D-7D70EE0DE044}"/>
    <cellStyle name="Normal 298 2 2" xfId="28447" xr:uid="{5485207A-D626-43BB-B8C6-68E113AF5D4F}"/>
    <cellStyle name="Normal 298 3" xfId="28450" xr:uid="{FC974009-C82A-4831-9450-C7E86D35A16A}"/>
    <cellStyle name="Normal 299" xfId="28456" xr:uid="{B06A4561-AD66-4EC5-9FFD-1B71240D71BF}"/>
    <cellStyle name="Normal 299 2" xfId="28463" xr:uid="{5B3A9938-8D91-4008-B54E-2B1ECC8F7D0F}"/>
    <cellStyle name="Normal 299 2 2" xfId="40433" xr:uid="{0E00C354-F632-4E12-B724-22D524D1C325}"/>
    <cellStyle name="Normal 299 3" xfId="40434" xr:uid="{5BE784B0-93A7-42E4-B57D-3197EDD7B9F9}"/>
    <cellStyle name="Normal 3" xfId="3" xr:uid="{1CA4BA06-465C-4FE5-8DD2-C3CAFD912E15}"/>
    <cellStyle name="Normal 3 10" xfId="40436" xr:uid="{4FA50A3C-9F89-4F9F-AF1B-F267A10F4452}"/>
    <cellStyle name="Normal 3 10 2" xfId="40437" xr:uid="{34EEA89F-6F3F-4DED-8153-2945FF56C453}"/>
    <cellStyle name="Normal 3 10 2 2" xfId="40438" xr:uid="{8AFF0B02-1EC1-4F61-955A-007348D4CD14}"/>
    <cellStyle name="Normal 3 10 3" xfId="40439" xr:uid="{5F3F4153-AE97-4B57-B7E8-A97D52760187}"/>
    <cellStyle name="Normal 3 10 3 2" xfId="40440" xr:uid="{51A20CEE-9973-48DD-B5A2-A32DAAF604A2}"/>
    <cellStyle name="Normal 3 10 4" xfId="40441" xr:uid="{BBAADEFA-A7C6-4B86-B08F-04EC4A1F50ED}"/>
    <cellStyle name="Normal 3 11" xfId="40442" xr:uid="{61754497-BD7F-43C2-93C7-D70A457149AF}"/>
    <cellStyle name="Normal 3 11 2" xfId="40443" xr:uid="{BE779B1C-11A9-4D79-8D05-64CF8175D048}"/>
    <cellStyle name="Normal 3 11 2 2" xfId="40444" xr:uid="{22AC1471-7AEC-4DF0-8E2A-9408A73BC146}"/>
    <cellStyle name="Normal 3 11 3" xfId="40445" xr:uid="{4AA4D871-B97E-4D37-A556-CA689F0E37D4}"/>
    <cellStyle name="Normal 3 11 3 2" xfId="40446" xr:uid="{625F4B1B-124C-40E1-A949-DF7AF35808E7}"/>
    <cellStyle name="Normal 3 11 4" xfId="40447" xr:uid="{C1E4906D-3AFA-46E7-8E35-A07BD5FA41E2}"/>
    <cellStyle name="Normal 3 12" xfId="40448" xr:uid="{C3788B5A-2886-4F1A-9A0A-709F1C718EA9}"/>
    <cellStyle name="Normal 3 12 2" xfId="40449" xr:uid="{46730F6C-C7D0-44FF-999D-1B959748CCAF}"/>
    <cellStyle name="Normal 3 12 2 2" xfId="40450" xr:uid="{50A9A24E-36AE-4617-AFB1-B1764FE9B149}"/>
    <cellStyle name="Normal 3 12 3" xfId="40451" xr:uid="{10ACC8E9-1905-4640-9E1E-4680AE716871}"/>
    <cellStyle name="Normal 3 13" xfId="118" xr:uid="{8590E95C-9E33-4EB3-9145-149FFBD05444}"/>
    <cellStyle name="Normal 3 13 2" xfId="5243" xr:uid="{4F00E7AA-6F4D-4B36-8AD2-EA229A819CDE}"/>
    <cellStyle name="Normal 3 13 2 2" xfId="5246" xr:uid="{12191054-7998-498E-B6B1-8ADD6A0747EF}"/>
    <cellStyle name="Normal 3 13 2 3" xfId="1195" xr:uid="{4DC373D1-633D-4E55-A08A-55E7C8D80B54}"/>
    <cellStyle name="Normal 3 13 3" xfId="5263" xr:uid="{5C43E607-E862-48FF-8E50-A45DD11B959E}"/>
    <cellStyle name="Normal 3 13 4" xfId="5266" xr:uid="{D28F1869-F401-4D5B-BE07-B9A91DB370F1}"/>
    <cellStyle name="Normal 3 14" xfId="518" xr:uid="{14AD02EB-84A4-4D87-B8A1-B234B01171A3}"/>
    <cellStyle name="Normal 3 14 2" xfId="5282" xr:uid="{70228693-37D1-46F5-99ED-5F6DECAE38C3}"/>
    <cellStyle name="Normal 3 14 2 2" xfId="5288" xr:uid="{6A62B2F7-A17E-4F9C-AABC-989DAC31045F}"/>
    <cellStyle name="Normal 3 14 3" xfId="5308" xr:uid="{2DD37033-C76C-4FE5-8CD8-79B1AF55C734}"/>
    <cellStyle name="Normal 3 15" xfId="527" xr:uid="{D790CDAA-49F5-4DD1-8067-75350D79134C}"/>
    <cellStyle name="Normal 3 15 2" xfId="538" xr:uid="{E4DB6474-8F59-46DB-8075-D83B3E7EF6B0}"/>
    <cellStyle name="Normal 3 15 2 2" xfId="5329" xr:uid="{A66671B1-8D82-41BE-8419-80D7E2875596}"/>
    <cellStyle name="Normal 3 15 3" xfId="1051" xr:uid="{AA59BC8C-0C80-4A4C-A97E-7359414ED125}"/>
    <cellStyle name="Normal 3 15 4" xfId="1059" xr:uid="{EAF0D135-9FEE-4296-9027-845E088D4223}"/>
    <cellStyle name="Normal 3 16" xfId="545" xr:uid="{FE6F1E1D-46E7-4793-8F08-3DD2ADD6E73F}"/>
    <cellStyle name="Normal 3 16 2" xfId="5344" xr:uid="{0C180089-3D08-4D7B-AB7A-B248462BBADD}"/>
    <cellStyle name="Normal 3 16 2 2" xfId="5350" xr:uid="{CED1202B-AC33-4BCC-B913-71558BD8492F}"/>
    <cellStyle name="Normal 3 16 3" xfId="5355" xr:uid="{09FF4B3E-10D5-4B8D-9D8F-F0A174F0D8CE}"/>
    <cellStyle name="Normal 3 17" xfId="1367" xr:uid="{7BAE7929-0D25-4306-A61B-DADB3DD5ADF5}"/>
    <cellStyle name="Normal 3 17 2" xfId="4494" xr:uid="{35BB36CB-CABA-4BCA-97CD-83947970DA5F}"/>
    <cellStyle name="Normal 3 17 2 2" xfId="40453" xr:uid="{DBB99EC2-C619-4797-927F-5D953F05D260}"/>
    <cellStyle name="Normal 3 17 3" xfId="40455" xr:uid="{19907E67-8F5F-4598-A104-263EE064E374}"/>
    <cellStyle name="Normal 3 18" xfId="1315" xr:uid="{FA3B5703-E613-4A6A-8491-A874F98AD5D5}"/>
    <cellStyle name="Normal 3 18 2" xfId="40457" xr:uid="{3507B618-9FCF-45A3-A93A-F3A1067188BE}"/>
    <cellStyle name="Normal 3 18 2 2" xfId="40459" xr:uid="{40B42203-3EE4-4ED3-948A-A3A0A52F2A1F}"/>
    <cellStyle name="Normal 3 18 3" xfId="40461" xr:uid="{4E586A2E-53F7-45A7-A3E0-33F3F3423DF4}"/>
    <cellStyle name="Normal 3 19" xfId="5358" xr:uid="{5B7D1A71-0F46-4DF3-8BB1-3B487EB70A1F}"/>
    <cellStyle name="Normal 3 19 2" xfId="40463" xr:uid="{47323AB4-D774-4871-B527-487CCBE307C3}"/>
    <cellStyle name="Normal 3 19 2 2" xfId="40465" xr:uid="{BC71925C-669D-42F3-8FF0-DB80B8FD6307}"/>
    <cellStyle name="Normal 3 19 3" xfId="40467" xr:uid="{E2D68A44-AF70-418E-AA4F-443FD8AF5AFB}"/>
    <cellStyle name="Normal 3 2" xfId="40468" xr:uid="{6647B21C-FEFA-4D4F-B7F1-7CAC77FEDA48}"/>
    <cellStyle name="Normal 3 2 10" xfId="40469" xr:uid="{27B1DE7C-3924-4C19-BB24-A600CA566AE3}"/>
    <cellStyle name="Normal 3 2 10 2" xfId="40470" xr:uid="{8EB43AFF-8332-4739-BE83-86844B56D8B4}"/>
    <cellStyle name="Normal 3 2 10 2 2" xfId="40471" xr:uid="{2D67F407-6BF5-4F81-B9D1-B93D4F47A7AB}"/>
    <cellStyle name="Normal 3 2 10 3" xfId="40472" xr:uid="{A004E886-CA24-4FB8-9B78-1A16D3B6993E}"/>
    <cellStyle name="Normal 3 2 10 4" xfId="40473" xr:uid="{38175A55-9274-4C9C-B73A-506C9AB07155}"/>
    <cellStyle name="Normal 3 2 11" xfId="40474" xr:uid="{DF5A6905-9C7F-4F80-A281-6DB083D04A87}"/>
    <cellStyle name="Normal 3 2 11 2" xfId="40475" xr:uid="{AF6A58DC-9DB5-4E8A-8C73-71898BB53C2E}"/>
    <cellStyle name="Normal 3 2 11 3" xfId="40476" xr:uid="{A8D9ABCB-E91D-4522-ADB1-88B2F11AAC79}"/>
    <cellStyle name="Normal 3 2 12" xfId="40477" xr:uid="{BAFBB092-6F65-471F-9570-DB18103407E3}"/>
    <cellStyle name="Normal 3 2 12 2" xfId="40478" xr:uid="{9FB4F70D-DE0F-4A7C-91BB-A430CB2C20DE}"/>
    <cellStyle name="Normal 3 2 12 3" xfId="40479" xr:uid="{153E385A-BC51-4284-AB04-6D8325826F31}"/>
    <cellStyle name="Normal 3 2 13" xfId="40480" xr:uid="{206C1C0F-943E-487B-AE32-CE963C3BFBBA}"/>
    <cellStyle name="Normal 3 2 13 2" xfId="40481" xr:uid="{9CE4B9B2-90D9-4017-9DAB-8BFBFE586EBA}"/>
    <cellStyle name="Normal 3 2 14" xfId="40482" xr:uid="{9894B942-E8AA-413A-834A-B388F57412B4}"/>
    <cellStyle name="Normal 3 2 14 2" xfId="40483" xr:uid="{DA01F46D-30F0-4228-AE71-587EDD467071}"/>
    <cellStyle name="Normal 3 2 15" xfId="40485" xr:uid="{C9F1F454-3BC2-4C1C-98C5-753041E0F94B}"/>
    <cellStyle name="Normal 3 2 16" xfId="40487" xr:uid="{925819D3-9CFE-4776-91C1-7AB28F31B8C0}"/>
    <cellStyle name="Normal 3 2 17" xfId="40489" xr:uid="{8A716772-0073-4314-BDF8-A57AABEAE2BA}"/>
    <cellStyle name="Normal 3 2 18" xfId="40491" xr:uid="{49E03104-80A0-4958-9D11-45712BE0A130}"/>
    <cellStyle name="Normal 3 2 19" xfId="40493" xr:uid="{85B11B8D-FBF2-4668-ABC5-E75766931017}"/>
    <cellStyle name="Normal 3 2 2" xfId="40494" xr:uid="{4C762147-B0C5-4304-B5B9-B6D4B443F5D9}"/>
    <cellStyle name="Normal 3 2 2 10" xfId="40495" xr:uid="{0C35FCC8-80E8-4AA7-BC49-5AC4E612C81A}"/>
    <cellStyle name="Normal 3 2 2 10 2" xfId="40496" xr:uid="{0E76CC4C-7D24-4FA6-BA06-0BEFA057EA7F}"/>
    <cellStyle name="Normal 3 2 2 10 2 2" xfId="40497" xr:uid="{E0112A6E-C2AC-4966-ACFE-EDBB703CC950}"/>
    <cellStyle name="Normal 3 2 2 10 3" xfId="40498" xr:uid="{F7284DBC-CBC8-4C57-9C83-7F1E7AD83AF8}"/>
    <cellStyle name="Normal 3 2 2 11" xfId="40499" xr:uid="{935F927A-9391-4280-9031-8CF61656B0DC}"/>
    <cellStyle name="Normal 3 2 2 11 2" xfId="40500" xr:uid="{1C2CBD52-CE56-4A6C-9380-701C4EBDF866}"/>
    <cellStyle name="Normal 3 2 2 11 2 2" xfId="40501" xr:uid="{D993F55A-A7B1-49D9-8462-8F8084F05A35}"/>
    <cellStyle name="Normal 3 2 2 11 3" xfId="40502" xr:uid="{2AD0E2B0-8368-421F-B38B-EF58828223FF}"/>
    <cellStyle name="Normal 3 2 2 12" xfId="40503" xr:uid="{7C0684B5-F030-4809-B4DB-AF8B8A14085B}"/>
    <cellStyle name="Normal 3 2 2 12 2" xfId="40504" xr:uid="{060ABFDE-CDFF-4D4F-AEE5-E13E0CD07BF2}"/>
    <cellStyle name="Normal 3 2 2 12 2 2" xfId="40505" xr:uid="{5C3B78B7-7415-4BAA-9CEE-6DE6B6254C60}"/>
    <cellStyle name="Normal 3 2 2 12 3" xfId="40506" xr:uid="{17C9BBC5-0FD6-4748-9C3D-4C7F33D94DBD}"/>
    <cellStyle name="Normal 3 2 2 13" xfId="40507" xr:uid="{8A572C53-B935-4033-86B9-6EE7B2CDD048}"/>
    <cellStyle name="Normal 3 2 2 13 2" xfId="40508" xr:uid="{50CBDABD-ECEE-41DC-9609-85AEB1BBE19D}"/>
    <cellStyle name="Normal 3 2 2 13 2 2" xfId="40509" xr:uid="{8B0B5A95-BB5D-4BE3-B245-087C52805A67}"/>
    <cellStyle name="Normal 3 2 2 13 3" xfId="40510" xr:uid="{53AD808C-9D9C-4560-A66F-0434FD0C6B98}"/>
    <cellStyle name="Normal 3 2 2 14" xfId="40511" xr:uid="{BF3D88E6-1A81-46A8-BF8D-3D26F9FA2E19}"/>
    <cellStyle name="Normal 3 2 2 14 2" xfId="40512" xr:uid="{E899AEBC-6808-4BC2-9E17-7ACEC7DAFE93}"/>
    <cellStyle name="Normal 3 2 2 14 2 2" xfId="40513" xr:uid="{AB78373B-CCEF-4EF1-A8AA-67183203323B}"/>
    <cellStyle name="Normal 3 2 2 14 3" xfId="40514" xr:uid="{CB9CB40C-615B-437F-A916-416073A2FC15}"/>
    <cellStyle name="Normal 3 2 2 15" xfId="40516" xr:uid="{A4012463-158C-4CB4-BD95-7C027C9F2EC2}"/>
    <cellStyle name="Normal 3 2 2 15 2" xfId="40518" xr:uid="{A777F588-057C-4C4B-97CC-C3A60F223C1B}"/>
    <cellStyle name="Normal 3 2 2 15 2 2" xfId="40520" xr:uid="{0E190687-2B03-4013-8938-DAA1802821EF}"/>
    <cellStyle name="Normal 3 2 2 15 3" xfId="40522" xr:uid="{B8F9F5EC-C981-4D8E-9809-270C139058B2}"/>
    <cellStyle name="Normal 3 2 2 16" xfId="40524" xr:uid="{83CC117E-7C53-48B9-B3A0-2A64A9D32560}"/>
    <cellStyle name="Normal 3 2 2 16 2" xfId="40526" xr:uid="{B4E128E8-871A-426A-B6CD-AA08698908F0}"/>
    <cellStyle name="Normal 3 2 2 16 2 2" xfId="40528" xr:uid="{E10F4914-E1F0-42C1-92CF-F398F65A3B76}"/>
    <cellStyle name="Normal 3 2 2 16 3" xfId="40530" xr:uid="{BEADBDB0-CA8D-4038-9C2F-0492E6EBE5B0}"/>
    <cellStyle name="Normal 3 2 2 17" xfId="40532" xr:uid="{14FF874A-95F8-41BF-BBC0-D4CD6AEA097E}"/>
    <cellStyle name="Normal 3 2 2 17 2" xfId="40534" xr:uid="{83803104-F01C-4639-BD40-A4AD9A811564}"/>
    <cellStyle name="Normal 3 2 2 17 2 2" xfId="40536" xr:uid="{B0854AC9-641F-4382-AF08-7C007F1CFEB4}"/>
    <cellStyle name="Normal 3 2 2 17 3" xfId="40538" xr:uid="{D13150CC-6D88-4C94-9E9B-E1D42029399B}"/>
    <cellStyle name="Normal 3 2 2 18" xfId="40540" xr:uid="{0F972592-AAAC-419E-88D6-067D63B163B2}"/>
    <cellStyle name="Normal 3 2 2 18 2" xfId="40542" xr:uid="{9BF8367F-6E43-4498-80A6-F6D5E58217A1}"/>
    <cellStyle name="Normal 3 2 2 18 2 2" xfId="40544" xr:uid="{38AAFCE9-2684-460C-A4B4-DB2356B287C9}"/>
    <cellStyle name="Normal 3 2 2 18 3" xfId="40546" xr:uid="{A95F2140-A7D1-498A-8166-A033289E62DA}"/>
    <cellStyle name="Normal 3 2 2 19" xfId="40548" xr:uid="{8047AA98-C2AE-471B-AECB-55F0E6830308}"/>
    <cellStyle name="Normal 3 2 2 19 2" xfId="40550" xr:uid="{53320B46-B0DC-4C57-BA16-BD5916C80E51}"/>
    <cellStyle name="Normal 3 2 2 19 2 2" xfId="40552" xr:uid="{4C9FAC19-C6F4-4226-98E1-232BF201346A}"/>
    <cellStyle name="Normal 3 2 2 19 3" xfId="40554" xr:uid="{F5ADA54C-7B82-4F73-AD5C-60A9396654C1}"/>
    <cellStyle name="Normal 3 2 2 2" xfId="40555" xr:uid="{40F3B9E8-DDA3-463D-9CD3-F6577598353E}"/>
    <cellStyle name="Normal 3 2 2 2 10" xfId="40556" xr:uid="{66F62B8D-B8B8-4552-AD25-18A3FB9B8A07}"/>
    <cellStyle name="Normal 3 2 2 2 11" xfId="40557" xr:uid="{D8EB2921-348D-4A14-87B4-A7F7FB1BE4CC}"/>
    <cellStyle name="Normal 3 2 2 2 12" xfId="40558" xr:uid="{16EAB716-F95B-460F-8931-579B91DBDAE3}"/>
    <cellStyle name="Normal 3 2 2 2 13" xfId="40559" xr:uid="{B7654334-6E4F-488A-A9EC-F474DFCB0103}"/>
    <cellStyle name="Normal 3 2 2 2 14" xfId="40560" xr:uid="{BCC9DBD9-8BD2-47C3-BE5C-7A6389DE9FCA}"/>
    <cellStyle name="Normal 3 2 2 2 15" xfId="40562" xr:uid="{BB25B16F-514F-4C2F-861A-9EAF3E6F8CD0}"/>
    <cellStyle name="Normal 3 2 2 2 16" xfId="40564" xr:uid="{0311F495-1ED5-4F2B-A4A6-DB52EE3829E3}"/>
    <cellStyle name="Normal 3 2 2 2 17" xfId="40566" xr:uid="{1729EC85-91EB-4F6F-AE8C-01255E7957E6}"/>
    <cellStyle name="Normal 3 2 2 2 18" xfId="40568" xr:uid="{448A9675-D822-4138-B30A-C64EF7BC0857}"/>
    <cellStyle name="Normal 3 2 2 2 19" xfId="40570" xr:uid="{31DBAD0A-47DF-4B8D-80D4-F108F83D4ECD}"/>
    <cellStyle name="Normal 3 2 2 2 2" xfId="33763" xr:uid="{86EC1133-E093-4C95-9244-B7C7A41B3FF8}"/>
    <cellStyle name="Normal 3 2 2 2 2 10" xfId="40571" xr:uid="{4B3E878D-4FB1-4D1E-B956-6F8BCDAFE805}"/>
    <cellStyle name="Normal 3 2 2 2 2 10 2" xfId="40572" xr:uid="{8E4A2431-2A51-4932-AAB1-B0C61429784C}"/>
    <cellStyle name="Normal 3 2 2 2 2 10 2 2" xfId="40573" xr:uid="{EE609151-11A2-4029-9B47-CC217375709D}"/>
    <cellStyle name="Normal 3 2 2 2 2 10 3" xfId="40574" xr:uid="{23567238-5350-49A3-BEED-F9367A57E638}"/>
    <cellStyle name="Normal 3 2 2 2 2 11" xfId="40575" xr:uid="{8839E91D-BD78-4E46-AAC1-B5819DBD6D44}"/>
    <cellStyle name="Normal 3 2 2 2 2 11 2" xfId="40576" xr:uid="{64197953-A47C-40C5-8FD4-36DFC43A6526}"/>
    <cellStyle name="Normal 3 2 2 2 2 11 2 2" xfId="40577" xr:uid="{5CF7F4E1-F5FE-4DD4-9587-937A4CA5DF86}"/>
    <cellStyle name="Normal 3 2 2 2 2 11 3" xfId="5252" xr:uid="{98304DB1-E7FF-4191-86B3-AE0C6F08CEDA}"/>
    <cellStyle name="Normal 3 2 2 2 2 12" xfId="40578" xr:uid="{47EBC02C-DFC5-4A7B-9E6D-AA5C8FB2138E}"/>
    <cellStyle name="Normal 3 2 2 2 2 12 2" xfId="40579" xr:uid="{8D985FA3-26E1-4CF2-8F2F-498F41C46D2F}"/>
    <cellStyle name="Normal 3 2 2 2 2 12 2 2" xfId="15768" xr:uid="{D67BF5FB-C59B-408B-9FB5-1B58350744BE}"/>
    <cellStyle name="Normal 3 2 2 2 2 12 3" xfId="27589" xr:uid="{F2EEC877-DCE2-4645-9710-D96C10394B11}"/>
    <cellStyle name="Normal 3 2 2 2 2 13" xfId="40580" xr:uid="{9E236F18-447D-4C14-9755-FB70B82A9A66}"/>
    <cellStyle name="Normal 3 2 2 2 2 13 2" xfId="40581" xr:uid="{FA4844CE-DE1F-443F-B3D9-8E6FB336997E}"/>
    <cellStyle name="Normal 3 2 2 2 2 13 2 2" xfId="40582" xr:uid="{07202798-0A08-43AC-B564-081CF478EA21}"/>
    <cellStyle name="Normal 3 2 2 2 2 13 3" xfId="40583" xr:uid="{30000E86-1905-44AB-A5CA-D1FA94E78150}"/>
    <cellStyle name="Normal 3 2 2 2 2 14" xfId="40584" xr:uid="{C041B34F-1712-4CC4-BDF9-82A8594323D7}"/>
    <cellStyle name="Normal 3 2 2 2 2 14 2" xfId="40585" xr:uid="{4B8E67A1-829C-4F01-8D48-23A097B14DC4}"/>
    <cellStyle name="Normal 3 2 2 2 2 14 2 2" xfId="40586" xr:uid="{FEB99CDB-D832-41A8-9ABE-190A38AB6C6D}"/>
    <cellStyle name="Normal 3 2 2 2 2 14 3" xfId="40587" xr:uid="{6D66BBAC-EAE4-41E9-BC22-F863C17893AB}"/>
    <cellStyle name="Normal 3 2 2 2 2 15" xfId="40589" xr:uid="{CB4C4AFA-78CE-44B7-9ECD-0C0E583FCAB2}"/>
    <cellStyle name="Normal 3 2 2 2 2 15 2" xfId="40591" xr:uid="{B28CD0CC-0895-46BB-B81D-B1CB3F550D2C}"/>
    <cellStyle name="Normal 3 2 2 2 2 15 2 2" xfId="40593" xr:uid="{27E6EF4F-4224-4137-BF29-A454E38E74EB}"/>
    <cellStyle name="Normal 3 2 2 2 2 15 3" xfId="40595" xr:uid="{65E7F0B5-DB36-4D24-A3D2-513F441F5B80}"/>
    <cellStyle name="Normal 3 2 2 2 2 16" xfId="40597" xr:uid="{2CCC4863-17F4-4F28-90B9-7F0FEC9E428B}"/>
    <cellStyle name="Normal 3 2 2 2 2 16 2" xfId="40599" xr:uid="{32ECD5AA-E911-42F2-8490-1B0536B1F396}"/>
    <cellStyle name="Normal 3 2 2 2 2 16 2 2" xfId="40601" xr:uid="{087C3249-13FD-4E31-AA9B-55FA689944CF}"/>
    <cellStyle name="Normal 3 2 2 2 2 16 3" xfId="40603" xr:uid="{6686E5D6-1269-42FF-A6E0-F78485C82239}"/>
    <cellStyle name="Normal 3 2 2 2 2 17" xfId="40605" xr:uid="{0207FD5B-A6D5-4CB2-8832-C2E6A3DD63A3}"/>
    <cellStyle name="Normal 3 2 2 2 2 17 2" xfId="40607" xr:uid="{D380BB71-ADD8-4E82-83C3-874741841C49}"/>
    <cellStyle name="Normal 3 2 2 2 2 17 2 2" xfId="40609" xr:uid="{C08C0A36-C9E0-4126-ABF4-FA9A61DB5660}"/>
    <cellStyle name="Normal 3 2 2 2 2 17 3" xfId="40611" xr:uid="{8EE3AA86-B150-46FA-99FD-4DBB8C40B07E}"/>
    <cellStyle name="Normal 3 2 2 2 2 18" xfId="40613" xr:uid="{8B751658-3559-4EFE-B86E-0E804859E8AF}"/>
    <cellStyle name="Normal 3 2 2 2 2 18 2" xfId="16420" xr:uid="{B02DD738-130F-42C9-8205-F62A6C461195}"/>
    <cellStyle name="Normal 3 2 2 2 2 18 2 2" xfId="16423" xr:uid="{C01DAD8D-7B25-419B-B18B-FA810175AEDC}"/>
    <cellStyle name="Normal 3 2 2 2 2 18 3" xfId="16427" xr:uid="{5DE76EA6-C82A-448D-B3EC-F59A6870FE8E}"/>
    <cellStyle name="Normal 3 2 2 2 2 19" xfId="40615" xr:uid="{BF4C1DAE-F921-4FF0-BE33-3C6EF6A1524D}"/>
    <cellStyle name="Normal 3 2 2 2 2 19 2" xfId="16438" xr:uid="{95593ADA-C020-4739-B6EB-E6D4D37E8995}"/>
    <cellStyle name="Normal 3 2 2 2 2 19 2 2" xfId="40617" xr:uid="{C110AC88-6565-41FA-83F3-A5356FE93B07}"/>
    <cellStyle name="Normal 3 2 2 2 2 19 3" xfId="40619" xr:uid="{C937643B-2204-4D59-B311-6365E6140CB6}"/>
    <cellStyle name="Normal 3 2 2 2 2 2" xfId="33767" xr:uid="{414E2C0D-40AA-4BF2-B258-1FCEA67C5FFA}"/>
    <cellStyle name="Normal 3 2 2 2 2 2 10" xfId="40620" xr:uid="{69845E65-4E62-4C7D-A66D-947833DA7C2B}"/>
    <cellStyle name="Normal 3 2 2 2 2 2 11" xfId="40621" xr:uid="{299D6116-94B7-4868-B13E-D834A6F10CDF}"/>
    <cellStyle name="Normal 3 2 2 2 2 2 12" xfId="40622" xr:uid="{8CF2EBA3-EB97-44D1-B23E-273DDC6470B1}"/>
    <cellStyle name="Normal 3 2 2 2 2 2 13" xfId="40623" xr:uid="{97D920D2-682C-4F68-8A57-3A7FBE654938}"/>
    <cellStyle name="Normal 3 2 2 2 2 2 14" xfId="40624" xr:uid="{EAC2081A-F297-4A46-8CCE-BCA9577CCBFF}"/>
    <cellStyle name="Normal 3 2 2 2 2 2 15" xfId="40626" xr:uid="{34F86873-B117-4CAE-99A2-6C370245F168}"/>
    <cellStyle name="Normal 3 2 2 2 2 2 16" xfId="40628" xr:uid="{C7B60130-4A53-4477-B8AE-0A4AA5086F19}"/>
    <cellStyle name="Normal 3 2 2 2 2 2 17" xfId="40630" xr:uid="{C07C2A52-E365-4C93-99AE-F9137461906C}"/>
    <cellStyle name="Normal 3 2 2 2 2 2 18" xfId="40632" xr:uid="{8CFF5DA4-94CD-48FA-AE6D-706A4C9EE7C7}"/>
    <cellStyle name="Normal 3 2 2 2 2 2 19" xfId="40634" xr:uid="{4FD69614-5B30-4B9C-96AD-5C24204CD1DE}"/>
    <cellStyle name="Normal 3 2 2 2 2 2 2" xfId="33770" xr:uid="{147B4CC9-E988-4903-A12C-EE46C1D9FC07}"/>
    <cellStyle name="Normal 3 2 2 2 2 2 2 10" xfId="12388" xr:uid="{E16FF2D4-E33F-466B-A129-D888C86613FC}"/>
    <cellStyle name="Normal 3 2 2 2 2 2 2 10 2" xfId="21321" xr:uid="{DF6F26C3-7A57-45C3-9C57-C29AB20534E8}"/>
    <cellStyle name="Normal 3 2 2 2 2 2 2 10 2 2" xfId="14944" xr:uid="{7CBC83CA-0A69-4CD8-B774-FC5E908F1FEC}"/>
    <cellStyle name="Normal 3 2 2 2 2 2 2 10 3" xfId="10673" xr:uid="{BA851A11-0927-4AA9-8F48-7232341DE07B}"/>
    <cellStyle name="Normal 3 2 2 2 2 2 2 11" xfId="10338" xr:uid="{06D1869D-40C3-4C56-BEA2-45850E69F818}"/>
    <cellStyle name="Normal 3 2 2 2 2 2 2 11 2" xfId="10342" xr:uid="{59590338-B2F2-4E45-A684-C1061C2BC212}"/>
    <cellStyle name="Normal 3 2 2 2 2 2 2 11 2 2" xfId="40635" xr:uid="{D4432651-EB05-4D43-BB08-E43B6F11AE40}"/>
    <cellStyle name="Normal 3 2 2 2 2 2 2 11 3" xfId="40636" xr:uid="{3F923D22-27B3-4343-B6C2-139E9AA3F664}"/>
    <cellStyle name="Normal 3 2 2 2 2 2 2 12" xfId="10352" xr:uid="{376456C9-C1FA-462A-B41C-E6FFAA2B6A67}"/>
    <cellStyle name="Normal 3 2 2 2 2 2 2 12 2" xfId="40637" xr:uid="{0BE6B3E7-07C3-4BE7-ACE1-AB507F729188}"/>
    <cellStyle name="Normal 3 2 2 2 2 2 2 12 2 2" xfId="40638" xr:uid="{14C733B4-79B0-4BA6-85F1-01CE9BE6BD4D}"/>
    <cellStyle name="Normal 3 2 2 2 2 2 2 12 3" xfId="40639" xr:uid="{259A542D-5F45-490A-AD9B-0F0426468F88}"/>
    <cellStyle name="Normal 3 2 2 2 2 2 2 13" xfId="40640" xr:uid="{36DBEB3F-DDFB-474D-ADC7-B07A673A5BFC}"/>
    <cellStyle name="Normal 3 2 2 2 2 2 2 13 2" xfId="40641" xr:uid="{725665C6-9C22-465C-B92A-4C8FD5886331}"/>
    <cellStyle name="Normal 3 2 2 2 2 2 2 13 2 2" xfId="40642" xr:uid="{693B6F12-E6F9-4D4D-892A-62F529A394A0}"/>
    <cellStyle name="Normal 3 2 2 2 2 2 2 13 3" xfId="40643" xr:uid="{0D055915-C17D-47F7-95E5-678E4304F9B5}"/>
    <cellStyle name="Normal 3 2 2 2 2 2 2 14" xfId="40187" xr:uid="{922282FB-0DC5-4D6E-BA52-1557D76BC015}"/>
    <cellStyle name="Normal 3 2 2 2 2 2 2 14 2" xfId="40189" xr:uid="{28505806-731D-4EA9-9D1A-EF61DCDAB273}"/>
    <cellStyle name="Normal 3 2 2 2 2 2 2 14 2 2" xfId="40191" xr:uid="{E7C163CC-6BA8-445C-BD5E-14D19A41A58E}"/>
    <cellStyle name="Normal 3 2 2 2 2 2 2 14 3" xfId="40198" xr:uid="{29B4B8F4-B62A-4A66-85A7-F256FA50999A}"/>
    <cellStyle name="Normal 3 2 2 2 2 2 2 15" xfId="40208" xr:uid="{D41F9A80-2AA3-4261-A82E-2138E960BC56}"/>
    <cellStyle name="Normal 3 2 2 2 2 2 2 15 2" xfId="40212" xr:uid="{B8E4A906-795F-4958-B178-9C2572090062}"/>
    <cellStyle name="Normal 3 2 2 2 2 2 2 15 2 2" xfId="40215" xr:uid="{ADAE5B1F-AF45-497E-8E47-3AC313E62AC9}"/>
    <cellStyle name="Normal 3 2 2 2 2 2 2 15 3" xfId="40220" xr:uid="{A8671183-716F-410B-9920-9420B3AC4BDC}"/>
    <cellStyle name="Normal 3 2 2 2 2 2 2 16" xfId="40226" xr:uid="{1A84A8E6-B411-4F28-807A-3C0B34549310}"/>
    <cellStyle name="Normal 3 2 2 2 2 2 2 16 2" xfId="40229" xr:uid="{67A08EE6-D563-40E8-9160-B48D2589C1D1}"/>
    <cellStyle name="Normal 3 2 2 2 2 2 2 16 2 2" xfId="40232" xr:uid="{5DC18E13-A163-4189-A5C6-E4EC40C2BC1D}"/>
    <cellStyle name="Normal 3 2 2 2 2 2 2 16 3" xfId="40235" xr:uid="{37EAA412-9737-4812-A642-E2CE7AC7D681}"/>
    <cellStyle name="Normal 3 2 2 2 2 2 2 17" xfId="15008" xr:uid="{33BE990D-741D-47A5-9AF5-4C7BAED1C2DA}"/>
    <cellStyle name="Normal 3 2 2 2 2 2 2 17 2" xfId="15015" xr:uid="{EDB20ED2-4ACD-4858-9F4C-5809F0C748A6}"/>
    <cellStyle name="Normal 3 2 2 2 2 2 2 17 2 2" xfId="40645" xr:uid="{A119339D-EFC3-41A9-A1F6-59F0DBDA77BB}"/>
    <cellStyle name="Normal 3 2 2 2 2 2 2 17 3" xfId="40647" xr:uid="{BBA10D41-B7BB-4102-AFFF-65FF390B1668}"/>
    <cellStyle name="Normal 3 2 2 2 2 2 2 18" xfId="15019" xr:uid="{B3A9D38F-068F-4A17-B18C-C4616684C2C3}"/>
    <cellStyle name="Normal 3 2 2 2 2 2 2 18 2" xfId="40649" xr:uid="{69E0C4A6-A65C-4CB0-8E47-B3CDB5AC41B2}"/>
    <cellStyle name="Normal 3 2 2 2 2 2 2 18 2 2" xfId="40651" xr:uid="{E758C9E7-417D-4303-9954-8DA0E422D694}"/>
    <cellStyle name="Normal 3 2 2 2 2 2 2 18 3" xfId="40653" xr:uid="{337FB9D7-EC93-4C51-8CB8-7A7BC11E7CB4}"/>
    <cellStyle name="Normal 3 2 2 2 2 2 2 19" xfId="20280" xr:uid="{C23E57E3-1C26-44F9-B00F-34EF13E516C2}"/>
    <cellStyle name="Normal 3 2 2 2 2 2 2 19 2" xfId="20284" xr:uid="{193A5152-47AE-49C9-84DE-96292294A29B}"/>
    <cellStyle name="Normal 3 2 2 2 2 2 2 19 2 2" xfId="20287" xr:uid="{D5708969-D0C0-4740-AA91-E77E75601602}"/>
    <cellStyle name="Normal 3 2 2 2 2 2 2 19 3" xfId="17334" xr:uid="{E2D2E3CF-1407-4A57-A147-5C7BB968AFCF}"/>
    <cellStyle name="Normal 3 2 2 2 2 2 2 2" xfId="33773" xr:uid="{BEF086EE-2C6B-44A7-BF10-A21433A9D548}"/>
    <cellStyle name="Normal 3 2 2 2 2 2 2 2 2" xfId="13635" xr:uid="{C2684527-3E1A-49A1-961F-4B09D9A92752}"/>
    <cellStyle name="Normal 3 2 2 2 2 2 2 2 2 2" xfId="33776" xr:uid="{B5045830-60E3-4EB1-8C0A-8C8C8E592AFD}"/>
    <cellStyle name="Normal 3 2 2 2 2 2 2 2 2 2 2" xfId="40654" xr:uid="{456EB28B-4107-4C85-934E-0BC6D60E2E2A}"/>
    <cellStyle name="Normal 3 2 2 2 2 2 2 2 2 2 2 2" xfId="40655" xr:uid="{4112400A-AD99-4E82-AB9D-DBAFFE8DAF7D}"/>
    <cellStyle name="Normal 3 2 2 2 2 2 2 2 2 2 2 2 2" xfId="40656" xr:uid="{B319DB99-DB14-4A18-9868-7EC2C1BDE82D}"/>
    <cellStyle name="Normal 3 2 2 2 2 2 2 2 2 2 2 3" xfId="40657" xr:uid="{9262D294-66D5-4928-A885-35DA70ADE787}"/>
    <cellStyle name="Normal 3 2 2 2 2 2 2 2 2 2 3" xfId="40658" xr:uid="{F6051DBC-CAFB-4E05-8D9A-BE16A9BB80C0}"/>
    <cellStyle name="Normal 3 2 2 2 2 2 2 2 2 2 3 2" xfId="40659" xr:uid="{AC68B4D2-EC8A-45E3-9BD5-32234C184B8F}"/>
    <cellStyle name="Normal 3 2 2 2 2 2 2 2 2 2 3 2 2" xfId="40660" xr:uid="{1E2C9768-BD13-47C9-ABE7-D1E4A4913D02}"/>
    <cellStyle name="Normal 3 2 2 2 2 2 2 2 2 2 3 3" xfId="40661" xr:uid="{5F468B49-AD6E-4124-8B5F-09185504BF89}"/>
    <cellStyle name="Normal 3 2 2 2 2 2 2 2 2 2 4" xfId="40662" xr:uid="{6AB408FF-6E0C-42AA-973F-2A8823E2326B}"/>
    <cellStyle name="Normal 3 2 2 2 2 2 2 2 2 2 4 2" xfId="40663" xr:uid="{18D47430-4251-4438-B136-AF8ECE2C80F9}"/>
    <cellStyle name="Normal 3 2 2 2 2 2 2 2 2 2 5" xfId="40664" xr:uid="{72EC9BBA-329E-45DF-A6BA-71C735E49B87}"/>
    <cellStyle name="Normal 3 2 2 2 2 2 2 2 2 3" xfId="40665" xr:uid="{3BEDE34F-D29C-4C4D-BD99-0FED5574DD7D}"/>
    <cellStyle name="Normal 3 2 2 2 2 2 2 2 2 3 2" xfId="40666" xr:uid="{5A603EC5-C21A-4CC8-B579-C2718C55A0D0}"/>
    <cellStyle name="Normal 3 2 2 2 2 2 2 2 2 3 2 2" xfId="40667" xr:uid="{1102DEA0-8046-4346-AB1A-AE6A4081BD10}"/>
    <cellStyle name="Normal 3 2 2 2 2 2 2 2 2 3 3" xfId="40668" xr:uid="{1370A812-AE47-4246-A9EE-59A7FEE43B9F}"/>
    <cellStyle name="Normal 3 2 2 2 2 2 2 2 2 4" xfId="40670" xr:uid="{7991EB22-2AFC-47FF-B1A4-D6F55F4B66C4}"/>
    <cellStyle name="Normal 3 2 2 2 2 2 2 2 2 4 2" xfId="40672" xr:uid="{581B7C32-6245-4CDF-8586-A236A8FA5B94}"/>
    <cellStyle name="Normal 3 2 2 2 2 2 2 2 2 4 2 2" xfId="40673" xr:uid="{5558BD24-A99D-4EDA-AD24-E160AC2C4E80}"/>
    <cellStyle name="Normal 3 2 2 2 2 2 2 2 2 4 3" xfId="40674" xr:uid="{A5D710EC-EB99-49C8-81C7-157C067862B8}"/>
    <cellStyle name="Normal 3 2 2 2 2 2 2 2 2 5" xfId="40676" xr:uid="{34E8DC59-AD34-4FB5-A385-BAD1C4639B6F}"/>
    <cellStyle name="Normal 3 2 2 2 2 2 2 2 2 5 2" xfId="40677" xr:uid="{1F8854CC-417F-4DC7-B73E-EC00CDA193F2}"/>
    <cellStyle name="Normal 3 2 2 2 2 2 2 2 2 6" xfId="40678" xr:uid="{9909C4B7-6E2D-4F61-BBAC-6CAF26402593}"/>
    <cellStyle name="Normal 3 2 2 2 2 2 2 2 3" xfId="7844" xr:uid="{B447A1E8-3C77-4DCE-9F81-EC6EB06844E6}"/>
    <cellStyle name="Normal 3 2 2 2 2 2 2 2 3 2" xfId="40679" xr:uid="{8C3F3FFF-01D9-42D8-8BF8-053F27580449}"/>
    <cellStyle name="Normal 3 2 2 2 2 2 2 2 3 2 2" xfId="40680" xr:uid="{E9F22C1A-2A95-4DA4-A137-C496DF32A5C6}"/>
    <cellStyle name="Normal 3 2 2 2 2 2 2 2 3 2 2 2" xfId="40681" xr:uid="{A88F64F5-57B3-466D-8EBF-6280A59DDA78}"/>
    <cellStyle name="Normal 3 2 2 2 2 2 2 2 3 2 3" xfId="40682" xr:uid="{DAE4420A-F4B6-4C02-8981-F5E2BCE90323}"/>
    <cellStyle name="Normal 3 2 2 2 2 2 2 2 3 3" xfId="40683" xr:uid="{4D3AECA0-AEAB-42DA-83BE-F9180EAC1E01}"/>
    <cellStyle name="Normal 3 2 2 2 2 2 2 2 3 3 2" xfId="40684" xr:uid="{EFB44A5E-6E8B-4F8F-92AF-7E0A9D14A54E}"/>
    <cellStyle name="Normal 3 2 2 2 2 2 2 2 3 3 2 2" xfId="40685" xr:uid="{80335301-ABAF-49F6-817F-14C4D34AEA45}"/>
    <cellStyle name="Normal 3 2 2 2 2 2 2 2 3 3 3" xfId="40686" xr:uid="{C91D01E7-9B8C-4DEF-AC25-892153B943A4}"/>
    <cellStyle name="Normal 3 2 2 2 2 2 2 2 3 4" xfId="40688" xr:uid="{31B29B9E-5453-4D81-A786-626E67A322BE}"/>
    <cellStyle name="Normal 3 2 2 2 2 2 2 2 3 4 2" xfId="40689" xr:uid="{60E0E01A-24A6-44F2-BB7F-4D2E774688E9}"/>
    <cellStyle name="Normal 3 2 2 2 2 2 2 2 3 5" xfId="40690" xr:uid="{DF24AD8F-68DD-437C-8567-B96FEF4789DA}"/>
    <cellStyle name="Normal 3 2 2 2 2 2 2 2 4" xfId="40691" xr:uid="{39999B10-91CC-4966-8E9A-CFDE9ADB76C7}"/>
    <cellStyle name="Normal 3 2 2 2 2 2 2 2 4 2" xfId="40693" xr:uid="{50FDE217-01AC-4FC7-A99A-384BB6B99FBB}"/>
    <cellStyle name="Normal 3 2 2 2 2 2 2 2 4 2 2" xfId="40694" xr:uid="{28E54E31-4773-4913-92F8-4E623B50AFF2}"/>
    <cellStyle name="Normal 3 2 2 2 2 2 2 2 4 3" xfId="40695" xr:uid="{B909A518-61CC-4741-AE5D-4F9C8B1D8283}"/>
    <cellStyle name="Normal 3 2 2 2 2 2 2 2 5" xfId="40696" xr:uid="{B2382EA9-5171-4120-9446-5A54292BEC7F}"/>
    <cellStyle name="Normal 3 2 2 2 2 2 2 2 5 2" xfId="40697" xr:uid="{175E1DF7-CE5F-4ABC-B212-52164E221051}"/>
    <cellStyle name="Normal 3 2 2 2 2 2 2 2 5 2 2" xfId="40698" xr:uid="{2EC1EF10-05B9-4D8C-9FBF-BEF2B489D3A1}"/>
    <cellStyle name="Normal 3 2 2 2 2 2 2 2 5 3" xfId="40699" xr:uid="{092F7DCB-7162-4D25-9C1A-162C27B358C3}"/>
    <cellStyle name="Normal 3 2 2 2 2 2 2 2 6" xfId="40700" xr:uid="{24A6993E-794F-4BD4-8E11-DD1C57142B0D}"/>
    <cellStyle name="Normal 3 2 2 2 2 2 2 2 6 2" xfId="40701" xr:uid="{A482D49A-90EA-4C83-AEA7-431ABBE1C7A5}"/>
    <cellStyle name="Normal 3 2 2 2 2 2 2 2 7" xfId="40702" xr:uid="{8F8A70AC-E17C-4728-807E-450D1D967DEB}"/>
    <cellStyle name="Normal 3 2 2 2 2 2 2 20" xfId="40207" xr:uid="{6AD9890A-E917-432B-8C62-9ACB9F730B1B}"/>
    <cellStyle name="Normal 3 2 2 2 2 2 2 20 2" xfId="40211" xr:uid="{A54DC541-07AC-4785-9436-C28B87EAEEC7}"/>
    <cellStyle name="Normal 3 2 2 2 2 2 2 20 2 2" xfId="40214" xr:uid="{E20C3D63-4501-4475-B37A-0172B2449956}"/>
    <cellStyle name="Normal 3 2 2 2 2 2 2 20 3" xfId="40219" xr:uid="{7067BB9A-E0E7-49DE-8F6B-B967BA0F025B}"/>
    <cellStyle name="Normal 3 2 2 2 2 2 2 21" xfId="40225" xr:uid="{9036A0D9-3327-4FF1-A7E5-CC293101BCB2}"/>
    <cellStyle name="Normal 3 2 2 2 2 2 2 21 2" xfId="40228" xr:uid="{0317D1F2-D85A-47AC-8F8A-A88E43C0F8A5}"/>
    <cellStyle name="Normal 3 2 2 2 2 2 2 21 2 2" xfId="40231" xr:uid="{BD51EA9A-82EE-40E3-85E2-5D7856C6F5CC}"/>
    <cellStyle name="Normal 3 2 2 2 2 2 2 21 3" xfId="40234" xr:uid="{06463950-CCC5-462F-BF70-82957D7B45ED}"/>
    <cellStyle name="Normal 3 2 2 2 2 2 2 22" xfId="15007" xr:uid="{FF88574C-A4E9-484C-8C14-76A47A526E66}"/>
    <cellStyle name="Normal 3 2 2 2 2 2 2 22 2" xfId="15014" xr:uid="{47A85672-C4D8-41FE-A47D-C7962CE16D67}"/>
    <cellStyle name="Normal 3 2 2 2 2 2 2 22 2 2" xfId="40644" xr:uid="{E4A9ABF9-C5AA-4787-9DB3-CA84D5B1F873}"/>
    <cellStyle name="Normal 3 2 2 2 2 2 2 22 3" xfId="40646" xr:uid="{6B66B73E-D26B-49BE-878F-68E1A5B7E0E5}"/>
    <cellStyle name="Normal 3 2 2 2 2 2 2 23" xfId="15018" xr:uid="{607072D8-1404-4901-BA58-A17741F5A6B5}"/>
    <cellStyle name="Normal 3 2 2 2 2 2 2 23 2" xfId="40648" xr:uid="{C471ADA3-BA13-4BCE-98CE-248F89ADCEEA}"/>
    <cellStyle name="Normal 3 2 2 2 2 2 2 23 2 2" xfId="40650" xr:uid="{18DFF19A-B427-45A4-A117-B6404099C560}"/>
    <cellStyle name="Normal 3 2 2 2 2 2 2 23 3" xfId="40652" xr:uid="{469A738C-DE9A-46E6-817E-05723AF082B5}"/>
    <cellStyle name="Normal 3 2 2 2 2 2 2 24" xfId="20279" xr:uid="{78931844-5FBF-40A5-966C-89CA8E4B11F0}"/>
    <cellStyle name="Normal 3 2 2 2 2 2 2 24 2" xfId="20283" xr:uid="{B4C87245-BB37-477A-9510-30A3BE589DD7}"/>
    <cellStyle name="Normal 3 2 2 2 2 2 2 24 2 2" xfId="20286" xr:uid="{5C4943C4-A3E5-47BD-A5DD-F8A6E55193B9}"/>
    <cellStyle name="Normal 3 2 2 2 2 2 2 24 3" xfId="17333" xr:uid="{5689F87A-A989-4F8F-99CB-145EA884EE8D}"/>
    <cellStyle name="Normal 3 2 2 2 2 2 2 25" xfId="20291" xr:uid="{C9805509-D1C4-41CD-BB98-3342C9E1A17D}"/>
    <cellStyle name="Normal 3 2 2 2 2 2 2 25 2" xfId="20294" xr:uid="{99A54E12-32C4-4793-98A1-48F2368049A0}"/>
    <cellStyle name="Normal 3 2 2 2 2 2 2 25 2 2" xfId="20297" xr:uid="{63F9E547-4A3C-4A97-A524-9587A2B1C046}"/>
    <cellStyle name="Normal 3 2 2 2 2 2 2 25 3" xfId="17342" xr:uid="{020458E9-51C3-4BF5-AA74-5301D58B98D1}"/>
    <cellStyle name="Normal 3 2 2 2 2 2 2 26" xfId="20300" xr:uid="{91FB14F0-C5C2-48E6-BF32-1E23A1C25911}"/>
    <cellStyle name="Normal 3 2 2 2 2 2 2 26 2" xfId="16867" xr:uid="{050DC153-C728-495E-862B-8D62282230AB}"/>
    <cellStyle name="Normal 3 2 2 2 2 2 2 26 2 2" xfId="40704" xr:uid="{9E19E4BD-A381-4B97-84CA-91127DE159EA}"/>
    <cellStyle name="Normal 3 2 2 2 2 2 2 26 3" xfId="40706" xr:uid="{699103D5-42AF-46B3-9BC5-8B1BEB1D766D}"/>
    <cellStyle name="Normal 3 2 2 2 2 2 2 27" xfId="20304" xr:uid="{42786923-75F1-4755-8954-ACBDD2B7967C}"/>
    <cellStyle name="Normal 3 2 2 2 2 2 2 27 2" xfId="16931" xr:uid="{F9EC3A96-0638-4286-BBEF-525CE693F610}"/>
    <cellStyle name="Normal 3 2 2 2 2 2 2 27 2 2" xfId="17912" xr:uid="{DF08D4EA-0B2F-4C53-987D-60C475B717A7}"/>
    <cellStyle name="Normal 3 2 2 2 2 2 2 27 3" xfId="17353" xr:uid="{A61FC9BC-AFDC-4A1E-ADD3-219FD51E21C9}"/>
    <cellStyle name="Normal 3 2 2 2 2 2 2 28" xfId="40708" xr:uid="{EB7F041C-78BB-4514-AD17-B6B572893EFB}"/>
    <cellStyle name="Normal 3 2 2 2 2 2 2 28 2" xfId="19286" xr:uid="{DB495A1E-DEE1-49ED-B014-A08BEA1C935B}"/>
    <cellStyle name="Normal 3 2 2 2 2 2 2 28 2 2" xfId="19290" xr:uid="{7EFC9629-64C0-4758-ABAD-725FAD218DE3}"/>
    <cellStyle name="Normal 3 2 2 2 2 2 2 28 3" xfId="17365" xr:uid="{0B2C28B6-D6D3-4913-86E3-594C21D31C29}"/>
    <cellStyle name="Normal 3 2 2 2 2 2 2 29" xfId="40710" xr:uid="{B2D19B3B-B5E9-470E-BE70-3CA9716AE955}"/>
    <cellStyle name="Normal 3 2 2 2 2 2 2 29 2" xfId="40712" xr:uid="{705C7E08-7557-495C-B401-28535F8CED98}"/>
    <cellStyle name="Normal 3 2 2 2 2 2 2 29 2 2" xfId="39714" xr:uid="{FE7B27C3-58BA-4450-ADB5-53DC71DDA62A}"/>
    <cellStyle name="Normal 3 2 2 2 2 2 2 29 3" xfId="40714" xr:uid="{5D6938E5-B555-495C-8C56-FA6054CE9FD7}"/>
    <cellStyle name="Normal 3 2 2 2 2 2 2 3" xfId="33778" xr:uid="{63BF6A7F-41B0-4A8E-89D8-3300BB407CF6}"/>
    <cellStyle name="Normal 3 2 2 2 2 2 2 3 2" xfId="33781" xr:uid="{644700F8-48C2-45A9-9F56-4E66DB3A8010}"/>
    <cellStyle name="Normal 3 2 2 2 2 2 2 3 2 2" xfId="40715" xr:uid="{1C2D2184-A616-4736-B37F-021FB48549BC}"/>
    <cellStyle name="Normal 3 2 2 2 2 2 2 3 2 2 2" xfId="40717" xr:uid="{486F38EC-E87C-4A40-B913-EBE59FF506F3}"/>
    <cellStyle name="Normal 3 2 2 2 2 2 2 3 2 2 2 2" xfId="40718" xr:uid="{132BD342-E488-4F3E-93E9-F2C5ADE5CC54}"/>
    <cellStyle name="Normal 3 2 2 2 2 2 2 3 2 2 3" xfId="40720" xr:uid="{E5C2686C-4A50-4ED0-AD0C-1D4E1F29281B}"/>
    <cellStyle name="Normal 3 2 2 2 2 2 2 3 2 3" xfId="40721" xr:uid="{1D74F2AD-247F-41C8-9A15-9915C0ABBCB2}"/>
    <cellStyle name="Normal 3 2 2 2 2 2 2 3 2 3 2" xfId="40722" xr:uid="{7D5CEB50-8F69-4C00-825A-6F0A6BEDC3E9}"/>
    <cellStyle name="Normal 3 2 2 2 2 2 2 3 2 3 2 2" xfId="40723" xr:uid="{EC4BC7C4-8822-440F-A3CC-BB43CB1CAF91}"/>
    <cellStyle name="Normal 3 2 2 2 2 2 2 3 2 3 3" xfId="40724" xr:uid="{26C5D5DE-B520-4918-A3A5-AC9595870B73}"/>
    <cellStyle name="Normal 3 2 2 2 2 2 2 3 2 4" xfId="40726" xr:uid="{675C61F9-038A-49AD-9759-B5FB3F05772B}"/>
    <cellStyle name="Normal 3 2 2 2 2 2 2 3 2 4 2" xfId="40727" xr:uid="{04595B9C-1D5F-40DE-B73C-AA7E4102775D}"/>
    <cellStyle name="Normal 3 2 2 2 2 2 2 3 2 5" xfId="40728" xr:uid="{841CA4FE-322D-40BE-B9B0-7273EA5028D4}"/>
    <cellStyle name="Normal 3 2 2 2 2 2 2 3 3" xfId="40729" xr:uid="{59A4345F-E1F6-4FED-AE24-5B792A64347D}"/>
    <cellStyle name="Normal 3 2 2 2 2 2 2 3 3 2" xfId="40730" xr:uid="{8EAE434C-8B61-4FBF-98D5-689BD43C4F1E}"/>
    <cellStyle name="Normal 3 2 2 2 2 2 2 3 3 2 2" xfId="40731" xr:uid="{893761A5-A77C-498A-BB2E-42465347E021}"/>
    <cellStyle name="Normal 3 2 2 2 2 2 2 3 3 3" xfId="40732" xr:uid="{E6962F0D-04A7-4847-A260-890DB3D99735}"/>
    <cellStyle name="Normal 3 2 2 2 2 2 2 3 4" xfId="40733" xr:uid="{362A121E-9691-48A3-8801-277496F3598D}"/>
    <cellStyle name="Normal 3 2 2 2 2 2 2 3 4 2" xfId="40734" xr:uid="{BB91F7BF-A664-49DE-A8E0-DD27E67A2340}"/>
    <cellStyle name="Normal 3 2 2 2 2 2 2 3 4 2 2" xfId="40735" xr:uid="{6F888273-D510-4523-A13B-3BD8BB19E9E2}"/>
    <cellStyle name="Normal 3 2 2 2 2 2 2 3 4 3" xfId="40736" xr:uid="{A66E7393-9D23-448A-91EE-FE708CDA140A}"/>
    <cellStyle name="Normal 3 2 2 2 2 2 2 3 5" xfId="40737" xr:uid="{FC9DDADF-F432-4647-800B-2B70724F27EE}"/>
    <cellStyle name="Normal 3 2 2 2 2 2 2 3 5 2" xfId="40738" xr:uid="{B2E71DD3-4C58-4D2B-AB55-2D1B2E50EB56}"/>
    <cellStyle name="Normal 3 2 2 2 2 2 2 3 6" xfId="40739" xr:uid="{A98BE645-1ACC-45E4-80BA-4D03A3A1580A}"/>
    <cellStyle name="Normal 3 2 2 2 2 2 2 30" xfId="20290" xr:uid="{2030C54D-503B-4292-8322-B75B421F3AE8}"/>
    <cellStyle name="Normal 3 2 2 2 2 2 2 30 2" xfId="20293" xr:uid="{8BB73C0B-E208-40CB-91E3-6E0C1AD0E0A6}"/>
    <cellStyle name="Normal 3 2 2 2 2 2 2 30 2 2" xfId="20296" xr:uid="{DFE769FB-8425-4E40-8482-FE5C8426CCFC}"/>
    <cellStyle name="Normal 3 2 2 2 2 2 2 30 3" xfId="17341" xr:uid="{F926D954-10A9-4F4B-9153-0EB85151533C}"/>
    <cellStyle name="Normal 3 2 2 2 2 2 2 31" xfId="20299" xr:uid="{B08EAED9-2C7B-4C0C-B95D-D8CB4550CC67}"/>
    <cellStyle name="Normal 3 2 2 2 2 2 2 31 2" xfId="16866" xr:uid="{74392EA1-0305-49CA-A2A3-C66EE826C6CE}"/>
    <cellStyle name="Normal 3 2 2 2 2 2 2 31 2 2" xfId="40703" xr:uid="{C103924C-AB6C-497A-AEB8-BB0D1B5A97B3}"/>
    <cellStyle name="Normal 3 2 2 2 2 2 2 31 3" xfId="40705" xr:uid="{208F8EC4-3AFA-4FBB-B3A1-0A7A1A204C2A}"/>
    <cellStyle name="Normal 3 2 2 2 2 2 2 32" xfId="20303" xr:uid="{6673C581-43A4-4DC9-8B2D-603D008D3EA2}"/>
    <cellStyle name="Normal 3 2 2 2 2 2 2 32 2" xfId="16930" xr:uid="{08D3D4C5-3946-48FB-A14B-BC250B60AC18}"/>
    <cellStyle name="Normal 3 2 2 2 2 2 2 32 2 2" xfId="17911" xr:uid="{1595FD0F-A71C-4A9C-99E7-03171BF309F4}"/>
    <cellStyle name="Normal 3 2 2 2 2 2 2 32 3" xfId="17352" xr:uid="{C2EB3737-3EFE-40E6-81C2-D93A48F57922}"/>
    <cellStyle name="Normal 3 2 2 2 2 2 2 33" xfId="40707" xr:uid="{9A0605D6-496D-4479-97ED-C9568044C032}"/>
    <cellStyle name="Normal 3 2 2 2 2 2 2 33 2" xfId="19285" xr:uid="{D6D1DB79-70A9-49DA-A810-7FF1E6C1710A}"/>
    <cellStyle name="Normal 3 2 2 2 2 2 2 33 2 2" xfId="19289" xr:uid="{BADE8C0E-2A76-4136-BB36-F257E81A31C6}"/>
    <cellStyle name="Normal 3 2 2 2 2 2 2 33 3" xfId="17364" xr:uid="{D54BEBC3-F177-455C-ABF1-5E7E7CE156ED}"/>
    <cellStyle name="Normal 3 2 2 2 2 2 2 34" xfId="40709" xr:uid="{2D922268-6AF3-45AA-AF9B-F67452EAC390}"/>
    <cellStyle name="Normal 3 2 2 2 2 2 2 34 2" xfId="40711" xr:uid="{C4804B20-EAB0-421E-95FD-43A691E44FD0}"/>
    <cellStyle name="Normal 3 2 2 2 2 2 2 34 2 2" xfId="39713" xr:uid="{ADD454CF-1761-49D3-874F-1D1C8A2F4AA4}"/>
    <cellStyle name="Normal 3 2 2 2 2 2 2 34 3" xfId="40713" xr:uid="{17C86428-FCA9-47D4-8207-2917BEBFC0D2}"/>
    <cellStyle name="Normal 3 2 2 2 2 2 2 35" xfId="40741" xr:uid="{97E967AD-D928-4D6C-B824-003C1151B1B9}"/>
    <cellStyle name="Normal 3 2 2 2 2 2 2 35 2" xfId="40743" xr:uid="{722AC6F3-BAE9-4D3C-AD83-3BF0F9BA5AF5}"/>
    <cellStyle name="Normal 3 2 2 2 2 2 2 35 2 2" xfId="40745" xr:uid="{DC4FF973-42CE-43DD-968A-0C6006590F57}"/>
    <cellStyle name="Normal 3 2 2 2 2 2 2 35 3" xfId="40747" xr:uid="{931F8CB1-8F7F-4658-940E-B1FC0872EF08}"/>
    <cellStyle name="Normal 3 2 2 2 2 2 2 36" xfId="40749" xr:uid="{2092E838-2B33-49F8-9254-F7F891205F30}"/>
    <cellStyle name="Normal 3 2 2 2 2 2 2 36 2" xfId="40751" xr:uid="{81867036-A28A-45FD-8BEA-187062F89F44}"/>
    <cellStyle name="Normal 3 2 2 2 2 2 2 36 2 2" xfId="40753" xr:uid="{183C69F4-F186-4166-8759-056272432C50}"/>
    <cellStyle name="Normal 3 2 2 2 2 2 2 36 3" xfId="40755" xr:uid="{B68111FB-86D5-4A4F-B066-A83EEAB9DF25}"/>
    <cellStyle name="Normal 3 2 2 2 2 2 2 37" xfId="40757" xr:uid="{A63CF48F-DE0B-4690-8C8D-E6195589D269}"/>
    <cellStyle name="Normal 3 2 2 2 2 2 2 37 2" xfId="24596" xr:uid="{CD2EF567-FF6E-475D-AF60-57A71DF0FF26}"/>
    <cellStyle name="Normal 3 2 2 2 2 2 2 37 2 2" xfId="33185" xr:uid="{7F64D17D-8B70-4A4F-A0EF-D44ED479CFF5}"/>
    <cellStyle name="Normal 3 2 2 2 2 2 2 37 3" xfId="17405" xr:uid="{72BE461C-A192-4ED7-A95B-9A064B8C0241}"/>
    <cellStyle name="Normal 3 2 2 2 2 2 2 38" xfId="40759" xr:uid="{07DEC6AD-A7E6-46E8-8DC2-B8368243B56A}"/>
    <cellStyle name="Normal 3 2 2 2 2 2 2 38 2" xfId="24682" xr:uid="{F1E41776-E161-4D09-A53B-E575D7EF382C}"/>
    <cellStyle name="Normal 3 2 2 2 2 2 2 38 2 2" xfId="40761" xr:uid="{BCD8D888-8B1A-48C4-82F7-FE846ACDCBAF}"/>
    <cellStyle name="Normal 3 2 2 2 2 2 2 38 3" xfId="17421" xr:uid="{F5D2B510-CD66-4F20-88AA-24BB6C3C44E2}"/>
    <cellStyle name="Normal 3 2 2 2 2 2 2 39" xfId="40763" xr:uid="{83253FE5-CBA8-49E7-844E-D434E7EDA583}"/>
    <cellStyle name="Normal 3 2 2 2 2 2 2 39 2" xfId="40765" xr:uid="{0CE50DC8-45D6-4E2C-97D2-1D62C2096FB1}"/>
    <cellStyle name="Normal 3 2 2 2 2 2 2 39 2 2" xfId="40767" xr:uid="{C8E4A9E2-F664-4CF7-98C6-B2FF6C5E2050}"/>
    <cellStyle name="Normal 3 2 2 2 2 2 2 39 3" xfId="40769" xr:uid="{8238F5C7-0121-4472-90EC-4987162BA559}"/>
    <cellStyle name="Normal 3 2 2 2 2 2 2 4" xfId="33783" xr:uid="{3371E400-1992-4BD9-9AC8-67F1C0E033E7}"/>
    <cellStyle name="Normal 3 2 2 2 2 2 2 4 2" xfId="40770" xr:uid="{F5431AB3-4905-4F1A-8393-F7C6CC53436A}"/>
    <cellStyle name="Normal 3 2 2 2 2 2 2 4 2 2" xfId="40771" xr:uid="{EF93B573-4C4C-45E8-AA96-35C183E8F97A}"/>
    <cellStyle name="Normal 3 2 2 2 2 2 2 4 2 2 2" xfId="40773" xr:uid="{86A2FA04-E95E-4BAB-9DBB-9A173F91F46C}"/>
    <cellStyle name="Normal 3 2 2 2 2 2 2 4 2 3" xfId="40774" xr:uid="{F5D32607-CC96-4AD7-9B0F-C49ED7E81331}"/>
    <cellStyle name="Normal 3 2 2 2 2 2 2 4 3" xfId="40775" xr:uid="{2F7F7928-A48F-4410-96F5-E33910A6C5D4}"/>
    <cellStyle name="Normal 3 2 2 2 2 2 2 4 3 2" xfId="40776" xr:uid="{D1B72D2E-D400-4ED0-93D0-A2C04120B55B}"/>
    <cellStyle name="Normal 3 2 2 2 2 2 2 4 3 2 2" xfId="1449" xr:uid="{9659E390-2531-4C94-A65B-D855AAD26777}"/>
    <cellStyle name="Normal 3 2 2 2 2 2 2 4 3 3" xfId="40777" xr:uid="{56858EEA-B35D-415B-B56B-7C3D148691BD}"/>
    <cellStyle name="Normal 3 2 2 2 2 2 2 4 4" xfId="40778" xr:uid="{6ED7D9DF-7103-444D-B438-E8FA0332A099}"/>
    <cellStyle name="Normal 3 2 2 2 2 2 2 4 4 2" xfId="40779" xr:uid="{E247750D-F55D-4BCA-B5CD-191834A9E765}"/>
    <cellStyle name="Normal 3 2 2 2 2 2 2 4 5" xfId="40780" xr:uid="{FEA6549D-3DE9-4ABB-B616-4B914662513A}"/>
    <cellStyle name="Normal 3 2 2 2 2 2 2 40" xfId="40740" xr:uid="{8E65738F-0D1B-48B4-90E0-281D7A35CF88}"/>
    <cellStyle name="Normal 3 2 2 2 2 2 2 40 2" xfId="40742" xr:uid="{2DDEEA38-1AAB-4246-AC0F-6BC709094920}"/>
    <cellStyle name="Normal 3 2 2 2 2 2 2 40 2 2" xfId="40744" xr:uid="{7C9E77AE-860A-46BD-B10A-1658129D66BE}"/>
    <cellStyle name="Normal 3 2 2 2 2 2 2 40 3" xfId="40746" xr:uid="{023FD9F0-EEBB-4220-B25C-CD413225C962}"/>
    <cellStyle name="Normal 3 2 2 2 2 2 2 41" xfId="40748" xr:uid="{38E09214-9738-4827-B213-9D6F4205382D}"/>
    <cellStyle name="Normal 3 2 2 2 2 2 2 41 2" xfId="40750" xr:uid="{A957474D-AC34-445C-8D1C-F1772FE8E893}"/>
    <cellStyle name="Normal 3 2 2 2 2 2 2 41 2 2" xfId="40752" xr:uid="{F101DE50-CEAD-4908-BFB2-C4139832C499}"/>
    <cellStyle name="Normal 3 2 2 2 2 2 2 41 3" xfId="40754" xr:uid="{4FD569EE-8168-4419-ACDD-5D0861715C8D}"/>
    <cellStyle name="Normal 3 2 2 2 2 2 2 42" xfId="40756" xr:uid="{482CB09A-5D3D-4EFC-9EBE-98D5218911B8}"/>
    <cellStyle name="Normal 3 2 2 2 2 2 2 42 2" xfId="24595" xr:uid="{23380C7D-C6AC-4B7B-A03C-F33CC67147C4}"/>
    <cellStyle name="Normal 3 2 2 2 2 2 2 42 2 2" xfId="33184" xr:uid="{20D17CC5-EF9C-4C6E-A182-5A9C50C76352}"/>
    <cellStyle name="Normal 3 2 2 2 2 2 2 42 3" xfId="17404" xr:uid="{EB0ADD43-9EE7-44A7-BB8E-23484A3E9156}"/>
    <cellStyle name="Normal 3 2 2 2 2 2 2 43" xfId="40758" xr:uid="{C7BDFB5E-85C7-4378-A587-1F6FA1CA0CDC}"/>
    <cellStyle name="Normal 3 2 2 2 2 2 2 43 2" xfId="24681" xr:uid="{EC3B3C36-3EAF-454C-8CC7-143097E20F8F}"/>
    <cellStyle name="Normal 3 2 2 2 2 2 2 43 2 2" xfId="40760" xr:uid="{58AC48E0-1CA3-4909-BD50-0765BC0D2841}"/>
    <cellStyle name="Normal 3 2 2 2 2 2 2 43 3" xfId="17420" xr:uid="{AB3FD865-32A0-41C5-B9A0-137AFE88989E}"/>
    <cellStyle name="Normal 3 2 2 2 2 2 2 44" xfId="40762" xr:uid="{0469EB88-00A1-4163-BC5F-0917A346B88C}"/>
    <cellStyle name="Normal 3 2 2 2 2 2 2 44 2" xfId="40764" xr:uid="{D7E366BC-DE43-4D5A-A847-B7E300F1E665}"/>
    <cellStyle name="Normal 3 2 2 2 2 2 2 44 2 2" xfId="40766" xr:uid="{62B14E4B-AA2C-488B-A81A-BF73A0E67693}"/>
    <cellStyle name="Normal 3 2 2 2 2 2 2 44 3" xfId="40768" xr:uid="{D0D01DD8-6AF3-4899-B128-DEF47D02CC30}"/>
    <cellStyle name="Normal 3 2 2 2 2 2 2 45" xfId="40782" xr:uid="{A5D7D66C-614A-40BE-8484-1F582F1857D9}"/>
    <cellStyle name="Normal 3 2 2 2 2 2 2 45 2" xfId="40784" xr:uid="{394EAF51-02D5-415D-B1B3-D31F0032B6C9}"/>
    <cellStyle name="Normal 3 2 2 2 2 2 2 45 2 2" xfId="40786" xr:uid="{9A666145-63B3-405E-BF7C-2E1B213D5C9B}"/>
    <cellStyle name="Normal 3 2 2 2 2 2 2 45 3" xfId="40789" xr:uid="{04AE0710-9AC8-4AEA-AF8F-8BF67B579EBC}"/>
    <cellStyle name="Normal 3 2 2 2 2 2 2 46" xfId="40791" xr:uid="{79683650-46C3-4B50-B63E-5A1097B143CE}"/>
    <cellStyle name="Normal 3 2 2 2 2 2 2 46 2" xfId="40793" xr:uid="{2E7F61B7-1DBD-4A4A-8E79-90773148E68F}"/>
    <cellStyle name="Normal 3 2 2 2 2 2 2 46 2 2" xfId="40795" xr:uid="{5891C499-A248-407C-AD7C-E090D851BCE0}"/>
    <cellStyle name="Normal 3 2 2 2 2 2 2 46 3" xfId="40797" xr:uid="{A77883FD-05A7-4952-8D4C-DEC26A9066CB}"/>
    <cellStyle name="Normal 3 2 2 2 2 2 2 47" xfId="40799" xr:uid="{1DF6EED3-D58E-4FFF-B30A-E720EC2CA818}"/>
    <cellStyle name="Normal 3 2 2 2 2 2 2 47 2" xfId="24781" xr:uid="{7FFD56E3-1145-45B0-83EA-3DD599FBAC5E}"/>
    <cellStyle name="Normal 3 2 2 2 2 2 2 47 2 2" xfId="40801" xr:uid="{FA21A7BA-454E-49F9-8D7A-0D1B222050F7}"/>
    <cellStyle name="Normal 3 2 2 2 2 2 2 47 3" xfId="17456" xr:uid="{197BAD16-821C-4572-B91D-1C8150C59177}"/>
    <cellStyle name="Normal 3 2 2 2 2 2 2 48" xfId="40803" xr:uid="{6A413564-8A04-4667-9981-8C4771263A27}"/>
    <cellStyle name="Normal 3 2 2 2 2 2 2 48 2" xfId="24858" xr:uid="{30D65B8D-718C-4E1B-B435-97880D507BEB}"/>
    <cellStyle name="Normal 3 2 2 2 2 2 2 48 2 2" xfId="40805" xr:uid="{A2C19940-62AC-476B-BA3F-8DAC8A981BBB}"/>
    <cellStyle name="Normal 3 2 2 2 2 2 2 48 3" xfId="17468" xr:uid="{2EA97064-CF1D-46C2-9350-70F240418294}"/>
    <cellStyle name="Normal 3 2 2 2 2 2 2 49" xfId="21325" xr:uid="{1791EA40-99EB-4463-A24D-16B737C2931C}"/>
    <cellStyle name="Normal 3 2 2 2 2 2 2 49 2" xfId="21328" xr:uid="{C4EDE8D0-C5A5-4969-9625-210BF4A4A240}"/>
    <cellStyle name="Normal 3 2 2 2 2 2 2 49 2 2" xfId="21331" xr:uid="{05BB9F31-A051-463C-AF6F-328A8A689A7D}"/>
    <cellStyle name="Normal 3 2 2 2 2 2 2 49 3" xfId="17480" xr:uid="{E4363742-F18A-4621-BD78-D66E5C87FE20}"/>
    <cellStyle name="Normal 3 2 2 2 2 2 2 5" xfId="40806" xr:uid="{9D4C6E37-4B28-4632-9D97-61ADF103645E}"/>
    <cellStyle name="Normal 3 2 2 2 2 2 2 5 2" xfId="31694" xr:uid="{4A0EC2AC-1D5C-4EF6-A177-66EC81A82AC2}"/>
    <cellStyle name="Normal 3 2 2 2 2 2 2 5 2 2" xfId="40807" xr:uid="{29E28B20-BA34-497A-9848-BF42A2D1BF75}"/>
    <cellStyle name="Normal 3 2 2 2 2 2 2 5 3" xfId="40808" xr:uid="{BCC38588-7382-429C-B9A0-94A53CDC8DE8}"/>
    <cellStyle name="Normal 3 2 2 2 2 2 2 50" xfId="40781" xr:uid="{D74007DE-3FAE-41F7-A1A0-61C6DDF7E9BB}"/>
    <cellStyle name="Normal 3 2 2 2 2 2 2 50 2" xfId="40783" xr:uid="{4847B2A0-CDFC-462B-ACC0-70A96C62B24F}"/>
    <cellStyle name="Normal 3 2 2 2 2 2 2 50 2 2" xfId="40785" xr:uid="{9E0EE9B0-B4E3-4879-AB77-ED31F3233C82}"/>
    <cellStyle name="Normal 3 2 2 2 2 2 2 50 3" xfId="40788" xr:uid="{CBCA4B24-51DB-4341-8549-2F556B7C1877}"/>
    <cellStyle name="Normal 3 2 2 2 2 2 2 51" xfId="40790" xr:uid="{A098ECA9-09A1-4130-BD7A-1160485B6FC2}"/>
    <cellStyle name="Normal 3 2 2 2 2 2 2 51 2" xfId="40792" xr:uid="{EB1D845C-86C8-4F55-96C1-907EA418048D}"/>
    <cellStyle name="Normal 3 2 2 2 2 2 2 51 2 2" xfId="40794" xr:uid="{98C46BCE-75FB-4507-ADAF-B132A2A1D986}"/>
    <cellStyle name="Normal 3 2 2 2 2 2 2 51 3" xfId="40796" xr:uid="{BB9EEC2D-6FE5-4BB2-962D-F62E9DA56156}"/>
    <cellStyle name="Normal 3 2 2 2 2 2 2 52" xfId="40798" xr:uid="{FF05439C-4A54-4820-A39E-EBDC525E01F7}"/>
    <cellStyle name="Normal 3 2 2 2 2 2 2 52 2" xfId="24780" xr:uid="{49335417-105F-49BA-A7CA-7BA31EDD649B}"/>
    <cellStyle name="Normal 3 2 2 2 2 2 2 52 2 2" xfId="40800" xr:uid="{311BF0A3-7C5A-4E99-8D89-452E9219E848}"/>
    <cellStyle name="Normal 3 2 2 2 2 2 2 52 3" xfId="17455" xr:uid="{7BD03C77-BB9A-4C3A-9E87-30C8FFE5568C}"/>
    <cellStyle name="Normal 3 2 2 2 2 2 2 53" xfId="40802" xr:uid="{07D38ABA-E980-45CA-BF43-0FFC151D350E}"/>
    <cellStyle name="Normal 3 2 2 2 2 2 2 53 2" xfId="24857" xr:uid="{4AB80AB5-01FE-472C-8DE5-141142B61BFD}"/>
    <cellStyle name="Normal 3 2 2 2 2 2 2 53 2 2" xfId="40804" xr:uid="{1D92AC54-C36B-4C90-A72F-05D739088DF7}"/>
    <cellStyle name="Normal 3 2 2 2 2 2 2 53 3" xfId="17467" xr:uid="{02957946-1892-4D48-B596-18542E012EDC}"/>
    <cellStyle name="Normal 3 2 2 2 2 2 2 54" xfId="21324" xr:uid="{5B9BC5EF-3365-4003-A2B8-F67EEAFF91C1}"/>
    <cellStyle name="Normal 3 2 2 2 2 2 2 54 2" xfId="21327" xr:uid="{394B8238-84F4-4503-B03B-0185A247F953}"/>
    <cellStyle name="Normal 3 2 2 2 2 2 2 54 2 2" xfId="21330" xr:uid="{D0DED114-8F73-41B0-8BA0-994F8D3E65DC}"/>
    <cellStyle name="Normal 3 2 2 2 2 2 2 54 3" xfId="17479" xr:uid="{3F170C08-B550-45E6-9C93-34B19E5E31A4}"/>
    <cellStyle name="Normal 3 2 2 2 2 2 2 55" xfId="21335" xr:uid="{63E45EBD-5D72-456C-AE36-03247DB8F080}"/>
    <cellStyle name="Normal 3 2 2 2 2 2 2 55 2" xfId="21339" xr:uid="{12A76518-A47B-48A1-8DE1-40FD8C5F761F}"/>
    <cellStyle name="Normal 3 2 2 2 2 2 2 55 2 2" xfId="40810" xr:uid="{FEECB3CA-DE90-4AA5-BB9F-E753C491C3A4}"/>
    <cellStyle name="Normal 3 2 2 2 2 2 2 55 3" xfId="40812" xr:uid="{6D22CC81-C194-4DE3-9F78-46CA61B991EF}"/>
    <cellStyle name="Normal 3 2 2 2 2 2 2 56" xfId="21343" xr:uid="{B4D95F78-371F-4AC9-AA53-BC3C2BFD4442}"/>
    <cellStyle name="Normal 3 2 2 2 2 2 2 56 2" xfId="40814" xr:uid="{035AAECE-30D3-4887-9C7C-83EAF4F07FC3}"/>
    <cellStyle name="Normal 3 2 2 2 2 2 2 56 2 2" xfId="40816" xr:uid="{2083C0AD-696C-4765-8A34-10CB61AAEAF0}"/>
    <cellStyle name="Normal 3 2 2 2 2 2 2 56 3" xfId="40818" xr:uid="{F568B8C3-06DC-48DD-B1FE-913494BD7285}"/>
    <cellStyle name="Normal 3 2 2 2 2 2 2 57" xfId="40820" xr:uid="{DE507A4C-2127-4ED5-9272-7D1A36159469}"/>
    <cellStyle name="Normal 3 2 2 2 2 2 2 57 2" xfId="24953" xr:uid="{2F1F62F4-3750-4FB2-8778-3E417EF41C80}"/>
    <cellStyle name="Normal 3 2 2 2 2 2 2 57 2 2" xfId="40822" xr:uid="{FFF94135-B8C7-41C0-B714-DB655F153CE9}"/>
    <cellStyle name="Normal 3 2 2 2 2 2 2 57 3" xfId="17515" xr:uid="{86981B38-1175-4835-8395-FE8D21CB654D}"/>
    <cellStyle name="Normal 3 2 2 2 2 2 2 58" xfId="40824" xr:uid="{E2D56EC7-4D05-4B85-9F7C-CF7A44BFEFFD}"/>
    <cellStyle name="Normal 3 2 2 2 2 2 2 58 2" xfId="25011" xr:uid="{5FF4167C-98A9-44C9-99BE-963871CAA266}"/>
    <cellStyle name="Normal 3 2 2 2 2 2 2 58 2 2" xfId="40826" xr:uid="{36496C99-F795-4958-8482-80E91D45ED77}"/>
    <cellStyle name="Normal 3 2 2 2 2 2 2 58 3" xfId="17528" xr:uid="{AC241EF2-0AB8-4C9C-8517-8574D949C457}"/>
    <cellStyle name="Normal 3 2 2 2 2 2 2 59" xfId="40828" xr:uid="{E7494C37-D614-44BC-B1F4-B9EE1960199B}"/>
    <cellStyle name="Normal 3 2 2 2 2 2 2 59 2" xfId="40830" xr:uid="{50891DE8-CBF9-4100-9E47-631EB632B271}"/>
    <cellStyle name="Normal 3 2 2 2 2 2 2 59 2 2" xfId="40832" xr:uid="{A305A3AE-E0A6-4F17-B9D7-5C7922537D6D}"/>
    <cellStyle name="Normal 3 2 2 2 2 2 2 59 3" xfId="40834" xr:uid="{1E98A65D-3CD4-4F9D-ABE3-75818E11E496}"/>
    <cellStyle name="Normal 3 2 2 2 2 2 2 6" xfId="40835" xr:uid="{A20D3533-BF70-4595-99F9-0356392F75D2}"/>
    <cellStyle name="Normal 3 2 2 2 2 2 2 6 2" xfId="40836" xr:uid="{CB196815-142E-433C-9167-40B1CDD7D2C7}"/>
    <cellStyle name="Normal 3 2 2 2 2 2 2 6 2 2" xfId="17857" xr:uid="{AD60FDCF-C9BA-4593-B581-15FDE01CB04C}"/>
    <cellStyle name="Normal 3 2 2 2 2 2 2 6 3" xfId="40837" xr:uid="{C8B1252B-8177-4EFE-8FFD-8B63827D81D0}"/>
    <cellStyle name="Normal 3 2 2 2 2 2 2 60" xfId="21334" xr:uid="{F7271B27-CD15-411C-81D6-7D263FB38593}"/>
    <cellStyle name="Normal 3 2 2 2 2 2 2 60 2" xfId="21338" xr:uid="{01DD469D-6A27-4A72-85B5-D9F90DA58B10}"/>
    <cellStyle name="Normal 3 2 2 2 2 2 2 60 2 2" xfId="40809" xr:uid="{CFD1D8EB-CDCD-4FDD-A01A-EFD608A837CC}"/>
    <cellStyle name="Normal 3 2 2 2 2 2 2 60 3" xfId="40811" xr:uid="{E79964C6-1675-4E44-A825-79B9CAE04D5C}"/>
    <cellStyle name="Normal 3 2 2 2 2 2 2 61" xfId="21342" xr:uid="{1633884F-48C0-4313-8C15-3FA29876CC9C}"/>
    <cellStyle name="Normal 3 2 2 2 2 2 2 61 2" xfId="40813" xr:uid="{A880CD7E-31DB-4FE9-B49E-6BB442FA1C90}"/>
    <cellStyle name="Normal 3 2 2 2 2 2 2 61 2 2" xfId="40815" xr:uid="{463DC699-FE6A-4C82-B6F5-9EB9251F098B}"/>
    <cellStyle name="Normal 3 2 2 2 2 2 2 61 3" xfId="40817" xr:uid="{DFE54EBD-95C1-4837-9B86-D730D15B7F75}"/>
    <cellStyle name="Normal 3 2 2 2 2 2 2 62" xfId="40819" xr:uid="{941C4C95-BE57-4846-BFAD-228266F995C6}"/>
    <cellStyle name="Normal 3 2 2 2 2 2 2 62 2" xfId="24952" xr:uid="{5DFCE372-581A-4C6F-9C42-ED8023A13433}"/>
    <cellStyle name="Normal 3 2 2 2 2 2 2 62 2 2" xfId="40821" xr:uid="{EFC79485-6D95-4E1F-B1A5-3428648085C1}"/>
    <cellStyle name="Normal 3 2 2 2 2 2 2 62 3" xfId="17514" xr:uid="{A3233609-3323-4245-92D6-21BC6F5A876D}"/>
    <cellStyle name="Normal 3 2 2 2 2 2 2 63" xfId="40823" xr:uid="{A9D97AA0-5061-4517-99BC-106454168B46}"/>
    <cellStyle name="Normal 3 2 2 2 2 2 2 63 2" xfId="25010" xr:uid="{94645B08-4CFF-48E2-9AE4-AADF0D3C4BC3}"/>
    <cellStyle name="Normal 3 2 2 2 2 2 2 63 2 2" xfId="40825" xr:uid="{6BADB2BC-FE33-4C36-8A4B-9F985112DB4B}"/>
    <cellStyle name="Normal 3 2 2 2 2 2 2 63 3" xfId="17527" xr:uid="{347CA008-F858-43DA-8BD8-B7A57ED5320B}"/>
    <cellStyle name="Normal 3 2 2 2 2 2 2 64" xfId="40827" xr:uid="{E7624CC6-4950-4F95-AA20-5515BCC0BD2F}"/>
    <cellStyle name="Normal 3 2 2 2 2 2 2 64 2" xfId="40829" xr:uid="{8DE2E14B-8F96-4135-BABC-D4104E70C1A4}"/>
    <cellStyle name="Normal 3 2 2 2 2 2 2 64 2 2" xfId="40831" xr:uid="{208B2E34-996C-47F2-97ED-168E75C5C469}"/>
    <cellStyle name="Normal 3 2 2 2 2 2 2 64 3" xfId="40833" xr:uid="{361438B3-F96D-4C84-A7E8-4BA981E4C09B}"/>
    <cellStyle name="Normal 3 2 2 2 2 2 2 65" xfId="40839" xr:uid="{3A3D8ED6-0A50-4A9D-8819-91B7137FA129}"/>
    <cellStyle name="Normal 3 2 2 2 2 2 2 65 2" xfId="40840" xr:uid="{8B343027-AB1D-43E7-8588-2CB35FBDD25F}"/>
    <cellStyle name="Normal 3 2 2 2 2 2 2 66" xfId="40841" xr:uid="{1182111C-34EB-43B6-9CA4-28D804A66158}"/>
    <cellStyle name="Normal 3 2 2 2 2 2 2 66 2" xfId="40842" xr:uid="{BDEAB7EE-61AF-4978-A72D-BCE7B8166E36}"/>
    <cellStyle name="Normal 3 2 2 2 2 2 2 67" xfId="4721" xr:uid="{4ABFBA6B-79E6-40C8-851B-2AFB025998FE}"/>
    <cellStyle name="Normal 3 2 2 2 2 2 2 67 2" xfId="6757" xr:uid="{4D09B5AF-0B3A-4B92-8108-F44998A9CAB8}"/>
    <cellStyle name="Normal 3 2 2 2 2 2 2 68" xfId="40843" xr:uid="{A567DFA5-AEBE-47EA-8E94-B73DCB4CDF59}"/>
    <cellStyle name="Normal 3 2 2 2 2 2 2 7" xfId="40844" xr:uid="{7EC49D0A-D393-4EA1-8234-4590298C8617}"/>
    <cellStyle name="Normal 3 2 2 2 2 2 2 7 2" xfId="40845" xr:uid="{3435BD7E-2DA2-4EB6-856C-31339F79D8B2}"/>
    <cellStyle name="Normal 3 2 2 2 2 2 2 7 2 2" xfId="24556" xr:uid="{6EFB01A5-61C0-40B6-B526-942ED49916F4}"/>
    <cellStyle name="Normal 3 2 2 2 2 2 2 7 3" xfId="40846" xr:uid="{AD1C9D5F-1D3F-436C-B8C6-AC7120456BF0}"/>
    <cellStyle name="Normal 3 2 2 2 2 2 2 8" xfId="40848" xr:uid="{399AC7B6-2A80-4E42-B94B-DB0B58ECB06C}"/>
    <cellStyle name="Normal 3 2 2 2 2 2 2 8 2" xfId="40849" xr:uid="{3E3F368E-1A00-44F6-99E1-120A6F2B3A71}"/>
    <cellStyle name="Normal 3 2 2 2 2 2 2 8 2 2" xfId="24747" xr:uid="{9DE688D6-C9BC-4744-861C-E8483086ED4F}"/>
    <cellStyle name="Normal 3 2 2 2 2 2 2 8 3" xfId="40850" xr:uid="{D077C53D-8331-4729-825A-BDEE00B88879}"/>
    <cellStyle name="Normal 3 2 2 2 2 2 2 9" xfId="40851" xr:uid="{227BFA59-2AEB-4239-A0E0-8C4639FFB03F}"/>
    <cellStyle name="Normal 3 2 2 2 2 2 2 9 2" xfId="40852" xr:uid="{4AB5F2F4-70F1-4E58-A787-731DED8F9077}"/>
    <cellStyle name="Normal 3 2 2 2 2 2 2 9 2 2" xfId="24923" xr:uid="{0A8E9B49-11E1-41A8-8260-88886BE36F32}"/>
    <cellStyle name="Normal 3 2 2 2 2 2 2 9 3" xfId="40853" xr:uid="{6D794A50-EA5F-419F-96AF-90A5598EE892}"/>
    <cellStyle name="Normal 3 2 2 2 2 2 20" xfId="40625" xr:uid="{70833AFF-0FB7-491B-9D0E-59CA6D2EB72A}"/>
    <cellStyle name="Normal 3 2 2 2 2 2 21" xfId="40627" xr:uid="{3295CB17-5F17-408B-8332-83CD39107D70}"/>
    <cellStyle name="Normal 3 2 2 2 2 2 22" xfId="40629" xr:uid="{7DF0AB3D-E6DD-4BBA-9043-3A460055C554}"/>
    <cellStyle name="Normal 3 2 2 2 2 2 23" xfId="40631" xr:uid="{69521390-534D-4990-8165-2BB6352D884D}"/>
    <cellStyle name="Normal 3 2 2 2 2 2 24" xfId="40633" xr:uid="{21E4886A-D6F4-49B5-A2BC-546EA11E26C4}"/>
    <cellStyle name="Normal 3 2 2 2 2 2 25" xfId="40855" xr:uid="{7AA45BDE-6622-4F27-AB94-4F23B5EFCFD6}"/>
    <cellStyle name="Normal 3 2 2 2 2 2 26" xfId="40857" xr:uid="{4473C991-0E02-4BB3-88E5-E083C06A8EA2}"/>
    <cellStyle name="Normal 3 2 2 2 2 2 27" xfId="40859" xr:uid="{BB49E1A2-0827-4465-A08F-CA8817C31CE7}"/>
    <cellStyle name="Normal 3 2 2 2 2 2 28" xfId="40861" xr:uid="{049985E0-2A14-4879-86C8-57C2FA8091F6}"/>
    <cellStyle name="Normal 3 2 2 2 2 2 29" xfId="6041" xr:uid="{CC8C1030-5E55-48A6-83D3-92CE7BEF326C}"/>
    <cellStyle name="Normal 3 2 2 2 2 2 3" xfId="33785" xr:uid="{3181E02F-D070-4F0D-8D52-362F17A2ADF4}"/>
    <cellStyle name="Normal 3 2 2 2 2 2 3 2" xfId="33788" xr:uid="{F3723378-F82F-4A9D-AC29-581363D5F579}"/>
    <cellStyle name="Normal 3 2 2 2 2 2 3 2 2" xfId="27037" xr:uid="{5AAA3D70-2223-4DAA-8BD6-AD5743D6DEDD}"/>
    <cellStyle name="Normal 3 2 2 2 2 2 3 2 2 2" xfId="40862" xr:uid="{D9766CED-1CDC-47FD-B757-6E75B064831F}"/>
    <cellStyle name="Normal 3 2 2 2 2 2 3 2 2 2 2" xfId="40863" xr:uid="{86E96CA5-A5B1-461C-BA5D-C57730BE1C1C}"/>
    <cellStyle name="Normal 3 2 2 2 2 2 3 2 2 2 2 2" xfId="40864" xr:uid="{93662AAF-FBEA-4A96-87D7-0076A351C337}"/>
    <cellStyle name="Normal 3 2 2 2 2 2 3 2 2 2 2 2 2" xfId="40865" xr:uid="{4B2962BD-7A5D-43D2-BDC4-D906753C1496}"/>
    <cellStyle name="Normal 3 2 2 2 2 2 3 2 2 2 2 3" xfId="40866" xr:uid="{88E77D45-8712-4464-8322-9991F616D239}"/>
    <cellStyle name="Normal 3 2 2 2 2 2 3 2 2 2 3" xfId="40867" xr:uid="{2CFCD7B2-2080-4467-8F1E-2FED5C2302CB}"/>
    <cellStyle name="Normal 3 2 2 2 2 2 3 2 2 2 3 2" xfId="40868" xr:uid="{5B40A238-A02F-4EFD-B1A6-50CC332AA7DD}"/>
    <cellStyle name="Normal 3 2 2 2 2 2 3 2 2 2 3 2 2" xfId="40869" xr:uid="{AF77D118-DE93-4BBA-AA6D-AF706AAA869B}"/>
    <cellStyle name="Normal 3 2 2 2 2 2 3 2 2 2 3 3" xfId="40870" xr:uid="{2D02548C-555D-4C5C-A96A-8B2156BE0F5B}"/>
    <cellStyle name="Normal 3 2 2 2 2 2 3 2 2 2 4" xfId="40871" xr:uid="{67169113-EE14-47EE-A285-D902A3D1733A}"/>
    <cellStyle name="Normal 3 2 2 2 2 2 3 2 2 2 4 2" xfId="40872" xr:uid="{23900B4E-90AA-41E0-A3D5-D79949101646}"/>
    <cellStyle name="Normal 3 2 2 2 2 2 3 2 2 2 5" xfId="40873" xr:uid="{F7353499-F42B-4FE2-9878-C85BF5076F64}"/>
    <cellStyle name="Normal 3 2 2 2 2 2 3 2 2 3" xfId="40874" xr:uid="{1B7B7968-F2C5-4C4C-B7E3-C1A110BA2D91}"/>
    <cellStyle name="Normal 3 2 2 2 2 2 3 2 2 3 2" xfId="40875" xr:uid="{313175D3-93C3-44FB-8D8D-932EE09944CA}"/>
    <cellStyle name="Normal 3 2 2 2 2 2 3 2 2 3 2 2" xfId="40876" xr:uid="{C60081D0-21B5-464E-8DAD-5C10F88F7669}"/>
    <cellStyle name="Normal 3 2 2 2 2 2 3 2 2 3 3" xfId="40877" xr:uid="{99EF82E6-C56E-4A67-A72F-BFBFC66803A5}"/>
    <cellStyle name="Normal 3 2 2 2 2 2 3 2 2 4" xfId="40879" xr:uid="{1BD66960-C7CE-44A3-86EC-8C10C1423400}"/>
    <cellStyle name="Normal 3 2 2 2 2 2 3 2 2 4 2" xfId="40880" xr:uid="{DD75AA5B-4EAB-4A50-9D86-14F8516349E5}"/>
    <cellStyle name="Normal 3 2 2 2 2 2 3 2 2 4 2 2" xfId="40881" xr:uid="{61A820B6-A588-4C62-B2AF-B1B795653E68}"/>
    <cellStyle name="Normal 3 2 2 2 2 2 3 2 2 4 3" xfId="40882" xr:uid="{97EB1460-2D08-4E2D-9EFB-C8E0C62A1B44}"/>
    <cellStyle name="Normal 3 2 2 2 2 2 3 2 2 5" xfId="40883" xr:uid="{7FDEB4F9-472A-40E7-B0EA-490A33C911AD}"/>
    <cellStyle name="Normal 3 2 2 2 2 2 3 2 2 5 2" xfId="40884" xr:uid="{4C853451-AABF-46FE-B5CE-1CE6EF0A74BA}"/>
    <cellStyle name="Normal 3 2 2 2 2 2 3 2 2 6" xfId="40885" xr:uid="{2849E918-EAA4-47FB-BD97-A55F4A01557C}"/>
    <cellStyle name="Normal 3 2 2 2 2 2 3 2 3" xfId="40886" xr:uid="{BCEAB844-0A48-4BFE-A8CD-498A8DFB9222}"/>
    <cellStyle name="Normal 3 2 2 2 2 2 3 2 3 2" xfId="40887" xr:uid="{452A1ECA-B112-40D2-B842-320047980ECF}"/>
    <cellStyle name="Normal 3 2 2 2 2 2 3 2 3 2 2" xfId="40888" xr:uid="{6D08B15B-F0FE-43A7-800C-F80B26D52631}"/>
    <cellStyle name="Normal 3 2 2 2 2 2 3 2 3 2 2 2" xfId="40889" xr:uid="{23EC794E-1401-4A12-B75F-C38B58E1B813}"/>
    <cellStyle name="Normal 3 2 2 2 2 2 3 2 3 2 3" xfId="40890" xr:uid="{D7914084-B084-4AAA-810E-36E2DC32D44A}"/>
    <cellStyle name="Normal 3 2 2 2 2 2 3 2 3 3" xfId="40891" xr:uid="{129555ED-9069-41AB-9877-C24542F1EDD6}"/>
    <cellStyle name="Normal 3 2 2 2 2 2 3 2 3 3 2" xfId="40892" xr:uid="{90159401-7F2A-4862-8221-8A57DE487821}"/>
    <cellStyle name="Normal 3 2 2 2 2 2 3 2 3 3 2 2" xfId="40893" xr:uid="{C10D3811-DA55-451E-8EC2-942F0F7C57CD}"/>
    <cellStyle name="Normal 3 2 2 2 2 2 3 2 3 3 3" xfId="40894" xr:uid="{E91F2E31-35DF-4606-A17A-B64F911ED708}"/>
    <cellStyle name="Normal 3 2 2 2 2 2 3 2 3 4" xfId="40895" xr:uid="{8F08E456-C6BD-4269-AAAA-9936CF2DCE00}"/>
    <cellStyle name="Normal 3 2 2 2 2 2 3 2 3 4 2" xfId="40896" xr:uid="{CAD5D8A9-B494-4E9D-A575-281B7F6DB6E5}"/>
    <cellStyle name="Normal 3 2 2 2 2 2 3 2 3 5" xfId="40897" xr:uid="{BE7D871B-2488-4CB9-99A4-EF6AD135A9B0}"/>
    <cellStyle name="Normal 3 2 2 2 2 2 3 2 4" xfId="40898" xr:uid="{187A5481-C298-4B04-8E3B-C67698841C47}"/>
    <cellStyle name="Normal 3 2 2 2 2 2 3 2 4 2" xfId="40899" xr:uid="{D3C0CB94-BCEB-48B6-88DD-C9E8DFF3BAA4}"/>
    <cellStyle name="Normal 3 2 2 2 2 2 3 2 4 2 2" xfId="40900" xr:uid="{7BA71673-1301-4C11-8634-A6E4A278A7E2}"/>
    <cellStyle name="Normal 3 2 2 2 2 2 3 2 4 3" xfId="40901" xr:uid="{6A8F8E9D-558B-4C28-86DA-B1EFE007F2A9}"/>
    <cellStyle name="Normal 3 2 2 2 2 2 3 2 5" xfId="40902" xr:uid="{0CFB3670-3E23-4F54-A926-52927958B2BC}"/>
    <cellStyle name="Normal 3 2 2 2 2 2 3 2 5 2" xfId="40903" xr:uid="{8B9B1034-DA27-4A9F-BAE7-1EF30655FA62}"/>
    <cellStyle name="Normal 3 2 2 2 2 2 3 2 5 2 2" xfId="40904" xr:uid="{EFD1F6F8-BFD3-4932-9BB8-394600917725}"/>
    <cellStyle name="Normal 3 2 2 2 2 2 3 2 5 3" xfId="40905" xr:uid="{65147218-E51B-4832-9D15-D220B38A784E}"/>
    <cellStyle name="Normal 3 2 2 2 2 2 3 2 6" xfId="40906" xr:uid="{67E902B8-6FA9-4A77-AA15-FFDD5745B402}"/>
    <cellStyle name="Normal 3 2 2 2 2 2 3 2 6 2" xfId="40907" xr:uid="{8E96E29B-6ADE-439C-B71C-2208D88555C3}"/>
    <cellStyle name="Normal 3 2 2 2 2 2 3 2 7" xfId="23710" xr:uid="{058EB81D-AA57-497D-A5F9-E6E442A98522}"/>
    <cellStyle name="Normal 3 2 2 2 2 2 3 3" xfId="33791" xr:uid="{65041134-C712-403C-98A0-83D6DF09B64E}"/>
    <cellStyle name="Normal 3 2 2 2 2 2 3 3 2" xfId="40908" xr:uid="{7B2EAEFE-A032-4FC1-B58F-B8CD5F28E226}"/>
    <cellStyle name="Normal 3 2 2 2 2 2 3 3 2 2" xfId="40909" xr:uid="{CF01A3BF-EDBB-46AF-BDAA-6BF437EA7AD2}"/>
    <cellStyle name="Normal 3 2 2 2 2 2 3 3 2 2 2" xfId="40910" xr:uid="{FB84330F-9FCE-4E92-88BC-372F668A7D9C}"/>
    <cellStyle name="Normal 3 2 2 2 2 2 3 3 2 2 2 2" xfId="40911" xr:uid="{6FBA9751-2CF3-4D2D-95EA-FD79F45A30B4}"/>
    <cellStyle name="Normal 3 2 2 2 2 2 3 3 2 2 3" xfId="40912" xr:uid="{D25914C1-94D8-40D0-AE72-C14C76DFACDD}"/>
    <cellStyle name="Normal 3 2 2 2 2 2 3 3 2 3" xfId="40913" xr:uid="{DCC87B6E-0B98-433C-A602-7C08F7759D82}"/>
    <cellStyle name="Normal 3 2 2 2 2 2 3 3 2 3 2" xfId="40914" xr:uid="{909264B5-071F-4F2D-90F5-67229D2FF118}"/>
    <cellStyle name="Normal 3 2 2 2 2 2 3 3 2 3 2 2" xfId="40915" xr:uid="{4DA82BA5-951A-430B-B711-9972BEB07EA8}"/>
    <cellStyle name="Normal 3 2 2 2 2 2 3 3 2 3 3" xfId="40916" xr:uid="{7B18E767-DBBB-42EC-8296-62A6FCC878D2}"/>
    <cellStyle name="Normal 3 2 2 2 2 2 3 3 2 4" xfId="40917" xr:uid="{D5499C10-E7B1-46F9-9DAC-9A2EC829DA9B}"/>
    <cellStyle name="Normal 3 2 2 2 2 2 3 3 2 4 2" xfId="40918" xr:uid="{8EB418E8-3E4F-4365-86E5-0998D71DF9C7}"/>
    <cellStyle name="Normal 3 2 2 2 2 2 3 3 2 5" xfId="40919" xr:uid="{53FFE72C-B2FA-4015-A3EE-1FCB70045E24}"/>
    <cellStyle name="Normal 3 2 2 2 2 2 3 3 3" xfId="40920" xr:uid="{EEF778D9-EBA2-4B46-B857-295941918752}"/>
    <cellStyle name="Normal 3 2 2 2 2 2 3 3 3 2" xfId="40921" xr:uid="{46E075DB-B8B3-4927-B25A-FBE5C9F16A63}"/>
    <cellStyle name="Normal 3 2 2 2 2 2 3 3 3 2 2" xfId="40922" xr:uid="{9B6C417C-8F05-456D-B943-9AAB4363B6B3}"/>
    <cellStyle name="Normal 3 2 2 2 2 2 3 3 3 3" xfId="40923" xr:uid="{78FED9D4-3009-455C-A405-AA75D08507AD}"/>
    <cellStyle name="Normal 3 2 2 2 2 2 3 3 4" xfId="40924" xr:uid="{753F57FB-D6F4-4182-9048-01C492B54DE8}"/>
    <cellStyle name="Normal 3 2 2 2 2 2 3 3 4 2" xfId="40925" xr:uid="{6E298879-D0E3-4F39-9107-FC388FF944B9}"/>
    <cellStyle name="Normal 3 2 2 2 2 2 3 3 4 2 2" xfId="40926" xr:uid="{C3ED22FA-258C-4868-B7CE-A0425D521F64}"/>
    <cellStyle name="Normal 3 2 2 2 2 2 3 3 4 3" xfId="40927" xr:uid="{8D9C8E5A-5937-440C-97D6-8CAB3EC11133}"/>
    <cellStyle name="Normal 3 2 2 2 2 2 3 3 5" xfId="40928" xr:uid="{7056E441-938A-4FCD-BC73-F3731A2F20D1}"/>
    <cellStyle name="Normal 3 2 2 2 2 2 3 3 5 2" xfId="40929" xr:uid="{6A5FF507-FC6B-436E-81B9-8E25D18D91C8}"/>
    <cellStyle name="Normal 3 2 2 2 2 2 3 3 6" xfId="40930" xr:uid="{FEEF1C64-1102-4FC3-8DE7-14BBA93F12B4}"/>
    <cellStyle name="Normal 3 2 2 2 2 2 3 4" xfId="40931" xr:uid="{E5FC0939-9E31-4863-B18E-201A7B808B7D}"/>
    <cellStyle name="Normal 3 2 2 2 2 2 3 4 2" xfId="40932" xr:uid="{88452015-5F8C-47D8-B425-ED26444C46BA}"/>
    <cellStyle name="Normal 3 2 2 2 2 2 3 4 2 2" xfId="40933" xr:uid="{CA43685F-BF36-41EB-970A-7B30F6E7B2F1}"/>
    <cellStyle name="Normal 3 2 2 2 2 2 3 4 2 2 2" xfId="40934" xr:uid="{2D89BD25-721A-49F5-A328-661673A52232}"/>
    <cellStyle name="Normal 3 2 2 2 2 2 3 4 2 3" xfId="40935" xr:uid="{B92F5C8F-638C-4B57-B688-6CBB4C126CA2}"/>
    <cellStyle name="Normal 3 2 2 2 2 2 3 4 3" xfId="40936" xr:uid="{80892A5C-7EE5-4CE9-A0F4-FE8262FC3B1A}"/>
    <cellStyle name="Normal 3 2 2 2 2 2 3 4 3 2" xfId="40937" xr:uid="{DDC299B0-876D-47A4-906C-58D7C423C97D}"/>
    <cellStyle name="Normal 3 2 2 2 2 2 3 4 3 2 2" xfId="40938" xr:uid="{86AA93A2-0B49-40F8-A5CA-AB4F1D87A211}"/>
    <cellStyle name="Normal 3 2 2 2 2 2 3 4 3 3" xfId="40939" xr:uid="{9C9E7D68-8731-4D75-969F-B68FF1EA333D}"/>
    <cellStyle name="Normal 3 2 2 2 2 2 3 4 4" xfId="40940" xr:uid="{CBBF6B12-98F1-4952-8686-CBC3910110F0}"/>
    <cellStyle name="Normal 3 2 2 2 2 2 3 4 4 2" xfId="40941" xr:uid="{B205E612-D638-48B0-9CFE-A300A3450F4C}"/>
    <cellStyle name="Normal 3 2 2 2 2 2 3 4 5" xfId="40942" xr:uid="{7CDF6A61-A973-49BE-A0F1-A9F241C923DB}"/>
    <cellStyle name="Normal 3 2 2 2 2 2 3 5" xfId="40943" xr:uid="{2372F2E9-6D37-4762-8392-3BD3B3289047}"/>
    <cellStyle name="Normal 3 2 2 2 2 2 3 5 2" xfId="40944" xr:uid="{D56FAB37-D17E-4236-BFEE-3388F9F1D770}"/>
    <cellStyle name="Normal 3 2 2 2 2 2 3 5 2 2" xfId="40945" xr:uid="{241EBED1-961B-4457-8D3A-947ECDF173B0}"/>
    <cellStyle name="Normal 3 2 2 2 2 2 3 5 3" xfId="40946" xr:uid="{88C58664-704B-4DE1-AE03-8170FB120EEE}"/>
    <cellStyle name="Normal 3 2 2 2 2 2 3 6" xfId="40947" xr:uid="{E3405CBB-6126-4482-A83E-304B3EF80325}"/>
    <cellStyle name="Normal 3 2 2 2 2 2 3 6 2" xfId="40948" xr:uid="{0B1B8E70-7CAE-4BD8-AC90-C13626183F1A}"/>
    <cellStyle name="Normal 3 2 2 2 2 2 3 6 2 2" xfId="40949" xr:uid="{C71A7DA8-375C-4B5C-9735-EB48E494CD5B}"/>
    <cellStyle name="Normal 3 2 2 2 2 2 3 6 3" xfId="40950" xr:uid="{ED3CF9B7-B113-4E7F-8ABF-486EBE6496FF}"/>
    <cellStyle name="Normal 3 2 2 2 2 2 3 7" xfId="40951" xr:uid="{F1178B39-AD36-4457-BAEC-926BB8C36E7F}"/>
    <cellStyle name="Normal 3 2 2 2 2 2 3 7 2" xfId="40952" xr:uid="{533BBF05-2D61-4E05-BF32-4FA131D9C4A3}"/>
    <cellStyle name="Normal 3 2 2 2 2 2 3 8" xfId="40953" xr:uid="{88683DFD-C096-4CBF-AC7C-5359BBACEC7F}"/>
    <cellStyle name="Normal 3 2 2 2 2 2 30" xfId="40854" xr:uid="{9EF7BCE8-9D53-4DF1-958D-0A5311108898}"/>
    <cellStyle name="Normal 3 2 2 2 2 2 31" xfId="40856" xr:uid="{B24820F7-B772-4C41-A38A-9E609CB2E9AE}"/>
    <cellStyle name="Normal 3 2 2 2 2 2 32" xfId="40858" xr:uid="{4193A516-29A2-40A3-8D2D-1E2A264CE262}"/>
    <cellStyle name="Normal 3 2 2 2 2 2 33" xfId="40860" xr:uid="{D11753B2-39E4-4205-9F8B-03DC95FEB61F}"/>
    <cellStyle name="Normal 3 2 2 2 2 2 34" xfId="6040" xr:uid="{E0C13EEA-743D-4494-8917-B2B62B927CC7}"/>
    <cellStyle name="Normal 3 2 2 2 2 2 35" xfId="6055" xr:uid="{D2C9F9F9-D0D0-4944-8DAA-A116142BA803}"/>
    <cellStyle name="Normal 3 2 2 2 2 2 36" xfId="3153" xr:uid="{F852F90E-FE11-403D-BB9A-1F840E51684A}"/>
    <cellStyle name="Normal 3 2 2 2 2 2 37" xfId="40955" xr:uid="{1CD826EA-620A-4EB4-9583-AE59708164B3}"/>
    <cellStyle name="Normal 3 2 2 2 2 2 38" xfId="40957" xr:uid="{4A77D5D1-B547-4803-AE88-E7344A2F96F3}"/>
    <cellStyle name="Normal 3 2 2 2 2 2 39" xfId="40959" xr:uid="{86577948-AB92-4DC0-A4CE-ADCBB2A0D540}"/>
    <cellStyle name="Normal 3 2 2 2 2 2 4" xfId="20725" xr:uid="{FFD420F3-0868-42A8-BD11-F40FF78C1752}"/>
    <cellStyle name="Normal 3 2 2 2 2 2 40" xfId="6054" xr:uid="{06E4B841-7EF0-46F8-B73A-7C60B40C7402}"/>
    <cellStyle name="Normal 3 2 2 2 2 2 41" xfId="3152" xr:uid="{90498DE4-98B5-40E7-AE15-DACE9E45DB4F}"/>
    <cellStyle name="Normal 3 2 2 2 2 2 42" xfId="40954" xr:uid="{D29AA02E-7E2C-4E20-AA05-F1E8264FF89C}"/>
    <cellStyle name="Normal 3 2 2 2 2 2 43" xfId="40956" xr:uid="{691C9C42-49C8-48C0-BF43-38919C4847A0}"/>
    <cellStyle name="Normal 3 2 2 2 2 2 44" xfId="40958" xr:uid="{5193B033-6B6D-492D-9102-94774F77772F}"/>
    <cellStyle name="Normal 3 2 2 2 2 2 45" xfId="40961" xr:uid="{E8184C8B-F511-4434-85B3-8EAAFEB2333B}"/>
    <cellStyle name="Normal 3 2 2 2 2 2 46" xfId="40963" xr:uid="{8492DA6D-7FF3-43B4-9C27-F2F2C049F626}"/>
    <cellStyle name="Normal 3 2 2 2 2 2 47" xfId="40965" xr:uid="{47D1CB28-1E35-4EF7-B7BB-0974EDA29539}"/>
    <cellStyle name="Normal 3 2 2 2 2 2 48" xfId="40967" xr:uid="{0324FD9A-1E6A-4EDF-B7AE-819F216A5274}"/>
    <cellStyle name="Normal 3 2 2 2 2 2 49" xfId="32215" xr:uid="{5C9A448E-05BA-4F28-8BB3-79C1E45E0B3F}"/>
    <cellStyle name="Normal 3 2 2 2 2 2 5" xfId="20748" xr:uid="{6E464122-1C3B-4CCC-A1D2-9B0E2A254196}"/>
    <cellStyle name="Normal 3 2 2 2 2 2 50" xfId="40960" xr:uid="{40EC1892-50EF-4437-9F36-0E69F9D4692E}"/>
    <cellStyle name="Normal 3 2 2 2 2 2 51" xfId="40962" xr:uid="{14FCF632-7471-439E-96A8-C9E963AF82BC}"/>
    <cellStyle name="Normal 3 2 2 2 2 2 52" xfId="40964" xr:uid="{6A87A5F0-B874-41F6-BEF6-2B5DCBACC264}"/>
    <cellStyle name="Normal 3 2 2 2 2 2 53" xfId="40966" xr:uid="{86736FC2-FD7E-435B-A347-7FC084F2578D}"/>
    <cellStyle name="Normal 3 2 2 2 2 2 54" xfId="32214" xr:uid="{A426F233-492D-4958-8993-2CBA3A9517CC}"/>
    <cellStyle name="Normal 3 2 2 2 2 2 55" xfId="40969" xr:uid="{5AA54BF3-383F-4815-A3E8-70A889CEDFA0}"/>
    <cellStyle name="Normal 3 2 2 2 2 2 56" xfId="40971" xr:uid="{E9124E3A-EF89-4BFD-B2DF-EA142793B62C}"/>
    <cellStyle name="Normal 3 2 2 2 2 2 57" xfId="40973" xr:uid="{88594047-DE0C-4C7C-8D2B-B1AE61E6971E}"/>
    <cellStyle name="Normal 3 2 2 2 2 2 58" xfId="40975" xr:uid="{D0C5D593-F5CC-4A60-A437-14C92DCCF423}"/>
    <cellStyle name="Normal 3 2 2 2 2 2 59" xfId="40977" xr:uid="{CAB483CF-36B8-4BAD-A15C-B5B9F0F40A20}"/>
    <cellStyle name="Normal 3 2 2 2 2 2 6" xfId="40978" xr:uid="{1BD44C0F-C9D3-41E1-B85E-E914A09A1A48}"/>
    <cellStyle name="Normal 3 2 2 2 2 2 60" xfId="40968" xr:uid="{0FB8447C-435F-401F-BCD4-14A85BC29745}"/>
    <cellStyle name="Normal 3 2 2 2 2 2 61" xfId="40970" xr:uid="{07F1654C-B428-4375-AA3C-E7D55FC0CE85}"/>
    <cellStyle name="Normal 3 2 2 2 2 2 62" xfId="40972" xr:uid="{DEFFA769-A174-4569-94E3-0FFB3D4C6F50}"/>
    <cellStyle name="Normal 3 2 2 2 2 2 63" xfId="40974" xr:uid="{9D0DFD40-7FA5-4B6D-9B7C-B5288BB31922}"/>
    <cellStyle name="Normal 3 2 2 2 2 2 64" xfId="40976" xr:uid="{DF59BFFB-9509-41BB-BEFA-FE1EB5966078}"/>
    <cellStyle name="Normal 3 2 2 2 2 2 65" xfId="40979" xr:uid="{7EC201A1-EC5C-4223-B7E8-14302E58CED1}"/>
    <cellStyle name="Normal 3 2 2 2 2 2 66" xfId="40980" xr:uid="{BEEFE14A-FBD4-4201-9120-AF4F53165A89}"/>
    <cellStyle name="Normal 3 2 2 2 2 2 66 2" xfId="40981" xr:uid="{514BA1F8-0F67-4E8C-B53E-65F4127099EA}"/>
    <cellStyle name="Normal 3 2 2 2 2 2 67" xfId="40982" xr:uid="{3A3407C5-7B33-4845-8310-4FD202309019}"/>
    <cellStyle name="Normal 3 2 2 2 2 2 7" xfId="40983" xr:uid="{207D76C9-817B-4F31-8598-431E58936302}"/>
    <cellStyle name="Normal 3 2 2 2 2 2 8" xfId="40984" xr:uid="{C2433A16-927B-478B-89AE-98C1C3A65999}"/>
    <cellStyle name="Normal 3 2 2 2 2 2 9" xfId="40985" xr:uid="{FDCADB77-1D83-4B3D-8A98-2A55B3DFCFA3}"/>
    <cellStyle name="Normal 3 2 2 2 2 20" xfId="40588" xr:uid="{F5B149E7-40D1-4A3E-B87A-2AF06C0A6B85}"/>
    <cellStyle name="Normal 3 2 2 2 2 20 2" xfId="40590" xr:uid="{5DB78662-9E32-43D8-9265-0CA6F27A939C}"/>
    <cellStyle name="Normal 3 2 2 2 2 20 2 2" xfId="40592" xr:uid="{60D7098C-D4CC-4AB8-9639-D1E65CC99EFD}"/>
    <cellStyle name="Normal 3 2 2 2 2 20 3" xfId="40594" xr:uid="{1974EE59-4CC0-4FA5-B1DC-A325D72649DF}"/>
    <cellStyle name="Normal 3 2 2 2 2 21" xfId="40596" xr:uid="{A78FA489-EBEC-480B-A449-602D1CCE50A4}"/>
    <cellStyle name="Normal 3 2 2 2 2 21 2" xfId="40598" xr:uid="{F48B372C-CEDA-4F5D-A482-5680109F21A7}"/>
    <cellStyle name="Normal 3 2 2 2 2 21 2 2" xfId="40600" xr:uid="{0782843F-2404-485E-B489-B7DF5A50A7A1}"/>
    <cellStyle name="Normal 3 2 2 2 2 21 3" xfId="40602" xr:uid="{959B14FB-6CC5-4D1A-AEFC-007A51E6B9A6}"/>
    <cellStyle name="Normal 3 2 2 2 2 22" xfId="40604" xr:uid="{1C4E99EA-8E0C-4A8A-970C-BE7DAC6D3753}"/>
    <cellStyle name="Normal 3 2 2 2 2 22 2" xfId="40606" xr:uid="{A5B95298-E8CF-498A-A020-780057BDF571}"/>
    <cellStyle name="Normal 3 2 2 2 2 22 2 2" xfId="40608" xr:uid="{90480289-2DDA-4A19-834B-253600D37359}"/>
    <cellStyle name="Normal 3 2 2 2 2 22 3" xfId="40610" xr:uid="{2E97B453-2343-4DCD-9AF1-96166D53428B}"/>
    <cellStyle name="Normal 3 2 2 2 2 23" xfId="40612" xr:uid="{EE120280-4D7B-458A-9784-079297D30CFA}"/>
    <cellStyle name="Normal 3 2 2 2 2 23 2" xfId="16419" xr:uid="{FEF82DD3-F103-48E3-B209-FDC9ECB33039}"/>
    <cellStyle name="Normal 3 2 2 2 2 23 2 2" xfId="16422" xr:uid="{78B3EC29-C7B5-48A2-A69B-0BBAA98D31C5}"/>
    <cellStyle name="Normal 3 2 2 2 2 23 3" xfId="16426" xr:uid="{F9AC759F-DA7B-482B-B0A9-66D5253497D3}"/>
    <cellStyle name="Normal 3 2 2 2 2 24" xfId="40614" xr:uid="{A186884E-5416-435B-B554-DF37EC3AA201}"/>
    <cellStyle name="Normal 3 2 2 2 2 24 2" xfId="16437" xr:uid="{37A329BB-FA39-4828-AD1D-89DF5C228270}"/>
    <cellStyle name="Normal 3 2 2 2 2 24 2 2" xfId="40616" xr:uid="{64D46B56-FC09-4368-B840-915C38F7BC65}"/>
    <cellStyle name="Normal 3 2 2 2 2 24 3" xfId="40618" xr:uid="{40CB60ED-9B36-4A2F-B2C4-8D2B61445ADB}"/>
    <cellStyle name="Normal 3 2 2 2 2 25" xfId="40987" xr:uid="{DBA7E598-EB7F-477C-953E-19E89983AE25}"/>
    <cellStyle name="Normal 3 2 2 2 2 25 2" xfId="40989" xr:uid="{11328906-860C-448A-BA61-8D624D7FBA0C}"/>
    <cellStyle name="Normal 3 2 2 2 2 25 2 2" xfId="40991" xr:uid="{595AC57E-296F-44D7-B215-41F4C76CA5CD}"/>
    <cellStyle name="Normal 3 2 2 2 2 25 3" xfId="40993" xr:uid="{3EF5C012-1F7A-499D-B566-22B721A40D28}"/>
    <cellStyle name="Normal 3 2 2 2 2 26" xfId="40995" xr:uid="{833C52BA-3E10-48F4-B381-1100C7F2FFC1}"/>
    <cellStyle name="Normal 3 2 2 2 2 26 2" xfId="40997" xr:uid="{400809F0-BF7D-4544-B355-DD50CAF42CF8}"/>
    <cellStyle name="Normal 3 2 2 2 2 26 2 2" xfId="40999" xr:uid="{EE79E095-619C-4658-9566-1ADAC6778DE8}"/>
    <cellStyle name="Normal 3 2 2 2 2 26 3" xfId="41001" xr:uid="{8F9652E1-1303-4A7B-9747-8333919A2001}"/>
    <cellStyle name="Normal 3 2 2 2 2 27" xfId="41003" xr:uid="{46BD9D74-846B-4CDB-A198-1AE800F3ADD1}"/>
    <cellStyle name="Normal 3 2 2 2 2 27 2" xfId="41005" xr:uid="{C8F43238-269C-429F-9F8F-225FB3FAC5A0}"/>
    <cellStyle name="Normal 3 2 2 2 2 27 2 2" xfId="41007" xr:uid="{D757D362-186B-44D4-8A7B-6CF5AA1D200F}"/>
    <cellStyle name="Normal 3 2 2 2 2 27 3" xfId="39606" xr:uid="{9CF4E882-CF45-4F67-AAC3-E7071F626E22}"/>
    <cellStyle name="Normal 3 2 2 2 2 28" xfId="41009" xr:uid="{C12417BF-1B2E-4FF0-8235-5F3F375CC140}"/>
    <cellStyle name="Normal 3 2 2 2 2 28 2" xfId="41011" xr:uid="{2929456D-6685-463C-A84F-3EDC9A74B539}"/>
    <cellStyle name="Normal 3 2 2 2 2 28 2 2" xfId="41013" xr:uid="{2C0AE916-B2B4-4594-B0DF-02B0CA596CFA}"/>
    <cellStyle name="Normal 3 2 2 2 2 28 3" xfId="39612" xr:uid="{1556C314-2665-4FAE-8CBD-235D2475F556}"/>
    <cellStyle name="Normal 3 2 2 2 2 29" xfId="41015" xr:uid="{7580B976-D285-4A8C-9AC0-55E739247B45}"/>
    <cellStyle name="Normal 3 2 2 2 2 29 2" xfId="41017" xr:uid="{9C5E8F3F-05C7-473A-827F-D98DF62D8120}"/>
    <cellStyle name="Normal 3 2 2 2 2 29 2 2" xfId="16279" xr:uid="{3F29EE21-1DA8-4502-AF65-FC766C113E6C}"/>
    <cellStyle name="Normal 3 2 2 2 2 29 3" xfId="41019" xr:uid="{D67CE894-25EE-4AF2-8F5B-94D9C5DAA9F2}"/>
    <cellStyle name="Normal 3 2 2 2 2 3" xfId="33793" xr:uid="{8434070A-9289-423A-A704-03E25A71709D}"/>
    <cellStyle name="Normal 3 2 2 2 2 30" xfId="40986" xr:uid="{DB403452-8893-442E-BD38-EE255BF3FE42}"/>
    <cellStyle name="Normal 3 2 2 2 2 30 2" xfId="40988" xr:uid="{426043FB-AC65-4A37-9EA6-B27EA4908D9A}"/>
    <cellStyle name="Normal 3 2 2 2 2 30 2 2" xfId="40990" xr:uid="{5E860EC9-78B5-425A-80C8-518189B735C4}"/>
    <cellStyle name="Normal 3 2 2 2 2 30 3" xfId="40992" xr:uid="{5420C376-D0F4-40D6-94E1-245F0E8D80B9}"/>
    <cellStyle name="Normal 3 2 2 2 2 31" xfId="40994" xr:uid="{2006DBDE-058E-452D-BBE6-07EFCCAA0DE0}"/>
    <cellStyle name="Normal 3 2 2 2 2 31 2" xfId="40996" xr:uid="{7B89B405-9FE8-4344-91B1-FAB26A56A37A}"/>
    <cellStyle name="Normal 3 2 2 2 2 31 2 2" xfId="40998" xr:uid="{79D02BDD-54B0-4918-BC67-A799D9E1B25D}"/>
    <cellStyle name="Normal 3 2 2 2 2 31 3" xfId="41000" xr:uid="{B8D4B60C-7C77-448B-90EC-EB69CF22CF83}"/>
    <cellStyle name="Normal 3 2 2 2 2 32" xfId="41002" xr:uid="{64D71B17-F6BF-45D3-8D92-F90D3C04451F}"/>
    <cellStyle name="Normal 3 2 2 2 2 32 2" xfId="41004" xr:uid="{5666FECE-B92E-49BE-8638-F4D01058C433}"/>
    <cellStyle name="Normal 3 2 2 2 2 32 2 2" xfId="41006" xr:uid="{0A4EED0E-C6F7-4C61-8374-7370331783C7}"/>
    <cellStyle name="Normal 3 2 2 2 2 32 3" xfId="39605" xr:uid="{A3DCFDFD-66DA-4DF1-927F-DF0026F998D3}"/>
    <cellStyle name="Normal 3 2 2 2 2 33" xfId="41008" xr:uid="{0F599DB5-B176-43C0-94C1-29CCDD26271A}"/>
    <cellStyle name="Normal 3 2 2 2 2 33 2" xfId="41010" xr:uid="{FAADF4B8-55DF-44C4-945B-7CC4602D9D96}"/>
    <cellStyle name="Normal 3 2 2 2 2 33 2 2" xfId="41012" xr:uid="{9CB942FB-14DB-409D-96AA-7F72B32960D7}"/>
    <cellStyle name="Normal 3 2 2 2 2 33 3" xfId="39611" xr:uid="{1D84AD5A-9B10-48AC-B634-C61BF9272E50}"/>
    <cellStyle name="Normal 3 2 2 2 2 34" xfId="41014" xr:uid="{6C40E017-6B6A-4C30-85AC-2E3ABD8D63CD}"/>
    <cellStyle name="Normal 3 2 2 2 2 34 2" xfId="41016" xr:uid="{26FF9448-BDDC-4228-85EC-A9848A65AD7B}"/>
    <cellStyle name="Normal 3 2 2 2 2 34 2 2" xfId="16278" xr:uid="{DBA2B2B8-29F7-4535-A7B5-A07B3A5CFEE3}"/>
    <cellStyle name="Normal 3 2 2 2 2 34 3" xfId="41018" xr:uid="{E7CB1191-CE2C-4B24-8599-B9CFE5DB026A}"/>
    <cellStyle name="Normal 3 2 2 2 2 35" xfId="41021" xr:uid="{AB652A0B-E892-4C2E-BB3E-27D43FCC7525}"/>
    <cellStyle name="Normal 3 2 2 2 2 35 2" xfId="41023" xr:uid="{37DDEA51-1711-4558-92D2-0316F7930B49}"/>
    <cellStyle name="Normal 3 2 2 2 2 35 2 2" xfId="41025" xr:uid="{6A7458F4-8267-452A-99D3-A1CEDACC6E3C}"/>
    <cellStyle name="Normal 3 2 2 2 2 35 3" xfId="41027" xr:uid="{72D09E91-4F13-4527-9B86-AC2F9639F934}"/>
    <cellStyle name="Normal 3 2 2 2 2 36" xfId="41031" xr:uid="{86AE928E-C640-452B-AB57-B972050350C7}"/>
    <cellStyle name="Normal 3 2 2 2 2 36 2" xfId="41033" xr:uid="{4FBFBF51-407E-4202-996B-B7BAB97C187E}"/>
    <cellStyle name="Normal 3 2 2 2 2 36 2 2" xfId="41035" xr:uid="{FB4E6F18-33B5-4183-8C74-098C7E0257C0}"/>
    <cellStyle name="Normal 3 2 2 2 2 36 3" xfId="41037" xr:uid="{7CAD3ACF-C096-459F-9E11-76A79DB83C83}"/>
    <cellStyle name="Normal 3 2 2 2 2 37" xfId="41039" xr:uid="{458E2266-C9A9-426A-830B-824A8CC65AAB}"/>
    <cellStyle name="Normal 3 2 2 2 2 37 2" xfId="41041" xr:uid="{B6C57F19-0562-480D-B2B2-8C064F427F7D}"/>
    <cellStyle name="Normal 3 2 2 2 2 37 2 2" xfId="41043" xr:uid="{5BC56373-A99F-4849-B6F2-808E4C828609}"/>
    <cellStyle name="Normal 3 2 2 2 2 37 3" xfId="41045" xr:uid="{393C79A1-3BEA-4DD9-B19E-ABC2DBFB43DC}"/>
    <cellStyle name="Normal 3 2 2 2 2 38" xfId="41047" xr:uid="{7653736A-3078-46CC-B1E4-FB4C9E2C1BAC}"/>
    <cellStyle name="Normal 3 2 2 2 2 38 2" xfId="41049" xr:uid="{15D08DDA-B472-4189-8B81-4819FDE4F5C8}"/>
    <cellStyle name="Normal 3 2 2 2 2 38 2 2" xfId="41051" xr:uid="{EE9E505B-006A-4554-8677-3417BF166A2F}"/>
    <cellStyle name="Normal 3 2 2 2 2 38 3" xfId="41053" xr:uid="{FFC4D6BE-86FB-4C8A-B59B-DC6BA50BACD3}"/>
    <cellStyle name="Normal 3 2 2 2 2 39" xfId="41055" xr:uid="{03438A85-315F-4307-9E65-D60330E9D184}"/>
    <cellStyle name="Normal 3 2 2 2 2 39 2" xfId="41057" xr:uid="{040CED86-3E8A-4611-8E45-73FB945EE498}"/>
    <cellStyle name="Normal 3 2 2 2 2 39 2 2" xfId="41059" xr:uid="{2E3A3B09-7F44-4BA7-841B-343D7991355D}"/>
    <cellStyle name="Normal 3 2 2 2 2 39 3" xfId="41061" xr:uid="{390E9FF5-0CF3-4CFA-BE9C-9971CAB71DC0}"/>
    <cellStyle name="Normal 3 2 2 2 2 4" xfId="33805" xr:uid="{8BA3A2C2-DBBC-42B4-B5BD-1A4E3C7733FE}"/>
    <cellStyle name="Normal 3 2 2 2 2 4 2" xfId="33808" xr:uid="{24691F9E-17E9-4988-B4DA-4EED863D8E6A}"/>
    <cellStyle name="Normal 3 2 2 2 2 4 2 2" xfId="33811" xr:uid="{B11EF73B-F83E-433D-A50B-46F034FA88EF}"/>
    <cellStyle name="Normal 3 2 2 2 2 4 2 2 2" xfId="41062" xr:uid="{4BDCCAE9-F69C-42CB-8632-1416BA64406E}"/>
    <cellStyle name="Normal 3 2 2 2 2 4 2 2 2 2" xfId="41063" xr:uid="{F2AD9643-F259-426A-88D0-224D6F4ADCC5}"/>
    <cellStyle name="Normal 3 2 2 2 2 4 2 2 2 2 2" xfId="41064" xr:uid="{502D1B01-DF12-4191-815B-E1845D43624D}"/>
    <cellStyle name="Normal 3 2 2 2 2 4 2 2 2 3" xfId="41065" xr:uid="{5DE65678-E45E-45D9-AB7A-E25C8293C014}"/>
    <cellStyle name="Normal 3 2 2 2 2 4 2 2 3" xfId="41066" xr:uid="{8E04E6E3-5F58-41D0-B729-E9DA4FDF3598}"/>
    <cellStyle name="Normal 3 2 2 2 2 4 2 2 3 2" xfId="41067" xr:uid="{F79C9BE0-4D84-4BFC-A699-6BB53020653B}"/>
    <cellStyle name="Normal 3 2 2 2 2 4 2 2 3 2 2" xfId="41068" xr:uid="{93D6BD9B-6F28-4D82-ACA8-058279FB05C5}"/>
    <cellStyle name="Normal 3 2 2 2 2 4 2 2 3 3" xfId="41069" xr:uid="{CEA589D4-FFEF-49C7-8E0A-F75D5C78C3C0}"/>
    <cellStyle name="Normal 3 2 2 2 2 4 2 2 4" xfId="41070" xr:uid="{26EC70AC-CB7B-4D91-87FF-684E2DB12230}"/>
    <cellStyle name="Normal 3 2 2 2 2 4 2 2 4 2" xfId="41071" xr:uid="{16148848-045E-442A-9B1A-73FBC8C5E2FE}"/>
    <cellStyle name="Normal 3 2 2 2 2 4 2 2 5" xfId="41072" xr:uid="{AD74763C-9469-4B82-98C7-A328AADDED89}"/>
    <cellStyle name="Normal 3 2 2 2 2 4 2 3" xfId="41073" xr:uid="{9876806F-C54A-4A37-89A8-FB2CC848C1F8}"/>
    <cellStyle name="Normal 3 2 2 2 2 4 2 3 2" xfId="41074" xr:uid="{7A3CA1E3-459E-4A73-8903-F480152AE802}"/>
    <cellStyle name="Normal 3 2 2 2 2 4 2 3 2 2" xfId="20058" xr:uid="{D4D2EF68-95B4-4AE5-BAB2-4B7447BED752}"/>
    <cellStyle name="Normal 3 2 2 2 2 4 2 3 3" xfId="41075" xr:uid="{4AC769DE-97C8-461B-8928-05DD4988E933}"/>
    <cellStyle name="Normal 3 2 2 2 2 4 2 4" xfId="41076" xr:uid="{D7C209B1-C0EF-4D43-ABCF-CA70DB9A8983}"/>
    <cellStyle name="Normal 3 2 2 2 2 4 2 4 2" xfId="41077" xr:uid="{E0EFA4F2-4681-4A41-988A-CC3C1A7D19DD}"/>
    <cellStyle name="Normal 3 2 2 2 2 4 2 4 2 2" xfId="41078" xr:uid="{C5DA2AF6-276B-4EC1-B8BF-DE13E5A460EC}"/>
    <cellStyle name="Normal 3 2 2 2 2 4 2 4 3" xfId="41079" xr:uid="{71E666C0-1361-4DCE-9379-8CEBC1A704D0}"/>
    <cellStyle name="Normal 3 2 2 2 2 4 2 5" xfId="41080" xr:uid="{EE4314D6-478B-47C4-A026-6114FFD5F84A}"/>
    <cellStyle name="Normal 3 2 2 2 2 4 2 5 2" xfId="41081" xr:uid="{E40F5722-2840-4F0A-B51B-DD0AA3589D63}"/>
    <cellStyle name="Normal 3 2 2 2 2 4 2 6" xfId="41082" xr:uid="{53DF7320-441F-4605-ABF8-419C0B82CF56}"/>
    <cellStyle name="Normal 3 2 2 2 2 4 3" xfId="33813" xr:uid="{074785CF-CE2F-44D4-B7BA-B374C02A804F}"/>
    <cellStyle name="Normal 3 2 2 2 2 4 3 2" xfId="41083" xr:uid="{E9F1F264-9414-46ED-8597-BA0E04F2EBD6}"/>
    <cellStyle name="Normal 3 2 2 2 2 4 3 2 2" xfId="41084" xr:uid="{E6386DE2-A508-49F2-917E-6033EE2ECC67}"/>
    <cellStyle name="Normal 3 2 2 2 2 4 3 2 2 2" xfId="41085" xr:uid="{E70DE2AA-5F30-403B-9763-910CC89033B4}"/>
    <cellStyle name="Normal 3 2 2 2 2 4 3 2 3" xfId="41086" xr:uid="{900A4A42-0631-4BEF-A2D7-6F037C6E6539}"/>
    <cellStyle name="Normal 3 2 2 2 2 4 3 3" xfId="41087" xr:uid="{273CE983-85DE-4007-86E0-D51B527C1A92}"/>
    <cellStyle name="Normal 3 2 2 2 2 4 3 3 2" xfId="41088" xr:uid="{3B3751DF-0E96-4843-9B9E-7625568E30D8}"/>
    <cellStyle name="Normal 3 2 2 2 2 4 3 3 2 2" xfId="41089" xr:uid="{7E86B634-6B4B-4FF9-AF37-F1A5A28B279F}"/>
    <cellStyle name="Normal 3 2 2 2 2 4 3 3 3" xfId="41090" xr:uid="{584B900A-4CCA-49E2-BB07-78B62B38FBA1}"/>
    <cellStyle name="Normal 3 2 2 2 2 4 3 4" xfId="41091" xr:uid="{D276B0A0-C51B-4913-A4BB-4EC23EE055E7}"/>
    <cellStyle name="Normal 3 2 2 2 2 4 3 4 2" xfId="41092" xr:uid="{B1CE58EE-BF5A-436B-A02C-1641044524E4}"/>
    <cellStyle name="Normal 3 2 2 2 2 4 3 5" xfId="41093" xr:uid="{69CA2430-0AE2-4051-A327-E3737A0CD4A7}"/>
    <cellStyle name="Normal 3 2 2 2 2 4 4" xfId="41094" xr:uid="{12AF4B3A-084E-47F7-9F92-50139A02C827}"/>
    <cellStyle name="Normal 3 2 2 2 2 4 4 2" xfId="41095" xr:uid="{17F6B6C8-D9BA-4790-836D-EBF4E7C9B71D}"/>
    <cellStyle name="Normal 3 2 2 2 2 4 4 2 2" xfId="41096" xr:uid="{968C5B65-46EA-48B5-BFD3-DAF275EE779F}"/>
    <cellStyle name="Normal 3 2 2 2 2 4 4 3" xfId="41097" xr:uid="{2A80EA02-A40F-4A99-BB52-4D4211DE4D01}"/>
    <cellStyle name="Normal 3 2 2 2 2 4 5" xfId="41098" xr:uid="{0A40B3B4-5C2A-4079-8E84-C6F79EAA994C}"/>
    <cellStyle name="Normal 3 2 2 2 2 4 5 2" xfId="41099" xr:uid="{0D0FF498-910B-49E6-8E75-9D11F11EF65B}"/>
    <cellStyle name="Normal 3 2 2 2 2 4 5 2 2" xfId="41100" xr:uid="{31498277-D499-470D-A004-DD7CB1713025}"/>
    <cellStyle name="Normal 3 2 2 2 2 4 5 3" xfId="41101" xr:uid="{C6086203-F753-4DF5-8676-F3BE1E3F2AB0}"/>
    <cellStyle name="Normal 3 2 2 2 2 4 6" xfId="41102" xr:uid="{CFDE6854-9DCB-49FC-AF6D-6B8495EB006C}"/>
    <cellStyle name="Normal 3 2 2 2 2 4 6 2" xfId="41103" xr:uid="{32032133-F1D1-45A3-B219-B4866065928D}"/>
    <cellStyle name="Normal 3 2 2 2 2 4 7" xfId="41104" xr:uid="{74BB101C-CA89-4286-929D-06C3A882DD11}"/>
    <cellStyle name="Normal 3 2 2 2 2 40" xfId="41020" xr:uid="{5A99B729-6CF1-4484-8E81-2C42081D034E}"/>
    <cellStyle name="Normal 3 2 2 2 2 40 2" xfId="41022" xr:uid="{6C0F0EEB-65CF-4F5A-A80E-78B59AA0B547}"/>
    <cellStyle name="Normal 3 2 2 2 2 40 2 2" xfId="41024" xr:uid="{EF9D2CBB-7763-4BE8-90A2-6992D418AA07}"/>
    <cellStyle name="Normal 3 2 2 2 2 40 3" xfId="41026" xr:uid="{20E00C5A-7826-4733-B9FF-D5F144529B62}"/>
    <cellStyle name="Normal 3 2 2 2 2 41" xfId="41030" xr:uid="{AF19A422-C6EB-461D-BD16-C8CEC0958D2C}"/>
    <cellStyle name="Normal 3 2 2 2 2 41 2" xfId="41032" xr:uid="{53F84938-0D22-45E5-A4C3-3E7E23EE339F}"/>
    <cellStyle name="Normal 3 2 2 2 2 41 2 2" xfId="41034" xr:uid="{F99464DF-92F7-4482-8C43-C81803BD7BCF}"/>
    <cellStyle name="Normal 3 2 2 2 2 41 3" xfId="41036" xr:uid="{EFA4190D-FA63-487E-8EA9-C222CB09CA13}"/>
    <cellStyle name="Normal 3 2 2 2 2 42" xfId="41038" xr:uid="{E4029B58-482F-4BEA-A6B1-42C4C16B8405}"/>
    <cellStyle name="Normal 3 2 2 2 2 42 2" xfId="41040" xr:uid="{2B01FB16-FD77-48C7-8CC5-419E0D30BB15}"/>
    <cellStyle name="Normal 3 2 2 2 2 42 2 2" xfId="41042" xr:uid="{90911049-0538-42C4-9E3B-5EF5D0909E65}"/>
    <cellStyle name="Normal 3 2 2 2 2 42 3" xfId="41044" xr:uid="{0C36D10B-0AA7-4D1B-BAF0-A679B275E6FA}"/>
    <cellStyle name="Normal 3 2 2 2 2 43" xfId="41046" xr:uid="{5999A0DE-836C-470A-B3A7-7366FEDB6A87}"/>
    <cellStyle name="Normal 3 2 2 2 2 43 2" xfId="41048" xr:uid="{3B31914A-15AE-4A3E-81F5-769F8A8F4C7A}"/>
    <cellStyle name="Normal 3 2 2 2 2 43 2 2" xfId="41050" xr:uid="{62F33847-35AE-4401-96AB-D1AB834EF178}"/>
    <cellStyle name="Normal 3 2 2 2 2 43 3" xfId="41052" xr:uid="{EDFE5AC5-DCCD-4D1B-A12B-A2839EE6C4AD}"/>
    <cellStyle name="Normal 3 2 2 2 2 44" xfId="41054" xr:uid="{3592D308-87D5-492E-B7D6-9B1C6F624A0F}"/>
    <cellStyle name="Normal 3 2 2 2 2 44 2" xfId="41056" xr:uid="{55747FCC-1233-4BC9-B782-2B5E04092EFC}"/>
    <cellStyle name="Normal 3 2 2 2 2 44 2 2" xfId="41058" xr:uid="{29AE18A5-81CC-43D4-836C-C74C78806526}"/>
    <cellStyle name="Normal 3 2 2 2 2 44 3" xfId="41060" xr:uid="{493481C2-017E-46B8-BDCE-92EF7B6E5F0C}"/>
    <cellStyle name="Normal 3 2 2 2 2 45" xfId="41106" xr:uid="{8EA208AE-86C0-40A3-8AAE-F524CC84F439}"/>
    <cellStyle name="Normal 3 2 2 2 2 45 2" xfId="41108" xr:uid="{A0560933-8C9E-4150-A2A6-70501FFFB8D4}"/>
    <cellStyle name="Normal 3 2 2 2 2 45 2 2" xfId="41110" xr:uid="{329F835A-D2D1-4A7D-8327-10BA21D2FF36}"/>
    <cellStyle name="Normal 3 2 2 2 2 45 3" xfId="41112" xr:uid="{EBBB0980-3913-4ADD-9A0F-3F72F503CFE2}"/>
    <cellStyle name="Normal 3 2 2 2 2 46" xfId="41114" xr:uid="{0FCEEA2F-5586-4553-BD64-9D628BCC519B}"/>
    <cellStyle name="Normal 3 2 2 2 2 46 2" xfId="41116" xr:uid="{164909F1-3C98-4488-8A11-CED909F2C7BB}"/>
    <cellStyle name="Normal 3 2 2 2 2 46 2 2" xfId="41118" xr:uid="{CF027B2A-E508-4858-BF9A-B80284AC5D5B}"/>
    <cellStyle name="Normal 3 2 2 2 2 46 3" xfId="41120" xr:uid="{4424D79C-C91B-4315-BCB6-4EAD6CA71167}"/>
    <cellStyle name="Normal 3 2 2 2 2 47" xfId="41122" xr:uid="{B844F420-D08C-490F-8224-CDF66AA73DB9}"/>
    <cellStyle name="Normal 3 2 2 2 2 47 2" xfId="41124" xr:uid="{A0F84EAF-C155-4444-A3CD-09CB735280A4}"/>
    <cellStyle name="Normal 3 2 2 2 2 47 2 2" xfId="41126" xr:uid="{932D1631-FC4C-4728-B15C-3E1A59A929C2}"/>
    <cellStyle name="Normal 3 2 2 2 2 47 3" xfId="41128" xr:uid="{8798757E-B127-4980-AEE6-06F3179CFEDD}"/>
    <cellStyle name="Normal 3 2 2 2 2 48" xfId="41130" xr:uid="{6008B89C-8F23-41E3-9209-6F12BFF16D9D}"/>
    <cellStyle name="Normal 3 2 2 2 2 48 2" xfId="41132" xr:uid="{E1408A70-131C-40EB-A0DF-769B095ABAF1}"/>
    <cellStyle name="Normal 3 2 2 2 2 48 2 2" xfId="41134" xr:uid="{95389CD6-DA61-46BD-8897-311ECA901FB6}"/>
    <cellStyle name="Normal 3 2 2 2 2 48 3" xfId="41136" xr:uid="{8C6BE77A-EC2C-43DC-9E34-DD91F40D877A}"/>
    <cellStyle name="Normal 3 2 2 2 2 49" xfId="41138" xr:uid="{2783CA96-5F99-4C9D-915B-A1FCB0B0C121}"/>
    <cellStyle name="Normal 3 2 2 2 2 49 2" xfId="41140" xr:uid="{53861D91-AC3D-4CF8-B956-BB23BE65C993}"/>
    <cellStyle name="Normal 3 2 2 2 2 49 2 2" xfId="41142" xr:uid="{F41333D2-EE32-47DB-A194-D9B91DCC3B64}"/>
    <cellStyle name="Normal 3 2 2 2 2 49 3" xfId="41144" xr:uid="{4E6BF6AF-1D6C-4037-B3E6-5F11E5B28E35}"/>
    <cellStyle name="Normal 3 2 2 2 2 5" xfId="27321" xr:uid="{ED02CC7F-420E-4CD6-BDBD-FBD00C333C47}"/>
    <cellStyle name="Normal 3 2 2 2 2 5 2" xfId="27326" xr:uid="{0918942B-257C-46B8-AB67-8457224616BC}"/>
    <cellStyle name="Normal 3 2 2 2 2 5 2 2" xfId="41145" xr:uid="{0A6FC0C0-69E1-4702-BB14-1E6F87AC5CFF}"/>
    <cellStyle name="Normal 3 2 2 2 2 5 2 2 2" xfId="41146" xr:uid="{5D2FE43B-787B-4865-9969-D7CC7211DAE9}"/>
    <cellStyle name="Normal 3 2 2 2 2 5 2 2 2 2" xfId="41147" xr:uid="{80282B4B-4AC4-4AAE-A31A-AADCF890DF8E}"/>
    <cellStyle name="Normal 3 2 2 2 2 5 2 2 3" xfId="41148" xr:uid="{1488A6B5-846C-4ACF-830F-B445EE30F4FF}"/>
    <cellStyle name="Normal 3 2 2 2 2 5 2 3" xfId="2502" xr:uid="{CC1D843D-FB5C-4A43-82CE-A88FDD6AADDA}"/>
    <cellStyle name="Normal 3 2 2 2 2 5 2 3 2" xfId="41149" xr:uid="{942A5233-F5B0-4475-8BF0-8532EFEC322A}"/>
    <cellStyle name="Normal 3 2 2 2 2 5 2 3 2 2" xfId="41150" xr:uid="{17E382A8-B297-4ACC-9770-A88FBF78EE13}"/>
    <cellStyle name="Normal 3 2 2 2 2 5 2 3 3" xfId="41151" xr:uid="{A74263E4-C90A-4D7D-A05B-83D4BE2503A2}"/>
    <cellStyle name="Normal 3 2 2 2 2 5 2 4" xfId="41152" xr:uid="{25345A1A-2437-41DF-9DB6-9318C418C240}"/>
    <cellStyle name="Normal 3 2 2 2 2 5 2 4 2" xfId="41153" xr:uid="{F3D5ED07-FF3D-4204-8106-4A7912097A19}"/>
    <cellStyle name="Normal 3 2 2 2 2 5 2 5" xfId="41154" xr:uid="{20FD0EEB-39BE-4899-BC5C-40F3418572D0}"/>
    <cellStyle name="Normal 3 2 2 2 2 5 3" xfId="41155" xr:uid="{BBEF5034-8F13-4607-BDEB-802BF2692BDA}"/>
    <cellStyle name="Normal 3 2 2 2 2 5 3 2" xfId="41156" xr:uid="{8A434323-9F65-46FB-A172-1C8F84BE5020}"/>
    <cellStyle name="Normal 3 2 2 2 2 5 3 2 2" xfId="41157" xr:uid="{EF930028-83D7-4BB0-8E8D-C1FD17D6D893}"/>
    <cellStyle name="Normal 3 2 2 2 2 5 3 3" xfId="41158" xr:uid="{91D8B6CA-78C2-435A-86D6-2E2DC78DCD59}"/>
    <cellStyle name="Normal 3 2 2 2 2 5 4" xfId="41159" xr:uid="{87C2DC4F-6D34-4CF1-B44A-259E86F213DF}"/>
    <cellStyle name="Normal 3 2 2 2 2 5 4 2" xfId="41160" xr:uid="{577A98F8-510C-4722-AF53-39AD652EF957}"/>
    <cellStyle name="Normal 3 2 2 2 2 5 4 2 2" xfId="41161" xr:uid="{9D5162B8-AAA2-4E50-ACB7-A2456D9B83DB}"/>
    <cellStyle name="Normal 3 2 2 2 2 5 4 3" xfId="41162" xr:uid="{62ACB5FC-DB58-493D-8DB9-FCB355B77913}"/>
    <cellStyle name="Normal 3 2 2 2 2 5 5" xfId="41163" xr:uid="{CA591E3D-F3A3-4A2C-92B0-E5E1552BE715}"/>
    <cellStyle name="Normal 3 2 2 2 2 5 5 2" xfId="41164" xr:uid="{38290D03-DC9B-46E4-B347-8A45AD25DA54}"/>
    <cellStyle name="Normal 3 2 2 2 2 5 6" xfId="41165" xr:uid="{991E8F73-13B1-4535-A94C-03AAED45C353}"/>
    <cellStyle name="Normal 3 2 2 2 2 50" xfId="41105" xr:uid="{FA117A7F-ED54-47C9-9C2C-D5B49288BEB0}"/>
    <cellStyle name="Normal 3 2 2 2 2 50 2" xfId="41107" xr:uid="{89A1D21D-5130-430A-9FB0-4023F7FC3ADE}"/>
    <cellStyle name="Normal 3 2 2 2 2 50 2 2" xfId="41109" xr:uid="{02AA5B72-2875-4717-BF86-6424758C4E53}"/>
    <cellStyle name="Normal 3 2 2 2 2 50 3" xfId="41111" xr:uid="{394078A7-D4DA-446A-876D-6BA3D52A370F}"/>
    <cellStyle name="Normal 3 2 2 2 2 51" xfId="41113" xr:uid="{A6C8B343-6C4C-4B7B-BCA1-5CB5EAE4A5E8}"/>
    <cellStyle name="Normal 3 2 2 2 2 51 2" xfId="41115" xr:uid="{51CD4EE6-4A6D-4B63-90B7-57FE1994A064}"/>
    <cellStyle name="Normal 3 2 2 2 2 51 2 2" xfId="41117" xr:uid="{59ADE080-C0B1-48C8-BF3E-5C9C51990642}"/>
    <cellStyle name="Normal 3 2 2 2 2 51 3" xfId="41119" xr:uid="{D85A11B0-042A-4BB5-B983-530903E851E7}"/>
    <cellStyle name="Normal 3 2 2 2 2 52" xfId="41121" xr:uid="{46C9DAAD-13B3-485C-907B-9D04CC92B4B8}"/>
    <cellStyle name="Normal 3 2 2 2 2 52 2" xfId="41123" xr:uid="{D9B8B9C5-1CE8-4E01-836F-2D145F9722E0}"/>
    <cellStyle name="Normal 3 2 2 2 2 52 2 2" xfId="41125" xr:uid="{C369AFD9-F8B6-49BE-813C-BCE05F3F4563}"/>
    <cellStyle name="Normal 3 2 2 2 2 52 3" xfId="41127" xr:uid="{03FBD064-E82B-4ACA-BEB1-1A6341D096F0}"/>
    <cellStyle name="Normal 3 2 2 2 2 53" xfId="41129" xr:uid="{D15968E4-2C74-4CCD-8E83-1A8B760DDCF0}"/>
    <cellStyle name="Normal 3 2 2 2 2 53 2" xfId="41131" xr:uid="{2564C5A7-7661-444B-B517-5EAC0B5F0320}"/>
    <cellStyle name="Normal 3 2 2 2 2 53 2 2" xfId="41133" xr:uid="{59507767-CF05-4387-A405-564D4F781AFE}"/>
    <cellStyle name="Normal 3 2 2 2 2 53 3" xfId="41135" xr:uid="{1B2F0525-3FD4-459F-9BBA-CC9A27B27137}"/>
    <cellStyle name="Normal 3 2 2 2 2 54" xfId="41137" xr:uid="{57353609-B108-44D4-81AC-E0F857457EE4}"/>
    <cellStyle name="Normal 3 2 2 2 2 54 2" xfId="41139" xr:uid="{49CBF01F-8683-418F-94CE-2B57A474A178}"/>
    <cellStyle name="Normal 3 2 2 2 2 54 2 2" xfId="41141" xr:uid="{6F7E01D1-193F-4765-80BD-B46AAD1F3DE6}"/>
    <cellStyle name="Normal 3 2 2 2 2 54 3" xfId="41143" xr:uid="{34DCA903-4DDA-4B1E-B991-6AA28E853DA7}"/>
    <cellStyle name="Normal 3 2 2 2 2 55" xfId="41167" xr:uid="{E6AEB2B4-A4FE-44AD-93B1-68BE3D14EB38}"/>
    <cellStyle name="Normal 3 2 2 2 2 55 2" xfId="41169" xr:uid="{0E0E481D-4706-40B0-BF8B-23ACBC7594E1}"/>
    <cellStyle name="Normal 3 2 2 2 2 55 2 2" xfId="41171" xr:uid="{E2D816E3-222F-4C4D-B671-F03B27E02C8B}"/>
    <cellStyle name="Normal 3 2 2 2 2 55 3" xfId="41173" xr:uid="{3B6C35EE-4A55-43BD-A90B-9F7900C3A947}"/>
    <cellStyle name="Normal 3 2 2 2 2 56" xfId="41175" xr:uid="{7E3D613D-C5CA-45E5-958B-4E5E6A6B9E36}"/>
    <cellStyle name="Normal 3 2 2 2 2 56 2" xfId="41177" xr:uid="{40D91658-DA34-4331-81CC-2C37FFC4F848}"/>
    <cellStyle name="Normal 3 2 2 2 2 56 2 2" xfId="28899" xr:uid="{FC1B9F29-6A5A-4BC2-AE26-DDACEA059BCA}"/>
    <cellStyle name="Normal 3 2 2 2 2 56 3" xfId="27592" xr:uid="{8C1C962C-E7C5-4EA2-AECA-06BECBC5200B}"/>
    <cellStyle name="Normal 3 2 2 2 2 57" xfId="41179" xr:uid="{0595EC42-62C2-486A-9239-D5605074E1BA}"/>
    <cellStyle name="Normal 3 2 2 2 2 57 2" xfId="41181" xr:uid="{1EE118D6-BC0D-406F-9DA4-967A9C784F51}"/>
    <cellStyle name="Normal 3 2 2 2 2 57 2 2" xfId="41183" xr:uid="{079C5FC9-4D65-401E-8FE6-E6F76714D9D5}"/>
    <cellStyle name="Normal 3 2 2 2 2 57 3" xfId="31216" xr:uid="{3B90531D-9DBC-4DA0-8179-E48AF10EDFB4}"/>
    <cellStyle name="Normal 3 2 2 2 2 58" xfId="41185" xr:uid="{5888AE58-0F57-4ACA-AA2C-8867FE3A9ECC}"/>
    <cellStyle name="Normal 3 2 2 2 2 58 2" xfId="41187" xr:uid="{DE671179-8AF8-4438-9EA0-14B6F81D0A81}"/>
    <cellStyle name="Normal 3 2 2 2 2 58 2 2" xfId="41189" xr:uid="{15B4114D-D097-4A06-9A97-F9745D7192E8}"/>
    <cellStyle name="Normal 3 2 2 2 2 58 3" xfId="41191" xr:uid="{591B5C42-15C7-4356-8A7C-B0BB714BDE54}"/>
    <cellStyle name="Normal 3 2 2 2 2 59" xfId="41193" xr:uid="{467083E7-B800-438C-959E-920FEA15DFB6}"/>
    <cellStyle name="Normal 3 2 2 2 2 59 2" xfId="41195" xr:uid="{0D318778-B263-4AFD-932D-C6F217EA3324}"/>
    <cellStyle name="Normal 3 2 2 2 2 59 2 2" xfId="41197" xr:uid="{C9453EA0-53AD-4D62-AA8B-6689053AD9C0}"/>
    <cellStyle name="Normal 3 2 2 2 2 59 3" xfId="41199" xr:uid="{C593C784-3E2A-4333-A665-216CA37CB8DB}"/>
    <cellStyle name="Normal 3 2 2 2 2 6" xfId="13468" xr:uid="{2FEF6F6B-7180-437D-A209-B9D5366BBFB0}"/>
    <cellStyle name="Normal 3 2 2 2 2 6 2" xfId="41201" xr:uid="{2A5E1862-7D87-44A5-B528-6C0B6AA746AE}"/>
    <cellStyle name="Normal 3 2 2 2 2 6 2 2" xfId="41203" xr:uid="{18F7E64C-48F3-46D3-928F-D4547061EA44}"/>
    <cellStyle name="Normal 3 2 2 2 2 6 2 2 2" xfId="41205" xr:uid="{5A3DA0BD-2666-4718-972E-C174A6C89A4B}"/>
    <cellStyle name="Normal 3 2 2 2 2 6 2 3" xfId="41207" xr:uid="{2640E77C-B2A2-43F5-8CD7-6EAB5FA7FA71}"/>
    <cellStyle name="Normal 3 2 2 2 2 6 3" xfId="41209" xr:uid="{F2DBC074-ED9F-4980-B0AD-77C260C404D3}"/>
    <cellStyle name="Normal 3 2 2 2 2 6 3 2" xfId="41211" xr:uid="{191487DE-ADB4-41EB-B4BB-35D0F4AE40FA}"/>
    <cellStyle name="Normal 3 2 2 2 2 6 3 2 2" xfId="41213" xr:uid="{6E033726-B02B-4420-8C35-2BD2884A1E21}"/>
    <cellStyle name="Normal 3 2 2 2 2 6 3 3" xfId="41215" xr:uid="{A6140EC2-B795-4BD4-B623-4959C9D9330C}"/>
    <cellStyle name="Normal 3 2 2 2 2 6 4" xfId="41217" xr:uid="{B8ADDF4A-59AA-4384-AA8B-16C1CF43E3DA}"/>
    <cellStyle name="Normal 3 2 2 2 2 6 4 2" xfId="41219" xr:uid="{67A93B26-41AF-478A-8AAC-879AA105FEAE}"/>
    <cellStyle name="Normal 3 2 2 2 2 6 5" xfId="41221" xr:uid="{5CDB417C-42B8-4AF4-AF8B-C2B258FB8670}"/>
    <cellStyle name="Normal 3 2 2 2 2 60" xfId="41166" xr:uid="{08AB3AE5-A3A8-4E8E-A77A-73585E3A0469}"/>
    <cellStyle name="Normal 3 2 2 2 2 60 2" xfId="41168" xr:uid="{1648C24F-ECAD-438D-BB66-D17DDC538CCD}"/>
    <cellStyle name="Normal 3 2 2 2 2 60 2 2" xfId="41170" xr:uid="{AD9BDF62-8EEC-41E9-9255-D8D7EC5DCD9C}"/>
    <cellStyle name="Normal 3 2 2 2 2 60 3" xfId="41172" xr:uid="{21D259AF-24EC-43FF-899D-00AE89125E62}"/>
    <cellStyle name="Normal 3 2 2 2 2 61" xfId="41174" xr:uid="{15BAA0D8-8155-4AF6-B322-FE42B84EBA34}"/>
    <cellStyle name="Normal 3 2 2 2 2 61 2" xfId="41176" xr:uid="{EB390C2A-F27A-4D8D-9AC1-141279E23F7E}"/>
    <cellStyle name="Normal 3 2 2 2 2 61 2 2" xfId="28898" xr:uid="{E8AF47FC-3B15-43AB-B7D6-1F414AF59BB2}"/>
    <cellStyle name="Normal 3 2 2 2 2 61 3" xfId="27591" xr:uid="{7FE228C5-B76F-45E4-9CEA-B923899F1B33}"/>
    <cellStyle name="Normal 3 2 2 2 2 62" xfId="41178" xr:uid="{33147A48-B855-4A51-9A1A-0139E1B62EAE}"/>
    <cellStyle name="Normal 3 2 2 2 2 62 2" xfId="41180" xr:uid="{05CF853D-854B-40CC-B0B8-69E135E548DE}"/>
    <cellStyle name="Normal 3 2 2 2 2 62 2 2" xfId="41182" xr:uid="{8598057E-2DC1-4EDF-B0CA-3A31852CA687}"/>
    <cellStyle name="Normal 3 2 2 2 2 62 3" xfId="31215" xr:uid="{77C2A79B-973B-4BE8-816E-CFDF5B0B0D32}"/>
    <cellStyle name="Normal 3 2 2 2 2 63" xfId="41184" xr:uid="{E67632CB-1129-4CB8-8DDB-A8726F08EF3D}"/>
    <cellStyle name="Normal 3 2 2 2 2 63 2" xfId="41186" xr:uid="{9A1CF45C-D8BE-42E3-B4E9-D8F1BD2FFC39}"/>
    <cellStyle name="Normal 3 2 2 2 2 63 2 2" xfId="41188" xr:uid="{384DF78E-A50D-4F22-9E48-254BCC4B6814}"/>
    <cellStyle name="Normal 3 2 2 2 2 63 3" xfId="41190" xr:uid="{D17438D1-C66D-4A1C-9248-E61E682DB3C1}"/>
    <cellStyle name="Normal 3 2 2 2 2 64" xfId="41192" xr:uid="{47EB2684-CB92-438B-BFFC-597FF201A00D}"/>
    <cellStyle name="Normal 3 2 2 2 2 64 2" xfId="41194" xr:uid="{4EDAA9AD-1060-4AB6-9F9E-F59AA9A8DCD5}"/>
    <cellStyle name="Normal 3 2 2 2 2 64 2 2" xfId="41196" xr:uid="{B98B8ADE-51F3-42E1-BB02-B904A4FA9B7D}"/>
    <cellStyle name="Normal 3 2 2 2 2 64 3" xfId="41198" xr:uid="{3C0E044D-5836-4C0B-8C03-944C6EDC4CF4}"/>
    <cellStyle name="Normal 3 2 2 2 2 65" xfId="41222" xr:uid="{89CEB3AA-2486-4297-88BC-29BC002E9D5E}"/>
    <cellStyle name="Normal 3 2 2 2 2 65 2" xfId="41223" xr:uid="{DB4452F4-B822-4306-8B31-4EDEF114DAA1}"/>
    <cellStyle name="Normal 3 2 2 2 2 65 2 2" xfId="41224" xr:uid="{ABB8C091-4CEB-4750-BAB8-4A8E16A4F958}"/>
    <cellStyle name="Normal 3 2 2 2 2 65 3" xfId="41225" xr:uid="{A87DA798-403E-4A52-A01D-BD519A636858}"/>
    <cellStyle name="Normal 3 2 2 2 2 66" xfId="41226" xr:uid="{5320D067-72B1-401B-ABB6-298EFD5EF665}"/>
    <cellStyle name="Normal 3 2 2 2 2 66 2" xfId="41227" xr:uid="{1B28647C-7512-4014-8124-31D5092CB0D7}"/>
    <cellStyle name="Normal 3 2 2 2 2 67" xfId="41228" xr:uid="{1EA64E62-5976-4125-8555-A57842BA8B5F}"/>
    <cellStyle name="Normal 3 2 2 2 2 67 2" xfId="41229" xr:uid="{C5227DD9-575F-42C0-A740-3EA0AD95A79E}"/>
    <cellStyle name="Normal 3 2 2 2 2 68" xfId="41230" xr:uid="{A1FA8326-595F-448B-B648-238747BEB5FD}"/>
    <cellStyle name="Normal 3 2 2 2 2 68 2" xfId="16471" xr:uid="{995865D0-4B8F-43EE-96CB-169E1C045720}"/>
    <cellStyle name="Normal 3 2 2 2 2 69" xfId="41231" xr:uid="{4C501ED3-B858-41A0-85AD-5901A4423A93}"/>
    <cellStyle name="Normal 3 2 2 2 2 7" xfId="13476" xr:uid="{A49E9020-3A3E-41BD-B239-BBDD56FE38DC}"/>
    <cellStyle name="Normal 3 2 2 2 2 7 2" xfId="41233" xr:uid="{138A0B25-4C87-44F2-BFE9-6D8EFF6255B3}"/>
    <cellStyle name="Normal 3 2 2 2 2 7 2 2" xfId="41235" xr:uid="{07D2944F-AFEE-4F20-ABA1-CF7E603E4021}"/>
    <cellStyle name="Normal 3 2 2 2 2 7 3" xfId="41237" xr:uid="{0A2E827D-922A-43DB-9A2F-C88AE7645658}"/>
    <cellStyle name="Normal 3 2 2 2 2 8" xfId="41239" xr:uid="{C598EC07-2B98-4453-A1A3-E9232D7F300E}"/>
    <cellStyle name="Normal 3 2 2 2 2 8 2" xfId="41241" xr:uid="{1CD8B8C7-BABA-4026-B17D-BBFEDF21AB43}"/>
    <cellStyle name="Normal 3 2 2 2 2 8 2 2" xfId="41243" xr:uid="{A827BBC7-8939-4E11-BDA1-119528057EDF}"/>
    <cellStyle name="Normal 3 2 2 2 2 8 3" xfId="41245" xr:uid="{12C62691-0402-4863-99A1-DF55072C5477}"/>
    <cellStyle name="Normal 3 2 2 2 2 9" xfId="41247" xr:uid="{CE1FFCC0-4E8F-43C6-A59F-4970543D444B}"/>
    <cellStyle name="Normal 3 2 2 2 2 9 2" xfId="41249" xr:uid="{7E4B61D2-8832-4A0B-99D1-F67EC7AB5456}"/>
    <cellStyle name="Normal 3 2 2 2 2 9 2 2" xfId="41251" xr:uid="{D2A3D4C3-9BAD-41EF-A6C5-80BF0EF7D12B}"/>
    <cellStyle name="Normal 3 2 2 2 2 9 3" xfId="41253" xr:uid="{0791196F-4FE8-4254-BE61-B32B096A2FDB}"/>
    <cellStyle name="Normal 3 2 2 2 20" xfId="40561" xr:uid="{14BD1DE5-049D-4510-9DDD-280B9F380937}"/>
    <cellStyle name="Normal 3 2 2 2 21" xfId="40563" xr:uid="{E80519CB-EA2A-4B2E-B388-0E96887C1A50}"/>
    <cellStyle name="Normal 3 2 2 2 22" xfId="40565" xr:uid="{78BDE02F-78A8-4AEF-8569-0AD30337F7B4}"/>
    <cellStyle name="Normal 3 2 2 2 23" xfId="40567" xr:uid="{A9491E73-12AC-4C51-B2BC-0DB96D1E5516}"/>
    <cellStyle name="Normal 3 2 2 2 24" xfId="40569" xr:uid="{DC6233A1-5D53-4F0A-A7F9-2D70B3503A57}"/>
    <cellStyle name="Normal 3 2 2 2 25" xfId="41255" xr:uid="{EA6D8691-37FE-429D-ABC7-5B4FEEEF7866}"/>
    <cellStyle name="Normal 3 2 2 2 26" xfId="41257" xr:uid="{829166FD-A42C-40F0-A415-D01185F4305F}"/>
    <cellStyle name="Normal 3 2 2 2 27" xfId="41259" xr:uid="{729CBF23-2C25-40F6-9C52-9CE9F60208B4}"/>
    <cellStyle name="Normal 3 2 2 2 28" xfId="41261" xr:uid="{6B20D735-A13F-47DB-AA0D-9F9153E4025F}"/>
    <cellStyle name="Normal 3 2 2 2 29" xfId="41263" xr:uid="{5ADDA8DD-BAA3-4D80-ADFE-D19967BC712D}"/>
    <cellStyle name="Normal 3 2 2 2 3" xfId="33816" xr:uid="{CF7014EB-C318-4FFA-B3AF-D44B059E7D77}"/>
    <cellStyle name="Normal 3 2 2 2 3 2" xfId="33819" xr:uid="{3FA56C6E-1775-4281-94C0-4218BB0B9E89}"/>
    <cellStyle name="Normal 3 2 2 2 3 2 2" xfId="33822" xr:uid="{617699BE-CDAF-419E-9C79-E79C70CC263F}"/>
    <cellStyle name="Normal 3 2 2 2 3 2 2 2" xfId="33825" xr:uid="{DD53D18A-4B29-4442-B60B-56C5A65159D8}"/>
    <cellStyle name="Normal 3 2 2 2 3 2 2 2 2" xfId="33828" xr:uid="{559DB27E-62CB-468A-AA9B-B8B241386A0C}"/>
    <cellStyle name="Normal 3 2 2 2 3 2 2 2 2 2" xfId="41265" xr:uid="{7245DB98-29E5-42BC-8747-95CA3743C38B}"/>
    <cellStyle name="Normal 3 2 2 2 3 2 2 2 2 2 2" xfId="41267" xr:uid="{6FC6F340-439C-4AB5-98BB-B2F582DCD7E6}"/>
    <cellStyle name="Normal 3 2 2 2 3 2 2 2 2 3" xfId="5619" xr:uid="{96B67C5C-F8E4-4DC8-86F5-19A18C1C9A7F}"/>
    <cellStyle name="Normal 3 2 2 2 3 2 2 2 3" xfId="41268" xr:uid="{F5A2BD8B-20BE-4F26-AAE1-081F401916F3}"/>
    <cellStyle name="Normal 3 2 2 2 3 2 2 2 3 2" xfId="41270" xr:uid="{0BD8AB6A-5559-415C-9A13-36E04EC5C35D}"/>
    <cellStyle name="Normal 3 2 2 2 3 2 2 2 3 2 2" xfId="41272" xr:uid="{3B007B36-F1B4-4A69-A642-FDF039A3A903}"/>
    <cellStyle name="Normal 3 2 2 2 3 2 2 2 3 3" xfId="30" xr:uid="{865D8144-4345-4A10-8E6E-DA7828F30B05}"/>
    <cellStyle name="Normal 3 2 2 2 3 2 2 2 4" xfId="41273" xr:uid="{9803E5F7-EB54-40BE-B426-2DAEFD4D2382}"/>
    <cellStyle name="Normal 3 2 2 2 3 2 2 2 4 2" xfId="41275" xr:uid="{67DE7012-7AA1-4174-B140-369E9337AD5E}"/>
    <cellStyle name="Normal 3 2 2 2 3 2 2 2 5" xfId="41276" xr:uid="{C23F475F-468E-4439-9D1F-C7BAEE8A4117}"/>
    <cellStyle name="Normal 3 2 2 2 3 2 2 3" xfId="33830" xr:uid="{0D2FB763-38AD-452E-B7D2-0670A109B02E}"/>
    <cellStyle name="Normal 3 2 2 2 3 2 2 3 2" xfId="41277" xr:uid="{7E2533A2-E7B2-4638-A09D-3647B2C4587E}"/>
    <cellStyle name="Normal 3 2 2 2 3 2 2 3 2 2" xfId="41279" xr:uid="{A737F869-1F90-4375-8713-E9633D9938D4}"/>
    <cellStyle name="Normal 3 2 2 2 3 2 2 3 3" xfId="41280" xr:uid="{8A1D298F-778F-4C17-A4EC-F47B653CD1C4}"/>
    <cellStyle name="Normal 3 2 2 2 3 2 2 4" xfId="41281" xr:uid="{94D48020-2525-4616-B0D3-12F848B32E10}"/>
    <cellStyle name="Normal 3 2 2 2 3 2 2 4 2" xfId="41282" xr:uid="{4CCAC813-3824-4F1A-978B-3395B4BAE76C}"/>
    <cellStyle name="Normal 3 2 2 2 3 2 2 4 2 2" xfId="41284" xr:uid="{04D178CC-EC58-44DB-9D9C-13B1597D8C4C}"/>
    <cellStyle name="Normal 3 2 2 2 3 2 2 4 3" xfId="41285" xr:uid="{0FC581A6-6498-44E8-AC83-231B19D3087A}"/>
    <cellStyle name="Normal 3 2 2 2 3 2 2 5" xfId="41286" xr:uid="{5A57760F-2866-43FE-A127-72A8689455C4}"/>
    <cellStyle name="Normal 3 2 2 2 3 2 2 5 2" xfId="41287" xr:uid="{6C12A373-5034-4551-9A57-03D847DBC6C5}"/>
    <cellStyle name="Normal 3 2 2 2 3 2 2 6" xfId="41288" xr:uid="{39E54571-5038-4019-A646-9E10AB9332AD}"/>
    <cellStyle name="Normal 3 2 2 2 3 2 3" xfId="33832" xr:uid="{EEA3E402-45E9-4D70-8086-CF48D967CB1A}"/>
    <cellStyle name="Normal 3 2 2 2 3 2 3 2" xfId="33835" xr:uid="{6ACF56C7-7E43-43F3-806E-AD5B1143CFBD}"/>
    <cellStyle name="Normal 3 2 2 2 3 2 3 2 2" xfId="41289" xr:uid="{F781B38C-6265-4739-A321-3B9B66B15A41}"/>
    <cellStyle name="Normal 3 2 2 2 3 2 3 2 2 2" xfId="41291" xr:uid="{1331F807-5ADB-4B24-90E7-3C18BBE3907A}"/>
    <cellStyle name="Normal 3 2 2 2 3 2 3 2 3" xfId="41292" xr:uid="{4317252A-7364-4D50-BFE9-FB1F76FF42DB}"/>
    <cellStyle name="Normal 3 2 2 2 3 2 3 3" xfId="41293" xr:uid="{35DBCE08-8B34-41A2-9BB4-FA45DE56BBAB}"/>
    <cellStyle name="Normal 3 2 2 2 3 2 3 3 2" xfId="41294" xr:uid="{08A8A189-70AC-4241-9BCC-D9D202BE24C5}"/>
    <cellStyle name="Normal 3 2 2 2 3 2 3 3 2 2" xfId="41296" xr:uid="{EDED9198-3FC4-46EE-A294-9963719173DF}"/>
    <cellStyle name="Normal 3 2 2 2 3 2 3 3 3" xfId="41297" xr:uid="{5AFCDAF1-B3C3-4F90-B5D9-7A0975432D9B}"/>
    <cellStyle name="Normal 3 2 2 2 3 2 3 4" xfId="41298" xr:uid="{B4A13D88-A506-4100-BC39-323A2B51C924}"/>
    <cellStyle name="Normal 3 2 2 2 3 2 3 4 2" xfId="41299" xr:uid="{E5F11B40-BBD1-4AF4-A111-F646816B4ABB}"/>
    <cellStyle name="Normal 3 2 2 2 3 2 3 5" xfId="41300" xr:uid="{C2DBDCD0-04BA-4093-9986-64AF331ED944}"/>
    <cellStyle name="Normal 3 2 2 2 3 2 4" xfId="20833" xr:uid="{DBCE852D-0E01-495A-ADEE-F3A91D74E6CC}"/>
    <cellStyle name="Normal 3 2 2 2 3 2 4 2" xfId="41301" xr:uid="{81E17700-D269-48B0-82F8-19CAB57CBDED}"/>
    <cellStyle name="Normal 3 2 2 2 3 2 4 2 2" xfId="41302" xr:uid="{A2A0B49D-84AD-4B85-A234-74CA6AB9A347}"/>
    <cellStyle name="Normal 3 2 2 2 3 2 4 3" xfId="41303" xr:uid="{C400E2F3-0A39-4F23-8B85-F140AC51E66C}"/>
    <cellStyle name="Normal 3 2 2 2 3 2 5" xfId="41304" xr:uid="{1C603B1A-8C69-4878-A57B-19F1655C0DCB}"/>
    <cellStyle name="Normal 3 2 2 2 3 2 5 2" xfId="41305" xr:uid="{8A19306E-1EE8-4F45-B9B7-28A6241C409D}"/>
    <cellStyle name="Normal 3 2 2 2 3 2 5 2 2" xfId="41306" xr:uid="{12704F8D-5472-4143-94BA-59183A7473F6}"/>
    <cellStyle name="Normal 3 2 2 2 3 2 5 3" xfId="41307" xr:uid="{CEB8F15E-BCEB-434E-AF85-69F8F3F9FF57}"/>
    <cellStyle name="Normal 3 2 2 2 3 2 6" xfId="41308" xr:uid="{E7CA64E2-6603-43B2-87E9-98FCDC0B5D81}"/>
    <cellStyle name="Normal 3 2 2 2 3 2 6 2" xfId="41309" xr:uid="{30548606-B3CA-440C-BDA3-9245A318703F}"/>
    <cellStyle name="Normal 3 2 2 2 3 2 7" xfId="41310" xr:uid="{47FC00E0-27D1-4271-94D0-79ED25785E4F}"/>
    <cellStyle name="Normal 3 2 2 2 3 3" xfId="33837" xr:uid="{03243608-F3F8-4C2A-87C4-8E35C46EF30B}"/>
    <cellStyle name="Normal 3 2 2 2 3 3 2" xfId="10367" xr:uid="{F5605617-E0EF-490C-A8E1-415777CA440C}"/>
    <cellStyle name="Normal 3 2 2 2 3 3 2 2" xfId="10371" xr:uid="{8AB498D4-9FBE-4F37-B482-9E68811BAE45}"/>
    <cellStyle name="Normal 3 2 2 2 3 3 2 2 2" xfId="41311" xr:uid="{2C0DD31D-09B5-44B9-BABF-42F104B69219}"/>
    <cellStyle name="Normal 3 2 2 2 3 3 2 2 2 2" xfId="41312" xr:uid="{E60C03F3-4F8A-49F2-B1E4-5228FEE63490}"/>
    <cellStyle name="Normal 3 2 2 2 3 3 2 2 3" xfId="41313" xr:uid="{A079834D-5750-47A0-BD37-4A976626FDFB}"/>
    <cellStyle name="Normal 3 2 2 2 3 3 2 3" xfId="41314" xr:uid="{8F14ACB1-145E-42AD-A9A4-CA6C164F666F}"/>
    <cellStyle name="Normal 3 2 2 2 3 3 2 3 2" xfId="41315" xr:uid="{4A8C4BFF-9ECD-40CA-AD9E-17A57FCC5858}"/>
    <cellStyle name="Normal 3 2 2 2 3 3 2 3 2 2" xfId="20382" xr:uid="{3F67540A-6D4A-4045-B964-52131B1855EE}"/>
    <cellStyle name="Normal 3 2 2 2 3 3 2 3 3" xfId="41316" xr:uid="{D6A7B371-AED7-4EEA-A0B7-6BFB5BC750C8}"/>
    <cellStyle name="Normal 3 2 2 2 3 3 2 4" xfId="41317" xr:uid="{B2A2895C-6B0C-4C4A-B2A0-AD2EECF3FB2A}"/>
    <cellStyle name="Normal 3 2 2 2 3 3 2 4 2" xfId="41318" xr:uid="{2041B4C4-2EF8-4CCD-95A7-42ABF4F32EE5}"/>
    <cellStyle name="Normal 3 2 2 2 3 3 2 5" xfId="41319" xr:uid="{45BC8F7A-34AF-4901-92F1-74CD7BF35583}"/>
    <cellStyle name="Normal 3 2 2 2 3 3 3" xfId="10374" xr:uid="{214A6603-3276-4FA2-91A9-F08172848277}"/>
    <cellStyle name="Normal 3 2 2 2 3 3 3 2" xfId="41320" xr:uid="{9F000FA0-29AA-4068-9DD3-0A9EEB54CE8E}"/>
    <cellStyle name="Normal 3 2 2 2 3 3 3 2 2" xfId="41321" xr:uid="{7521F5B1-21F5-4454-8CE3-ECA9F4DE340B}"/>
    <cellStyle name="Normal 3 2 2 2 3 3 3 3" xfId="41322" xr:uid="{E88B6B4D-D3FE-49E3-A3AE-1518F2E41BD2}"/>
    <cellStyle name="Normal 3 2 2 2 3 3 4" xfId="41323" xr:uid="{F97817E4-ED31-4264-89FA-66521698CD33}"/>
    <cellStyle name="Normal 3 2 2 2 3 3 4 2" xfId="41324" xr:uid="{8234A391-6446-44B3-AE8D-A717F20F443A}"/>
    <cellStyle name="Normal 3 2 2 2 3 3 4 2 2" xfId="41325" xr:uid="{A42E088B-1BFA-4C7E-8135-9CB6E1C5C67A}"/>
    <cellStyle name="Normal 3 2 2 2 3 3 4 3" xfId="41326" xr:uid="{AFEC1CC0-15BD-42EF-82A1-1CA60B5E1035}"/>
    <cellStyle name="Normal 3 2 2 2 3 3 5" xfId="41327" xr:uid="{FAEDEF5D-8B13-4187-A67E-EDE47DAC6D58}"/>
    <cellStyle name="Normal 3 2 2 2 3 3 5 2" xfId="41328" xr:uid="{05CB5392-4130-4B49-8BB5-698713981E2D}"/>
    <cellStyle name="Normal 3 2 2 2 3 3 6" xfId="2214" xr:uid="{900FE5A2-6A6E-4DB8-895E-242218ACA6EE}"/>
    <cellStyle name="Normal 3 2 2 2 3 4" xfId="33840" xr:uid="{F5AB74FA-7A8F-4E6B-967B-05A3EE262A77}"/>
    <cellStyle name="Normal 3 2 2 2 3 4 2" xfId="33843" xr:uid="{AE95AB32-9627-4BA7-BE3E-4049099FC451}"/>
    <cellStyle name="Normal 3 2 2 2 3 4 2 2" xfId="41329" xr:uid="{58D4EAA4-A94E-40E2-9C72-903AE82747A1}"/>
    <cellStyle name="Normal 3 2 2 2 3 4 2 2 2" xfId="41330" xr:uid="{7EFD7BB4-BC13-4AE6-9170-4B36F516E158}"/>
    <cellStyle name="Normal 3 2 2 2 3 4 2 3" xfId="41331" xr:uid="{E4287F22-9059-495D-A73A-C79EB8A95D85}"/>
    <cellStyle name="Normal 3 2 2 2 3 4 3" xfId="41332" xr:uid="{EF58AE52-2F26-49BB-B26A-18C2E40D48F2}"/>
    <cellStyle name="Normal 3 2 2 2 3 4 3 2" xfId="41333" xr:uid="{706E31AC-1E3F-42D0-BB0B-8242994D0C26}"/>
    <cellStyle name="Normal 3 2 2 2 3 4 3 2 2" xfId="41334" xr:uid="{5A3F6B34-9C7A-4433-9AA0-D9A181F903D6}"/>
    <cellStyle name="Normal 3 2 2 2 3 4 3 3" xfId="41335" xr:uid="{7C245F6D-30EF-47A9-B4C8-3D3C298239DA}"/>
    <cellStyle name="Normal 3 2 2 2 3 4 4" xfId="41336" xr:uid="{50CA4AED-A99B-4D50-8E13-D88B27AC7EAD}"/>
    <cellStyle name="Normal 3 2 2 2 3 4 4 2" xfId="41337" xr:uid="{FA59AF8B-6CD8-47AE-8EA9-77936B71E200}"/>
    <cellStyle name="Normal 3 2 2 2 3 4 5" xfId="41338" xr:uid="{8C3B3450-A9AB-41D9-9D17-82421B857147}"/>
    <cellStyle name="Normal 3 2 2 2 3 5" xfId="27331" xr:uid="{57F6C420-3686-4544-B369-971A1797F9E4}"/>
    <cellStyle name="Normal 3 2 2 2 3 5 2" xfId="41339" xr:uid="{E18524EC-E635-421D-8F56-49225114B2BB}"/>
    <cellStyle name="Normal 3 2 2 2 3 5 2 2" xfId="41340" xr:uid="{36A2C6B2-806C-4808-9CFD-BAEEA7F998EF}"/>
    <cellStyle name="Normal 3 2 2 2 3 5 3" xfId="41341" xr:uid="{4D678203-0CC2-4AFE-9DC7-A6B2F336D338}"/>
    <cellStyle name="Normal 3 2 2 2 3 6" xfId="41343" xr:uid="{73456791-ED74-4371-B24D-D83B6C43F8E8}"/>
    <cellStyle name="Normal 3 2 2 2 3 6 2" xfId="41345" xr:uid="{4B541667-66CF-468D-AE94-B306611C9074}"/>
    <cellStyle name="Normal 3 2 2 2 3 6 2 2" xfId="41347" xr:uid="{9A1B4A64-80D2-4A37-B1C3-832442A2C8E0}"/>
    <cellStyle name="Normal 3 2 2 2 3 6 3" xfId="41349" xr:uid="{F7E9247B-017F-4CB5-9436-C74A21969F46}"/>
    <cellStyle name="Normal 3 2 2 2 3 7" xfId="41351" xr:uid="{2F26FCC8-C6DD-457C-A28F-71C00EC56A55}"/>
    <cellStyle name="Normal 3 2 2 2 3 7 2" xfId="41353" xr:uid="{CFA27F8E-0002-4178-87F2-D1E40D8CFF57}"/>
    <cellStyle name="Normal 3 2 2 2 3 8" xfId="41355" xr:uid="{69AA8B75-993D-4EE2-AD7F-999D206D78DC}"/>
    <cellStyle name="Normal 3 2 2 2 30" xfId="41254" xr:uid="{5C148376-2CCA-4A83-832D-455FE23BF789}"/>
    <cellStyle name="Normal 3 2 2 2 31" xfId="41256" xr:uid="{DB2B2EC7-AE20-44DF-AE7B-F0F39D70C9FF}"/>
    <cellStyle name="Normal 3 2 2 2 32" xfId="41258" xr:uid="{4119BF72-CE89-4A75-9DDC-C623325A5CE6}"/>
    <cellStyle name="Normal 3 2 2 2 33" xfId="41260" xr:uid="{76F15BBF-05A8-40C8-8425-79B882D1C4A6}"/>
    <cellStyle name="Normal 3 2 2 2 34" xfId="41262" xr:uid="{02E63B80-2B53-4A1E-BA10-06BA0FBDE8F4}"/>
    <cellStyle name="Normal 3 2 2 2 35" xfId="41357" xr:uid="{78A82203-D8AE-4FA6-A560-62D315C2DC81}"/>
    <cellStyle name="Normal 3 2 2 2 36" xfId="41359" xr:uid="{3CE291D4-A15D-4913-B096-9B818093C359}"/>
    <cellStyle name="Normal 3 2 2 2 37" xfId="41361" xr:uid="{6CA1EDB4-EA70-48B5-92ED-3E39B7CF7235}"/>
    <cellStyle name="Normal 3 2 2 2 38" xfId="41363" xr:uid="{2292093F-3309-4C17-BD0F-7AA20214E327}"/>
    <cellStyle name="Normal 3 2 2 2 39" xfId="41365" xr:uid="{634EF0EC-EB2D-4FDD-A86D-92595F666811}"/>
    <cellStyle name="Normal 3 2 2 2 4" xfId="14282" xr:uid="{D943E22F-BE67-42E9-BB7C-B108984A3C68}"/>
    <cellStyle name="Normal 3 2 2 2 4 2" xfId="29126" xr:uid="{574970DD-C6D5-4606-AE1D-E46A7D185C19}"/>
    <cellStyle name="Normal 3 2 2 2 4 2 2" xfId="26243" xr:uid="{37060B9A-DC07-4608-A0D5-E4EEFFD8836D}"/>
    <cellStyle name="Normal 3 2 2 2 4 2 2 2" xfId="26249" xr:uid="{A1C447E6-5781-4129-95DE-4FA3AEC68F8B}"/>
    <cellStyle name="Normal 3 2 2 2 4 2 2 2 2" xfId="41366" xr:uid="{CC06D01C-4D4D-44E8-A48A-E86731FA2059}"/>
    <cellStyle name="Normal 3 2 2 2 4 2 2 2 2 2" xfId="41367" xr:uid="{418D2074-48AF-4017-A1A9-4CAA2E36C24D}"/>
    <cellStyle name="Normal 3 2 2 2 4 2 2 2 2 2 2" xfId="41368" xr:uid="{B58BEC9B-538B-412E-B76B-589DEB3B71FC}"/>
    <cellStyle name="Normal 3 2 2 2 4 2 2 2 2 3" xfId="7101" xr:uid="{4D940DA0-AC2C-4E89-9BF1-9108AABD6BBD}"/>
    <cellStyle name="Normal 3 2 2 2 4 2 2 2 3" xfId="41369" xr:uid="{5AAE7583-C621-4477-8B64-E0861E9BEDDD}"/>
    <cellStyle name="Normal 3 2 2 2 4 2 2 2 3 2" xfId="41370" xr:uid="{1BC56F51-CD7F-41DB-A2D8-676A828A4BD0}"/>
    <cellStyle name="Normal 3 2 2 2 4 2 2 2 3 2 2" xfId="41371" xr:uid="{67910787-63B3-4AE2-9007-3D04123E0CF8}"/>
    <cellStyle name="Normal 3 2 2 2 4 2 2 2 3 3" xfId="7115" xr:uid="{9DEF58E3-5CF4-48ED-A86D-D2FEE4AF9C05}"/>
    <cellStyle name="Normal 3 2 2 2 4 2 2 2 4" xfId="41372" xr:uid="{D7EB0F75-D889-4F36-95EA-C7156C0EAE01}"/>
    <cellStyle name="Normal 3 2 2 2 4 2 2 2 4 2" xfId="41373" xr:uid="{F1ECC8FC-6320-4D26-BCD8-D8A373052359}"/>
    <cellStyle name="Normal 3 2 2 2 4 2 2 2 5" xfId="41374" xr:uid="{63923E55-AFD2-4B53-A771-AEDF876F9498}"/>
    <cellStyle name="Normal 3 2 2 2 4 2 2 3" xfId="41375" xr:uid="{58980037-9228-4A67-9CE8-9046404FA9E6}"/>
    <cellStyle name="Normal 3 2 2 2 4 2 2 3 2" xfId="41376" xr:uid="{E1515188-15A8-443E-B875-45AEF9AF5980}"/>
    <cellStyle name="Normal 3 2 2 2 4 2 2 3 2 2" xfId="41377" xr:uid="{3DC62DC1-13BD-47F2-9EB2-677C2B5CDA57}"/>
    <cellStyle name="Normal 3 2 2 2 4 2 2 3 3" xfId="41378" xr:uid="{59A0D7EF-2BBA-4D72-8979-49F57B27F195}"/>
    <cellStyle name="Normal 3 2 2 2 4 2 2 4" xfId="41379" xr:uid="{F806110A-A969-43B8-8130-67961E9CBF17}"/>
    <cellStyle name="Normal 3 2 2 2 4 2 2 4 2" xfId="41381" xr:uid="{BC2D903F-2628-425B-9495-6B7E91499F01}"/>
    <cellStyle name="Normal 3 2 2 2 4 2 2 4 2 2" xfId="41382" xr:uid="{F360C087-A00A-4A96-B899-6CCBA24C7F8F}"/>
    <cellStyle name="Normal 3 2 2 2 4 2 2 4 3" xfId="41383" xr:uid="{67A6CECA-53F8-4BC3-AF94-6726D43C2283}"/>
    <cellStyle name="Normal 3 2 2 2 4 2 2 5" xfId="41384" xr:uid="{2888B79B-99BF-446B-B08C-4AA86AB9803D}"/>
    <cellStyle name="Normal 3 2 2 2 4 2 2 5 2" xfId="41385" xr:uid="{0263445C-8744-412E-9DA2-2E8E19F26F6D}"/>
    <cellStyle name="Normal 3 2 2 2 4 2 2 6" xfId="41386" xr:uid="{0C120185-3F62-4F80-9E64-DD8A3E48E2B0}"/>
    <cellStyle name="Normal 3 2 2 2 4 2 3" xfId="23813" xr:uid="{B5E8C28B-3642-46A6-9EDC-35ACA4B12767}"/>
    <cellStyle name="Normal 3 2 2 2 4 2 3 2" xfId="41387" xr:uid="{6B70438E-B6FF-4DE4-9B45-A77998522456}"/>
    <cellStyle name="Normal 3 2 2 2 4 2 3 2 2" xfId="41388" xr:uid="{446A43D8-EFEE-460A-9598-70DC46D162BB}"/>
    <cellStyle name="Normal 3 2 2 2 4 2 3 2 2 2" xfId="41389" xr:uid="{6DCFC603-0540-41BB-A0B9-9E90B4F3CB42}"/>
    <cellStyle name="Normal 3 2 2 2 4 2 3 2 3" xfId="41390" xr:uid="{480591C3-D4EB-4175-8245-A9F3ADB4AD49}"/>
    <cellStyle name="Normal 3 2 2 2 4 2 3 3" xfId="41391" xr:uid="{C7DDDFD3-5A9F-4861-9D2F-1996ABD713E1}"/>
    <cellStyle name="Normal 3 2 2 2 4 2 3 3 2" xfId="41392" xr:uid="{F51326B5-2A1C-417E-8D24-234C2BAEA48D}"/>
    <cellStyle name="Normal 3 2 2 2 4 2 3 3 2 2" xfId="41393" xr:uid="{6DB922F8-3A69-409D-84B5-E4A3444EBF6D}"/>
    <cellStyle name="Normal 3 2 2 2 4 2 3 3 3" xfId="41394" xr:uid="{AA7E2FD9-DA7E-4966-A3B1-E757A249AF27}"/>
    <cellStyle name="Normal 3 2 2 2 4 2 3 4" xfId="41395" xr:uid="{EA9F486E-3337-4845-B382-27227A64169E}"/>
    <cellStyle name="Normal 3 2 2 2 4 2 3 4 2" xfId="41396" xr:uid="{54F6DF40-37D8-45A4-8A41-66FFF5F3C952}"/>
    <cellStyle name="Normal 3 2 2 2 4 2 3 5" xfId="41397" xr:uid="{9F213F5A-AA9C-4932-ABAF-96DE363D12E0}"/>
    <cellStyle name="Normal 3 2 2 2 4 2 4" xfId="41398" xr:uid="{B707F63A-D10E-43C6-9B24-A0480A3D2A2E}"/>
    <cellStyle name="Normal 3 2 2 2 4 2 4 2" xfId="41399" xr:uid="{35FF3EEF-29B9-40A1-A3F9-B0BDCF573FDD}"/>
    <cellStyle name="Normal 3 2 2 2 4 2 4 2 2" xfId="41400" xr:uid="{A2B14FAD-02C1-4552-B146-03E1A6E188F7}"/>
    <cellStyle name="Normal 3 2 2 2 4 2 4 3" xfId="41401" xr:uid="{4BB36559-74EE-4F67-B181-92B11F20F724}"/>
    <cellStyle name="Normal 3 2 2 2 4 2 5" xfId="41402" xr:uid="{ECBF4825-5ADF-4F0C-87FF-CDF47BB7883E}"/>
    <cellStyle name="Normal 3 2 2 2 4 2 5 2" xfId="41403" xr:uid="{9678DB9D-E7C3-4EE0-AF8D-EA80CED5ABD5}"/>
    <cellStyle name="Normal 3 2 2 2 4 2 5 2 2" xfId="41404" xr:uid="{CCF98256-3DE8-4DF8-BDA4-9025746FA63E}"/>
    <cellStyle name="Normal 3 2 2 2 4 2 5 3" xfId="41405" xr:uid="{EF7BB7CB-4AAE-4CC8-A917-9B310B10B0CF}"/>
    <cellStyle name="Normal 3 2 2 2 4 2 6" xfId="41406" xr:uid="{DD02092A-0948-4ECC-93DD-8FA9ECDB5B8A}"/>
    <cellStyle name="Normal 3 2 2 2 4 2 6 2" xfId="41407" xr:uid="{3C7B47BD-E37B-4A14-83EE-EEAA4F2C5E9A}"/>
    <cellStyle name="Normal 3 2 2 2 4 2 7" xfId="41408" xr:uid="{E1E18D9B-D595-4780-A4E4-50E2D36D1BCB}"/>
    <cellStyle name="Normal 3 2 2 2 4 3" xfId="29130" xr:uid="{EA83860C-134E-4A44-9252-C8F35B17F6BC}"/>
    <cellStyle name="Normal 3 2 2 2 4 3 2" xfId="26265" xr:uid="{521769E3-24EB-461A-B97C-052B240446A7}"/>
    <cellStyle name="Normal 3 2 2 2 4 3 2 2" xfId="41409" xr:uid="{EE2E1B7D-B493-4734-8BCF-E54D08ED7EEC}"/>
    <cellStyle name="Normal 3 2 2 2 4 3 2 2 2" xfId="41410" xr:uid="{05EAF234-2C71-4104-BFFC-A706B4634BE4}"/>
    <cellStyle name="Normal 3 2 2 2 4 3 2 2 2 2" xfId="41411" xr:uid="{94DEBE00-DC73-4639-B18A-103E030D65E8}"/>
    <cellStyle name="Normal 3 2 2 2 4 3 2 2 3" xfId="41412" xr:uid="{70DA73C1-8CCE-4911-934C-5B81344B1316}"/>
    <cellStyle name="Normal 3 2 2 2 4 3 2 3" xfId="41413" xr:uid="{C826427E-672E-48A1-A015-130F69056648}"/>
    <cellStyle name="Normal 3 2 2 2 4 3 2 3 2" xfId="41414" xr:uid="{CCD23F54-A432-45AF-9F4E-3E5A45705E4B}"/>
    <cellStyle name="Normal 3 2 2 2 4 3 2 3 2 2" xfId="41415" xr:uid="{EE61DA22-5FA7-436D-AB69-C1CDFFEA15BA}"/>
    <cellStyle name="Normal 3 2 2 2 4 3 2 3 3" xfId="41416" xr:uid="{43BBF9E8-AC69-4FDD-98D5-EE672DBBB7ED}"/>
    <cellStyle name="Normal 3 2 2 2 4 3 2 4" xfId="41417" xr:uid="{1F3FE767-D32D-4AEB-B316-D5332238A568}"/>
    <cellStyle name="Normal 3 2 2 2 4 3 2 4 2" xfId="41418" xr:uid="{A22719AE-3FD7-47C8-8A3F-8C5AAB3BFFC4}"/>
    <cellStyle name="Normal 3 2 2 2 4 3 2 5" xfId="41419" xr:uid="{BE2C41F8-8CF8-40F1-82A8-BDAA0C267E8E}"/>
    <cellStyle name="Normal 3 2 2 2 4 3 3" xfId="41420" xr:uid="{C37A1D90-D81B-4496-AD8D-2C3C42C9C229}"/>
    <cellStyle name="Normal 3 2 2 2 4 3 3 2" xfId="41421" xr:uid="{514D82ED-7F92-463C-A3BE-CD46E89F9F12}"/>
    <cellStyle name="Normal 3 2 2 2 4 3 3 2 2" xfId="41422" xr:uid="{938F4717-1CC7-4CCC-97A0-6DAE289518AB}"/>
    <cellStyle name="Normal 3 2 2 2 4 3 3 3" xfId="41423" xr:uid="{D233B388-EBDA-4FA0-959A-06497C516A92}"/>
    <cellStyle name="Normal 3 2 2 2 4 3 4" xfId="41424" xr:uid="{3C6C18A2-5340-44D0-BBD9-875981C7CE44}"/>
    <cellStyle name="Normal 3 2 2 2 4 3 4 2" xfId="41425" xr:uid="{B71B1EFB-37E4-4996-8C65-A6CB9CFAB442}"/>
    <cellStyle name="Normal 3 2 2 2 4 3 4 2 2" xfId="41427" xr:uid="{09457408-D54E-4669-9B7D-7C7A111DA07A}"/>
    <cellStyle name="Normal 3 2 2 2 4 3 4 3" xfId="41428" xr:uid="{38618875-57A7-42A2-948F-EC678DB1C25C}"/>
    <cellStyle name="Normal 3 2 2 2 4 3 5" xfId="41429" xr:uid="{713B056F-CD31-4FD0-8603-1D770BED3EBC}"/>
    <cellStyle name="Normal 3 2 2 2 4 3 5 2" xfId="41430" xr:uid="{0AB35584-3D0D-4049-868A-AF1DB933C121}"/>
    <cellStyle name="Normal 3 2 2 2 4 3 6" xfId="30629" xr:uid="{328E1644-36CE-483E-8B49-BA7AB6A53354}"/>
    <cellStyle name="Normal 3 2 2 2 4 4" xfId="33845" xr:uid="{63B3C993-6BA0-429E-958E-511973EF2DF3}"/>
    <cellStyle name="Normal 3 2 2 2 4 4 2" xfId="41431" xr:uid="{E3D94276-599B-4004-914F-7486EAB542BD}"/>
    <cellStyle name="Normal 3 2 2 2 4 4 2 2" xfId="41432" xr:uid="{2F954FAA-BABC-411B-848B-A03CF4558C64}"/>
    <cellStyle name="Normal 3 2 2 2 4 4 2 2 2" xfId="41433" xr:uid="{365890E2-3AAC-423B-B35F-82C12268C36C}"/>
    <cellStyle name="Normal 3 2 2 2 4 4 2 3" xfId="41434" xr:uid="{EE3FD040-6C10-4EEB-9C86-9323E6D68A33}"/>
    <cellStyle name="Normal 3 2 2 2 4 4 3" xfId="41435" xr:uid="{022BE20D-2746-4617-950E-A54BF615307B}"/>
    <cellStyle name="Normal 3 2 2 2 4 4 3 2" xfId="41436" xr:uid="{93439322-9DEF-425F-BC34-1654DD43D2B5}"/>
    <cellStyle name="Normal 3 2 2 2 4 4 3 2 2" xfId="41437" xr:uid="{1E9E8B71-E7D8-426D-B3FF-0D76D2877223}"/>
    <cellStyle name="Normal 3 2 2 2 4 4 3 3" xfId="41438" xr:uid="{14512061-3984-4C32-81BE-687A9195F58C}"/>
    <cellStyle name="Normal 3 2 2 2 4 4 4" xfId="41439" xr:uid="{599440D6-B47B-4203-884E-7B8E0A6BFCBB}"/>
    <cellStyle name="Normal 3 2 2 2 4 4 4 2" xfId="41440" xr:uid="{30363862-D752-4D5A-AF1C-1A8B8BBC79C8}"/>
    <cellStyle name="Normal 3 2 2 2 4 4 5" xfId="41441" xr:uid="{AC33F5E8-63C5-475A-A929-69C035B9A6BF}"/>
    <cellStyle name="Normal 3 2 2 2 4 5" xfId="41442" xr:uid="{AEDF6353-1694-45C1-A4C3-47C8B9AEAD9A}"/>
    <cellStyle name="Normal 3 2 2 2 4 5 2" xfId="41443" xr:uid="{249F3A44-4A42-4176-AE10-3FFB881A5E12}"/>
    <cellStyle name="Normal 3 2 2 2 4 5 2 2" xfId="41444" xr:uid="{8A470D84-9061-4FD2-A888-526FBABCD8F4}"/>
    <cellStyle name="Normal 3 2 2 2 4 5 3" xfId="41445" xr:uid="{68BE3C0D-D2B1-40C8-A2A1-B6DEDFAE7EF2}"/>
    <cellStyle name="Normal 3 2 2 2 4 6" xfId="41447" xr:uid="{4C7B3410-E548-4A88-BA88-4F3744CCC596}"/>
    <cellStyle name="Normal 3 2 2 2 4 6 2" xfId="41449" xr:uid="{B0B3224E-D906-45CE-B270-6174CC7E0B37}"/>
    <cellStyle name="Normal 3 2 2 2 4 6 2 2" xfId="41451" xr:uid="{91FEF004-795D-4537-811B-C6815AC87264}"/>
    <cellStyle name="Normal 3 2 2 2 4 6 3" xfId="41453" xr:uid="{1432CF74-89AE-4733-951F-38BC30DFE0C1}"/>
    <cellStyle name="Normal 3 2 2 2 4 7" xfId="41455" xr:uid="{AE80396C-A2BF-4F37-94B5-DD99933CCB20}"/>
    <cellStyle name="Normal 3 2 2 2 4 7 2" xfId="41457" xr:uid="{F9995D0E-2D64-4C88-8F18-48EEFC257618}"/>
    <cellStyle name="Normal 3 2 2 2 4 8" xfId="41459" xr:uid="{59D656D7-139D-429C-8D10-D55F2E1F2074}"/>
    <cellStyle name="Normal 3 2 2 2 40" xfId="41356" xr:uid="{5E7173AB-B715-4CBC-BB8D-D18E9416F784}"/>
    <cellStyle name="Normal 3 2 2 2 41" xfId="41358" xr:uid="{77205CF3-FE94-41F9-84ED-61A4CA04E99C}"/>
    <cellStyle name="Normal 3 2 2 2 42" xfId="41360" xr:uid="{CF9B63B0-73E7-4B1A-9744-93B81FF7CB58}"/>
    <cellStyle name="Normal 3 2 2 2 43" xfId="41362" xr:uid="{05C36447-5CC0-42CB-A757-3FD9A3CF720A}"/>
    <cellStyle name="Normal 3 2 2 2 44" xfId="41364" xr:uid="{71C939D4-A04B-4725-8F79-5227116799FB}"/>
    <cellStyle name="Normal 3 2 2 2 45" xfId="41461" xr:uid="{1D43391D-79D3-4624-8501-246E81EF0A49}"/>
    <cellStyle name="Normal 3 2 2 2 46" xfId="41463" xr:uid="{B348FB2B-8EE1-4BB6-A2B9-209BC0F38C39}"/>
    <cellStyle name="Normal 3 2 2 2 47" xfId="41465" xr:uid="{5384DCE1-348C-4581-B6DE-615A657DD88A}"/>
    <cellStyle name="Normal 3 2 2 2 48" xfId="41467" xr:uid="{FD842766-048D-4480-8337-E459640A67D3}"/>
    <cellStyle name="Normal 3 2 2 2 49" xfId="41469" xr:uid="{F0227687-6944-4A50-B4D7-4FCA3F4A24F8}"/>
    <cellStyle name="Normal 3 2 2 2 5" xfId="33848" xr:uid="{BB7FD9DA-4285-4E28-A939-F55A98E8D469}"/>
    <cellStyle name="Normal 3 2 2 2 50" xfId="41460" xr:uid="{061F1293-8AFA-424E-A530-4C903878BA08}"/>
    <cellStyle name="Normal 3 2 2 2 51" xfId="41462" xr:uid="{17390622-F6E0-432F-B101-92117FCFA227}"/>
    <cellStyle name="Normal 3 2 2 2 52" xfId="41464" xr:uid="{B7F06CA7-19D3-487F-842B-A5425E8C3246}"/>
    <cellStyle name="Normal 3 2 2 2 53" xfId="41466" xr:uid="{D7CB5828-D2C1-45DD-B17F-9E7547735AB2}"/>
    <cellStyle name="Normal 3 2 2 2 54" xfId="41468" xr:uid="{A810D8DE-78BB-4212-9B03-88AD2B113E2B}"/>
    <cellStyle name="Normal 3 2 2 2 55" xfId="41471" xr:uid="{351AA1C9-7204-4CE5-8E82-5D2E97E0719D}"/>
    <cellStyle name="Normal 3 2 2 2 56" xfId="41473" xr:uid="{EC237B2D-C1B6-4744-BAD9-900C1D472D24}"/>
    <cellStyle name="Normal 3 2 2 2 57" xfId="41475" xr:uid="{166AB911-41BA-411C-AE5C-ACB0F345107A}"/>
    <cellStyle name="Normal 3 2 2 2 58" xfId="41477" xr:uid="{242F6223-5601-4FF8-80F3-A4F4BDF5E7FA}"/>
    <cellStyle name="Normal 3 2 2 2 59" xfId="41479" xr:uid="{44B2B22D-A158-48D9-A758-3F0A264936EA}"/>
    <cellStyle name="Normal 3 2 2 2 6" xfId="30355" xr:uid="{EA910E04-4F53-4C30-B060-9A687AC22D39}"/>
    <cellStyle name="Normal 3 2 2 2 60" xfId="41470" xr:uid="{828F3C16-529C-41C2-979A-2E8695466766}"/>
    <cellStyle name="Normal 3 2 2 2 61" xfId="41472" xr:uid="{4AA57172-7B56-46A5-91E4-1FF64F6D9035}"/>
    <cellStyle name="Normal 3 2 2 2 62" xfId="41474" xr:uid="{7BCE4DC2-F8C6-49FE-A858-1B66FA6D7A73}"/>
    <cellStyle name="Normal 3 2 2 2 63" xfId="41476" xr:uid="{0754E3FE-DAA8-4970-8AE5-3F48D2FF4C7F}"/>
    <cellStyle name="Normal 3 2 2 2 64" xfId="41478" xr:uid="{44769595-12E7-4E1F-8733-9E4F3FFF6F34}"/>
    <cellStyle name="Normal 3 2 2 2 65" xfId="41480" xr:uid="{C60576E4-E583-4660-B9C6-294DD6B6DA10}"/>
    <cellStyle name="Normal 3 2 2 2 66" xfId="41481" xr:uid="{7BD0C451-500C-47CD-BE5D-557C5F55B7B5}"/>
    <cellStyle name="Normal 3 2 2 2 67" xfId="41482" xr:uid="{347FAF49-33A3-4A42-A418-2F8EA9AE5265}"/>
    <cellStyle name="Normal 3 2 2 2 67 2" xfId="41483" xr:uid="{B7B4951C-FA6A-4C50-BF52-5E620A67D38E}"/>
    <cellStyle name="Normal 3 2 2 2 68" xfId="41484" xr:uid="{FCE9A1EE-A774-4D9D-B87E-0A4B0F0A8FCE}"/>
    <cellStyle name="Normal 3 2 2 2 7" xfId="41486" xr:uid="{E0A08A60-A69E-4F5A-97B3-CF21C8A513C2}"/>
    <cellStyle name="Normal 3 2 2 2 8" xfId="41487" xr:uid="{9C5B4487-363F-438E-A8E5-5EEFE38398B8}"/>
    <cellStyle name="Normal 3 2 2 2 9" xfId="41488" xr:uid="{6F5F1ADD-B399-404F-8262-E6D37424F851}"/>
    <cellStyle name="Normal 3 2 2 20" xfId="40515" xr:uid="{738AD9D8-8353-447C-938A-B5461E8AB6C1}"/>
    <cellStyle name="Normal 3 2 2 20 2" xfId="40517" xr:uid="{9014F0F3-BFEA-40F4-8BC3-858429D85F51}"/>
    <cellStyle name="Normal 3 2 2 20 2 2" xfId="40519" xr:uid="{C140EF4A-E742-4BE4-BEE9-FA12AE74B9BC}"/>
    <cellStyle name="Normal 3 2 2 20 3" xfId="40521" xr:uid="{243F72D7-78B0-4A3D-9EAD-F2CE91572EC5}"/>
    <cellStyle name="Normal 3 2 2 21" xfId="40523" xr:uid="{F8964D2B-055A-4191-B298-F70E8D41471B}"/>
    <cellStyle name="Normal 3 2 2 21 2" xfId="40525" xr:uid="{E67833EA-13F3-4138-B566-7CCA8FDDEC6D}"/>
    <cellStyle name="Normal 3 2 2 21 2 2" xfId="40527" xr:uid="{C4FA23D2-90C4-4D87-B68E-6372BA26065B}"/>
    <cellStyle name="Normal 3 2 2 21 3" xfId="40529" xr:uid="{B6A95320-43DA-4C7C-B8B0-70E7FF0760EF}"/>
    <cellStyle name="Normal 3 2 2 22" xfId="40531" xr:uid="{88786DA7-1BD6-4ACD-BEC5-21780D3C0ED8}"/>
    <cellStyle name="Normal 3 2 2 22 2" xfId="40533" xr:uid="{55E778F8-4DF9-4FE1-8954-63D5C200979A}"/>
    <cellStyle name="Normal 3 2 2 22 2 2" xfId="40535" xr:uid="{6AF18A56-724F-44F6-8A63-E9170B535A93}"/>
    <cellStyle name="Normal 3 2 2 22 3" xfId="40537" xr:uid="{C7D850FD-A85B-4C33-92E6-68E8F5A3105F}"/>
    <cellStyle name="Normal 3 2 2 23" xfId="40539" xr:uid="{54183D92-2BB0-427D-8ACB-799C15D6E3C8}"/>
    <cellStyle name="Normal 3 2 2 23 2" xfId="40541" xr:uid="{4264237F-942B-4F23-847D-E7D36339F4E7}"/>
    <cellStyle name="Normal 3 2 2 23 2 2" xfId="40543" xr:uid="{D38F371B-26B3-4383-9859-FDDCD0E81429}"/>
    <cellStyle name="Normal 3 2 2 23 3" xfId="40545" xr:uid="{9CE869E8-EA36-4254-B021-570EE9443546}"/>
    <cellStyle name="Normal 3 2 2 24" xfId="40547" xr:uid="{0F798305-8656-4FDF-93DF-58D5BA5F348B}"/>
    <cellStyle name="Normal 3 2 2 24 2" xfId="40549" xr:uid="{904FD853-1F61-46D4-86BD-2C4D029B9058}"/>
    <cellStyle name="Normal 3 2 2 24 2 2" xfId="40551" xr:uid="{A058900D-ABF8-4E85-A977-B0C76A607CD9}"/>
    <cellStyle name="Normal 3 2 2 24 3" xfId="40553" xr:uid="{943C933B-D814-4316-96A7-919CBCD8E387}"/>
    <cellStyle name="Normal 3 2 2 25" xfId="41490" xr:uid="{008FA059-0773-4D6D-B201-B3A2250952EB}"/>
    <cellStyle name="Normal 3 2 2 25 2" xfId="41492" xr:uid="{2E2668EA-83B9-4BFD-82C8-D0752019BCCC}"/>
    <cellStyle name="Normal 3 2 2 25 2 2" xfId="41494" xr:uid="{845B4F6B-46A7-4EBF-A312-61EF045AEFA0}"/>
    <cellStyle name="Normal 3 2 2 25 3" xfId="41496" xr:uid="{5013BE67-70DA-4BC4-ADE9-48B3EA2408B7}"/>
    <cellStyle name="Normal 3 2 2 26" xfId="41498" xr:uid="{2071FEE1-190B-4D0B-85DB-88B7B6FCB46F}"/>
    <cellStyle name="Normal 3 2 2 26 2" xfId="41500" xr:uid="{A871E489-252D-4E91-8C79-68BEB0E2233B}"/>
    <cellStyle name="Normal 3 2 2 26 2 2" xfId="41502" xr:uid="{B8255CD4-3F3C-44D7-A735-487B61E2B0D0}"/>
    <cellStyle name="Normal 3 2 2 26 3" xfId="41504" xr:uid="{23A0A50E-0A29-4876-A21D-48A546D00852}"/>
    <cellStyle name="Normal 3 2 2 27" xfId="41506" xr:uid="{02B17E97-AD9D-43B8-8FC6-FF2A0903C14D}"/>
    <cellStyle name="Normal 3 2 2 27 2" xfId="41508" xr:uid="{E9CFFB1A-ACBF-48B1-A97A-F28221D0DF5B}"/>
    <cellStyle name="Normal 3 2 2 27 2 2" xfId="41510" xr:uid="{214325C5-E67D-4420-B7B9-F230B11D81E2}"/>
    <cellStyle name="Normal 3 2 2 27 3" xfId="41512" xr:uid="{E0411B92-E2A9-42E0-B4AD-CBA5161F24F3}"/>
    <cellStyle name="Normal 3 2 2 28" xfId="41515" xr:uid="{500B156D-D960-4086-AD15-BADE6871B038}"/>
    <cellStyle name="Normal 3 2 2 28 2" xfId="41518" xr:uid="{960ADF7F-069C-4AFF-90AE-FF83647D0763}"/>
    <cellStyle name="Normal 3 2 2 28 2 2" xfId="41520" xr:uid="{AB1E1750-6116-4A9F-8448-092EEF8C13CA}"/>
    <cellStyle name="Normal 3 2 2 28 3" xfId="41522" xr:uid="{B39A4D8D-2E68-4DCB-B256-43B144DBC73E}"/>
    <cellStyle name="Normal 3 2 2 29" xfId="41525" xr:uid="{5FCA02F4-98C5-4A61-9739-BF46CC3B92BA}"/>
    <cellStyle name="Normal 3 2 2 29 2" xfId="41527" xr:uid="{57C23D15-CC5B-4D67-B6EC-A251CBAEE0D2}"/>
    <cellStyle name="Normal 3 2 2 29 2 2" xfId="41529" xr:uid="{9EFFF8C6-3DC9-42EC-A571-90654EA13A1A}"/>
    <cellStyle name="Normal 3 2 2 29 3" xfId="41531" xr:uid="{C78FA2E3-7D0A-400D-A938-3A1C82928534}"/>
    <cellStyle name="Normal 3 2 2 3" xfId="41532" xr:uid="{881CAAEA-E4D6-4968-9D47-A158AFFA7650}"/>
    <cellStyle name="Normal 3 2 2 3 2" xfId="32598" xr:uid="{B3A2A1AA-AD3D-4FB7-B583-6EBACF44D3AF}"/>
    <cellStyle name="Normal 3 2 2 3 2 2" xfId="32604" xr:uid="{18BDCBC0-9107-4CFE-A8DF-F70D35B828C7}"/>
    <cellStyle name="Normal 3 2 2 3 2 2 2" xfId="32609" xr:uid="{A68CB0DE-D0DE-4FD4-8811-AF297AA906C5}"/>
    <cellStyle name="Normal 3 2 2 3 2 2 2 2" xfId="34004" xr:uid="{F8C1D778-30CF-4DD3-BF73-4843B83BE0AC}"/>
    <cellStyle name="Normal 3 2 2 3 2 2 2 2 2" xfId="34007" xr:uid="{ED3D6F08-9018-41AA-825E-8C145CF71458}"/>
    <cellStyle name="Normal 3 2 2 3 2 2 2 2 2 2" xfId="41533" xr:uid="{736B7ACA-2B98-421F-8CF9-1D71DAB39773}"/>
    <cellStyle name="Normal 3 2 2 3 2 2 2 2 2 2 2" xfId="41535" xr:uid="{977568BD-6C00-4FA5-94FA-21F08049B0A3}"/>
    <cellStyle name="Normal 3 2 2 3 2 2 2 2 2 3" xfId="9542" xr:uid="{202D93A8-56E7-44BC-BC4B-753CDE869AAA}"/>
    <cellStyle name="Normal 3 2 2 3 2 2 2 2 3" xfId="41536" xr:uid="{2113CE07-5D15-49E5-A35A-8636394836C9}"/>
    <cellStyle name="Normal 3 2 2 3 2 2 2 2 3 2" xfId="41537" xr:uid="{3064C652-3ED8-41F2-9CA8-3F0077E71455}"/>
    <cellStyle name="Normal 3 2 2 3 2 2 2 2 3 2 2" xfId="41538" xr:uid="{4CF550EE-F903-4BC3-88DE-EDD520DF9756}"/>
    <cellStyle name="Normal 3 2 2 3 2 2 2 2 3 3" xfId="9568" xr:uid="{15A0C2A6-1E41-4EEB-9D16-50E02BFF0251}"/>
    <cellStyle name="Normal 3 2 2 3 2 2 2 2 4" xfId="41539" xr:uid="{2BD18D3D-CA53-4A3C-8695-AB9452B353C6}"/>
    <cellStyle name="Normal 3 2 2 3 2 2 2 2 4 2" xfId="41540" xr:uid="{CA74FC87-0C92-4C63-9B28-2CAAF312B0FB}"/>
    <cellStyle name="Normal 3 2 2 3 2 2 2 2 5" xfId="41541" xr:uid="{68658749-FF89-4A9B-A6B2-FAA91344DA6F}"/>
    <cellStyle name="Normal 3 2 2 3 2 2 2 3" xfId="34009" xr:uid="{FB515F2F-195F-47D2-8B97-3E714BB316ED}"/>
    <cellStyle name="Normal 3 2 2 3 2 2 2 3 2" xfId="41542" xr:uid="{775AD04C-F160-4280-B3D6-E0AD09E5F150}"/>
    <cellStyle name="Normal 3 2 2 3 2 2 2 3 2 2" xfId="41543" xr:uid="{50FA08BD-71CC-4C76-AC1F-2CB1B8A6BC81}"/>
    <cellStyle name="Normal 3 2 2 3 2 2 2 3 3" xfId="41544" xr:uid="{73FF691E-9912-4D10-84FE-70ED12D02E53}"/>
    <cellStyle name="Normal 3 2 2 3 2 2 2 4" xfId="41545" xr:uid="{20DEB696-A9C3-41A2-99E5-7C1CE73E696F}"/>
    <cellStyle name="Normal 3 2 2 3 2 2 2 4 2" xfId="41546" xr:uid="{1811DE96-B048-4EFA-AF91-F7DF7FE603E6}"/>
    <cellStyle name="Normal 3 2 2 3 2 2 2 4 2 2" xfId="13945" xr:uid="{A1A7AC0C-396F-4EA8-B954-9D1DD61BD845}"/>
    <cellStyle name="Normal 3 2 2 3 2 2 2 4 3" xfId="41547" xr:uid="{EE0C7D3D-8966-4043-9814-DA8EF620BD08}"/>
    <cellStyle name="Normal 3 2 2 3 2 2 2 5" xfId="41548" xr:uid="{115D2CD7-443F-42AF-9617-5F0E01C647E6}"/>
    <cellStyle name="Normal 3 2 2 3 2 2 2 5 2" xfId="41549" xr:uid="{1CCF91A0-E58B-485F-8B99-5167481A8DD8}"/>
    <cellStyle name="Normal 3 2 2 3 2 2 2 6" xfId="41550" xr:uid="{9E2C5C68-3D70-4793-BE85-414BBC99B369}"/>
    <cellStyle name="Normal 3 2 2 3 2 2 3" xfId="34011" xr:uid="{C888DD6F-3567-41B5-8856-08551AFD885E}"/>
    <cellStyle name="Normal 3 2 2 3 2 2 3 2" xfId="34014" xr:uid="{950C59C6-0B8D-4F92-AC6D-84687D970642}"/>
    <cellStyle name="Normal 3 2 2 3 2 2 3 2 2" xfId="41551" xr:uid="{485C7289-D052-4B24-9063-1437F5F1B811}"/>
    <cellStyle name="Normal 3 2 2 3 2 2 3 2 2 2" xfId="41552" xr:uid="{AA73923F-BC07-46D5-A08F-31ECE1AB66B1}"/>
    <cellStyle name="Normal 3 2 2 3 2 2 3 2 3" xfId="41553" xr:uid="{9695C330-093B-4AA3-B117-40AE35B6C988}"/>
    <cellStyle name="Normal 3 2 2 3 2 2 3 3" xfId="41554" xr:uid="{FC2CA4DA-94F3-4D6C-884B-FFEFFAA89F34}"/>
    <cellStyle name="Normal 3 2 2 3 2 2 3 3 2" xfId="41555" xr:uid="{2937BC1B-8CBA-4804-96A1-AB7768CE64B6}"/>
    <cellStyle name="Normal 3 2 2 3 2 2 3 3 2 2" xfId="41556" xr:uid="{86DC6335-7FED-4523-B7D8-7C7107A4A9E1}"/>
    <cellStyle name="Normal 3 2 2 3 2 2 3 3 3" xfId="41557" xr:uid="{96372872-C44C-4BDF-9211-0E3A7BD2E914}"/>
    <cellStyle name="Normal 3 2 2 3 2 2 3 4" xfId="41558" xr:uid="{9A7B66A3-611E-457A-B4E4-8445F1BBC1CF}"/>
    <cellStyle name="Normal 3 2 2 3 2 2 3 4 2" xfId="41559" xr:uid="{7BE27BED-9601-461E-A975-C87807337583}"/>
    <cellStyle name="Normal 3 2 2 3 2 2 3 5" xfId="41560" xr:uid="{35EED562-AA9A-484E-900E-48311C69E2E2}"/>
    <cellStyle name="Normal 3 2 2 3 2 2 4" xfId="21356" xr:uid="{D95F4ADE-5DF6-4060-8622-3483334BEE5D}"/>
    <cellStyle name="Normal 3 2 2 3 2 2 4 2" xfId="41561" xr:uid="{EB85F958-563C-4DEB-A6CA-CB7C3F9BFA94}"/>
    <cellStyle name="Normal 3 2 2 3 2 2 4 2 2" xfId="41562" xr:uid="{A3055D9F-CD32-459F-98BF-77587BD8D05A}"/>
    <cellStyle name="Normal 3 2 2 3 2 2 4 3" xfId="41563" xr:uid="{DC6A32F1-1845-435B-9675-F323E96982CF}"/>
    <cellStyle name="Normal 3 2 2 3 2 2 5" xfId="41564" xr:uid="{DD05796D-C923-4BD9-930D-2237DCD9CCA6}"/>
    <cellStyle name="Normal 3 2 2 3 2 2 5 2" xfId="41565" xr:uid="{5492BADA-2EE0-46E5-9D98-A4538DB8197C}"/>
    <cellStyle name="Normal 3 2 2 3 2 2 5 2 2" xfId="41566" xr:uid="{DE6AFAD2-0C81-4D25-B026-14E1D78CFA0B}"/>
    <cellStyle name="Normal 3 2 2 3 2 2 5 3" xfId="41567" xr:uid="{2B192234-B29D-438E-B9DC-AD7E79B42B17}"/>
    <cellStyle name="Normal 3 2 2 3 2 2 6" xfId="41568" xr:uid="{371C32A8-723E-423B-B259-B94737C25B7C}"/>
    <cellStyle name="Normal 3 2 2 3 2 2 6 2" xfId="41569" xr:uid="{E6D2BB32-C68B-4766-872B-0704120466B5}"/>
    <cellStyle name="Normal 3 2 2 3 2 2 7" xfId="41570" xr:uid="{DF75C7AC-1B32-439C-AF6D-007DEA751C1D}"/>
    <cellStyle name="Normal 3 2 2 3 2 3" xfId="32614" xr:uid="{BA7D1D03-3EA1-4C30-B366-E5414B278844}"/>
    <cellStyle name="Normal 3 2 2 3 2 3 2" xfId="34016" xr:uid="{4ED2972A-BD9F-4D20-8DD7-730715796741}"/>
    <cellStyle name="Normal 3 2 2 3 2 3 2 2" xfId="34019" xr:uid="{FC916B66-0A80-4F53-84F8-2D94EC63A8EA}"/>
    <cellStyle name="Normal 3 2 2 3 2 3 2 2 2" xfId="41571" xr:uid="{D38DCBCD-5EE4-446D-8F62-41540D365831}"/>
    <cellStyle name="Normal 3 2 2 3 2 3 2 2 2 2" xfId="41572" xr:uid="{71FD857F-B0FD-4365-9681-84CAB402EFFC}"/>
    <cellStyle name="Normal 3 2 2 3 2 3 2 2 3" xfId="41573" xr:uid="{4F441FFF-3A8B-4A16-865C-F62CFE8CEF9B}"/>
    <cellStyle name="Normal 3 2 2 3 2 3 2 3" xfId="41574" xr:uid="{D7B64BF5-EDDF-4E03-A805-BBCAB1D0B7A8}"/>
    <cellStyle name="Normal 3 2 2 3 2 3 2 3 2" xfId="41575" xr:uid="{05F96C23-FE13-4276-ABBD-6965A598EFBD}"/>
    <cellStyle name="Normal 3 2 2 3 2 3 2 3 2 2" xfId="21024" xr:uid="{DB290670-3D4A-4773-977E-7367E0DAFE0B}"/>
    <cellStyle name="Normal 3 2 2 3 2 3 2 3 3" xfId="41576" xr:uid="{76F16338-2CAC-40EA-86BA-3192BA30FD47}"/>
    <cellStyle name="Normal 3 2 2 3 2 3 2 4" xfId="41577" xr:uid="{C8064137-BF19-4037-87B0-242083C0956E}"/>
    <cellStyle name="Normal 3 2 2 3 2 3 2 4 2" xfId="41578" xr:uid="{F4F8C33A-ACA6-4A89-B576-CF6A3ECC5220}"/>
    <cellStyle name="Normal 3 2 2 3 2 3 2 5" xfId="41579" xr:uid="{ED22EAE2-6C23-415A-9721-6F44A6D57E17}"/>
    <cellStyle name="Normal 3 2 2 3 2 3 3" xfId="34021" xr:uid="{D12F03E6-4DBC-491E-987C-3ABD694E2C57}"/>
    <cellStyle name="Normal 3 2 2 3 2 3 3 2" xfId="41580" xr:uid="{769DB1D4-F8C0-4E26-B944-8F3C55EFEFF8}"/>
    <cellStyle name="Normal 3 2 2 3 2 3 3 2 2" xfId="41581" xr:uid="{834E06C8-6C32-44F3-B543-DCED7AC5C4B9}"/>
    <cellStyle name="Normal 3 2 2 3 2 3 3 3" xfId="41582" xr:uid="{EB860CB1-40F4-4C48-B87E-040AF02DA8E8}"/>
    <cellStyle name="Normal 3 2 2 3 2 3 4" xfId="41583" xr:uid="{DF3EA92D-B82F-400B-A84F-97C8F7847F7F}"/>
    <cellStyle name="Normal 3 2 2 3 2 3 4 2" xfId="41584" xr:uid="{459B1CBB-E8CE-4338-B9C7-185CCBC3505F}"/>
    <cellStyle name="Normal 3 2 2 3 2 3 4 2 2" xfId="41585" xr:uid="{8288FCA2-72FE-4541-8FE1-B7E14C5CBB04}"/>
    <cellStyle name="Normal 3 2 2 3 2 3 4 3" xfId="41586" xr:uid="{3F0061E9-0B70-447C-9C2D-9D251427D38A}"/>
    <cellStyle name="Normal 3 2 2 3 2 3 5" xfId="41587" xr:uid="{4D8A6E17-60D7-4B66-8C77-29B430640BEA}"/>
    <cellStyle name="Normal 3 2 2 3 2 3 5 2" xfId="41588" xr:uid="{EFE83986-6372-4135-B49F-C03EB1D40D6E}"/>
    <cellStyle name="Normal 3 2 2 3 2 3 6" xfId="41589" xr:uid="{9B2C4A2D-6E13-403A-9E99-32634412FBA4}"/>
    <cellStyle name="Normal 3 2 2 3 2 4" xfId="34023" xr:uid="{CE291D34-DB56-4486-ACE9-3487EF98C4A2}"/>
    <cellStyle name="Normal 3 2 2 3 2 4 2" xfId="34026" xr:uid="{7877314B-AA88-468D-B73E-FC97F5DBEB98}"/>
    <cellStyle name="Normal 3 2 2 3 2 4 2 2" xfId="41590" xr:uid="{E45927DB-2119-4C00-A1CE-72A622072927}"/>
    <cellStyle name="Normal 3 2 2 3 2 4 2 2 2" xfId="41591" xr:uid="{3110034B-58BB-4050-BA03-BA25872CED82}"/>
    <cellStyle name="Normal 3 2 2 3 2 4 2 3" xfId="41592" xr:uid="{DCD08B81-B699-4FBB-85FA-CA9AFA7B6589}"/>
    <cellStyle name="Normal 3 2 2 3 2 4 3" xfId="41593" xr:uid="{9B3B7B28-2720-418A-BF8A-B7708D89E290}"/>
    <cellStyle name="Normal 3 2 2 3 2 4 3 2" xfId="41594" xr:uid="{9E6F6C25-A3CB-40FC-A684-1C65F81ED5A2}"/>
    <cellStyle name="Normal 3 2 2 3 2 4 3 2 2" xfId="41595" xr:uid="{03244A99-1DE3-402B-B086-B2627A776965}"/>
    <cellStyle name="Normal 3 2 2 3 2 4 3 3" xfId="41596" xr:uid="{69F064C1-6248-4189-8602-493958949DD7}"/>
    <cellStyle name="Normal 3 2 2 3 2 4 4" xfId="41597" xr:uid="{551051EC-6CA1-4452-BA3A-A21E911E857A}"/>
    <cellStyle name="Normal 3 2 2 3 2 4 4 2" xfId="41598" xr:uid="{17AC5FE4-A00C-4227-BE72-F8F1141FA7A9}"/>
    <cellStyle name="Normal 3 2 2 3 2 4 5" xfId="41599" xr:uid="{122E9A3C-74F2-470E-A741-F1BF3B499950}"/>
    <cellStyle name="Normal 3 2 2 3 2 5" xfId="27368" xr:uid="{B6C139B2-CFF2-414A-BBE5-9EFEFF16FCF8}"/>
    <cellStyle name="Normal 3 2 2 3 2 5 2" xfId="41600" xr:uid="{762E0CEE-6407-4DCD-AF43-8248B4C8AC05}"/>
    <cellStyle name="Normal 3 2 2 3 2 5 2 2" xfId="41601" xr:uid="{B191C909-55E6-4BF0-9DF3-3260C718DAB7}"/>
    <cellStyle name="Normal 3 2 2 3 2 5 3" xfId="41602" xr:uid="{715FB7A7-CB54-4737-A73D-1D11A13A48B4}"/>
    <cellStyle name="Normal 3 2 2 3 2 6" xfId="41604" xr:uid="{3869E85D-928E-4738-B5B5-2D70B03074D7}"/>
    <cellStyle name="Normal 3 2 2 3 2 6 2" xfId="41606" xr:uid="{202BC1EB-71C9-4406-A98B-CE3561B0AD61}"/>
    <cellStyle name="Normal 3 2 2 3 2 6 2 2" xfId="41608" xr:uid="{3F105208-6EAC-433B-ADEE-0269385ED5C2}"/>
    <cellStyle name="Normal 3 2 2 3 2 6 3" xfId="41610" xr:uid="{BA3548A7-1D2D-4AC3-9235-7D3BFC00CF0B}"/>
    <cellStyle name="Normal 3 2 2 3 2 7" xfId="41612" xr:uid="{574744BD-339D-48DE-98C3-86A7114B1D91}"/>
    <cellStyle name="Normal 3 2 2 3 2 7 2" xfId="41614" xr:uid="{A2365B1E-0F20-4AFB-BB59-25C479DDF26A}"/>
    <cellStyle name="Normal 3 2 2 3 2 8" xfId="41616" xr:uid="{5F7F9294-AB1E-404C-BFBB-5720B255D62B}"/>
    <cellStyle name="Normal 3 2 2 3 3" xfId="16456" xr:uid="{65504402-C202-49A7-9F0E-14D6AA8A844F}"/>
    <cellStyle name="Normal 3 2 2 3 3 2" xfId="32674" xr:uid="{5D51A3EB-1EA4-4CD6-8B0D-89A623C2BE95}"/>
    <cellStyle name="Normal 3 2 2 3 3 2 2" xfId="32679" xr:uid="{1EB67CA7-76B6-42DD-B13B-C13B6A7208A2}"/>
    <cellStyle name="Normal 3 2 2 3 3 2 2 2" xfId="8418" xr:uid="{0DBF4714-4BFF-4B08-B91C-8BAF7C1048B9}"/>
    <cellStyle name="Normal 3 2 2 3 3 2 2 2 2" xfId="39491" xr:uid="{5A7C1F62-66C5-4B44-9204-F4732DDD89F8}"/>
    <cellStyle name="Normal 3 2 2 3 3 2 2 2 2 2" xfId="39493" xr:uid="{31B26F1E-A8E8-4060-8F35-240E9028C8A4}"/>
    <cellStyle name="Normal 3 2 2 3 3 2 2 2 2 2 2" xfId="41617" xr:uid="{380A0E82-E709-42B9-B089-3C2AFA4B608F}"/>
    <cellStyle name="Normal 3 2 2 3 3 2 2 2 2 3" xfId="1919" xr:uid="{51B8DAC9-DAA6-4A08-999E-011ADA71F7A1}"/>
    <cellStyle name="Normal 3 2 2 3 3 2 2 2 3" xfId="39495" xr:uid="{00578122-B9FD-4FCC-8D56-E8DFE366B6A4}"/>
    <cellStyle name="Normal 3 2 2 3 3 2 2 2 3 2" xfId="41618" xr:uid="{593EA556-3963-4F10-8B83-16EF4BA499AB}"/>
    <cellStyle name="Normal 3 2 2 3 3 2 2 2 3 2 2" xfId="41619" xr:uid="{976FBE4E-62D5-4790-AEA5-4EE77089A10B}"/>
    <cellStyle name="Normal 3 2 2 3 3 2 2 2 3 3" xfId="13129" xr:uid="{37FEF34C-8AD1-41BB-9062-F18AF048BA58}"/>
    <cellStyle name="Normal 3 2 2 3 3 2 2 2 4" xfId="39497" xr:uid="{5DD78452-03D9-4D28-9B38-E903CBB23656}"/>
    <cellStyle name="Normal 3 2 2 3 3 2 2 2 4 2" xfId="41620" xr:uid="{8EFC7903-0E95-4D9B-82D1-8EB1F3C6A441}"/>
    <cellStyle name="Normal 3 2 2 3 3 2 2 2 5" xfId="41621" xr:uid="{E0027032-90ED-4426-AF16-2086F94D7751}"/>
    <cellStyle name="Normal 3 2 2 3 3 2 2 3" xfId="41622" xr:uid="{99D706F2-1ED8-41D9-9D00-7EC4A3F6A8DF}"/>
    <cellStyle name="Normal 3 2 2 3 3 2 2 3 2" xfId="39514" xr:uid="{359C73E6-1ED2-4D43-9ABC-F0AE8701D278}"/>
    <cellStyle name="Normal 3 2 2 3 3 2 2 3 2 2" xfId="35473" xr:uid="{990EDAE0-38F6-447C-A914-4E6BA17ABB17}"/>
    <cellStyle name="Normal 3 2 2 3 3 2 2 3 3" xfId="41623" xr:uid="{318C8EF1-4E7D-42E6-9A58-97132BA10CB4}"/>
    <cellStyle name="Normal 3 2 2 3 3 2 2 4" xfId="41624" xr:uid="{5CE4BA05-190F-48C0-989C-4434812C0CB2}"/>
    <cellStyle name="Normal 3 2 2 3 3 2 2 4 2" xfId="41625" xr:uid="{644C8A32-D5FB-4BC2-9DC3-95D3B5A3410B}"/>
    <cellStyle name="Normal 3 2 2 3 3 2 2 4 2 2" xfId="6072" xr:uid="{2F6CE83D-4461-4D07-82AE-D5C2C7D20E6C}"/>
    <cellStyle name="Normal 3 2 2 3 3 2 2 4 3" xfId="41626" xr:uid="{5A57FE9A-D02B-44A0-BD21-C2BC364EC68A}"/>
    <cellStyle name="Normal 3 2 2 3 3 2 2 5" xfId="41627" xr:uid="{00784382-2CC0-43B5-9707-568F59358712}"/>
    <cellStyle name="Normal 3 2 2 3 3 2 2 5 2" xfId="41628" xr:uid="{505BCB0E-E1D4-4A7D-A33C-E7D28861EF88}"/>
    <cellStyle name="Normal 3 2 2 3 3 2 2 6" xfId="41629" xr:uid="{0E821B6E-A55E-4C02-8121-D602587835DC}"/>
    <cellStyle name="Normal 3 2 2 3 3 2 3" xfId="5543" xr:uid="{A55885BC-A6F5-466B-A45E-10F5E676F402}"/>
    <cellStyle name="Normal 3 2 2 3 3 2 3 2" xfId="5548" xr:uid="{18978BC3-F343-4B88-8777-85A442A52FDC}"/>
    <cellStyle name="Normal 3 2 2 3 3 2 3 2 2" xfId="39548" xr:uid="{E18C3255-92D5-413E-B851-1DA9F2707743}"/>
    <cellStyle name="Normal 3 2 2 3 3 2 3 2 2 2" xfId="41630" xr:uid="{97178EBF-BF84-4E25-98CD-1DB007577B88}"/>
    <cellStyle name="Normal 3 2 2 3 3 2 3 2 3" xfId="41631" xr:uid="{28FA9220-65FB-40C4-B3ED-BB544FB49DE1}"/>
    <cellStyle name="Normal 3 2 2 3 3 2 3 3" xfId="41632" xr:uid="{925CACF0-4E86-4169-926C-476E5C86758C}"/>
    <cellStyle name="Normal 3 2 2 3 3 2 3 3 2" xfId="41633" xr:uid="{16F4BB32-456F-46ED-9958-A1C1C0B2CBB4}"/>
    <cellStyle name="Normal 3 2 2 3 3 2 3 3 2 2" xfId="41634" xr:uid="{AD8E79B7-E815-478D-B61F-34BF205D055B}"/>
    <cellStyle name="Normal 3 2 2 3 3 2 3 3 3" xfId="41635" xr:uid="{DEEE0BCE-1261-419C-BCA8-ABCAC46DE745}"/>
    <cellStyle name="Normal 3 2 2 3 3 2 3 4" xfId="41636" xr:uid="{1F9380CD-B6BA-4721-99CA-75589F678E68}"/>
    <cellStyle name="Normal 3 2 2 3 3 2 3 4 2" xfId="41637" xr:uid="{FC61629F-BF97-4EC6-B946-EC29324119CE}"/>
    <cellStyle name="Normal 3 2 2 3 3 2 3 5" xfId="41638" xr:uid="{B2F1C159-D87B-4BAE-9EB3-EEA43500C494}"/>
    <cellStyle name="Normal 3 2 2 3 3 2 4" xfId="311" xr:uid="{081B60C3-8EFC-4142-BB31-F350B30D672B}"/>
    <cellStyle name="Normal 3 2 2 3 3 2 4 2" xfId="41639" xr:uid="{9B88348D-CD3B-406A-8EC7-5CA0020C4034}"/>
    <cellStyle name="Normal 3 2 2 3 3 2 4 2 2" xfId="41640" xr:uid="{31458CD1-DCD6-4C02-A2E2-FAFD28F36C83}"/>
    <cellStyle name="Normal 3 2 2 3 3 2 4 3" xfId="41641" xr:uid="{6BF4FF2A-5E01-4BA6-A11D-154334D4A8FF}"/>
    <cellStyle name="Normal 3 2 2 3 3 2 5" xfId="41642" xr:uid="{2FB5AADD-2E23-4B1D-A451-1440B5BF1090}"/>
    <cellStyle name="Normal 3 2 2 3 3 2 5 2" xfId="41643" xr:uid="{61A7DCC9-FB36-4DBB-A929-0EB6A3F131CB}"/>
    <cellStyle name="Normal 3 2 2 3 3 2 5 2 2" xfId="41644" xr:uid="{B9CCBCFA-E651-4801-9D7D-B061EAC35AF5}"/>
    <cellStyle name="Normal 3 2 2 3 3 2 5 3" xfId="41645" xr:uid="{1DB56764-E81F-44BD-AEE2-95DA3786A693}"/>
    <cellStyle name="Normal 3 2 2 3 3 2 6" xfId="41646" xr:uid="{F58E83D2-1AB4-4725-970B-86146C6ADF12}"/>
    <cellStyle name="Normal 3 2 2 3 3 2 6 2" xfId="41647" xr:uid="{3FC8448C-5C5F-4479-BA8E-DD289F840227}"/>
    <cellStyle name="Normal 3 2 2 3 3 2 7" xfId="41648" xr:uid="{58EBAF2B-62D1-4AE3-A203-6B7370E3551C}"/>
    <cellStyle name="Normal 3 2 2 3 3 3" xfId="32684" xr:uid="{C5B022B1-C1A0-41D7-8B40-F1A58CF3299B}"/>
    <cellStyle name="Normal 3 2 2 3 3 3 2" xfId="34028" xr:uid="{F83AAB72-9DE5-421D-A335-01AD4460CF94}"/>
    <cellStyle name="Normal 3 2 2 3 3 3 2 2" xfId="41649" xr:uid="{A19F7621-079A-4A58-9AD6-4E35634BAB53}"/>
    <cellStyle name="Normal 3 2 2 3 3 3 2 2 2" xfId="39621" xr:uid="{9DEED0B3-1B67-42FB-A463-DDD7EA127867}"/>
    <cellStyle name="Normal 3 2 2 3 3 3 2 2 2 2" xfId="41650" xr:uid="{96A3949A-1877-4D4A-A1B8-B79970E0DEBB}"/>
    <cellStyle name="Normal 3 2 2 3 3 3 2 2 3" xfId="41651" xr:uid="{B3664B8A-24AB-43E7-B68D-D7C4F0EA34F0}"/>
    <cellStyle name="Normal 3 2 2 3 3 3 2 3" xfId="41652" xr:uid="{0FA87A20-31EA-4F58-98A0-79390CD4D06D}"/>
    <cellStyle name="Normal 3 2 2 3 3 3 2 3 2" xfId="41653" xr:uid="{C6334022-1689-4D26-AA06-E2233625A8B3}"/>
    <cellStyle name="Normal 3 2 2 3 3 3 2 3 2 2" xfId="41654" xr:uid="{42A5819D-A68F-48B1-B646-682FECAC976E}"/>
    <cellStyle name="Normal 3 2 2 3 3 3 2 3 3" xfId="41655" xr:uid="{6848589B-91C4-405F-899B-273538A3104A}"/>
    <cellStyle name="Normal 3 2 2 3 3 3 2 4" xfId="41656" xr:uid="{94420176-6106-49CD-B678-DA07E64DBB6E}"/>
    <cellStyle name="Normal 3 2 2 3 3 3 2 4 2" xfId="41657" xr:uid="{7E3480F5-CCEC-4FE6-9605-97B23B0500DE}"/>
    <cellStyle name="Normal 3 2 2 3 3 3 2 5" xfId="41658" xr:uid="{B569CCE2-B6BC-48B7-8FEB-9847D78CEB70}"/>
    <cellStyle name="Normal 3 2 2 3 3 3 3" xfId="5552" xr:uid="{55B6D5E6-ED1F-4B4D-A51E-FB7EC3C594FD}"/>
    <cellStyle name="Normal 3 2 2 3 3 3 3 2" xfId="41659" xr:uid="{A451D4F4-49BC-4EEE-8A6A-A3408A370C98}"/>
    <cellStyle name="Normal 3 2 2 3 3 3 3 2 2" xfId="41660" xr:uid="{31587857-8E32-4970-8EC9-6A767C281C1D}"/>
    <cellStyle name="Normal 3 2 2 3 3 3 3 3" xfId="41661" xr:uid="{FBBC1B8A-E2E3-406C-ABC6-12E8AF8C2FD5}"/>
    <cellStyle name="Normal 3 2 2 3 3 3 4" xfId="41662" xr:uid="{8BB0BAC8-2B48-490C-9E58-5A7B171924E6}"/>
    <cellStyle name="Normal 3 2 2 3 3 3 4 2" xfId="41663" xr:uid="{333D2CC4-8E15-45C3-BEEB-7399810949C9}"/>
    <cellStyle name="Normal 3 2 2 3 3 3 4 2 2" xfId="41664" xr:uid="{D560DD79-C920-4130-AF0E-7F40D8FFA653}"/>
    <cellStyle name="Normal 3 2 2 3 3 3 4 3" xfId="41665" xr:uid="{1954DA0F-678F-4660-898C-0252C1C51906}"/>
    <cellStyle name="Normal 3 2 2 3 3 3 5" xfId="41666" xr:uid="{55FF8C9E-E5BF-4876-BC30-D323A713BCAC}"/>
    <cellStyle name="Normal 3 2 2 3 3 3 5 2" xfId="41667" xr:uid="{0F5CBF4B-5507-49BD-9EEA-6591C6C46E07}"/>
    <cellStyle name="Normal 3 2 2 3 3 3 6" xfId="41668" xr:uid="{764279B5-32EE-422E-B9B4-FD370B35CEF3}"/>
    <cellStyle name="Normal 3 2 2 3 3 4" xfId="34030" xr:uid="{E9B740B8-0BB9-4ED6-AC31-9D106FE9749F}"/>
    <cellStyle name="Normal 3 2 2 3 3 4 2" xfId="41669" xr:uid="{F6A9BAF4-4B5F-4A85-8901-EA1750B31DD2}"/>
    <cellStyle name="Normal 3 2 2 3 3 4 2 2" xfId="41670" xr:uid="{F1938B3F-3DBA-42C0-AC32-6CFD118E9D68}"/>
    <cellStyle name="Normal 3 2 2 3 3 4 2 2 2" xfId="41671" xr:uid="{9CB3F719-F4B7-4536-B068-D7C11F437BE1}"/>
    <cellStyle name="Normal 3 2 2 3 3 4 2 3" xfId="41672" xr:uid="{476CFB7C-D818-4E3A-8822-2F28CF500327}"/>
    <cellStyle name="Normal 3 2 2 3 3 4 3" xfId="41673" xr:uid="{BF8510EE-831B-4388-A700-F7667DCDE3C1}"/>
    <cellStyle name="Normal 3 2 2 3 3 4 3 2" xfId="41674" xr:uid="{CE64624B-67DA-4D11-B7CF-4439F8854213}"/>
    <cellStyle name="Normal 3 2 2 3 3 4 3 2 2" xfId="41675" xr:uid="{E1276586-8B21-4E94-BCE8-5DFE96A22FAE}"/>
    <cellStyle name="Normal 3 2 2 3 3 4 3 3" xfId="41676" xr:uid="{6C1F8B7B-E642-4049-A029-CAA00C7584A9}"/>
    <cellStyle name="Normal 3 2 2 3 3 4 4" xfId="41677" xr:uid="{6F886499-3E83-4B46-BD2B-3A7B2FB649F1}"/>
    <cellStyle name="Normal 3 2 2 3 3 4 4 2" xfId="41678" xr:uid="{CE9DC8A1-16CC-4BCC-88C9-203A91913C9B}"/>
    <cellStyle name="Normal 3 2 2 3 3 4 5" xfId="41679" xr:uid="{FCD62B80-8D9F-47E5-8524-4EE841F0A88C}"/>
    <cellStyle name="Normal 3 2 2 3 3 5" xfId="41680" xr:uid="{1C8530E5-D6F2-4752-ADF4-CC09B405D1D3}"/>
    <cellStyle name="Normal 3 2 2 3 3 5 2" xfId="41681" xr:uid="{DB6B3225-593B-477C-85B5-DA09C0E7E987}"/>
    <cellStyle name="Normal 3 2 2 3 3 5 2 2" xfId="41682" xr:uid="{335A179A-43A5-42CB-A4B0-5ABE0F448E85}"/>
    <cellStyle name="Normal 3 2 2 3 3 5 3" xfId="41683" xr:uid="{947EEDC0-6F5C-4C63-A3C1-62B6F15149CD}"/>
    <cellStyle name="Normal 3 2 2 3 3 6" xfId="41685" xr:uid="{CDDA2B55-6F52-4F91-92E2-FB17F4D7D55E}"/>
    <cellStyle name="Normal 3 2 2 3 3 6 2" xfId="41687" xr:uid="{69D3D317-AAF8-4F1F-B8EC-FD54C6A3D5F3}"/>
    <cellStyle name="Normal 3 2 2 3 3 6 2 2" xfId="41689" xr:uid="{AEB61813-F579-4725-93D8-CA47FB96E776}"/>
    <cellStyle name="Normal 3 2 2 3 3 6 3" xfId="41691" xr:uid="{9C57C281-0DE6-4389-B276-B0591B3B49A5}"/>
    <cellStyle name="Normal 3 2 2 3 3 7" xfId="41693" xr:uid="{CA01A8F5-D77E-4B5A-9488-02E8AD017D2B}"/>
    <cellStyle name="Normal 3 2 2 3 3 7 2" xfId="41695" xr:uid="{4287C797-D903-42CF-8545-7F39EC555EA3}"/>
    <cellStyle name="Normal 3 2 2 3 3 8" xfId="41697" xr:uid="{420222DE-8968-4449-9EE6-4FF3E7C4C30C}"/>
    <cellStyle name="Normal 3 2 2 30" xfId="41489" xr:uid="{6D216684-2098-428F-8EDA-67D3B94B3CD4}"/>
    <cellStyle name="Normal 3 2 2 30 2" xfId="41491" xr:uid="{E2D4ACC8-D560-46F4-9089-C9129BAEBC8A}"/>
    <cellStyle name="Normal 3 2 2 30 2 2" xfId="41493" xr:uid="{6DAC3886-6FD4-4B49-A624-CD49D0DE571B}"/>
    <cellStyle name="Normal 3 2 2 30 3" xfId="41495" xr:uid="{4569D50D-EDB4-47F3-99E8-D9E70152366D}"/>
    <cellStyle name="Normal 3 2 2 31" xfId="41497" xr:uid="{5844FE9A-B97A-4882-BAE1-E5C48A3B028A}"/>
    <cellStyle name="Normal 3 2 2 31 2" xfId="41499" xr:uid="{2E03503F-0967-40D2-841E-20533DCF4FAA}"/>
    <cellStyle name="Normal 3 2 2 31 2 2" xfId="41501" xr:uid="{BB587E57-5F55-4043-B8D7-C6F6E32B2163}"/>
    <cellStyle name="Normal 3 2 2 31 3" xfId="41503" xr:uid="{AA15FF31-7768-4438-BFEF-CF58155F45F6}"/>
    <cellStyle name="Normal 3 2 2 32" xfId="41505" xr:uid="{A2F50E2B-2916-4BFE-932A-B14E2A17CC2E}"/>
    <cellStyle name="Normal 3 2 2 32 2" xfId="41507" xr:uid="{DA3A77BA-3F2B-4BC0-A9D0-F313D6A9BE80}"/>
    <cellStyle name="Normal 3 2 2 32 2 2" xfId="41509" xr:uid="{E8985E06-A034-4628-A79A-532757267BA5}"/>
    <cellStyle name="Normal 3 2 2 32 3" xfId="41511" xr:uid="{8082AB3C-4F05-4FC6-9B28-BA979B52878C}"/>
    <cellStyle name="Normal 3 2 2 33" xfId="41514" xr:uid="{BA06F51C-5B0D-4A15-B655-38F0B0DE406F}"/>
    <cellStyle name="Normal 3 2 2 33 2" xfId="41517" xr:uid="{8C390DF1-820F-4B12-80DC-712CF7A3DA87}"/>
    <cellStyle name="Normal 3 2 2 33 2 2" xfId="41519" xr:uid="{750B9299-19B9-4986-92FB-2C16E5B4191F}"/>
    <cellStyle name="Normal 3 2 2 33 3" xfId="41521" xr:uid="{3BF9A201-10E3-42B3-B6F0-727E66897FA3}"/>
    <cellStyle name="Normal 3 2 2 34" xfId="41524" xr:uid="{C78B2454-58A0-4336-B3A4-B4FE80B06484}"/>
    <cellStyle name="Normal 3 2 2 34 2" xfId="41526" xr:uid="{2C05BDDE-CE9D-47C1-A7D2-557DFEF74279}"/>
    <cellStyle name="Normal 3 2 2 34 2 2" xfId="41528" xr:uid="{6170578B-E809-44B5-A725-3E6A2C2E606F}"/>
    <cellStyle name="Normal 3 2 2 34 3" xfId="41530" xr:uid="{2F1699EA-4868-4A3E-8A2D-896F177DB0BD}"/>
    <cellStyle name="Normal 3 2 2 35" xfId="41699" xr:uid="{9D400B23-1CC6-414E-9D56-A7A566E29B62}"/>
    <cellStyle name="Normal 3 2 2 35 2" xfId="41701" xr:uid="{56FA5B53-0DF3-4C88-BD02-5B1DEB5A5833}"/>
    <cellStyle name="Normal 3 2 2 35 2 2" xfId="41703" xr:uid="{16D351B1-4CC5-432E-B4B2-2540C7D389B9}"/>
    <cellStyle name="Normal 3 2 2 35 3" xfId="41705" xr:uid="{8B9F4EA1-8A3D-4F49-B884-10449B55BBDF}"/>
    <cellStyle name="Normal 3 2 2 36" xfId="41707" xr:uid="{F44D17CC-5473-4920-B3DD-593F98F77579}"/>
    <cellStyle name="Normal 3 2 2 36 2" xfId="41709" xr:uid="{A5D8FB02-D29E-4549-92BC-E57B2FC1EA25}"/>
    <cellStyle name="Normal 3 2 2 36 2 2" xfId="32350" xr:uid="{6D4BBE97-646A-4516-A46F-AFB513C1C7D9}"/>
    <cellStyle name="Normal 3 2 2 36 3" xfId="41711" xr:uid="{6FA2E516-3FCD-42E2-B7A4-D4717BB4C305}"/>
    <cellStyle name="Normal 3 2 2 37" xfId="41713" xr:uid="{333959E2-1412-4B62-A63E-3FB51A680247}"/>
    <cellStyle name="Normal 3 2 2 37 2" xfId="41715" xr:uid="{29494D01-4748-47E5-B136-19AEF4ADA6A7}"/>
    <cellStyle name="Normal 3 2 2 37 2 2" xfId="41717" xr:uid="{B9E1ED07-E862-4140-AB16-7FDBCBB4EAC0}"/>
    <cellStyle name="Normal 3 2 2 37 3" xfId="41719" xr:uid="{3EF72DF2-C771-4F32-B8E3-FFF5CEE144B3}"/>
    <cellStyle name="Normal 3 2 2 38" xfId="41721" xr:uid="{B7C3E5DB-C937-4081-925D-031B86945236}"/>
    <cellStyle name="Normal 3 2 2 38 2" xfId="41723" xr:uid="{5FE1B941-3155-4092-B068-7DC8826D83CA}"/>
    <cellStyle name="Normal 3 2 2 38 2 2" xfId="41725" xr:uid="{F0BC2E3F-0FCD-4B13-B5A9-C1844A078F6A}"/>
    <cellStyle name="Normal 3 2 2 38 3" xfId="41727" xr:uid="{7C2D68ED-6848-426E-A028-7730C9AFFDC6}"/>
    <cellStyle name="Normal 3 2 2 39" xfId="41729" xr:uid="{08005FAB-7F19-4EE0-8FBE-5534C9B36C89}"/>
    <cellStyle name="Normal 3 2 2 39 2" xfId="41731" xr:uid="{14AD9B96-D1FC-4E50-A53F-A2A17293B7DE}"/>
    <cellStyle name="Normal 3 2 2 39 2 2" xfId="16901" xr:uid="{11B37940-5230-4CF8-81C9-B7A0AB7EFF33}"/>
    <cellStyle name="Normal 3 2 2 39 3" xfId="41733" xr:uid="{9FDBEC83-B4CE-4617-8C04-3FDA2BB7DB02}"/>
    <cellStyle name="Normal 3 2 2 4" xfId="41734" xr:uid="{C0788670-0F14-40B5-BC51-5B0DC53E7F1D}"/>
    <cellStyle name="Normal 3 2 2 40" xfId="41698" xr:uid="{ECAEECD4-6B6E-4BA8-907E-7E835EDCC1F5}"/>
    <cellStyle name="Normal 3 2 2 40 2" xfId="41700" xr:uid="{F4284B06-5831-4ABF-9013-2E0D69947814}"/>
    <cellStyle name="Normal 3 2 2 40 2 2" xfId="41702" xr:uid="{8C6BE71D-63E9-404B-9D98-5732ED5719E7}"/>
    <cellStyle name="Normal 3 2 2 40 3" xfId="41704" xr:uid="{E697A98D-4698-47F4-AD63-99641337E303}"/>
    <cellStyle name="Normal 3 2 2 41" xfId="41706" xr:uid="{957255C3-B823-439C-93AD-571C23699CB9}"/>
    <cellStyle name="Normal 3 2 2 41 2" xfId="41708" xr:uid="{4127E8C8-062A-4067-947C-9513AF89DF5A}"/>
    <cellStyle name="Normal 3 2 2 41 2 2" xfId="32349" xr:uid="{8D673808-E7C5-4C1F-8F88-960751260C8B}"/>
    <cellStyle name="Normal 3 2 2 41 3" xfId="41710" xr:uid="{4ECCCD5C-A59C-4AD9-ABAE-D02FBF064442}"/>
    <cellStyle name="Normal 3 2 2 42" xfId="41712" xr:uid="{3311066E-9E76-42D6-90BA-B2059C41A07A}"/>
    <cellStyle name="Normal 3 2 2 42 2" xfId="41714" xr:uid="{032A2D2D-244F-4657-8A14-6FAA37BA506B}"/>
    <cellStyle name="Normal 3 2 2 42 2 2" xfId="41716" xr:uid="{D9640045-AA26-437E-AF7A-15B055CE9DDE}"/>
    <cellStyle name="Normal 3 2 2 42 3" xfId="41718" xr:uid="{FFBDFC0E-0516-419C-9497-082FDF51A2D1}"/>
    <cellStyle name="Normal 3 2 2 43" xfId="41720" xr:uid="{FEEBFC12-5AEE-4415-BB8B-4D557DC435DD}"/>
    <cellStyle name="Normal 3 2 2 43 2" xfId="41722" xr:uid="{79989A20-E88E-4D89-ACA2-73817C954591}"/>
    <cellStyle name="Normal 3 2 2 43 2 2" xfId="41724" xr:uid="{3774E26A-DDF8-4329-9A87-7EF0C94036F1}"/>
    <cellStyle name="Normal 3 2 2 43 3" xfId="41726" xr:uid="{758F0B6B-A0E6-4059-B348-24B28BEEF010}"/>
    <cellStyle name="Normal 3 2 2 44" xfId="41728" xr:uid="{B3811A5E-12D8-46CB-9C50-20C415CBDB93}"/>
    <cellStyle name="Normal 3 2 2 44 2" xfId="41730" xr:uid="{0BD0FB24-28BA-4994-927E-4AFB6BDAFF34}"/>
    <cellStyle name="Normal 3 2 2 44 2 2" xfId="16900" xr:uid="{A238D578-9E34-438B-B62C-6899B476C1B6}"/>
    <cellStyle name="Normal 3 2 2 44 3" xfId="41732" xr:uid="{D85B3CAA-9227-4885-8801-126457BBA063}"/>
    <cellStyle name="Normal 3 2 2 45" xfId="41736" xr:uid="{D0B989AE-BBDD-4934-90AE-8D47796215DC}"/>
    <cellStyle name="Normal 3 2 2 45 2" xfId="41738" xr:uid="{C68DB942-BF41-4EDB-AC93-B7239A57A1D1}"/>
    <cellStyle name="Normal 3 2 2 45 2 2" xfId="41740" xr:uid="{B56F302D-ABEC-44D8-9C50-03D4BB8DF5A1}"/>
    <cellStyle name="Normal 3 2 2 45 3" xfId="41742" xr:uid="{47267A83-98D3-4046-A14F-147568ADC7DE}"/>
    <cellStyle name="Normal 3 2 2 46" xfId="41744" xr:uid="{F9CC8ED2-1DF6-4423-9416-B0FE901B89F4}"/>
    <cellStyle name="Normal 3 2 2 46 2" xfId="41746" xr:uid="{EBCCC31E-27D9-44D5-BF3C-7C8EA0D944E4}"/>
    <cellStyle name="Normal 3 2 2 46 2 2" xfId="41748" xr:uid="{8FF8D60E-9D0B-4847-90C8-1136573AF872}"/>
    <cellStyle name="Normal 3 2 2 46 3" xfId="41750" xr:uid="{C69037D4-05BB-4CFA-9598-34D18F4E7257}"/>
    <cellStyle name="Normal 3 2 2 47" xfId="41752" xr:uid="{56FF11AB-0F42-49EB-AE6B-4E35BE40F8D6}"/>
    <cellStyle name="Normal 3 2 2 47 2" xfId="41754" xr:uid="{B8B08AF5-D835-4BE8-A4FB-30A1782F9637}"/>
    <cellStyle name="Normal 3 2 2 47 2 2" xfId="41756" xr:uid="{AA733DE7-422D-4102-B4F4-570353E46ACA}"/>
    <cellStyle name="Normal 3 2 2 47 3" xfId="41758" xr:uid="{39376A92-5731-44F3-A366-148F98A8AB0E}"/>
    <cellStyle name="Normal 3 2 2 48" xfId="41760" xr:uid="{95051AF5-233F-4AB0-9428-7C09265D067C}"/>
    <cellStyle name="Normal 3 2 2 48 2" xfId="41762" xr:uid="{78812974-7820-4379-B726-37A12E0186B0}"/>
    <cellStyle name="Normal 3 2 2 48 2 2" xfId="41764" xr:uid="{9B5218DA-7639-48B1-A612-A90A355C20BA}"/>
    <cellStyle name="Normal 3 2 2 48 3" xfId="41766" xr:uid="{EA65963B-A329-469B-9CE6-38E6D12900C9}"/>
    <cellStyle name="Normal 3 2 2 49" xfId="41768" xr:uid="{2EFAB66A-50C7-48C8-8055-99137D3B2633}"/>
    <cellStyle name="Normal 3 2 2 49 2" xfId="41770" xr:uid="{14E597F1-09E6-4BF0-BB0D-198F1BFD9F8B}"/>
    <cellStyle name="Normal 3 2 2 49 2 2" xfId="41772" xr:uid="{77B5E370-FF5C-49C6-B0B8-5245504A3107}"/>
    <cellStyle name="Normal 3 2 2 49 3" xfId="41774" xr:uid="{6D695F0B-4337-4940-97FA-D34773B0FF52}"/>
    <cellStyle name="Normal 3 2 2 5" xfId="41775" xr:uid="{E22AC66C-EA45-44EF-A4D3-F9AFDA021F6A}"/>
    <cellStyle name="Normal 3 2 2 5 2" xfId="34288" xr:uid="{9E7ABE10-8F16-403D-B5A0-7D920E01741A}"/>
    <cellStyle name="Normal 3 2 2 5 2 2" xfId="34291" xr:uid="{8D724252-5BBA-402C-80E5-AAD52E071960}"/>
    <cellStyle name="Normal 3 2 2 5 2 2 2" xfId="34294" xr:uid="{F100BA45-1A01-4708-AA80-54ADA78F257E}"/>
    <cellStyle name="Normal 3 2 2 5 2 2 2 2" xfId="41776" xr:uid="{A51F078A-4182-4649-B34C-6D8DEC8F94B5}"/>
    <cellStyle name="Normal 3 2 2 5 2 2 2 2 2" xfId="41777" xr:uid="{DC610739-B7CF-4402-88FF-FE4AB667C9B6}"/>
    <cellStyle name="Normal 3 2 2 5 2 2 2 3" xfId="41778" xr:uid="{C1CEED7A-01C5-4DB9-BCF8-EAD369E958E3}"/>
    <cellStyle name="Normal 3 2 2 5 2 2 3" xfId="41779" xr:uid="{FBC0D77A-4AC4-492F-9E14-8E176EEB3D46}"/>
    <cellStyle name="Normal 3 2 2 5 2 2 3 2" xfId="41780" xr:uid="{159D4FAC-ED36-4A00-8431-DC516E61A60B}"/>
    <cellStyle name="Normal 3 2 2 5 2 2 3 2 2" xfId="41781" xr:uid="{F9DB3D53-2AE4-441B-BED9-DF5EAC194083}"/>
    <cellStyle name="Normal 3 2 2 5 2 2 3 3" xfId="41782" xr:uid="{A4043EAE-2694-443B-B3C2-6D3E895C4A2C}"/>
    <cellStyle name="Normal 3 2 2 5 2 2 4" xfId="41783" xr:uid="{E3031C8A-42BE-44AD-A8B9-011B73718883}"/>
    <cellStyle name="Normal 3 2 2 5 2 2 4 2" xfId="41784" xr:uid="{E7517694-6AC3-42C4-8764-8FDCC8B70CA4}"/>
    <cellStyle name="Normal 3 2 2 5 2 2 5" xfId="41785" xr:uid="{B607A79D-F228-4B79-87FF-39E013564DD1}"/>
    <cellStyle name="Normal 3 2 2 5 2 3" xfId="34296" xr:uid="{68878DC5-642B-472E-A1DF-BA2B59B45B59}"/>
    <cellStyle name="Normal 3 2 2 5 2 3 2" xfId="41786" xr:uid="{BDC9D82A-D8B5-4FEE-A0CC-910734BAD69A}"/>
    <cellStyle name="Normal 3 2 2 5 2 3 2 2" xfId="41787" xr:uid="{46946E57-3753-4A10-8B2A-0E5942292C48}"/>
    <cellStyle name="Normal 3 2 2 5 2 3 3" xfId="41788" xr:uid="{0B007186-44CF-413C-9CBF-4996FF3852F2}"/>
    <cellStyle name="Normal 3 2 2 5 2 4" xfId="41790" xr:uid="{4D813FEA-A780-4C8A-9FAE-5D499FB666C6}"/>
    <cellStyle name="Normal 3 2 2 5 2 4 2" xfId="41791" xr:uid="{7F6F22BF-AA9F-4CA9-B87A-A78514216837}"/>
    <cellStyle name="Normal 3 2 2 5 2 4 2 2" xfId="41792" xr:uid="{03F4BCE9-51EB-4A63-ACFC-5B221C22F0DD}"/>
    <cellStyle name="Normal 3 2 2 5 2 4 3" xfId="41793" xr:uid="{D2A9F2F7-0F18-4086-88CA-FE195ED2015E}"/>
    <cellStyle name="Normal 3 2 2 5 2 5" xfId="41794" xr:uid="{B543132A-8B0B-4EF8-8301-36C2ED8A3B09}"/>
    <cellStyle name="Normal 3 2 2 5 2 5 2" xfId="41795" xr:uid="{5F371BDC-99E5-4D4A-A0F1-E339FF18F8DF}"/>
    <cellStyle name="Normal 3 2 2 5 2 6" xfId="41797" xr:uid="{F4EE2B1D-308C-4F5D-8C35-2A16FF79B015}"/>
    <cellStyle name="Normal 3 2 2 5 3" xfId="34298" xr:uid="{6E0B6BFD-010D-4F50-8222-16F09ACD9D63}"/>
    <cellStyle name="Normal 3 2 2 5 3 2" xfId="34301" xr:uid="{E089637A-15C2-49C3-8129-B4BFB54944B4}"/>
    <cellStyle name="Normal 3 2 2 5 3 2 2" xfId="41798" xr:uid="{86246EF1-6B9B-4097-8C52-0A0974164C9E}"/>
    <cellStyle name="Normal 3 2 2 5 3 2 2 2" xfId="41799" xr:uid="{DF63F3B2-1758-4C58-B35C-A8BD8366CE57}"/>
    <cellStyle name="Normal 3 2 2 5 3 2 3" xfId="41800" xr:uid="{4CBF9EAC-5DBD-406F-BDEF-0C5B6E7501AD}"/>
    <cellStyle name="Normal 3 2 2 5 3 3" xfId="41801" xr:uid="{A3B5253F-9263-4462-930A-65416EDF603A}"/>
    <cellStyle name="Normal 3 2 2 5 3 3 2" xfId="41802" xr:uid="{49B81899-F454-44D2-8350-0538FF2A2057}"/>
    <cellStyle name="Normal 3 2 2 5 3 3 2 2" xfId="41803" xr:uid="{70B33A78-8D66-4382-943D-CD21E6550626}"/>
    <cellStyle name="Normal 3 2 2 5 3 3 3" xfId="41804" xr:uid="{E214019D-3700-4C51-AD95-10497E8074F4}"/>
    <cellStyle name="Normal 3 2 2 5 3 4" xfId="41805" xr:uid="{5DD9AA6A-1173-431C-B4B3-5159F956BE1B}"/>
    <cellStyle name="Normal 3 2 2 5 3 4 2" xfId="41806" xr:uid="{F4F8226B-589D-4978-93B9-B0C8A0C4CD3F}"/>
    <cellStyle name="Normal 3 2 2 5 3 5" xfId="41807" xr:uid="{407FB6A7-4EAF-441B-96AB-184268707551}"/>
    <cellStyle name="Normal 3 2 2 5 4" xfId="34303" xr:uid="{2AF28D0B-BC4A-459A-BF7D-56328117F068}"/>
    <cellStyle name="Normal 3 2 2 5 4 2" xfId="1146" xr:uid="{DF40DA4A-912D-4712-9E53-44410BF7B8C2}"/>
    <cellStyle name="Normal 3 2 2 5 4 2 2" xfId="41808" xr:uid="{8AD098C8-F6E6-48C5-BF12-ADDD7F285A3B}"/>
    <cellStyle name="Normal 3 2 2 5 4 3" xfId="41809" xr:uid="{65C84E3A-6B34-4D8A-9FE3-9FCB89F6F20F}"/>
    <cellStyle name="Normal 3 2 2 5 5" xfId="71" xr:uid="{A538F997-9A85-45CF-B9EC-B73C9510327F}"/>
    <cellStyle name="Normal 3 2 2 5 5 2" xfId="41810" xr:uid="{ED50B633-F602-463B-9D8B-BF2E262CFA56}"/>
    <cellStyle name="Normal 3 2 2 5 5 2 2" xfId="41811" xr:uid="{F09BFDFB-E242-4001-A012-2B5A740C431D}"/>
    <cellStyle name="Normal 3 2 2 5 5 3" xfId="41812" xr:uid="{97F25D50-CC53-4E4C-9107-1A8F3184A19E}"/>
    <cellStyle name="Normal 3 2 2 5 6" xfId="41813" xr:uid="{72D8F533-9534-4266-969A-F72C699F33E1}"/>
    <cellStyle name="Normal 3 2 2 5 6 2" xfId="41814" xr:uid="{0F012872-7416-461E-8311-219FF700F35D}"/>
    <cellStyle name="Normal 3 2 2 5 7" xfId="41815" xr:uid="{D68962C3-4747-4FEB-878D-C7D445706CBD}"/>
    <cellStyle name="Normal 3 2 2 50" xfId="41735" xr:uid="{8878DB6D-1F06-4511-9FC6-0FCC1A271791}"/>
    <cellStyle name="Normal 3 2 2 50 2" xfId="41737" xr:uid="{1C31C208-6176-4B09-A80F-AAEC535D52D7}"/>
    <cellStyle name="Normal 3 2 2 50 2 2" xfId="41739" xr:uid="{DFDEEC71-B6B3-43E7-B71B-58C2D5E8E6B9}"/>
    <cellStyle name="Normal 3 2 2 50 3" xfId="41741" xr:uid="{DACE0FC5-7B6F-41B0-AEF1-68DA8DDC619A}"/>
    <cellStyle name="Normal 3 2 2 51" xfId="41743" xr:uid="{A0FBE6CB-A26F-43DF-B008-D4AE03E4D21E}"/>
    <cellStyle name="Normal 3 2 2 51 2" xfId="41745" xr:uid="{FA593737-1B63-4F2D-92C4-E7DA6E3DC2B7}"/>
    <cellStyle name="Normal 3 2 2 51 2 2" xfId="41747" xr:uid="{A4580E07-E1CE-4974-BADF-4DC1599FECB0}"/>
    <cellStyle name="Normal 3 2 2 51 3" xfId="41749" xr:uid="{5835E059-9A2B-4DA7-AF3F-056C44A12E33}"/>
    <cellStyle name="Normal 3 2 2 52" xfId="41751" xr:uid="{E76E9AD7-FBA1-41A5-9398-1929D172DB3A}"/>
    <cellStyle name="Normal 3 2 2 52 2" xfId="41753" xr:uid="{102DC8C3-B194-4910-8721-9838B9C9E565}"/>
    <cellStyle name="Normal 3 2 2 52 2 2" xfId="41755" xr:uid="{9F46476A-D483-49B6-B622-25E560C2FBBF}"/>
    <cellStyle name="Normal 3 2 2 52 3" xfId="41757" xr:uid="{589A93B4-1246-4ADC-BEA1-B9AF045DAACF}"/>
    <cellStyle name="Normal 3 2 2 53" xfId="41759" xr:uid="{078CAA7D-7484-4CE6-8B45-90D2A66D7E20}"/>
    <cellStyle name="Normal 3 2 2 53 2" xfId="41761" xr:uid="{1E5DC493-80CF-4FE3-9115-941FC49A8859}"/>
    <cellStyle name="Normal 3 2 2 53 2 2" xfId="41763" xr:uid="{7A634F8D-E998-4BFB-97BD-DAB8D554E7CE}"/>
    <cellStyle name="Normal 3 2 2 53 3" xfId="41765" xr:uid="{CDCF9B87-7C01-473C-B621-548FE8F7BF89}"/>
    <cellStyle name="Normal 3 2 2 54" xfId="41767" xr:uid="{0F5EEB0B-A61B-4475-9601-DE94A73D7DDF}"/>
    <cellStyle name="Normal 3 2 2 54 2" xfId="41769" xr:uid="{3B2E26DE-3EB4-4E73-BCA7-F95E20468D94}"/>
    <cellStyle name="Normal 3 2 2 54 2 2" xfId="41771" xr:uid="{3B76729F-27D6-423C-9D7D-36D1AFE8902D}"/>
    <cellStyle name="Normal 3 2 2 54 3" xfId="41773" xr:uid="{901EFB19-D3E6-43FA-95C7-ADE82C7DCB46}"/>
    <cellStyle name="Normal 3 2 2 55" xfId="41817" xr:uid="{FA8A8AD6-81BF-4D3A-85F2-63D3AEA50464}"/>
    <cellStyle name="Normal 3 2 2 55 2" xfId="41819" xr:uid="{DD539A9E-D240-4881-AEB0-700FC4B0FA41}"/>
    <cellStyle name="Normal 3 2 2 55 2 2" xfId="41821" xr:uid="{83145FB9-4406-4FF3-A9A1-A570326BF91F}"/>
    <cellStyle name="Normal 3 2 2 55 3" xfId="41823" xr:uid="{B200E42D-E815-4F59-A850-33EAEA387B4C}"/>
    <cellStyle name="Normal 3 2 2 56" xfId="41825" xr:uid="{D3E58DB8-8F8D-4D0F-B633-7C06A3DF6214}"/>
    <cellStyle name="Normal 3 2 2 56 2" xfId="41827" xr:uid="{F640A00B-9059-453D-B0D1-E68492C7B025}"/>
    <cellStyle name="Normal 3 2 2 56 2 2" xfId="41829" xr:uid="{90F0DECB-87C6-44DD-ACAF-1CB7AE9AACB1}"/>
    <cellStyle name="Normal 3 2 2 56 3" xfId="41831" xr:uid="{B3AEC279-6874-4F46-87FC-EEC3073AA9F4}"/>
    <cellStyle name="Normal 3 2 2 57" xfId="41833" xr:uid="{BB1AE5FF-10B8-403E-A08C-4BA8310A75FD}"/>
    <cellStyle name="Normal 3 2 2 57 2" xfId="41835" xr:uid="{785130C6-F0FA-4058-B480-234C3AD9B44C}"/>
    <cellStyle name="Normal 3 2 2 57 2 2" xfId="41837" xr:uid="{6DEED62D-4662-4537-9F6E-91389BC50902}"/>
    <cellStyle name="Normal 3 2 2 57 3" xfId="41839" xr:uid="{6EB08EAF-5789-4094-B678-04E3ADAEA208}"/>
    <cellStyle name="Normal 3 2 2 58" xfId="41841" xr:uid="{2575659E-4B69-4F52-8500-5A37B4573490}"/>
    <cellStyle name="Normal 3 2 2 58 2" xfId="41843" xr:uid="{C1D4B247-B6EE-4E40-B932-D03BA4503F9E}"/>
    <cellStyle name="Normal 3 2 2 58 2 2" xfId="41845" xr:uid="{4C7A9A71-76F6-42EF-A62B-8A998BF2E38F}"/>
    <cellStyle name="Normal 3 2 2 58 3" xfId="41847" xr:uid="{766DF704-FA85-4AC9-8AA9-B8CD50AC6272}"/>
    <cellStyle name="Normal 3 2 2 59" xfId="41849" xr:uid="{5AEE9D4C-1181-4A05-9537-49620981086F}"/>
    <cellStyle name="Normal 3 2 2 59 2" xfId="41851" xr:uid="{8AA34202-1DAC-4D17-B487-092E600DD2F1}"/>
    <cellStyle name="Normal 3 2 2 59 2 2" xfId="41853" xr:uid="{26F72A90-DE2A-492F-9648-C7AE2E7394A7}"/>
    <cellStyle name="Normal 3 2 2 59 3" xfId="41855" xr:uid="{A88866D9-1FCB-47CC-AA8F-3654762BC10D}"/>
    <cellStyle name="Normal 3 2 2 6" xfId="41856" xr:uid="{91FF0911-A44B-4A26-B28D-F3DCA892842C}"/>
    <cellStyle name="Normal 3 2 2 6 2" xfId="30986" xr:uid="{8660B054-408D-4FE6-8363-36B18A1316FC}"/>
    <cellStyle name="Normal 3 2 2 6 2 2" xfId="34345" xr:uid="{4CC36B29-AD0E-49AA-8E0B-AC0E7BA0A7A6}"/>
    <cellStyle name="Normal 3 2 2 6 2 2 2" xfId="41857" xr:uid="{5014CBF3-AB5F-4902-9179-BF1EAB776594}"/>
    <cellStyle name="Normal 3 2 2 6 2 2 2 2" xfId="41858" xr:uid="{62E6EC4A-3B0A-4F97-BF22-98A81D65DBA4}"/>
    <cellStyle name="Normal 3 2 2 6 2 2 3" xfId="41859" xr:uid="{0064D35B-AC66-4A76-953D-676FCCF61746}"/>
    <cellStyle name="Normal 3 2 2 6 2 3" xfId="41860" xr:uid="{0C13D8F8-0115-4334-8D8A-B2C801CA224A}"/>
    <cellStyle name="Normal 3 2 2 6 2 3 2" xfId="41861" xr:uid="{490335C0-CDB0-402C-A44F-27C241D0C6B4}"/>
    <cellStyle name="Normal 3 2 2 6 2 3 2 2" xfId="41862" xr:uid="{8DAF0FB4-3BC0-43EE-887E-5FA7702BFA65}"/>
    <cellStyle name="Normal 3 2 2 6 2 3 3" xfId="41863" xr:uid="{C3BFE083-5942-475B-B4D3-2000F1A407F1}"/>
    <cellStyle name="Normal 3 2 2 6 2 4" xfId="41864" xr:uid="{77FDA07F-A5A5-4BBE-8FEC-A4F0B63DA267}"/>
    <cellStyle name="Normal 3 2 2 6 2 4 2" xfId="41865" xr:uid="{FD7F5D0D-4553-49D4-93C2-E5B5560D17C1}"/>
    <cellStyle name="Normal 3 2 2 6 2 5" xfId="41866" xr:uid="{C88E6E21-8921-4121-B43F-87A0D118FBE6}"/>
    <cellStyle name="Normal 3 2 2 6 3" xfId="34347" xr:uid="{B79658A1-25B5-4700-8416-E9E3A488E857}"/>
    <cellStyle name="Normal 3 2 2 6 3 2" xfId="41867" xr:uid="{A0AAB45D-1AE9-4A33-9291-54A6B068AE9D}"/>
    <cellStyle name="Normal 3 2 2 6 3 2 2" xfId="41868" xr:uid="{2AFC03A9-1676-4308-B9B5-F302B46657B8}"/>
    <cellStyle name="Normal 3 2 2 6 3 3" xfId="41869" xr:uid="{07A76E60-58BB-40E7-B1B1-380082C84562}"/>
    <cellStyle name="Normal 3 2 2 6 4" xfId="20691" xr:uid="{C878ECC7-86C1-4727-82C7-E19963A0BAF6}"/>
    <cellStyle name="Normal 3 2 2 6 4 2" xfId="41870" xr:uid="{23F4906F-58BB-4ECB-BAA3-55446E8A23BF}"/>
    <cellStyle name="Normal 3 2 2 6 4 2 2" xfId="41871" xr:uid="{6E44E1E8-5854-4918-A8BD-108E14C5E099}"/>
    <cellStyle name="Normal 3 2 2 6 4 3" xfId="41872" xr:uid="{42A93CD7-F977-4BD5-B845-1273188AE563}"/>
    <cellStyle name="Normal 3 2 2 6 5" xfId="41873" xr:uid="{FA26F9D4-0BD7-43B8-9FE6-103697EDA4DB}"/>
    <cellStyle name="Normal 3 2 2 6 5 2" xfId="41874" xr:uid="{0F0512D6-8F47-46E2-9B68-C3F5DAE020EE}"/>
    <cellStyle name="Normal 3 2 2 6 6" xfId="41875" xr:uid="{CBC9B95C-F297-40EA-9B6E-C08E7A403BDE}"/>
    <cellStyle name="Normal 3 2 2 60" xfId="41816" xr:uid="{F1190839-A5E9-4C41-AA94-467F3D1FFB9F}"/>
    <cellStyle name="Normal 3 2 2 60 2" xfId="41818" xr:uid="{F225FA98-EC35-40F4-BE73-22DA74A962EB}"/>
    <cellStyle name="Normal 3 2 2 60 2 2" xfId="41820" xr:uid="{A2BB8242-6157-4D3C-91A6-05AA7715E3AA}"/>
    <cellStyle name="Normal 3 2 2 60 3" xfId="41822" xr:uid="{9EA34F86-53CF-45F6-85F7-2242C37BC8E4}"/>
    <cellStyle name="Normal 3 2 2 61" xfId="41824" xr:uid="{99FBEE93-9DC9-40CD-B9D9-F12B95E6C910}"/>
    <cellStyle name="Normal 3 2 2 61 2" xfId="41826" xr:uid="{2BD997E7-BEF3-4523-A0C6-FEF669BDCDD9}"/>
    <cellStyle name="Normal 3 2 2 61 2 2" xfId="41828" xr:uid="{56C9698B-9FD7-4380-81A9-309B3B08A166}"/>
    <cellStyle name="Normal 3 2 2 61 3" xfId="41830" xr:uid="{90283345-9936-4527-90BD-93CF7D88D602}"/>
    <cellStyle name="Normal 3 2 2 62" xfId="41832" xr:uid="{751FC52D-0640-471B-B547-898EB3D10516}"/>
    <cellStyle name="Normal 3 2 2 62 2" xfId="41834" xr:uid="{A6754780-D2FA-406E-82FC-B99C5B2E8BC0}"/>
    <cellStyle name="Normal 3 2 2 62 2 2" xfId="41836" xr:uid="{9FDEF757-F7B5-4C25-AF80-E21E30B1E992}"/>
    <cellStyle name="Normal 3 2 2 62 3" xfId="41838" xr:uid="{86327061-CD4F-4DF7-8C7F-24F1BBB70413}"/>
    <cellStyle name="Normal 3 2 2 63" xfId="41840" xr:uid="{332470AA-B578-4090-A438-6372B855520C}"/>
    <cellStyle name="Normal 3 2 2 63 2" xfId="41842" xr:uid="{2CDA63D0-3ED0-45E7-AED7-DAB43A8A5A80}"/>
    <cellStyle name="Normal 3 2 2 63 2 2" xfId="41844" xr:uid="{186356EE-3580-48B7-9032-60A6D714CB97}"/>
    <cellStyle name="Normal 3 2 2 63 3" xfId="41846" xr:uid="{FDB3D644-91FA-442C-B072-F2F7D96DC8A8}"/>
    <cellStyle name="Normal 3 2 2 64" xfId="41848" xr:uid="{4645DB92-6B76-4678-B499-41DC69E15A1A}"/>
    <cellStyle name="Normal 3 2 2 64 2" xfId="41850" xr:uid="{7C246E82-3343-4C87-AE04-26836225B76E}"/>
    <cellStyle name="Normal 3 2 2 64 2 2" xfId="41852" xr:uid="{A8EF1F41-238F-4141-A5C6-4C01FFE33970}"/>
    <cellStyle name="Normal 3 2 2 64 3" xfId="41854" xr:uid="{BE3520CC-FCC1-4B38-895B-E37ED906EC91}"/>
    <cellStyle name="Normal 3 2 2 65" xfId="41877" xr:uid="{BA9DD9BD-67AD-414F-9AE7-B152B2B438D3}"/>
    <cellStyle name="Normal 3 2 2 65 2" xfId="41878" xr:uid="{1CB15C71-2A43-42E5-B434-146880053B2F}"/>
    <cellStyle name="Normal 3 2 2 65 2 2" xfId="41879" xr:uid="{240C1601-D0E3-4694-96EF-21909A1FEF10}"/>
    <cellStyle name="Normal 3 2 2 65 3" xfId="41880" xr:uid="{082B4C59-FBC4-4122-9837-A2F6827E4E21}"/>
    <cellStyle name="Normal 3 2 2 66" xfId="41882" xr:uid="{2BFD9C0F-76DA-4DE9-A51D-023DC2DFEB05}"/>
    <cellStyle name="Normal 3 2 2 66 2" xfId="41883" xr:uid="{E94D74C6-ADB1-46E2-8A3D-1F48F7852423}"/>
    <cellStyle name="Normal 3 2 2 66 2 2" xfId="41884" xr:uid="{9FB5BF24-0298-4104-A457-859BF1344299}"/>
    <cellStyle name="Normal 3 2 2 66 3" xfId="41885" xr:uid="{14A1D9CE-E949-49C9-B281-38C08F7AA0FC}"/>
    <cellStyle name="Normal 3 2 2 67" xfId="41887" xr:uid="{D9F48E24-B9E3-468C-A754-6A72DAF22559}"/>
    <cellStyle name="Normal 3 2 2 67 2" xfId="41889" xr:uid="{883DD144-59E4-4CCD-BA50-C699A216E283}"/>
    <cellStyle name="Normal 3 2 2 68" xfId="41890" xr:uid="{25C4F021-7C27-4744-8F50-34929D71CFDC}"/>
    <cellStyle name="Normal 3 2 2 68 2" xfId="41891" xr:uid="{340924BF-4CF1-4CF4-B946-1624C4AE8CD9}"/>
    <cellStyle name="Normal 3 2 2 69" xfId="41892" xr:uid="{E334F962-C124-41EB-8D2E-34173B63E9FD}"/>
    <cellStyle name="Normal 3 2 2 69 2" xfId="41893" xr:uid="{29440F61-87EC-42FB-8393-323C65DCA35F}"/>
    <cellStyle name="Normal 3 2 2 7" xfId="41894" xr:uid="{2A68D703-BF2F-4AFA-9E34-741B531F0A86}"/>
    <cellStyle name="Normal 3 2 2 7 2" xfId="34365" xr:uid="{2B09E627-8EE7-49CF-9B15-C7F128A60A08}"/>
    <cellStyle name="Normal 3 2 2 7 2 2" xfId="41895" xr:uid="{B4059C98-1EF6-499E-9C28-CC44A75A5123}"/>
    <cellStyle name="Normal 3 2 2 7 2 2 2" xfId="41896" xr:uid="{633B9ABA-3F23-4513-AFDB-C84FA4B6240C}"/>
    <cellStyle name="Normal 3 2 2 7 2 3" xfId="41897" xr:uid="{45ACE267-5E1A-42C7-8055-15FAF427E1B2}"/>
    <cellStyle name="Normal 3 2 2 7 3" xfId="41898" xr:uid="{3203768B-9819-41EA-B28C-2F0B0036682C}"/>
    <cellStyle name="Normal 3 2 2 7 3 2" xfId="41899" xr:uid="{24DD4A6D-73A7-4A32-ABE7-78106035D4FC}"/>
    <cellStyle name="Normal 3 2 2 7 3 2 2" xfId="41900" xr:uid="{4C909B74-9DC6-408E-840E-BABF2EC81EE1}"/>
    <cellStyle name="Normal 3 2 2 7 3 3" xfId="41901" xr:uid="{4C5A6EA9-1E0E-4F7C-8DE4-C67981475A75}"/>
    <cellStyle name="Normal 3 2 2 7 4" xfId="41902" xr:uid="{AE330E4E-AFEB-47A2-9BA1-1F1422FFFC61}"/>
    <cellStyle name="Normal 3 2 2 7 4 2" xfId="41903" xr:uid="{18CB0761-57D0-4E1F-9A38-196CB5614B4B}"/>
    <cellStyle name="Normal 3 2 2 7 5" xfId="41904" xr:uid="{9A3F99B1-216F-49B1-9E15-2B32884C5A0A}"/>
    <cellStyle name="Normal 3 2 2 70" xfId="41876" xr:uid="{B4522821-D6DB-4B30-9AA2-44AD5C9ACF30}"/>
    <cellStyle name="Normal 3 2 2 71" xfId="41881" xr:uid="{E3BEDF84-0781-4894-8377-86720ADB255F}"/>
    <cellStyle name="Normal 3 2 2 72" xfId="41886" xr:uid="{DD08238E-7164-4A48-AD40-FE803E22C3D8}"/>
    <cellStyle name="Normal 3 2 2 72 2" xfId="41888" xr:uid="{4343EDF5-FFF4-44D5-AECA-9EA65C1B1823}"/>
    <cellStyle name="Normal 3 2 2 8" xfId="41905" xr:uid="{46304987-157B-42CF-A668-20756E479648}"/>
    <cellStyle name="Normal 3 2 2 8 2" xfId="41906" xr:uid="{F4A50BB9-8317-45C8-AC68-3397B81935DB}"/>
    <cellStyle name="Normal 3 2 2 8 2 2" xfId="41907" xr:uid="{306F46BF-15E5-4C54-A838-000D6EABA173}"/>
    <cellStyle name="Normal 3 2 2 8 3" xfId="41908" xr:uid="{913B23A5-1A0C-442F-B9F1-9E02BDD81F72}"/>
    <cellStyle name="Normal 3 2 2 9" xfId="41909" xr:uid="{5A630E3D-0B83-4CF0-BBC8-9F03276B7491}"/>
    <cellStyle name="Normal 3 2 2 9 2" xfId="41910" xr:uid="{7DEE879C-7EF5-475A-822D-1F2E8DFDFD74}"/>
    <cellStyle name="Normal 3 2 2 9 2 2" xfId="41911" xr:uid="{3C755F1F-14DD-4F83-8A69-42178F4DC4F2}"/>
    <cellStyle name="Normal 3 2 2 9 3" xfId="41912" xr:uid="{1B40E01C-114D-42B2-AB95-C68AB852D877}"/>
    <cellStyle name="Normal 3 2 20" xfId="40484" xr:uid="{C2E155E9-646A-40BF-87F8-45768C8766AB}"/>
    <cellStyle name="Normal 3 2 21" xfId="40486" xr:uid="{74EB74C1-9DAD-4463-A184-F07CC28A2D28}"/>
    <cellStyle name="Normal 3 2 22" xfId="40488" xr:uid="{4603D646-EC52-4C20-B95C-04EA8B27DCFA}"/>
    <cellStyle name="Normal 3 2 23" xfId="40490" xr:uid="{E58E7AA4-C316-478B-949D-076E0E038B4B}"/>
    <cellStyle name="Normal 3 2 24" xfId="40492" xr:uid="{B5904FAC-EF67-408C-9B4E-D3D33FAC69ED}"/>
    <cellStyle name="Normal 3 2 25" xfId="41914" xr:uid="{FA79A6E8-9C30-42C6-AF48-AF4D36C6A2E9}"/>
    <cellStyle name="Normal 3 2 26" xfId="41916" xr:uid="{D539E78A-A54D-4091-8D35-55FAFA5D68CF}"/>
    <cellStyle name="Normal 3 2 27" xfId="41918" xr:uid="{1201088D-97C1-4254-B863-B320D55A68B8}"/>
    <cellStyle name="Normal 3 2 28" xfId="41920" xr:uid="{01B8C726-DAC5-4AC3-82A6-F038A3B4123D}"/>
    <cellStyle name="Normal 3 2 29" xfId="41922" xr:uid="{8AB5D2D3-22F1-49EB-BB41-19B3AD327B9F}"/>
    <cellStyle name="Normal 3 2 3" xfId="41923" xr:uid="{D7539254-4608-4E9F-A555-FC23BFAA1D79}"/>
    <cellStyle name="Normal 3 2 3 10" xfId="34689" xr:uid="{6B4595E3-2E70-4EE7-BC57-3D9D4EF844C7}"/>
    <cellStyle name="Normal 3 2 3 11" xfId="41924" xr:uid="{0A126039-12BE-491D-8E04-31BD513F6044}"/>
    <cellStyle name="Normal 3 2 3 11 2" xfId="41925" xr:uid="{3EAAEBB3-3538-4A15-AD2E-D4FDE76DDB64}"/>
    <cellStyle name="Normal 3 2 3 11 2 2" xfId="41926" xr:uid="{924EA5B8-0C55-4A49-AB0E-8BE620086583}"/>
    <cellStyle name="Normal 3 2 3 12" xfId="41927" xr:uid="{3D7C1C4E-C9A8-4A09-8B0F-ECA3489575D3}"/>
    <cellStyle name="Normal 3 2 3 13 2" xfId="54165" xr:uid="{9AFBEF61-4659-4927-8D81-29817D327E19}"/>
    <cellStyle name="Normal 3 2 3 2" xfId="41928" xr:uid="{852B27F8-19AC-4E39-ADB2-8D47A97BE5B9}"/>
    <cellStyle name="Normal 3 2 3 2 2" xfId="34640" xr:uid="{8CE08063-43DD-4C16-BE8A-ED64BE1ACB37}"/>
    <cellStyle name="Normal 3 2 3 2 2 2" xfId="34643" xr:uid="{5B69A48A-A6C4-4D36-98F9-72207C1C4568}"/>
    <cellStyle name="Normal 3 2 3 2 2 2 2" xfId="19" xr:uid="{A1761849-B45B-4370-AA2D-85C46EF5EC1D}"/>
    <cellStyle name="Normal 3 2 3 2 2 2 2 2" xfId="892" xr:uid="{570F346F-092C-4404-8E06-06F2229B2AA4}"/>
    <cellStyle name="Normal 3 2 3 2 2 2 2 2 2" xfId="41929" xr:uid="{6B147885-B13E-4BDB-B14F-D5F156126319}"/>
    <cellStyle name="Normal 3 2 3 2 2 2 2 2 2 2" xfId="41930" xr:uid="{09EAF1DF-72FA-4BFE-871B-7F214A9A6DE6}"/>
    <cellStyle name="Normal 3 2 3 2 2 2 2 2 2 2 2" xfId="41931" xr:uid="{9A724A0C-5E03-42AE-A3AF-0A773D8331C4}"/>
    <cellStyle name="Normal 3 2 3 2 2 2 2 2 2 3" xfId="41932" xr:uid="{7CC96B3F-FEB8-428C-A1D5-356441A56019}"/>
    <cellStyle name="Normal 3 2 3 2 2 2 2 2 3" xfId="41933" xr:uid="{1AD51A5C-416F-497B-A9D5-4AE756D48035}"/>
    <cellStyle name="Normal 3 2 3 2 2 2 2 2 3 2" xfId="41934" xr:uid="{3C5F5A93-110B-4E5C-893F-36386557DBC3}"/>
    <cellStyle name="Normal 3 2 3 2 2 2 2 2 3 2 2" xfId="41935" xr:uid="{966F1BE5-B2E4-4868-92B7-3280AB75FC92}"/>
    <cellStyle name="Normal 3 2 3 2 2 2 2 2 3 3" xfId="41936" xr:uid="{A7BA5489-05FA-44CB-9874-B93A4F9576BC}"/>
    <cellStyle name="Normal 3 2 3 2 2 2 2 2 4" xfId="41937" xr:uid="{6C3D8ADD-6783-4F43-91F3-532A0E8C5B7F}"/>
    <cellStyle name="Normal 3 2 3 2 2 2 2 2 4 2" xfId="41938" xr:uid="{034D9887-1AB8-426B-BE5C-033D5C57604F}"/>
    <cellStyle name="Normal 3 2 3 2 2 2 2 2 5" xfId="41939" xr:uid="{F024BD69-472D-4010-9472-678B6F70ABCE}"/>
    <cellStyle name="Normal 3 2 3 2 2 2 2 3" xfId="41940" xr:uid="{B7F63526-3964-46D8-B86B-49C44FCF4995}"/>
    <cellStyle name="Normal 3 2 3 2 2 2 2 3 2" xfId="41941" xr:uid="{04A1EE9D-F8D2-47BD-B93E-E61BF6124908}"/>
    <cellStyle name="Normal 3 2 3 2 2 2 2 3 2 2" xfId="41942" xr:uid="{6EA7A81F-87C8-4AA7-A38B-CD5FA4758210}"/>
    <cellStyle name="Normal 3 2 3 2 2 2 2 3 3" xfId="41943" xr:uid="{847A4DEC-923F-4D83-A179-4F79C7D6650F}"/>
    <cellStyle name="Normal 3 2 3 2 2 2 2 4" xfId="41944" xr:uid="{BEE5F02D-9267-4F8E-A03E-FBEAA215414D}"/>
    <cellStyle name="Normal 3 2 3 2 2 2 2 4 2" xfId="41945" xr:uid="{609F65B0-5BE3-4E47-B7DC-C21CBFFD06AC}"/>
    <cellStyle name="Normal 3 2 3 2 2 2 2 4 2 2" xfId="41946" xr:uid="{1DDF8A3C-D452-488E-99D2-92CB6D423BE2}"/>
    <cellStyle name="Normal 3 2 3 2 2 2 2 4 3" xfId="41947" xr:uid="{E1789954-F676-4A81-8107-82EF4ABF3F28}"/>
    <cellStyle name="Normal 3 2 3 2 2 2 2 5" xfId="41948" xr:uid="{85CC077D-8D8C-4E6F-BF42-0599550E7C2C}"/>
    <cellStyle name="Normal 3 2 3 2 2 2 2 5 2" xfId="41949" xr:uid="{D237E9B7-0F73-4CB2-BCFF-FBCE7DC7EF6B}"/>
    <cellStyle name="Normal 3 2 3 2 2 2 2 6" xfId="41950" xr:uid="{B18BBC27-2FB5-4E1D-BDFA-405C0693A7DB}"/>
    <cellStyle name="Normal 3 2 3 2 2 2 3" xfId="97" xr:uid="{2BF5F36C-CE12-40FE-9D63-4D0DE27E4057}"/>
    <cellStyle name="Normal 3 2 3 2 2 2 3 2" xfId="41951" xr:uid="{63F7B727-69D5-470E-993A-12168ED46A85}"/>
    <cellStyle name="Normal 3 2 3 2 2 2 3 2 2" xfId="41952" xr:uid="{A6360557-54F8-4366-9FE4-A60026F335A8}"/>
    <cellStyle name="Normal 3 2 3 2 2 2 3 2 2 2" xfId="41953" xr:uid="{F0CCDBA3-E2C4-4827-9F7A-4CEC04706168}"/>
    <cellStyle name="Normal 3 2 3 2 2 2 3 2 3" xfId="41954" xr:uid="{A0F12C95-4887-40ED-9061-CD405C243B0F}"/>
    <cellStyle name="Normal 3 2 3 2 2 2 3 3" xfId="41955" xr:uid="{84A6EBB4-7F3C-456F-9749-3C060DE71E1A}"/>
    <cellStyle name="Normal 3 2 3 2 2 2 3 3 2" xfId="41956" xr:uid="{1AD85C39-A505-4055-BFDD-2DEF83A89A4A}"/>
    <cellStyle name="Normal 3 2 3 2 2 2 3 3 2 2" xfId="41957" xr:uid="{3AE60606-986C-4573-BE48-78E3134537CF}"/>
    <cellStyle name="Normal 3 2 3 2 2 2 3 3 3" xfId="41958" xr:uid="{B0394E41-83CB-443A-812A-22003E41CDC6}"/>
    <cellStyle name="Normal 3 2 3 2 2 2 3 4" xfId="41959" xr:uid="{4BDC068C-562B-4E31-858D-AF1D16FC3012}"/>
    <cellStyle name="Normal 3 2 3 2 2 2 3 4 2" xfId="41960" xr:uid="{C4FFC052-970B-404E-B0B3-BB86791ACD6D}"/>
    <cellStyle name="Normal 3 2 3 2 2 2 3 5" xfId="41961" xr:uid="{3BAD45BF-F544-44FE-AA09-332FE2FA22CE}"/>
    <cellStyle name="Normal 3 2 3 2 2 2 4" xfId="41962" xr:uid="{2C50D342-26E6-4C1C-94AA-2192EBAA46DD}"/>
    <cellStyle name="Normal 3 2 3 2 2 2 4 2" xfId="41963" xr:uid="{F9AB8FD9-6F6A-4234-A424-5F2533B9B175}"/>
    <cellStyle name="Normal 3 2 3 2 2 2 4 2 2" xfId="41964" xr:uid="{B185910A-BA31-45EE-A8D1-40AC0D7CEB0C}"/>
    <cellStyle name="Normal 3 2 3 2 2 2 4 3" xfId="38613" xr:uid="{4C0BD767-6B35-4B3A-8BE5-0780D9634394}"/>
    <cellStyle name="Normal 3 2 3 2 2 2 5" xfId="41965" xr:uid="{A1912509-98FB-47E5-A98F-4AB7405A8B6D}"/>
    <cellStyle name="Normal 3 2 3 2 2 2 5 2" xfId="41966" xr:uid="{4A1FD5B1-3BC1-4081-9608-FB21BAF5088E}"/>
    <cellStyle name="Normal 3 2 3 2 2 2 5 2 2" xfId="41967" xr:uid="{49C94C49-4A9F-40BE-927E-77001119853F}"/>
    <cellStyle name="Normal 3 2 3 2 2 2 5 3" xfId="38622" xr:uid="{9CF497AF-0E2C-466F-AD55-F3791C1700EC}"/>
    <cellStyle name="Normal 3 2 3 2 2 2 6" xfId="41968" xr:uid="{058F8870-BA88-485C-86EB-D13DB2005B79}"/>
    <cellStyle name="Normal 3 2 3 2 2 2 6 2" xfId="41969" xr:uid="{C9EE8327-EA06-44C9-B1C6-47EBF0BA09B0}"/>
    <cellStyle name="Normal 3 2 3 2 2 2 7" xfId="41970" xr:uid="{27D661B9-8D69-41F7-9E23-28262417545E}"/>
    <cellStyle name="Normal 3 2 3 2 2 3" xfId="34646" xr:uid="{3C5221C0-385A-4A67-8A42-D1BA564C3B18}"/>
    <cellStyle name="Normal 3 2 3 2 2 3 2" xfId="34649" xr:uid="{E961040D-534A-4F91-8A1C-549CF2D5DC4E}"/>
    <cellStyle name="Normal 3 2 3 2 2 3 2 2" xfId="41971" xr:uid="{603B95EF-8AA8-485F-9811-8BD3A93D4331}"/>
    <cellStyle name="Normal 3 2 3 2 2 3 2 2 2" xfId="41972" xr:uid="{6AF69D50-1587-4A47-A89D-A03A77E32155}"/>
    <cellStyle name="Normal 3 2 3 2 2 3 2 2 2 2" xfId="41973" xr:uid="{CC7CC033-FEFE-4E58-A52C-B4C4D5D8013D}"/>
    <cellStyle name="Normal 3 2 3 2 2 3 2 2 3" xfId="41974" xr:uid="{E7F6FDAF-A8A1-4E2F-A4B8-8F21155D52D0}"/>
    <cellStyle name="Normal 3 2 3 2 2 3 2 3" xfId="41975" xr:uid="{1C8E4E61-8587-49E9-A286-58D39DA004AE}"/>
    <cellStyle name="Normal 3 2 3 2 2 3 2 3 2" xfId="41976" xr:uid="{0F6D0721-3EF4-4121-ABED-8B9024AB193B}"/>
    <cellStyle name="Normal 3 2 3 2 2 3 2 3 2 2" xfId="41977" xr:uid="{F6C64AA4-39D2-42B3-8F0E-CCD4E09386E8}"/>
    <cellStyle name="Normal 3 2 3 2 2 3 2 3 3" xfId="41978" xr:uid="{A8742683-0B93-4720-9139-5A09FD961879}"/>
    <cellStyle name="Normal 3 2 3 2 2 3 2 4" xfId="41979" xr:uid="{4400100C-437E-4C8C-AC14-1286C5176C1D}"/>
    <cellStyle name="Normal 3 2 3 2 2 3 2 4 2" xfId="41980" xr:uid="{175F2B5C-DAA9-420D-B76E-0BB13D9E2170}"/>
    <cellStyle name="Normal 3 2 3 2 2 3 2 5" xfId="41981" xr:uid="{A406D37B-2B19-4B53-A8DE-9E6F07A653A8}"/>
    <cellStyle name="Normal 3 2 3 2 2 3 3" xfId="41982" xr:uid="{B48D7CF9-67D3-4D51-940D-49C4506F0DFF}"/>
    <cellStyle name="Normal 3 2 3 2 2 3 3 2" xfId="41983" xr:uid="{FE010EDF-60B9-41D7-8C82-DF0CDCAD661F}"/>
    <cellStyle name="Normal 3 2 3 2 2 3 3 2 2" xfId="41984" xr:uid="{4C44D60C-6DB1-4A92-B4E6-62EA0A1D8BFA}"/>
    <cellStyle name="Normal 3 2 3 2 2 3 3 3" xfId="41985" xr:uid="{752A1018-8A6B-4717-9928-FA746151C440}"/>
    <cellStyle name="Normal 3 2 3 2 2 3 4" xfId="41986" xr:uid="{3489D662-DE13-4522-8AAB-9CBF12D24AAF}"/>
    <cellStyle name="Normal 3 2 3 2 2 3 4 2" xfId="41987" xr:uid="{83C61FCD-46F3-4868-BFD2-4E46255ABE2A}"/>
    <cellStyle name="Normal 3 2 3 2 2 3 4 2 2" xfId="41988" xr:uid="{72CAEC6D-7F29-4CF7-B699-26EE4F79F90C}"/>
    <cellStyle name="Normal 3 2 3 2 2 3 4 3" xfId="38631" xr:uid="{47F2F1F7-B864-440D-BD70-184FCD4F3B22}"/>
    <cellStyle name="Normal 3 2 3 2 2 3 5" xfId="41989" xr:uid="{ECEA8C35-6304-49AD-93F0-01B99FCB64B1}"/>
    <cellStyle name="Normal 3 2 3 2 2 3 5 2" xfId="41990" xr:uid="{7E81B97B-3C35-4EE0-AEAD-D2EC28770E90}"/>
    <cellStyle name="Normal 3 2 3 2 2 3 6" xfId="41991" xr:uid="{44840BEB-BCC9-4326-8521-AD04D6A7C039}"/>
    <cellStyle name="Normal 3 2 3 2 2 4" xfId="34652" xr:uid="{6A347D01-A82F-4875-9DFF-083C7D248420}"/>
    <cellStyle name="Normal 3 2 3 2 2 4 2" xfId="41992" xr:uid="{E8F75E86-78D3-4397-9B32-A1EFF391C5BD}"/>
    <cellStyle name="Normal 3 2 3 2 2 4 2 2" xfId="41993" xr:uid="{89296A0A-61DD-4565-9F61-A2A0827F7F1C}"/>
    <cellStyle name="Normal 3 2 3 2 2 4 2 2 2" xfId="41994" xr:uid="{B94A8669-631E-443C-AC3C-8B1DABFDEA7F}"/>
    <cellStyle name="Normal 3 2 3 2 2 4 2 3" xfId="41995" xr:uid="{1CF054B2-477E-4DA5-884D-BDCBE58F682D}"/>
    <cellStyle name="Normal 3 2 3 2 2 4 3" xfId="41996" xr:uid="{6A906001-5738-43FF-9726-5A812A82C6A3}"/>
    <cellStyle name="Normal 3 2 3 2 2 4 3 2" xfId="41997" xr:uid="{5B14B03D-85AE-4BD1-A768-9E35DA8B3E35}"/>
    <cellStyle name="Normal 3 2 3 2 2 4 3 2 2" xfId="41998" xr:uid="{1BB2E972-2111-4423-9CA9-1E445DFCBC3A}"/>
    <cellStyle name="Normal 3 2 3 2 2 4 3 3" xfId="41999" xr:uid="{7E169B1E-56F9-4176-8EA3-41DC7756ECC0}"/>
    <cellStyle name="Normal 3 2 3 2 2 4 4" xfId="42000" xr:uid="{DDC36658-A71E-48FA-9E4B-892B5B72BB89}"/>
    <cellStyle name="Normal 3 2 3 2 2 4 4 2" xfId="36225" xr:uid="{5E38738C-DD02-4FA2-A848-B71EB03F0194}"/>
    <cellStyle name="Normal 3 2 3 2 2 4 5" xfId="42001" xr:uid="{14FE873F-1D5D-4E95-ACF8-DC39045D5601}"/>
    <cellStyle name="Normal 3 2 3 2 2 5" xfId="42002" xr:uid="{8F12D56F-F598-49F3-A94C-2CF8F1BCD51B}"/>
    <cellStyle name="Normal 3 2 3 2 2 5 2" xfId="42003" xr:uid="{29DDDF9E-60AF-4A72-BB2A-4DA493A279D2}"/>
    <cellStyle name="Normal 3 2 3 2 2 5 2 2" xfId="42004" xr:uid="{9208B721-6E81-4023-91E5-64AC2878BF69}"/>
    <cellStyle name="Normal 3 2 3 2 2 5 3" xfId="42005" xr:uid="{64F9D401-7DC9-4B4C-9A92-1996BB61BD3C}"/>
    <cellStyle name="Normal 3 2 3 2 2 6" xfId="42007" xr:uid="{7141AA49-B321-430D-B8E7-EC6FE9CBC252}"/>
    <cellStyle name="Normal 3 2 3 2 2 6 2" xfId="42009" xr:uid="{7B2CE19B-B449-4740-BDE2-5239689DD2F2}"/>
    <cellStyle name="Normal 3 2 3 2 2 6 2 2" xfId="42011" xr:uid="{2547BB28-59AD-4CF7-AF7F-23AAB3EF68A6}"/>
    <cellStyle name="Normal 3 2 3 2 2 6 3" xfId="42013" xr:uid="{DAF181E6-855A-4A87-9BB8-5C5E811D82E5}"/>
    <cellStyle name="Normal 3 2 3 2 2 7" xfId="42016" xr:uid="{4818B1EE-62A0-4DE4-9F41-D33BB2022288}"/>
    <cellStyle name="Normal 3 2 3 2 2 7 2" xfId="42019" xr:uid="{015871C5-4CC1-41C9-A78F-798231AB4F25}"/>
    <cellStyle name="Normal 3 2 3 2 2 8" xfId="42023" xr:uid="{E82A2E09-1DA5-4DF0-A006-238EAC56133D}"/>
    <cellStyle name="Normal 3 2 3 2 3" xfId="34657" xr:uid="{B763B772-CE27-4AA8-A04C-63D01FF8057A}"/>
    <cellStyle name="Normal 3 2 3 2 3 2" xfId="34660" xr:uid="{47AF243F-736F-4DD9-8E2A-8B92671A73D9}"/>
    <cellStyle name="Normal 3 2 3 2 3 2 2" xfId="34663" xr:uid="{8BBBDE1B-B0E8-4981-B318-13862BF2C8CC}"/>
    <cellStyle name="Normal 3 2 3 2 3 2 2 2" xfId="42024" xr:uid="{334C1BD3-DA78-4FEA-B3D4-91BC901B3009}"/>
    <cellStyle name="Normal 3 2 3 2 3 2 2 2 2" xfId="42025" xr:uid="{C227507E-18A5-4BE6-AFAA-AC5B83EC7FA0}"/>
    <cellStyle name="Normal 3 2 3 2 3 2 2 2 2 2" xfId="42027" xr:uid="{7FDC1F04-8927-457F-ABD9-571FC707CB49}"/>
    <cellStyle name="Normal 3 2 3 2 3 2 2 2 2 2 2" xfId="42028" xr:uid="{7CB5F68F-9008-42FC-95FC-FC1C162009A3}"/>
    <cellStyle name="Normal 3 2 3 2 3 2 2 2 2 3" xfId="42029" xr:uid="{4A88A549-204C-4453-9286-4B829BB616BA}"/>
    <cellStyle name="Normal 3 2 3 2 3 2 2 2 3" xfId="42030" xr:uid="{261A1FF7-885C-40C1-BF3C-8BE82CEE7B68}"/>
    <cellStyle name="Normal 3 2 3 2 3 2 2 2 3 2" xfId="42032" xr:uid="{69B7BDD5-EF7A-4AF9-BBC4-71DF4A29081E}"/>
    <cellStyle name="Normal 3 2 3 2 3 2 2 2 3 2 2" xfId="42033" xr:uid="{F5BA37BC-BEC7-4B67-B9B6-E5F4C5FDB6BD}"/>
    <cellStyle name="Normal 3 2 3 2 3 2 2 2 3 3" xfId="42034" xr:uid="{392D77EE-4FBB-4D97-B407-AD8D0D9B31AC}"/>
    <cellStyle name="Normal 3 2 3 2 3 2 2 2 4" xfId="42035" xr:uid="{F2B324B1-4ECC-4C65-8956-107D2A70F022}"/>
    <cellStyle name="Normal 3 2 3 2 3 2 2 2 4 2" xfId="42036" xr:uid="{A104C2C5-FF9D-422A-9345-2536DD636410}"/>
    <cellStyle name="Normal 3 2 3 2 3 2 2 2 5" xfId="42037" xr:uid="{38A7F11A-E669-481D-A7EE-C0AA8828F3DF}"/>
    <cellStyle name="Normal 3 2 3 2 3 2 2 3" xfId="42038" xr:uid="{34F1D91C-7C31-4CF6-A1F3-48A33969CA67}"/>
    <cellStyle name="Normal 3 2 3 2 3 2 2 3 2" xfId="42039" xr:uid="{873A3AF9-D03B-4AC5-B460-C068E03E139B}"/>
    <cellStyle name="Normal 3 2 3 2 3 2 2 3 2 2" xfId="42040" xr:uid="{3E1E20E0-F16A-4CAD-B938-9FF308D2429D}"/>
    <cellStyle name="Normal 3 2 3 2 3 2 2 3 3" xfId="42041" xr:uid="{15DBE180-3E35-4B83-A9EC-FEDCAAF631AD}"/>
    <cellStyle name="Normal 3 2 3 2 3 2 2 4" xfId="42042" xr:uid="{3732EE79-681A-45D8-981E-648051AA0C77}"/>
    <cellStyle name="Normal 3 2 3 2 3 2 2 4 2" xfId="42043" xr:uid="{67E41590-94C1-48B7-A27C-D2154A1E08DC}"/>
    <cellStyle name="Normal 3 2 3 2 3 2 2 4 2 2" xfId="42044" xr:uid="{2DF14FF3-74E2-4461-B11C-42E78A21E13C}"/>
    <cellStyle name="Normal 3 2 3 2 3 2 2 4 3" xfId="42045" xr:uid="{4041DBF8-4EA1-4E72-B95A-EC9C043861D1}"/>
    <cellStyle name="Normal 3 2 3 2 3 2 2 5" xfId="42046" xr:uid="{BF65261B-3072-4B0C-889F-D6C2E196F91B}"/>
    <cellStyle name="Normal 3 2 3 2 3 2 2 5 2" xfId="42047" xr:uid="{BE64B99D-8669-472E-BCCE-5718E3B11D72}"/>
    <cellStyle name="Normal 3 2 3 2 3 2 2 6" xfId="42048" xr:uid="{DF1B8881-94A6-4790-9CFD-36505CB8192C}"/>
    <cellStyle name="Normal 3 2 3 2 3 2 3" xfId="42049" xr:uid="{232BE3F4-9312-4582-858C-32EC13CFFC3B}"/>
    <cellStyle name="Normal 3 2 3 2 3 2 3 2" xfId="42050" xr:uid="{DC4AC59E-14B5-4848-AA11-E85429CE2A4E}"/>
    <cellStyle name="Normal 3 2 3 2 3 2 3 2 2" xfId="42051" xr:uid="{7D6D643F-43AE-43E9-BF68-EA5FCE1BFD06}"/>
    <cellStyle name="Normal 3 2 3 2 3 2 3 2 2 2" xfId="42053" xr:uid="{5A8FC20E-6CB7-4108-9C0E-5EB54A2B7CFD}"/>
    <cellStyle name="Normal 3 2 3 2 3 2 3 2 3" xfId="42054" xr:uid="{AF89D764-1444-4F26-9711-66E0E3EEFA7C}"/>
    <cellStyle name="Normal 3 2 3 2 3 2 3 3" xfId="42055" xr:uid="{E329312C-064B-44DD-AA30-8A914F7EAB82}"/>
    <cellStyle name="Normal 3 2 3 2 3 2 3 3 2" xfId="42056" xr:uid="{953701DC-C6BD-495E-A2D3-32FE0826D5AE}"/>
    <cellStyle name="Normal 3 2 3 2 3 2 3 3 2 2" xfId="42057" xr:uid="{26EBEE2B-D721-4AE7-AD78-E723B7DF4D5E}"/>
    <cellStyle name="Normal 3 2 3 2 3 2 3 3 3" xfId="42058" xr:uid="{F94A519D-E841-494E-88B7-DF298E654E06}"/>
    <cellStyle name="Normal 3 2 3 2 3 2 3 4" xfId="42059" xr:uid="{19ABDCBC-8C55-495C-87C6-2ABED8B40D40}"/>
    <cellStyle name="Normal 3 2 3 2 3 2 3 4 2" xfId="42060" xr:uid="{9DA1D9C5-CC49-4906-BC3B-1AD959C5C754}"/>
    <cellStyle name="Normal 3 2 3 2 3 2 3 5" xfId="42061" xr:uid="{4FB3C970-FC15-44D6-A76C-A99080D6B694}"/>
    <cellStyle name="Normal 3 2 3 2 3 2 4" xfId="42062" xr:uid="{18B0815D-3B3A-4255-8873-3611CB86A48A}"/>
    <cellStyle name="Normal 3 2 3 2 3 2 4 2" xfId="42063" xr:uid="{91D01A00-152A-456D-BB6D-656538A5479E}"/>
    <cellStyle name="Normal 3 2 3 2 3 2 4 2 2" xfId="42064" xr:uid="{9FE3AA19-8642-444B-AA6B-7BEB3118AE49}"/>
    <cellStyle name="Normal 3 2 3 2 3 2 4 3" xfId="38647" xr:uid="{DBA42962-3019-416A-810B-D984E810B252}"/>
    <cellStyle name="Normal 3 2 3 2 3 2 5" xfId="42065" xr:uid="{086B43C0-4BB4-4108-9A2D-6CA2E02576EB}"/>
    <cellStyle name="Normal 3 2 3 2 3 2 5 2" xfId="42066" xr:uid="{6F66AB5D-88ED-442F-9D51-025A2C72D64E}"/>
    <cellStyle name="Normal 3 2 3 2 3 2 5 2 2" xfId="42067" xr:uid="{A67F3602-5627-47CB-B393-D6D9FDF365E1}"/>
    <cellStyle name="Normal 3 2 3 2 3 2 5 3" xfId="38652" xr:uid="{12F95DC1-84A1-48A2-9491-1C18350FF969}"/>
    <cellStyle name="Normal 3 2 3 2 3 2 6" xfId="42068" xr:uid="{8A8F92AF-9A71-46DE-94A2-45EF96A395A0}"/>
    <cellStyle name="Normal 3 2 3 2 3 2 6 2" xfId="42069" xr:uid="{FFF3B910-2FAA-4127-8774-481DB48D239A}"/>
    <cellStyle name="Normal 3 2 3 2 3 2 7" xfId="42070" xr:uid="{1EDE0D09-5963-4010-9953-AF22C86B85A5}"/>
    <cellStyle name="Normal 3 2 3 2 3 3" xfId="34666" xr:uid="{ACC99F9A-58DD-44EA-8EFA-278AFA8B559A}"/>
    <cellStyle name="Normal 3 2 3 2 3 3 2" xfId="42071" xr:uid="{61932811-4ABD-4F5B-B16C-01000C4584F8}"/>
    <cellStyle name="Normal 3 2 3 2 3 3 2 2" xfId="42072" xr:uid="{305BA78A-8FF3-4451-9878-D6537082E20A}"/>
    <cellStyle name="Normal 3 2 3 2 3 3 2 2 2" xfId="42073" xr:uid="{8DE276EE-3BCE-47D4-B766-F07FDF547D77}"/>
    <cellStyle name="Normal 3 2 3 2 3 3 2 2 2 2" xfId="42074" xr:uid="{F2E6C046-C95A-4493-98F1-EC331230E4BA}"/>
    <cellStyle name="Normal 3 2 3 2 3 3 2 2 3" xfId="42075" xr:uid="{70062EDE-16CA-412D-B360-723FC9626D5C}"/>
    <cellStyle name="Normal 3 2 3 2 3 3 2 3" xfId="42076" xr:uid="{34CDFE77-8963-45BA-ACE7-E530A562B576}"/>
    <cellStyle name="Normal 3 2 3 2 3 3 2 3 2" xfId="42077" xr:uid="{015C1299-3309-45E2-A130-0CB2F93472A2}"/>
    <cellStyle name="Normal 3 2 3 2 3 3 2 3 2 2" xfId="42078" xr:uid="{0A4D0A42-BEC6-4324-A768-848CA3B65FBF}"/>
    <cellStyle name="Normal 3 2 3 2 3 3 2 3 3" xfId="42079" xr:uid="{DC09630C-209C-45EB-A849-EEE0E402662B}"/>
    <cellStyle name="Normal 3 2 3 2 3 3 2 4" xfId="42080" xr:uid="{B5BFDEA0-21B7-4408-A65F-6F742B4CF66B}"/>
    <cellStyle name="Normal 3 2 3 2 3 3 2 4 2" xfId="42081" xr:uid="{CF280089-A57B-43EC-A574-059EE7E9AAF9}"/>
    <cellStyle name="Normal 3 2 3 2 3 3 2 5" xfId="42082" xr:uid="{9E7C86FB-8D4F-433E-9E1A-5F8931DF3822}"/>
    <cellStyle name="Normal 3 2 3 2 3 3 3" xfId="42083" xr:uid="{FD79BAFB-7735-456E-A10F-253D333775BC}"/>
    <cellStyle name="Normal 3 2 3 2 3 3 3 2" xfId="42084" xr:uid="{AD4171D2-B9AD-48D5-85A6-DE85B91E77F6}"/>
    <cellStyle name="Normal 3 2 3 2 3 3 3 2 2" xfId="42085" xr:uid="{8BC310C4-2CCA-4E07-B33B-D83492AC5252}"/>
    <cellStyle name="Normal 3 2 3 2 3 3 3 3" xfId="42086" xr:uid="{DE2EE5A9-A1A1-4F02-8741-FC8EDB280446}"/>
    <cellStyle name="Normal 3 2 3 2 3 3 4" xfId="42087" xr:uid="{37DF47C7-5C5B-4E8A-9646-090FE2AA920C}"/>
    <cellStyle name="Normal 3 2 3 2 3 3 4 2" xfId="42088" xr:uid="{ADC0F446-C982-4B90-ACBE-E56B008B7F8E}"/>
    <cellStyle name="Normal 3 2 3 2 3 3 4 2 2" xfId="42089" xr:uid="{B75295C3-9357-4F6B-8577-229196518933}"/>
    <cellStyle name="Normal 3 2 3 2 3 3 4 3" xfId="38657" xr:uid="{CABFF76A-F042-4E82-9E83-5E7E6ED98404}"/>
    <cellStyle name="Normal 3 2 3 2 3 3 5" xfId="42090" xr:uid="{273643F0-B8DA-49E2-A197-02C1E1B53B80}"/>
    <cellStyle name="Normal 3 2 3 2 3 3 5 2" xfId="42091" xr:uid="{CA029903-63A0-49A7-B1BC-89D2F85C7470}"/>
    <cellStyle name="Normal 3 2 3 2 3 3 6" xfId="42092" xr:uid="{2EC6C665-CDD4-40DB-BE2F-94961E623E6B}"/>
    <cellStyle name="Normal 3 2 3 2 3 4" xfId="42093" xr:uid="{BD879046-7AD4-418C-ABF9-957E44A18421}"/>
    <cellStyle name="Normal 3 2 3 2 3 4 2" xfId="42094" xr:uid="{BBCA4964-B5E7-4E82-8378-A4F7DC74CCDD}"/>
    <cellStyle name="Normal 3 2 3 2 3 4 2 2" xfId="42095" xr:uid="{07191D7A-6994-43F1-A711-40254E424A07}"/>
    <cellStyle name="Normal 3 2 3 2 3 4 2 2 2" xfId="42096" xr:uid="{A1CF1E1D-B34D-498B-96A5-7875D66C2BED}"/>
    <cellStyle name="Normal 3 2 3 2 3 4 2 3" xfId="42097" xr:uid="{652086A7-40A6-49BB-9BB2-92CA66F332D4}"/>
    <cellStyle name="Normal 3 2 3 2 3 4 3" xfId="42098" xr:uid="{E88A83C2-50F6-425F-BE30-C22580043384}"/>
    <cellStyle name="Normal 3 2 3 2 3 4 3 2" xfId="42099" xr:uid="{A8821678-DC71-4C51-8174-44496A935457}"/>
    <cellStyle name="Normal 3 2 3 2 3 4 3 2 2" xfId="42100" xr:uid="{CAAFACEF-C5FB-4965-BA81-270AD1469C1A}"/>
    <cellStyle name="Normal 3 2 3 2 3 4 3 3" xfId="42101" xr:uid="{BC3DC9F6-4955-4946-BD62-4C67F8394267}"/>
    <cellStyle name="Normal 3 2 3 2 3 4 4" xfId="42102" xr:uid="{9AF3A232-B40B-4450-8ED8-555B07FE5C45}"/>
    <cellStyle name="Normal 3 2 3 2 3 4 4 2" xfId="42104" xr:uid="{89DE6C4D-C96D-4406-A404-B130E3DB0B43}"/>
    <cellStyle name="Normal 3 2 3 2 3 4 5" xfId="42105" xr:uid="{64D382E8-B0D1-4B1B-8AD6-5DFA357BBD41}"/>
    <cellStyle name="Normal 3 2 3 2 3 5" xfId="42106" xr:uid="{B3682DD7-AAE7-4C00-B189-C5F17833745C}"/>
    <cellStyle name="Normal 3 2 3 2 3 5 2" xfId="42107" xr:uid="{964F2E7B-5277-41C1-AC68-EA6BAF81B21E}"/>
    <cellStyle name="Normal 3 2 3 2 3 5 2 2" xfId="42108" xr:uid="{4A8AEE28-EB62-48CC-AB33-2408DA4D8E4E}"/>
    <cellStyle name="Normal 3 2 3 2 3 5 3" xfId="42109" xr:uid="{8CEF69E0-F4EA-40BC-AA53-E443E6AAF12B}"/>
    <cellStyle name="Normal 3 2 3 2 3 6" xfId="42111" xr:uid="{369FF257-1170-43BA-8A35-B271F27A0A0C}"/>
    <cellStyle name="Normal 3 2 3 2 3 6 2" xfId="42113" xr:uid="{538637DD-06A5-4BB3-AD7A-57022B276543}"/>
    <cellStyle name="Normal 3 2 3 2 3 6 2 2" xfId="42115" xr:uid="{A9FEAFF0-2E1C-4B67-8656-454F648644EE}"/>
    <cellStyle name="Normal 3 2 3 2 3 6 3" xfId="42117" xr:uid="{FA5609D1-4332-4E3C-85FE-49853E882B3A}"/>
    <cellStyle name="Normal 3 2 3 2 3 7" xfId="42120" xr:uid="{828E7AFC-3D99-46F5-A24E-770FDAB012F4}"/>
    <cellStyle name="Normal 3 2 3 2 3 7 2" xfId="42122" xr:uid="{44978A4E-9423-4042-80BC-90703F21B0E3}"/>
    <cellStyle name="Normal 3 2 3 2 3 8" xfId="42124" xr:uid="{6B7A2636-E353-4ACF-9433-E4B45A89F7D9}"/>
    <cellStyle name="Normal 3 2 3 3" xfId="42125" xr:uid="{0A357466-6C77-4973-921F-17E5DAAB1CBF}"/>
    <cellStyle name="Normal 3 2 3 3 2" xfId="34714" xr:uid="{B8E83021-28CC-4725-9F16-EE780D8D0D33}"/>
    <cellStyle name="Normal 3 2 3 3 2 2" xfId="54150" xr:uid="{EF06F3FB-D73D-484A-9479-000308B62B44}"/>
    <cellStyle name="Normal 3 2 3 3 2 3" xfId="54160" xr:uid="{E7E85E77-D4FF-4560-86A1-4C2E1554F494}"/>
    <cellStyle name="Normal 3 2 3 3 2 4" xfId="54200" xr:uid="{2203188B-382C-4EA9-ACA0-8E1E2B85613F}"/>
    <cellStyle name="Normal 3 2 3 3 2 4 2" xfId="54221" xr:uid="{739D5CBD-D84F-4CF7-91F8-33250C05C0CD}"/>
    <cellStyle name="Normal 3 2 3 3 3" xfId="54201" xr:uid="{B6532335-2729-42EC-B48D-F0FEC32CE1A7}"/>
    <cellStyle name="Normal 3 2 3 4" xfId="42126" xr:uid="{E8595F69-24FB-402E-855A-8C28C7ACA58E}"/>
    <cellStyle name="Normal 3 2 3 4 2" xfId="34762" xr:uid="{282DABCE-3A12-457F-AF33-7A95835E34AB}"/>
    <cellStyle name="Normal 3 2 3 4 2 2" xfId="34765" xr:uid="{12615C49-F5EF-4421-83AC-7D3C5EC42C78}"/>
    <cellStyle name="Normal 3 2 3 4 2 2 2" xfId="42127" xr:uid="{0E86D21D-ED98-4CDA-975F-042D0546A1D4}"/>
    <cellStyle name="Normal 3 2 3 4 2 2 2 2" xfId="42128" xr:uid="{C98C14B0-41BD-4F49-9548-E734E3521650}"/>
    <cellStyle name="Normal 3 2 3 4 2 2 2 2 2" xfId="42129" xr:uid="{3E0CADAE-7791-47DB-B6E3-BDA38E8F91FB}"/>
    <cellStyle name="Normal 3 2 3 4 2 2 2 3" xfId="42130" xr:uid="{C09839AD-0663-45FD-ADA5-63C73D1370F6}"/>
    <cellStyle name="Normal 3 2 3 4 2 2 3" xfId="42131" xr:uid="{3BE2C30D-8FB2-4115-A5E6-DEB37941B42A}"/>
    <cellStyle name="Normal 3 2 3 4 2 2 3 2" xfId="42132" xr:uid="{37CCEFDF-70BE-4D9D-9E99-E9CECEC8381A}"/>
    <cellStyle name="Normal 3 2 3 4 2 2 3 2 2" xfId="42133" xr:uid="{72ACD7C8-98BE-4AFE-B432-950CC5562D4A}"/>
    <cellStyle name="Normal 3 2 3 4 2 2 3 3" xfId="42134" xr:uid="{70CD340A-04E4-43E5-B495-B91784C11FC2}"/>
    <cellStyle name="Normal 3 2 3 4 2 2 4" xfId="42135" xr:uid="{FC96C483-0667-4E08-B9CC-8BB7ABB9A1E2}"/>
    <cellStyle name="Normal 3 2 3 4 2 2 4 2" xfId="35076" xr:uid="{1218ACE5-3DC7-4F2C-A306-52959EA26CD0}"/>
    <cellStyle name="Normal 3 2 3 4 2 2 5" xfId="42136" xr:uid="{01114DD4-CE74-4799-84D1-46B8D2CD9352}"/>
    <cellStyle name="Normal 3 2 3 4 2 3" xfId="42137" xr:uid="{C7965F3B-97B9-4D48-BDFE-ADB80FC821FE}"/>
    <cellStyle name="Normal 3 2 3 4 2 3 2" xfId="42138" xr:uid="{4527905F-29C1-4B05-A41E-1040854FFF2C}"/>
    <cellStyle name="Normal 3 2 3 4 2 3 2 2" xfId="42139" xr:uid="{6CE89198-2C1E-4ABB-A661-81F59F011AB7}"/>
    <cellStyle name="Normal 3 2 3 4 2 3 3" xfId="42140" xr:uid="{6A8B8B0F-8DFD-49D7-A440-3CBAAB348621}"/>
    <cellStyle name="Normal 3 2 3 4 2 4" xfId="42141" xr:uid="{B9EBBB83-0369-4E4A-BC57-2575D52BB494}"/>
    <cellStyle name="Normal 3 2 3 4 2 4 2" xfId="42142" xr:uid="{533D741E-DDCC-45A0-A912-48BD4F986ED2}"/>
    <cellStyle name="Normal 3 2 3 4 2 4 2 2" xfId="42143" xr:uid="{21367CC2-332A-45E1-BF33-37A1D23C6851}"/>
    <cellStyle name="Normal 3 2 3 4 2 4 3" xfId="42144" xr:uid="{3A30EE23-7E5E-486D-9280-54A617912423}"/>
    <cellStyle name="Normal 3 2 3 4 2 5" xfId="42145" xr:uid="{F89866E6-6399-45DE-8B85-D1071234E57A}"/>
    <cellStyle name="Normal 3 2 3 4 2 5 2" xfId="42146" xr:uid="{A34FBEC6-4EF7-4340-ABD5-27450F82D405}"/>
    <cellStyle name="Normal 3 2 3 4 2 6" xfId="42148" xr:uid="{686B0F78-A080-4077-872A-34B1CDC9506C}"/>
    <cellStyle name="Normal 3 2 3 4 3" xfId="34768" xr:uid="{DFB91432-7B9D-4FC3-BBEF-AB0FCC03F9F1}"/>
    <cellStyle name="Normal 3 2 3 4 3 2" xfId="42149" xr:uid="{C7FACBC1-B3A7-4972-B9EC-7F7D7B702E1A}"/>
    <cellStyle name="Normal 3 2 3 4 3 2 2" xfId="42150" xr:uid="{02E2A655-5213-4E3B-8F50-BE0A1C85CE03}"/>
    <cellStyle name="Normal 3 2 3 4 3 2 2 2" xfId="30915" xr:uid="{676A527C-CE65-412E-A096-3A219CE8806E}"/>
    <cellStyle name="Normal 3 2 3 4 3 2 3" xfId="42151" xr:uid="{5A342E52-8D1C-439D-A172-ADB4747C7F75}"/>
    <cellStyle name="Normal 3 2 3 4 3 3" xfId="42152" xr:uid="{C8D5A1D8-9AAC-443E-A5E9-8C02236C098E}"/>
    <cellStyle name="Normal 3 2 3 4 3 3 2" xfId="42153" xr:uid="{C402DF79-0177-47C5-91C0-05FABAD5C82D}"/>
    <cellStyle name="Normal 3 2 3 4 3 3 2 2" xfId="27432" xr:uid="{D45516EF-27F9-4F57-84F6-A96399332943}"/>
    <cellStyle name="Normal 3 2 3 4 3 3 3" xfId="42154" xr:uid="{85BCEA57-7614-4B18-842E-02EB25154DEE}"/>
    <cellStyle name="Normal 3 2 3 4 3 4" xfId="42155" xr:uid="{887C1CF8-EA11-4C4D-9DD4-3A1D68DB042E}"/>
    <cellStyle name="Normal 3 2 3 4 3 4 2" xfId="42156" xr:uid="{90EA2724-CC69-4FEB-9ED3-64052A7AE9CE}"/>
    <cellStyle name="Normal 3 2 3 4 3 5" xfId="42157" xr:uid="{6B46C994-E216-40DC-9872-8AF7D8BD16E3}"/>
    <cellStyle name="Normal 3 2 3 4 4" xfId="34771" xr:uid="{E59EBBB3-CAEE-4FD6-A865-C35C9B50E87D}"/>
    <cellStyle name="Normal 3 2 3 4 4 2" xfId="42158" xr:uid="{6AAA80D0-FF95-4A1C-B048-43DCE05333B2}"/>
    <cellStyle name="Normal 3 2 3 4 4 2 2" xfId="42159" xr:uid="{E9AA799A-0CB5-4B2F-B287-AC831E5EA9E6}"/>
    <cellStyle name="Normal 3 2 3 4 4 3" xfId="42160" xr:uid="{72F70B5C-10C1-4959-B194-93746DEEC851}"/>
    <cellStyle name="Normal 3 2 3 4 5" xfId="42161" xr:uid="{9040B071-0107-4550-AAC4-4371DDC5A30F}"/>
    <cellStyle name="Normal 3 2 3 4 5 2" xfId="42162" xr:uid="{F94BAD39-116A-41EE-9FD1-677129E33C1E}"/>
    <cellStyle name="Normal 3 2 3 4 5 2 2" xfId="42163" xr:uid="{D5826155-925B-4D14-AE99-2B510B018330}"/>
    <cellStyle name="Normal 3 2 3 4 5 3" xfId="42164" xr:uid="{0DE7626F-513C-4371-AD64-D7C1EE848547}"/>
    <cellStyle name="Normal 3 2 3 4 6" xfId="42165" xr:uid="{F8C7A644-E42B-4512-8F61-105FC6B2CE5B}"/>
    <cellStyle name="Normal 3 2 3 4 6 2" xfId="42166" xr:uid="{A528575F-2D8F-4AF2-B0D8-0DE6D7840600}"/>
    <cellStyle name="Normal 3 2 3 4 7" xfId="42167" xr:uid="{8FE7FCDD-4434-43E8-9DFD-BC8325C81459}"/>
    <cellStyle name="Normal 3 2 3 5" xfId="42168" xr:uid="{7C3D44A7-5FEC-4EF6-BD8C-B18BD474F618}"/>
    <cellStyle name="Normal 3 2 3 5 2" xfId="34790" xr:uid="{D3D562AC-1656-43B5-8340-94AB24A973A0}"/>
    <cellStyle name="Normal 3 2 3 5 2 2" xfId="42169" xr:uid="{F1B076D6-4EDA-476C-AEA4-CB6CD90FC265}"/>
    <cellStyle name="Normal 3 2 3 5 2 2 2" xfId="42170" xr:uid="{CE8577A5-7043-4A26-94DF-BF6886A049B4}"/>
    <cellStyle name="Normal 3 2 3 5 2 2 2 2" xfId="42171" xr:uid="{7F7FF6EA-26FD-46C7-926B-FB615428CF8F}"/>
    <cellStyle name="Normal 3 2 3 5 2 2 3" xfId="42172" xr:uid="{FD933B7E-7FF7-4C75-90E0-5EA825326051}"/>
    <cellStyle name="Normal 3 2 3 5 2 3" xfId="42173" xr:uid="{12CB890B-C763-4C3C-B69D-D3532CD45D21}"/>
    <cellStyle name="Normal 3 2 3 5 2 3 2" xfId="42174" xr:uid="{7A540EEF-2C32-4951-8C6D-9413BE62D0BA}"/>
    <cellStyle name="Normal 3 2 3 5 2 3 2 2" xfId="42175" xr:uid="{14016A8A-B968-45B6-B30B-26D659AB7C70}"/>
    <cellStyle name="Normal 3 2 3 5 2 3 3" xfId="42176" xr:uid="{915D2BA6-6998-412E-B156-D42F44F64780}"/>
    <cellStyle name="Normal 3 2 3 5 2 4" xfId="42177" xr:uid="{80F32EB5-5178-4A6C-873A-7352E1D35F57}"/>
    <cellStyle name="Normal 3 2 3 5 2 4 2" xfId="42178" xr:uid="{998C56CB-EFBB-472B-A8B2-00C59F3D257C}"/>
    <cellStyle name="Normal 3 2 3 5 2 5" xfId="42179" xr:uid="{62AE29D4-73BC-4424-B940-B118BEE15A95}"/>
    <cellStyle name="Normal 3 2 3 5 3" xfId="42180" xr:uid="{2AE3F81E-30C5-44CF-9B27-664B757806F0}"/>
    <cellStyle name="Normal 3 2 3 5 3 2" xfId="42181" xr:uid="{F0B4CE93-3E25-4E8A-BC34-3AF0164DBC1C}"/>
    <cellStyle name="Normal 3 2 3 5 3 2 2" xfId="42182" xr:uid="{60805E78-883B-4ED2-A80C-8908CD7D6B21}"/>
    <cellStyle name="Normal 3 2 3 5 3 3" xfId="42183" xr:uid="{CC1B7046-9B56-47C5-8A96-F1ED5CB86B7C}"/>
    <cellStyle name="Normal 3 2 3 5 4" xfId="42184" xr:uid="{9A713262-E1D5-425E-BFCE-7A0EAFD78C54}"/>
    <cellStyle name="Normal 3 2 3 5 4 2" xfId="42185" xr:uid="{5CED8C2B-FBB9-4972-ADA6-74FAAA2EE858}"/>
    <cellStyle name="Normal 3 2 3 5 4 2 2" xfId="42186" xr:uid="{32F5252C-20BF-4A09-9389-1E6552955E07}"/>
    <cellStyle name="Normal 3 2 3 5 4 3" xfId="42187" xr:uid="{9148919F-4E0E-40EA-999E-08334490D8B4}"/>
    <cellStyle name="Normal 3 2 3 5 5" xfId="42188" xr:uid="{B7D0C29B-0FD9-42AB-9E6F-FBBDF4A5ED90}"/>
    <cellStyle name="Normal 3 2 3 5 5 2" xfId="42189" xr:uid="{4890A721-44E1-44A3-A0E5-3607D3A39FA5}"/>
    <cellStyle name="Normal 3 2 3 5 6" xfId="42190" xr:uid="{277B216B-DA8C-432E-ABBE-2C03E62D72E3}"/>
    <cellStyle name="Normal 3 2 3 6" xfId="42191" xr:uid="{8FFD8748-ED96-4759-B324-C4B73A5935E6}"/>
    <cellStyle name="Normal 3 2 3 6 2" xfId="42192" xr:uid="{4861BEAD-C9E4-42E2-9FF4-C9D04B4110C2}"/>
    <cellStyle name="Normal 3 2 3 6 2 2" xfId="42193" xr:uid="{5AAF0F2B-D9FE-4B4C-B36C-7068208BE699}"/>
    <cellStyle name="Normal 3 2 3 6 2 2 2" xfId="42194" xr:uid="{4A12E029-B1F3-43ED-809A-A92B0DEFF020}"/>
    <cellStyle name="Normal 3 2 3 6 2 3" xfId="42195" xr:uid="{DDFB634B-27D6-4259-B8FB-322DEE141440}"/>
    <cellStyle name="Normal 3 2 3 6 3" xfId="42196" xr:uid="{CC3A70AB-B6D1-47AD-9DA7-BB75D3BAD3F6}"/>
    <cellStyle name="Normal 3 2 3 6 3 2" xfId="42197" xr:uid="{9F30DD36-D3D1-4E7A-B565-365D9C9B0658}"/>
    <cellStyle name="Normal 3 2 3 6 3 2 2" xfId="42198" xr:uid="{CE7F698A-C0C2-4EC8-B193-4BEE4AAE3E7A}"/>
    <cellStyle name="Normal 3 2 3 6 3 3" xfId="42199" xr:uid="{5CD29A9C-3DDA-4F8F-B74A-72EA5C4CD71F}"/>
    <cellStyle name="Normal 3 2 3 6 4" xfId="42200" xr:uid="{6AEA7D60-0A7D-42D3-97C4-64E80A848CF7}"/>
    <cellStyle name="Normal 3 2 3 6 4 2" xfId="42201" xr:uid="{31D98BF6-646A-4A96-A427-5487E3D88791}"/>
    <cellStyle name="Normal 3 2 3 6 5" xfId="42202" xr:uid="{01541958-1CE2-4F72-8DCE-B0B647E2AE5E}"/>
    <cellStyle name="Normal 3 2 3 7" xfId="42203" xr:uid="{29EF9BA1-EB8D-4F7C-A118-32C5B0C66395}"/>
    <cellStyle name="Normal 3 2 3 7 2" xfId="42204" xr:uid="{B7BCCCA2-6C88-4BFD-928E-234789649EE2}"/>
    <cellStyle name="Normal 3 2 3 7 2 2" xfId="42205" xr:uid="{049ED1A2-0729-47A8-913C-71B02F8FFE2A}"/>
    <cellStyle name="Normal 3 2 3 7 3" xfId="42206" xr:uid="{3B7CC430-F4B1-435B-877F-629E388A11EA}"/>
    <cellStyle name="Normal 3 2 3 8" xfId="42207" xr:uid="{45BDAF7E-9506-4849-92BB-2B472AA774C1}"/>
    <cellStyle name="Normal 3 2 3 8 2" xfId="42208" xr:uid="{50FC65F7-8E89-498B-8DA4-A289D3F27D3B}"/>
    <cellStyle name="Normal 3 2 3 8 2 2" xfId="42209" xr:uid="{BBD12964-0FCF-4EF4-9717-A636D39CEF7F}"/>
    <cellStyle name="Normal 3 2 3 8 3" xfId="42210" xr:uid="{A03979F2-6B4E-4306-ABDA-3AB0DA48479E}"/>
    <cellStyle name="Normal 3 2 3 9" xfId="42211" xr:uid="{0086B94B-BF1B-497A-B551-351F5C5AEC8D}"/>
    <cellStyle name="Normal 3 2 3 9 2" xfId="42212" xr:uid="{7DF57A91-3A20-43B5-B13B-0904B1F739BD}"/>
    <cellStyle name="Normal 3 2 30" xfId="41913" xr:uid="{B4056736-3FCD-489C-9E21-210A2E0BF97C}"/>
    <cellStyle name="Normal 3 2 31" xfId="41915" xr:uid="{1B886256-FA33-455F-AAC2-58C636D7ABF2}"/>
    <cellStyle name="Normal 3 2 32" xfId="41917" xr:uid="{C372191D-C096-4041-9290-7442BECCD9B4}"/>
    <cellStyle name="Normal 3 2 33" xfId="41919" xr:uid="{652FFBE2-4A6C-41CA-AE30-BAD4F594601D}"/>
    <cellStyle name="Normal 3 2 34" xfId="41921" xr:uid="{C737A8ED-0DA8-4A11-BAEF-E9E88C25F53B}"/>
    <cellStyle name="Normal 3 2 35" xfId="42214" xr:uid="{C1EE938D-76A0-4732-AB51-605CCCE5B100}"/>
    <cellStyle name="Normal 3 2 36" xfId="42216" xr:uid="{8A3828F7-2994-47C9-9F84-B92836007D53}"/>
    <cellStyle name="Normal 3 2 37" xfId="42218" xr:uid="{02EBAA8A-1F42-4739-A32C-CA566D319A4D}"/>
    <cellStyle name="Normal 3 2 38" xfId="42220" xr:uid="{DE220666-7249-4F79-94C7-4BC540C011D8}"/>
    <cellStyle name="Normal 3 2 39" xfId="42222" xr:uid="{5756B5D6-C8B0-4E1E-85E2-A2A848F09DDF}"/>
    <cellStyle name="Normal 3 2 4" xfId="42223" xr:uid="{4FACCCD7-A7E6-4243-B207-F5FBB767366C}"/>
    <cellStyle name="Normal 3 2 4 2" xfId="42224" xr:uid="{F235EDE5-CF09-4C0E-A651-6D3ADC063FBA}"/>
    <cellStyle name="Normal 3 2 4 2 2" xfId="42226" xr:uid="{3F54D762-BC89-4F99-BA00-5D78CE2875B6}"/>
    <cellStyle name="Normal 3 2 4 2 2 2" xfId="42227" xr:uid="{097D7426-268A-49F3-BAD2-9442B0C074BF}"/>
    <cellStyle name="Normal 3 2 4 2 2 2 2" xfId="42228" xr:uid="{820A4B77-08E3-48D3-BC03-26FDF5549AB2}"/>
    <cellStyle name="Normal 3 2 4 2 2 2 2 2" xfId="42229" xr:uid="{514172F5-12DF-40F9-A21C-1A910396E8D9}"/>
    <cellStyle name="Normal 3 2 4 2 2 2 2 2 2" xfId="42230" xr:uid="{7E8D4F69-FD65-4B4D-ADD2-68FF984D0ECB}"/>
    <cellStyle name="Normal 3 2 4 2 2 2 2 3" xfId="42231" xr:uid="{41D21EA4-58A3-41AF-B94B-AB113364C3D1}"/>
    <cellStyle name="Normal 3 2 4 2 2 2 3" xfId="42232" xr:uid="{A261519B-DF6E-499E-BC8D-AB8C65AEA964}"/>
    <cellStyle name="Normal 3 2 4 2 2 2 3 2" xfId="42233" xr:uid="{2123A73F-0770-4BA1-910E-17740B8680A8}"/>
    <cellStyle name="Normal 3 2 4 2 2 2 3 2 2" xfId="42234" xr:uid="{4D956521-0056-42EB-B065-D9AD7ED3BB0B}"/>
    <cellStyle name="Normal 3 2 4 2 2 2 3 3" xfId="42235" xr:uid="{C3C84200-2138-47AB-AA21-08140AB0B299}"/>
    <cellStyle name="Normal 3 2 4 2 2 2 4" xfId="42236" xr:uid="{B2974A28-0946-417D-93EC-F99C4C58A9F9}"/>
    <cellStyle name="Normal 3 2 4 2 2 2 4 2" xfId="42237" xr:uid="{3ADAB7D2-EDB7-443E-BD26-38A98C3DBDE7}"/>
    <cellStyle name="Normal 3 2 4 2 2 2 5" xfId="42238" xr:uid="{140E98B2-A3CE-44F3-8169-D68C045C2D4D}"/>
    <cellStyle name="Normal 3 2 4 2 2 3" xfId="42239" xr:uid="{C1033717-53A2-4C57-BBE9-8E765970A06D}"/>
    <cellStyle name="Normal 3 2 4 2 2 3 2" xfId="42240" xr:uid="{38E8CF16-E81B-4D79-BE16-80C73C55E0AD}"/>
    <cellStyle name="Normal 3 2 4 2 2 3 2 2" xfId="42241" xr:uid="{28B236B6-2409-4AA6-A642-772833C4EE63}"/>
    <cellStyle name="Normal 3 2 4 2 2 3 3" xfId="42242" xr:uid="{7256DB2F-3376-46C7-B145-E6B3A471D249}"/>
    <cellStyle name="Normal 3 2 4 2 2 4" xfId="42243" xr:uid="{D5BF3FD7-4327-4B5C-B7FD-0FEBBB4F4795}"/>
    <cellStyle name="Normal 3 2 4 2 2 4 2" xfId="42244" xr:uid="{C492281F-0696-48EB-870C-459614C5C454}"/>
    <cellStyle name="Normal 3 2 4 2 2 4 2 2" xfId="42245" xr:uid="{EE58652E-806A-4B5D-AA89-247B765DB460}"/>
    <cellStyle name="Normal 3 2 4 2 2 4 3" xfId="42246" xr:uid="{C8D61875-C02C-46D0-88A9-B920C3592C2A}"/>
    <cellStyle name="Normal 3 2 4 2 2 5" xfId="42247" xr:uid="{7255A870-EDB1-4519-8DFD-28E87B7A2249}"/>
    <cellStyle name="Normal 3 2 4 2 2 5 2" xfId="42248" xr:uid="{F9A6255D-2284-47AB-B136-CD8B974B55CF}"/>
    <cellStyle name="Normal 3 2 4 2 2 6" xfId="42250" xr:uid="{46CC0E2E-DBEA-4BD8-AA00-A6681842BBB7}"/>
    <cellStyle name="Normal 3 2 4 2 3" xfId="42251" xr:uid="{F9EA32E4-226B-4DEA-A678-B8E0865026BC}"/>
    <cellStyle name="Normal 3 2 4 2 3 2" xfId="42252" xr:uid="{E3208623-2952-454D-9977-8194CFA1E1AC}"/>
    <cellStyle name="Normal 3 2 4 2 3 2 2" xfId="42253" xr:uid="{DBB86341-6063-4D4E-AD06-9E2CE5A27A41}"/>
    <cellStyle name="Normal 3 2 4 2 3 2 2 2" xfId="42254" xr:uid="{B7D1D2FE-C625-449D-B476-E1D08971F696}"/>
    <cellStyle name="Normal 3 2 4 2 3 2 3" xfId="42255" xr:uid="{58F36253-6819-417B-A941-28EC76B8DF46}"/>
    <cellStyle name="Normal 3 2 4 2 3 3" xfId="42256" xr:uid="{42B43B16-4FFF-44D0-B06A-D8D7B158FF52}"/>
    <cellStyle name="Normal 3 2 4 2 3 3 2" xfId="42257" xr:uid="{3C110A52-43B0-4067-9374-7501DCBD5974}"/>
    <cellStyle name="Normal 3 2 4 2 3 3 2 2" xfId="42258" xr:uid="{60BFC88C-8B9C-449B-84B4-22079A5FA47C}"/>
    <cellStyle name="Normal 3 2 4 2 3 3 3" xfId="42259" xr:uid="{804D62A7-6254-4323-ADB9-C216D94128EF}"/>
    <cellStyle name="Normal 3 2 4 2 3 4" xfId="42260" xr:uid="{664A61B3-A801-4394-8659-A9C8F1F331BA}"/>
    <cellStyle name="Normal 3 2 4 2 3 4 2" xfId="42261" xr:uid="{E2BD924E-4961-46E5-9C23-66B9955E6A87}"/>
    <cellStyle name="Normal 3 2 4 2 3 5" xfId="42262" xr:uid="{8752D928-7020-42B7-99CA-3A629B2C826B}"/>
    <cellStyle name="Normal 3 2 4 2 4" xfId="42264" xr:uid="{75E68289-F92F-4037-B544-6C518F8C5518}"/>
    <cellStyle name="Normal 3 2 4 2 4 2" xfId="42265" xr:uid="{FB16BCA2-2A2A-42A7-9D84-72BF6A5803FE}"/>
    <cellStyle name="Normal 3 2 4 2 4 2 2" xfId="42266" xr:uid="{8FAF1190-D413-4DD0-BDF3-88C7C2EC519A}"/>
    <cellStyle name="Normal 3 2 4 2 4 3" xfId="42267" xr:uid="{11DEFCCE-3178-452C-A9AD-A5E4BA293BF7}"/>
    <cellStyle name="Normal 3 2 4 2 5" xfId="42269" xr:uid="{102FAED9-6778-4890-B52C-14C2D7D6B6B1}"/>
    <cellStyle name="Normal 3 2 4 2 5 2" xfId="42270" xr:uid="{90EAD6C3-0B96-49BA-A89E-8E61F00FCFF5}"/>
    <cellStyle name="Normal 3 2 4 2 5 2 2" xfId="42271" xr:uid="{D8E717A3-A648-414F-BFFF-52FC97E28350}"/>
    <cellStyle name="Normal 3 2 4 2 5 3" xfId="42272" xr:uid="{7532DB09-B925-42E1-9F27-B726516CB43F}"/>
    <cellStyle name="Normal 3 2 4 2 6" xfId="42274" xr:uid="{86531619-94D3-4496-ACD5-E815DFEA8B9A}"/>
    <cellStyle name="Normal 3 2 4 2 6 2" xfId="42275" xr:uid="{AB12DFE9-C480-4632-A532-E56243756DF2}"/>
    <cellStyle name="Normal 3 2 4 2 7" xfId="42277" xr:uid="{C5D86CB5-FB60-4B0E-85C0-3FFF1DABF61F}"/>
    <cellStyle name="Normal 3 2 4 3" xfId="42278" xr:uid="{EC991DF6-6895-4269-ABE4-D19508403942}"/>
    <cellStyle name="Normal 3 2 4 3 2" xfId="42280" xr:uid="{4F6F02B2-8A84-4FA0-B761-5C3587CDA331}"/>
    <cellStyle name="Normal 3 2 4 3 2 2" xfId="42281" xr:uid="{46E1795A-8BC2-48B9-BC89-D5DD53125ABE}"/>
    <cellStyle name="Normal 3 2 4 3 2 2 2" xfId="42283" xr:uid="{8B063D44-3B1B-4E25-8D58-CC808E66D6B4}"/>
    <cellStyle name="Normal 3 2 4 3 2 2 2 2" xfId="42284" xr:uid="{FF261155-D469-4DA0-85B8-6A6067627281}"/>
    <cellStyle name="Normal 3 2 4 3 2 2 3" xfId="42286" xr:uid="{D4FD210D-A3F9-4078-9E05-E816421FE716}"/>
    <cellStyle name="Normal 3 2 4 3 2 3" xfId="42287" xr:uid="{03653395-A7CF-4A3E-9DCF-7B39C32E500D}"/>
    <cellStyle name="Normal 3 2 4 3 2 3 2" xfId="34039" xr:uid="{A4BC8E16-37E2-4D66-85E8-AF119C27B1CF}"/>
    <cellStyle name="Normal 3 2 4 3 2 3 2 2" xfId="34042" xr:uid="{7F5BDB62-293E-4B92-98E0-44AF56DC96DF}"/>
    <cellStyle name="Normal 3 2 4 3 2 3 3" xfId="16475" xr:uid="{0C301074-AB0F-4140-AE22-E6915E1CFEBC}"/>
    <cellStyle name="Normal 3 2 4 3 2 4" xfId="42288" xr:uid="{F0783DA9-6BCB-466B-8709-9C4992D1EB35}"/>
    <cellStyle name="Normal 3 2 4 3 2 4 2" xfId="34049" xr:uid="{1F858E19-0CB4-403B-A133-F0B6CF4BA3E4}"/>
    <cellStyle name="Normal 3 2 4 3 2 5" xfId="42289" xr:uid="{CC96EEFB-9ABA-4B92-B27D-36D5933C9FF2}"/>
    <cellStyle name="Normal 3 2 4 3 3" xfId="42290" xr:uid="{F64660A8-6176-496A-B2E0-2C7FE519D678}"/>
    <cellStyle name="Normal 3 2 4 3 3 2" xfId="42291" xr:uid="{9ED5135D-17D3-475C-8024-0FE9D4B72D58}"/>
    <cellStyle name="Normal 3 2 4 3 3 2 2" xfId="42292" xr:uid="{1C9D2642-6100-408C-8079-E559CBD40D2B}"/>
    <cellStyle name="Normal 3 2 4 3 3 3" xfId="42293" xr:uid="{594CC420-B117-4C8E-B4F2-92044841F83B}"/>
    <cellStyle name="Normal 3 2 4 3 4" xfId="42294" xr:uid="{98803BEA-DFAF-40EC-8DB8-4DF2CA00ADBB}"/>
    <cellStyle name="Normal 3 2 4 3 4 2" xfId="42295" xr:uid="{0E1D7B83-8FFC-490F-B592-66B179D41BC2}"/>
    <cellStyle name="Normal 3 2 4 3 4 2 2" xfId="42296" xr:uid="{4A6205D1-68A5-43B2-B6F6-627210EF83B9}"/>
    <cellStyle name="Normal 3 2 4 3 4 3" xfId="42297" xr:uid="{2D8B525D-3DEC-4614-B1FF-D311C5564144}"/>
    <cellStyle name="Normal 3 2 4 3 5" xfId="42298" xr:uid="{012D485B-3E23-434F-A357-80FC43190E49}"/>
    <cellStyle name="Normal 3 2 4 3 5 2" xfId="42299" xr:uid="{AAC0C6CF-6618-47F8-88D6-CCF96B408230}"/>
    <cellStyle name="Normal 3 2 4 3 6" xfId="42300" xr:uid="{FCAEB0F9-C253-4B66-B65A-268EF9D750B6}"/>
    <cellStyle name="Normal 3 2 4 4" xfId="42301" xr:uid="{A08738E0-D9E9-40A8-94DE-6C2FAA55907E}"/>
    <cellStyle name="Normal 3 2 4 4 2" xfId="42302" xr:uid="{692863EA-9B45-48D5-8490-3DA2A3033E50}"/>
    <cellStyle name="Normal 3 2 4 4 2 2" xfId="42303" xr:uid="{49E6A9C3-C872-4D4B-9A36-2C425357F2C4}"/>
    <cellStyle name="Normal 3 2 4 4 2 2 2" xfId="42304" xr:uid="{D02265BF-FF4B-4273-A7A1-EA42CCC14054}"/>
    <cellStyle name="Normal 3 2 4 4 2 3" xfId="42305" xr:uid="{74B4995B-D807-48A5-9A34-256E095B265E}"/>
    <cellStyle name="Normal 3 2 4 4 3" xfId="42306" xr:uid="{D7D06312-1B9F-4BEB-9986-D5D5460E811E}"/>
    <cellStyle name="Normal 3 2 4 4 3 2" xfId="42308" xr:uid="{DE8602D2-0435-4627-B945-7435D9E607BE}"/>
    <cellStyle name="Normal 3 2 4 4 3 2 2" xfId="42310" xr:uid="{099CFB29-3BF1-4241-8770-50588C3F1562}"/>
    <cellStyle name="Normal 3 2 4 4 3 3" xfId="42312" xr:uid="{5CD5ED55-D3F7-4105-905A-9D175F8268ED}"/>
    <cellStyle name="Normal 3 2 4 4 4" xfId="42313" xr:uid="{3968A028-B3ED-46B3-81FD-70F7ACD795D1}"/>
    <cellStyle name="Normal 3 2 4 4 4 2" xfId="42315" xr:uid="{3D156E5A-88AD-4195-B516-3047A8EFF675}"/>
    <cellStyle name="Normal 3 2 4 4 5" xfId="42316" xr:uid="{14BFF24E-ADB4-415E-86F1-BBB825C8B60B}"/>
    <cellStyle name="Normal 3 2 4 5" xfId="42317" xr:uid="{A896E7C2-CA2E-41ED-B421-A745AADEBB5F}"/>
    <cellStyle name="Normal 3 2 4 5 2" xfId="42318" xr:uid="{DA933D7A-28AA-4E51-AEC1-5A9034854DBD}"/>
    <cellStyle name="Normal 3 2 4 5 2 2" xfId="42319" xr:uid="{282273DD-E9E1-44A9-9BF1-AF2D8926EA89}"/>
    <cellStyle name="Normal 3 2 4 5 3" xfId="42320" xr:uid="{18F34838-08CE-46F7-A538-5BB2DCDB7FAD}"/>
    <cellStyle name="Normal 3 2 4 6" xfId="42321" xr:uid="{F3E695FF-59E9-4107-A56C-8711C9380170}"/>
    <cellStyle name="Normal 3 2 4 6 2" xfId="42322" xr:uid="{E462E810-5118-4A8C-BF41-EF575B956778}"/>
    <cellStyle name="Normal 3 2 4 6 2 2" xfId="42323" xr:uid="{8304BBD7-047B-4DED-AFAA-442F328D6CDA}"/>
    <cellStyle name="Normal 3 2 4 6 3" xfId="42324" xr:uid="{3187DDD6-2721-432B-83E1-39F1CF45C973}"/>
    <cellStyle name="Normal 3 2 4 7" xfId="42325" xr:uid="{A9B321A7-2D87-494E-A156-473995145EAC}"/>
    <cellStyle name="Normal 3 2 4 7 2" xfId="42326" xr:uid="{F2D04D2F-2F79-45B6-B324-0CBB084B6997}"/>
    <cellStyle name="Normal 3 2 4 8" xfId="42327" xr:uid="{B152702A-1D35-43B0-9C5E-175090387E6E}"/>
    <cellStyle name="Normal 3 2 40" xfId="42213" xr:uid="{ED24CE24-F7D0-42B9-9CD4-B32F3B7BE9AD}"/>
    <cellStyle name="Normal 3 2 41" xfId="42215" xr:uid="{236F74E8-BC52-4363-8185-36437B5079C3}"/>
    <cellStyle name="Normal 3 2 42" xfId="42217" xr:uid="{659F69C3-3D72-4D5C-A673-EEEF2428338D}"/>
    <cellStyle name="Normal 3 2 43" xfId="42219" xr:uid="{D3282712-97D9-45DC-B8A9-D80922F2ED1B}"/>
    <cellStyle name="Normal 3 2 44" xfId="42221" xr:uid="{3D31B02A-73D2-4F72-B0CB-2D7D4B04E9F1}"/>
    <cellStyle name="Normal 3 2 45" xfId="42329" xr:uid="{5E395C02-515E-4EFF-B7BC-5BADDC4974AE}"/>
    <cellStyle name="Normal 3 2 46" xfId="42331" xr:uid="{2B9DA262-03D4-4CC7-B15F-D1DCF9A467A2}"/>
    <cellStyle name="Normal 3 2 47" xfId="42333" xr:uid="{1B3674B3-8231-4E94-8D3F-7C333C60FDFB}"/>
    <cellStyle name="Normal 3 2 48" xfId="42335" xr:uid="{5D9F0E88-5465-4B06-BB38-B15FD9E251D3}"/>
    <cellStyle name="Normal 3 2 49" xfId="42337" xr:uid="{55801C14-2A9C-48C8-92FD-C0E48EAAE68B}"/>
    <cellStyle name="Normal 3 2 5" xfId="42338" xr:uid="{778287B1-5375-4B04-8884-F6CEB45EE0C0}"/>
    <cellStyle name="Normal 3 2 5 2" xfId="42339" xr:uid="{5F9D55F1-B46A-4890-8214-875E813A1CD3}"/>
    <cellStyle name="Normal 3 2 5 2 2" xfId="37807" xr:uid="{EB529178-FDD6-413C-A47E-4A3DC3084076}"/>
    <cellStyle name="Normal 3 2 5 2 2 2" xfId="37810" xr:uid="{B748FAB7-EDBC-41B6-A690-D75DC156F9C9}"/>
    <cellStyle name="Normal 3 2 5 2 2 2 2" xfId="37813" xr:uid="{AAD8B319-B8D9-4F5B-BB92-D4C692CDCE88}"/>
    <cellStyle name="Normal 3 2 5 2 2 2 2 2" xfId="42340" xr:uid="{EE3B6C19-228E-4701-9E3D-37680FC5E697}"/>
    <cellStyle name="Normal 3 2 5 2 2 2 2 2 2" xfId="42341" xr:uid="{13AB97D4-F69F-4EC1-9240-CE2562733DAD}"/>
    <cellStyle name="Normal 3 2 5 2 2 2 2 3" xfId="42342" xr:uid="{3E406F8C-205A-405C-AC71-BF96066849B5}"/>
    <cellStyle name="Normal 3 2 5 2 2 2 3" xfId="42343" xr:uid="{66E1169F-99D7-40A4-AA17-E2DA23A70408}"/>
    <cellStyle name="Normal 3 2 5 2 2 2 3 2" xfId="42344" xr:uid="{67FF2D64-12E8-4956-98F5-E2CC42645315}"/>
    <cellStyle name="Normal 3 2 5 2 2 2 3 2 2" xfId="42345" xr:uid="{14709556-C480-4C93-8943-4174250C89E6}"/>
    <cellStyle name="Normal 3 2 5 2 2 2 3 3" xfId="42346" xr:uid="{F85F4386-311D-4E57-B974-9B755E43AFAF}"/>
    <cellStyle name="Normal 3 2 5 2 2 2 4" xfId="42347" xr:uid="{68DA6CF0-8901-444C-ABBC-B57FAFA0CEB0}"/>
    <cellStyle name="Normal 3 2 5 2 2 2 4 2" xfId="42348" xr:uid="{37BE23C8-29F0-4210-9DEE-AC6605629B2A}"/>
    <cellStyle name="Normal 3 2 5 2 2 2 5" xfId="42349" xr:uid="{88A2BC87-3143-4062-B7AA-AC2FDF14C559}"/>
    <cellStyle name="Normal 3 2 5 2 2 3" xfId="37816" xr:uid="{DD77E431-0271-45E9-96F4-388C7084FEA0}"/>
    <cellStyle name="Normal 3 2 5 2 2 3 2" xfId="42350" xr:uid="{7E82206C-B131-47B2-A6E2-348CCADBC78D}"/>
    <cellStyle name="Normal 3 2 5 2 2 3 2 2" xfId="42351" xr:uid="{0A757026-4400-4C06-A62C-EA30B457FAA9}"/>
    <cellStyle name="Normal 3 2 5 2 2 3 3" xfId="42352" xr:uid="{5BCCCA83-FB56-451F-9C24-FC2EDBCB29E6}"/>
    <cellStyle name="Normal 3 2 5 2 2 4" xfId="42353" xr:uid="{97C6AE71-4FF4-49AD-AEE8-3CF04AAB13F8}"/>
    <cellStyle name="Normal 3 2 5 2 2 4 2" xfId="42354" xr:uid="{428052D2-6850-412D-A392-25DE2246C2CC}"/>
    <cellStyle name="Normal 3 2 5 2 2 4 2 2" xfId="42355" xr:uid="{5F53E54D-F331-46BE-AA7D-FE95689EFC3A}"/>
    <cellStyle name="Normal 3 2 5 2 2 4 3" xfId="42356" xr:uid="{884620CE-CF07-4774-A49A-70F3108857AF}"/>
    <cellStyle name="Normal 3 2 5 2 2 5" xfId="42357" xr:uid="{5A079FC5-698E-4D32-8375-3B480FC84D36}"/>
    <cellStyle name="Normal 3 2 5 2 2 5 2" xfId="42358" xr:uid="{A5DFB6BE-0898-4C45-89BD-BCAE5A3B3BE0}"/>
    <cellStyle name="Normal 3 2 5 2 2 6" xfId="42361" xr:uid="{81E73299-B89B-48FF-830E-4D4E66E4625E}"/>
    <cellStyle name="Normal 3 2 5 2 3" xfId="37819" xr:uid="{4E29331A-6BA6-44CB-BE8B-34E280269C95}"/>
    <cellStyle name="Normal 3 2 5 2 3 2" xfId="37822" xr:uid="{EDB0775B-70E8-4B57-AC49-A30FC58CE67E}"/>
    <cellStyle name="Normal 3 2 5 2 3 2 2" xfId="42362" xr:uid="{3D070D9B-7634-4AB3-8117-8F51BA40B9C3}"/>
    <cellStyle name="Normal 3 2 5 2 3 2 2 2" xfId="42363" xr:uid="{8E593E5C-3623-49C3-98D4-F8C027EB0DCB}"/>
    <cellStyle name="Normal 3 2 5 2 3 2 3" xfId="42364" xr:uid="{0DBF8CC4-1373-4910-94D8-7DFDB9232C1D}"/>
    <cellStyle name="Normal 3 2 5 2 3 3" xfId="42365" xr:uid="{EB7FAC2F-9EE7-40E6-B33E-AC2F9AE361BA}"/>
    <cellStyle name="Normal 3 2 5 2 3 3 2" xfId="42366" xr:uid="{2F9D19A4-499F-4635-A39F-773F148A60E5}"/>
    <cellStyle name="Normal 3 2 5 2 3 3 2 2" xfId="42367" xr:uid="{021D17DD-E89A-4CF8-B3EB-6314CC0FF4A9}"/>
    <cellStyle name="Normal 3 2 5 2 3 3 3" xfId="42368" xr:uid="{67B4F42E-96F0-47C1-ADF8-D0BC7E1C70C2}"/>
    <cellStyle name="Normal 3 2 5 2 3 4" xfId="42369" xr:uid="{3025EDD7-FD36-4BEC-B560-B70C8AC0CF62}"/>
    <cellStyle name="Normal 3 2 5 2 3 4 2" xfId="42370" xr:uid="{2C760BE2-C149-4A80-8815-4EF07F14F1A7}"/>
    <cellStyle name="Normal 3 2 5 2 3 5" xfId="42371" xr:uid="{CB70AD13-03A0-4A90-9C80-6E6770401BE7}"/>
    <cellStyle name="Normal 3 2 5 2 4" xfId="37825" xr:uid="{BA7A6248-6575-4BE0-8C67-47D39B6A003B}"/>
    <cellStyle name="Normal 3 2 5 2 4 2" xfId="42372" xr:uid="{C58AB719-020A-48F4-BA97-930AFA93B884}"/>
    <cellStyle name="Normal 3 2 5 2 4 2 2" xfId="42373" xr:uid="{0452CB2E-FD7A-43B7-AD9C-87739F28121B}"/>
    <cellStyle name="Normal 3 2 5 2 4 3" xfId="42374" xr:uid="{2B656FE7-C1EC-4192-BE7C-8E7FBBF74807}"/>
    <cellStyle name="Normal 3 2 5 2 5" xfId="37827" xr:uid="{EEF682EF-BB40-4AAD-B95E-5E4028414D19}"/>
    <cellStyle name="Normal 3 2 5 2 5 2" xfId="42375" xr:uid="{260A45D7-2BF1-4EC4-970E-74E11DECE79C}"/>
    <cellStyle name="Normal 3 2 5 2 5 2 2" xfId="42376" xr:uid="{108610B9-2765-4880-8E56-37A3B0041D28}"/>
    <cellStyle name="Normal 3 2 5 2 5 3" xfId="42377" xr:uid="{B7270D63-35FA-4F0F-B304-28A65E1F93F4}"/>
    <cellStyle name="Normal 3 2 5 2 6" xfId="42378" xr:uid="{63658179-2C01-443F-89E8-3B4E376087AF}"/>
    <cellStyle name="Normal 3 2 5 2 6 2" xfId="42379" xr:uid="{5DF97C17-5135-40C2-AB3F-8F6484BBF3B0}"/>
    <cellStyle name="Normal 3 2 5 2 7" xfId="42380" xr:uid="{5FDED4FD-18A8-41EF-8BD3-8376EBA66158}"/>
    <cellStyle name="Normal 3 2 5 3" xfId="42381" xr:uid="{BC5303E7-2458-4F95-9BB8-370C0E7E19F8}"/>
    <cellStyle name="Normal 3 2 5 3 2" xfId="7143" xr:uid="{46799D8F-9B6D-497B-B369-5F7DC654570B}"/>
    <cellStyle name="Normal 3 2 5 3 2 2" xfId="8228" xr:uid="{076CFFF9-5275-4A63-8A8B-A9AAF2ED29C9}"/>
    <cellStyle name="Normal 3 2 5 3 2 2 2" xfId="1903" xr:uid="{DC7BE587-F2A5-4A83-8359-AEB5C36ED3A6}"/>
    <cellStyle name="Normal 3 2 5 3 2 2 2 2" xfId="8234" xr:uid="{05FBAE3A-93CB-4627-9BA1-0B0CE2DC754D}"/>
    <cellStyle name="Normal 3 2 5 3 2 2 3" xfId="1908" xr:uid="{E4B47D77-C2AF-42BC-B3F8-CB004C34FFDB}"/>
    <cellStyle name="Normal 3 2 5 3 2 3" xfId="6124" xr:uid="{4F462777-F4AD-4514-9348-ADA1C0A2CB2E}"/>
    <cellStyle name="Normal 3 2 5 3 2 3 2" xfId="6645" xr:uid="{74AC3E6D-74DE-4A20-808E-2E6842E4C968}"/>
    <cellStyle name="Normal 3 2 5 3 2 3 2 2" xfId="42382" xr:uid="{8B4D4B31-42EC-4833-8A1A-A5D9A4CECF38}"/>
    <cellStyle name="Normal 3 2 5 3 2 3 3" xfId="42383" xr:uid="{B03D3BEE-E2C4-41D8-8536-C7D81DFE2B30}"/>
    <cellStyle name="Normal 3 2 5 3 2 4" xfId="6655" xr:uid="{CC7AE46F-29F2-4226-8352-76BBF5156E91}"/>
    <cellStyle name="Normal 3 2 5 3 2 4 2" xfId="42384" xr:uid="{9B72743C-5CFC-4BBC-9725-AC753D64D463}"/>
    <cellStyle name="Normal 3 2 5 3 2 5" xfId="42385" xr:uid="{680A49F5-3A17-4889-8623-8050E3A8B230}"/>
    <cellStyle name="Normal 3 2 5 3 3" xfId="7150" xr:uid="{1460B34E-8C1E-45CC-8885-30BFD013FE6F}"/>
    <cellStyle name="Normal 3 2 5 3 3 2" xfId="4293" xr:uid="{ABAEFC94-6F69-439E-9F1D-C27EF5F97AC5}"/>
    <cellStyle name="Normal 3 2 5 3 3 2 2" xfId="8237" xr:uid="{CD824AE8-8CAA-4185-821A-6BF5E480E7B2}"/>
    <cellStyle name="Normal 3 2 5 3 3 3" xfId="4298" xr:uid="{E7128307-6185-4C6D-ACB3-F52505559FF7}"/>
    <cellStyle name="Normal 3 2 5 3 4" xfId="6003" xr:uid="{65DB4BD7-3B57-4CA0-997A-6A41D9B7E406}"/>
    <cellStyle name="Normal 3 2 5 3 4 2" xfId="6008" xr:uid="{C7245946-C10D-45AF-8DEC-D45E155D41BA}"/>
    <cellStyle name="Normal 3 2 5 3 4 2 2" xfId="42386" xr:uid="{E88EFF01-D35C-4455-AA10-C0B4CDEF3EC0}"/>
    <cellStyle name="Normal 3 2 5 3 4 3" xfId="42387" xr:uid="{95D7B698-770A-41D4-864A-F41879D35B9F}"/>
    <cellStyle name="Normal 3 2 5 3 5" xfId="5794" xr:uid="{A76B4C00-3990-450A-86E1-9C22E497B8AD}"/>
    <cellStyle name="Normal 3 2 5 3 5 2" xfId="42388" xr:uid="{6CFEED21-A7A4-433B-8AA3-BA95822D2DE1}"/>
    <cellStyle name="Normal 3 2 5 3 6" xfId="5806" xr:uid="{D7C89A46-5BFB-4296-AE47-E81E21E893CE}"/>
    <cellStyle name="Normal 3 2 5 4" xfId="42389" xr:uid="{AE8E8CD4-7016-4A29-94EC-93B82CAEF37B}"/>
    <cellStyle name="Normal 3 2 5 4 2" xfId="8243" xr:uid="{7895E028-4E2F-49A4-955C-97CA2FD3A51D}"/>
    <cellStyle name="Normal 3 2 5 4 2 2" xfId="3637" xr:uid="{005DA4A5-4592-4F40-BF43-2F84394590FE}"/>
    <cellStyle name="Normal 3 2 5 4 2 2 2" xfId="5077" xr:uid="{CD170B18-2585-4C06-890C-9FBA06A2E3A9}"/>
    <cellStyle name="Normal 3 2 5 4 2 3" xfId="5081" xr:uid="{355523F7-E12B-4A17-9252-E9A073346007}"/>
    <cellStyle name="Normal 3 2 5 4 3" xfId="6606" xr:uid="{E8C6BB9B-6D24-4451-92CE-3E20A755AFAD}"/>
    <cellStyle name="Normal 3 2 5 4 3 2" xfId="5091" xr:uid="{D055A8B8-789B-4DE7-8FF4-B5E1E0B29480}"/>
    <cellStyle name="Normal 3 2 5 4 3 2 2" xfId="11647" xr:uid="{5F56145C-D6E4-4201-BC49-5C3CC4B02103}"/>
    <cellStyle name="Normal 3 2 5 4 3 3" xfId="42390" xr:uid="{CE0F17E6-5A70-4B12-BFED-8AB0AD2509D6}"/>
    <cellStyle name="Normal 3 2 5 4 4" xfId="6326" xr:uid="{4E87DF8C-D430-4895-87AD-6D6B07F24B69}"/>
    <cellStyle name="Normal 3 2 5 4 4 2" xfId="42391" xr:uid="{A6C8F187-92BE-4057-BA28-E9F97820AEB4}"/>
    <cellStyle name="Normal 3 2 5 4 5" xfId="42392" xr:uid="{ADDC6824-E9D1-43FD-9768-7C0018AD1F1A}"/>
    <cellStyle name="Normal 3 2 5 5" xfId="42393" xr:uid="{E08BCB0A-BCFF-4A01-AC02-F0AC6EB1B608}"/>
    <cellStyle name="Normal 3 2 5 5 2" xfId="8254" xr:uid="{808D8111-5005-40DF-9509-D7F08092F2B0}"/>
    <cellStyle name="Normal 3 2 5 5 2 2" xfId="5104" xr:uid="{19368E19-735B-438B-90DA-5F464173C7FB}"/>
    <cellStyle name="Normal 3 2 5 5 3" xfId="8256" xr:uid="{C56D18B0-1913-4B52-B505-BE24D2681D21}"/>
    <cellStyle name="Normal 3 2 5 6" xfId="42394" xr:uid="{DF0CF557-AA8F-450A-96C8-B45C65317E03}"/>
    <cellStyle name="Normal 3 2 5 6 2" xfId="8262" xr:uid="{9E4162E6-2E41-4634-A777-2924F996CE8A}"/>
    <cellStyle name="Normal 3 2 5 6 2 2" xfId="42395" xr:uid="{51079569-A866-46E6-8EE2-39BBFA951024}"/>
    <cellStyle name="Normal 3 2 5 6 3" xfId="42396" xr:uid="{A9DEBFA8-61DC-4BA4-BF66-0AAFE27461C4}"/>
    <cellStyle name="Normal 3 2 5 7" xfId="42397" xr:uid="{246DEBCC-0921-46B9-832F-FF060EA86F8F}"/>
    <cellStyle name="Normal 3 2 5 7 2" xfId="42398" xr:uid="{7F24382A-ABD1-4273-B2C6-43B6F2FE9577}"/>
    <cellStyle name="Normal 3 2 5 8" xfId="42399" xr:uid="{FC592B1B-1737-42E5-8E39-841FD1EECC8D}"/>
    <cellStyle name="Normal 3 2 50" xfId="42328" xr:uid="{E0C96A96-08AF-4CC4-9B4B-EF26ADE964D8}"/>
    <cellStyle name="Normal 3 2 51" xfId="42330" xr:uid="{5F4DAE2D-D79C-453D-A338-419754C3DCAC}"/>
    <cellStyle name="Normal 3 2 52" xfId="42332" xr:uid="{AD8B5371-B06D-4C40-AE26-A8C49D53A089}"/>
    <cellStyle name="Normal 3 2 53" xfId="42334" xr:uid="{F70903BC-BDE9-4C2D-98F9-27D8ED579D4C}"/>
    <cellStyle name="Normal 3 2 54" xfId="42336" xr:uid="{6EFB0B4F-67CA-4F13-B4A4-F14BBB2E61A0}"/>
    <cellStyle name="Normal 3 2 55" xfId="42401" xr:uid="{C8F214D3-549F-4CF8-B4A0-864B9CC67AC5}"/>
    <cellStyle name="Normal 3 2 56" xfId="42403" xr:uid="{833D3ADB-6519-4B32-BD3B-2AB1AFE63725}"/>
    <cellStyle name="Normal 3 2 57" xfId="42405" xr:uid="{42CEE69C-52E5-49AF-82FE-1BA3450B9185}"/>
    <cellStyle name="Normal 3 2 58" xfId="42407" xr:uid="{C79DFDEC-B6FB-4BBB-B76D-7B06BDC9AAE3}"/>
    <cellStyle name="Normal 3 2 59" xfId="42409" xr:uid="{762A45F4-0275-44BF-9275-29CCB4107BB0}"/>
    <cellStyle name="Normal 3 2 6" xfId="42410" xr:uid="{76208451-FC48-4103-8023-F9056F38DDF7}"/>
    <cellStyle name="Normal 3 2 6 2" xfId="42411" xr:uid="{3B181512-12E6-4720-B24E-D45F9A17EEC2}"/>
    <cellStyle name="Normal 3 2 6 2 2" xfId="37969" xr:uid="{E84CB497-C2A5-48A6-84A2-789E6E2DC15C}"/>
    <cellStyle name="Normal 3 2 6 2 2 2" xfId="37971" xr:uid="{9A372289-1BA5-4702-B28E-4DDE5B3AE4A4}"/>
    <cellStyle name="Normal 3 2 6 2 2 2 2" xfId="42412" xr:uid="{421D91C9-BAC9-4E40-831C-5107908808B8}"/>
    <cellStyle name="Normal 3 2 6 2 2 2 2 2" xfId="42413" xr:uid="{1847DF5A-F662-4B25-8A0E-D3E0CD1624E4}"/>
    <cellStyle name="Normal 3 2 6 2 2 2 3" xfId="42414" xr:uid="{B1F3025E-FB8F-4586-A523-C0A681B88195}"/>
    <cellStyle name="Normal 3 2 6 2 2 3" xfId="42415" xr:uid="{CC41C389-8A19-45A9-A324-C3DFD5767078}"/>
    <cellStyle name="Normal 3 2 6 2 2 3 2" xfId="42417" xr:uid="{4EB8F98B-6067-4886-B603-BC6F6FE84B76}"/>
    <cellStyle name="Normal 3 2 6 2 2 3 2 2" xfId="42419" xr:uid="{C2021ABB-9530-4DEC-AA02-31853639180B}"/>
    <cellStyle name="Normal 3 2 6 2 2 3 3" xfId="42421" xr:uid="{475380EA-DC03-4E3A-A85D-E3C85488761B}"/>
    <cellStyle name="Normal 3 2 6 2 2 4" xfId="42422" xr:uid="{598E630B-7286-42F2-91EF-EB4471A5F8DF}"/>
    <cellStyle name="Normal 3 2 6 2 2 4 2" xfId="42424" xr:uid="{AEB3E61A-B691-4EB7-BA1F-26CB8A59ECC9}"/>
    <cellStyle name="Normal 3 2 6 2 2 5" xfId="42425" xr:uid="{6BB98985-5B5B-49D6-93BB-50D0406F45AC}"/>
    <cellStyle name="Normal 3 2 6 2 3" xfId="37973" xr:uid="{485DAECB-9134-4495-8AC7-CB3FF79A3B84}"/>
    <cellStyle name="Normal 3 2 6 2 3 2" xfId="42426" xr:uid="{EB7F5101-2C61-4CBB-B716-067C0C85DE7C}"/>
    <cellStyle name="Normal 3 2 6 2 3 2 2" xfId="42427" xr:uid="{EA5ACE1B-BC07-4AD0-AFF0-8E13FEF6669A}"/>
    <cellStyle name="Normal 3 2 6 2 3 3" xfId="42428" xr:uid="{A7AF70DE-C141-4906-A762-124D68BC794E}"/>
    <cellStyle name="Normal 3 2 6 2 4" xfId="37975" xr:uid="{286E40C1-2CE3-4DCC-9D14-D61033ED67AB}"/>
    <cellStyle name="Normal 3 2 6 2 4 2" xfId="42429" xr:uid="{A4D4DA22-8307-4D66-8BA8-720849DEF8FF}"/>
    <cellStyle name="Normal 3 2 6 2 4 2 2" xfId="42430" xr:uid="{527D80EA-7DA2-444A-AA27-C975284305ED}"/>
    <cellStyle name="Normal 3 2 6 2 4 3" xfId="42431" xr:uid="{EE0C7EBB-769C-4E8B-B772-182C66E1B9B6}"/>
    <cellStyle name="Normal 3 2 6 2 5" xfId="42432" xr:uid="{817D9999-ADF4-4168-9D3D-2A46858E8C65}"/>
    <cellStyle name="Normal 3 2 6 2 5 2" xfId="42433" xr:uid="{034A9AC0-FB49-4E0B-A0B9-BBE6A865501F}"/>
    <cellStyle name="Normal 3 2 6 2 6" xfId="42434" xr:uid="{DAB8D70B-9AF1-43CD-A431-3AA617731747}"/>
    <cellStyle name="Normal 3 2 6 3" xfId="42435" xr:uid="{F3ED6072-FB7D-4C66-A0A5-D9EF6DD377BF}"/>
    <cellStyle name="Normal 3 2 6 3 2" xfId="7934" xr:uid="{1C942B1A-E5C1-45B7-94C8-94CD793B6987}"/>
    <cellStyle name="Normal 3 2 6 3 2 2" xfId="7938" xr:uid="{9A082B2A-DF5D-4BCA-BCBA-D11AA490B16E}"/>
    <cellStyle name="Normal 3 2 6 3 2 2 2" xfId="8274" xr:uid="{46762C9F-C2B0-46CB-BDD6-437659235386}"/>
    <cellStyle name="Normal 3 2 6 3 2 3" xfId="6670" xr:uid="{31C54F76-7174-49A5-9D04-E050AAE0C9F5}"/>
    <cellStyle name="Normal 3 2 6 3 3" xfId="7947" xr:uid="{B95958A6-E93F-4FA1-A4D0-8DB3781689E7}"/>
    <cellStyle name="Normal 3 2 6 3 3 2" xfId="8278" xr:uid="{CFD98D04-6E26-418D-A2EC-8E2EC0BC1CD8}"/>
    <cellStyle name="Normal 3 2 6 3 3 2 2" xfId="42436" xr:uid="{C91EDBD2-C28A-477A-B515-7443D448F5F7}"/>
    <cellStyle name="Normal 3 2 6 3 3 3" xfId="42437" xr:uid="{E55AB6BD-831E-4A91-BDD4-F9E5B78639EC}"/>
    <cellStyle name="Normal 3 2 6 3 4" xfId="7204" xr:uid="{2E38484A-36C9-4CA7-BD44-D021642FC76D}"/>
    <cellStyle name="Normal 3 2 6 3 4 2" xfId="42438" xr:uid="{10403FEE-CAF7-4E49-A259-193CD3672FAF}"/>
    <cellStyle name="Normal 3 2 6 3 5" xfId="42439" xr:uid="{99D91921-958C-47D1-A3F9-73BA8814AAB0}"/>
    <cellStyle name="Normal 3 2 6 4" xfId="42440" xr:uid="{66287114-298B-4704-9F94-7F223F5BAD70}"/>
    <cellStyle name="Normal 3 2 6 4 2" xfId="7957" xr:uid="{789D28CD-11DF-432F-B25F-F82819654E7F}"/>
    <cellStyle name="Normal 3 2 6 4 2 2" xfId="5155" xr:uid="{6966275B-C773-4157-BFC3-4077C0584889}"/>
    <cellStyle name="Normal 3 2 6 4 3" xfId="8282" xr:uid="{5F26EEFA-0FFA-44D5-9E15-FBEEF1FA0D4B}"/>
    <cellStyle name="Normal 3 2 6 5" xfId="42441" xr:uid="{FA25FF5B-D6D6-4C73-AA5E-A4254D668047}"/>
    <cellStyle name="Normal 3 2 6 5 2" xfId="8284" xr:uid="{BD098A79-8C6E-4CDF-A9AF-0DF18AEE3387}"/>
    <cellStyle name="Normal 3 2 6 5 2 2" xfId="42442" xr:uid="{2D840FA8-0914-41A7-8570-4325593F1198}"/>
    <cellStyle name="Normal 3 2 6 5 3" xfId="42443" xr:uid="{C34CDF06-920F-4E57-A37F-6E23E9408547}"/>
    <cellStyle name="Normal 3 2 6 6" xfId="42444" xr:uid="{844EB0F2-149B-453E-B579-B851D2F10034}"/>
    <cellStyle name="Normal 3 2 6 6 2" xfId="42445" xr:uid="{5BD3ABA4-5411-4986-9115-09396276C4A2}"/>
    <cellStyle name="Normal 3 2 6 7" xfId="42447" xr:uid="{86F899CA-BB8C-4179-BD95-9266EEA2D9C5}"/>
    <cellStyle name="Normal 3 2 6 8" xfId="42448" xr:uid="{6F27AB6D-881F-4CC2-A506-164DCD3605A4}"/>
    <cellStyle name="Normal 3 2 60" xfId="42400" xr:uid="{39A45909-F783-4DC7-A054-9A525C609B3C}"/>
    <cellStyle name="Normal 3 2 61" xfId="42402" xr:uid="{003C7B19-DCE5-42B3-A818-6FE04D6636CF}"/>
    <cellStyle name="Normal 3 2 62" xfId="42404" xr:uid="{E027BF96-3E92-41D2-A546-808DA76526CB}"/>
    <cellStyle name="Normal 3 2 63" xfId="42406" xr:uid="{ABFF078E-E214-4D48-A562-32642526438C}"/>
    <cellStyle name="Normal 3 2 64" xfId="42408" xr:uid="{455543FA-868B-402E-9F93-4B254E42AF5C}"/>
    <cellStyle name="Normal 3 2 65" xfId="42450" xr:uid="{2B2A2236-36B1-4C19-80BA-57755338A30E}"/>
    <cellStyle name="Normal 3 2 66" xfId="42452" xr:uid="{4C177FFB-52E9-4D93-918E-E8A07BFC4DA4}"/>
    <cellStyle name="Normal 3 2 67" xfId="42454" xr:uid="{1586A193-1C30-47EF-A16B-D48EE5D9080E}"/>
    <cellStyle name="Normal 3 2 68" xfId="42455" xr:uid="{FC981D7C-904A-409D-8EF6-AA64A70C115D}"/>
    <cellStyle name="Normal 3 2 68 2" xfId="42456" xr:uid="{BC67BAF6-A3F5-43C9-9B6E-CB3A55A351BC}"/>
    <cellStyle name="Normal 3 2 69" xfId="42457" xr:uid="{6D7470CF-57D9-42DF-BA43-A07F4F2F18FF}"/>
    <cellStyle name="Normal 3 2 7" xfId="42458" xr:uid="{957E9009-A762-4361-ACC3-51AAA8EACA86}"/>
    <cellStyle name="Normal 3 2 7 2" xfId="42459" xr:uid="{E54EA878-054A-45AF-962D-057A3715D4B5}"/>
    <cellStyle name="Normal 3 2 7 2 2" xfId="38045" xr:uid="{ACA2551D-42F2-496C-95A0-3340C820DB9C}"/>
    <cellStyle name="Normal 3 2 7 2 2 2" xfId="42460" xr:uid="{BDFF68A0-A914-476F-8B1D-B8DAFB1E8D58}"/>
    <cellStyle name="Normal 3 2 7 2 2 2 2" xfId="42461" xr:uid="{87848AAD-1666-499E-96C3-EA3569245ACB}"/>
    <cellStyle name="Normal 3 2 7 2 2 3" xfId="42462" xr:uid="{76A5DAF5-36D4-4A10-A601-A39D05C5D30A}"/>
    <cellStyle name="Normal 3 2 7 2 3" xfId="42463" xr:uid="{3B61241F-6B57-4F61-8A0E-79EC45F18E77}"/>
    <cellStyle name="Normal 3 2 7 2 3 2" xfId="42464" xr:uid="{62D4C9C9-E663-4EA2-81F5-854FFB05AE47}"/>
    <cellStyle name="Normal 3 2 7 2 3 2 2" xfId="42465" xr:uid="{6B046C6E-0154-48BA-8C5A-B8A0F15262C8}"/>
    <cellStyle name="Normal 3 2 7 2 3 3" xfId="42466" xr:uid="{927DB865-80E4-4037-BAAD-DA603C5845E5}"/>
    <cellStyle name="Normal 3 2 7 2 4" xfId="42467" xr:uid="{BCFADC23-799C-4FD5-8BE9-4C15B0F906B4}"/>
    <cellStyle name="Normal 3 2 7 2 4 2" xfId="17750" xr:uid="{71350DD3-8C75-4EC1-9036-9B6542346508}"/>
    <cellStyle name="Normal 3 2 7 2 5" xfId="42468" xr:uid="{960CDDAD-0984-4E86-8672-39C1AC5373A3}"/>
    <cellStyle name="Normal 3 2 7 3" xfId="42469" xr:uid="{0DFD44F1-B5E3-435F-9E9A-804D39667E06}"/>
    <cellStyle name="Normal 3 2 7 3 2" xfId="2715" xr:uid="{AA522083-EF01-4743-9882-578E381009F9}"/>
    <cellStyle name="Normal 3 2 7 3 2 2" xfId="2726" xr:uid="{5D690183-BB58-4C71-92F9-5AC8663AC5D1}"/>
    <cellStyle name="Normal 3 2 7 3 3" xfId="2736" xr:uid="{09DF142C-4A13-492B-8BF1-C5F850CAB777}"/>
    <cellStyle name="Normal 3 2 7 4" xfId="42470" xr:uid="{C98B3BE5-62F1-4BA8-B516-81E30ED1E027}"/>
    <cellStyle name="Normal 3 2 7 4 2" xfId="7214" xr:uid="{AC66C3D0-95C4-4404-B713-0D4CE0759E22}"/>
    <cellStyle name="Normal 3 2 7 4 2 2" xfId="42471" xr:uid="{21A3AA38-14E4-4D1D-AB3B-C7A538A4E00A}"/>
    <cellStyle name="Normal 3 2 7 4 3" xfId="42472" xr:uid="{B0579F7E-C866-451F-82AC-08CFDBEA6145}"/>
    <cellStyle name="Normal 3 2 7 5" xfId="42473" xr:uid="{BDFB3DD4-27C0-4D25-9F79-0954AC445F4D}"/>
    <cellStyle name="Normal 3 2 7 5 2" xfId="42474" xr:uid="{9304221F-8461-4516-A491-9642DBF159B8}"/>
    <cellStyle name="Normal 3 2 7 6" xfId="42476" xr:uid="{94893FA5-622D-47AF-9AFB-B16862329508}"/>
    <cellStyle name="Normal 3 2 7 7" xfId="42477" xr:uid="{6C6D2F9B-4248-4AFF-97A3-74FC54F66208}"/>
    <cellStyle name="Normal 3 2 70" xfId="42449" xr:uid="{D6334950-2EA5-4554-96D7-D5223585B7A6}"/>
    <cellStyle name="Normal 3 2 71" xfId="42451" xr:uid="{A44C2A34-5F74-42D6-8310-2656AEDABF19}"/>
    <cellStyle name="Normal 3 2 72" xfId="42453" xr:uid="{2B0B4C4D-9F72-4595-80D8-9B567D1F712B}"/>
    <cellStyle name="Normal 3 2 8" xfId="42478" xr:uid="{13A0F86B-BE38-44F4-A75B-2E087D9CEA16}"/>
    <cellStyle name="Normal 3 2 8 2" xfId="42479" xr:uid="{7BE8A2BA-5172-479B-A77A-BDD0935EEB73}"/>
    <cellStyle name="Normal 3 2 8 2 2" xfId="42480" xr:uid="{81F46DAF-F601-4E24-8F58-9B49E645BAD6}"/>
    <cellStyle name="Normal 3 2 8 2 2 2" xfId="40787" xr:uid="{1A5B5B7F-DA76-4433-922A-91FDB4BE0AA1}"/>
    <cellStyle name="Normal 3 2 8 2 3" xfId="42481" xr:uid="{DD89E863-5B96-4D0A-93A5-B5DBE9DE6007}"/>
    <cellStyle name="Normal 3 2 8 3" xfId="42482" xr:uid="{CC0AF76E-7A46-4BCD-A69B-B18E9B3F0775}"/>
    <cellStyle name="Normal 3 2 8 3 2" xfId="979" xr:uid="{3FF188B1-21A4-475D-B86D-C8C9A42D2D54}"/>
    <cellStyle name="Normal 3 2 8 3 2 2" xfId="2208" xr:uid="{A1B9809D-3BF2-4DAF-8DF4-EBABF3F2C543}"/>
    <cellStyle name="Normal 3 2 8 3 3" xfId="42483" xr:uid="{DC93A6E6-0FAF-42F1-B973-0A523CCF4609}"/>
    <cellStyle name="Normal 3 2 8 4" xfId="42484" xr:uid="{F9750D11-58C1-410C-8435-4E4757A13CBD}"/>
    <cellStyle name="Normal 3 2 8 4 2" xfId="42485" xr:uid="{F25E3A5F-584F-433E-ADB5-4ACD280A9282}"/>
    <cellStyle name="Normal 3 2 8 5" xfId="42486" xr:uid="{88B2B05C-328D-4230-8749-6CB326E10CB3}"/>
    <cellStyle name="Normal 3 2 8 6" xfId="42487" xr:uid="{8F203CAB-A5FC-42DC-B898-282A670283BF}"/>
    <cellStyle name="Normal 3 2 9" xfId="42488" xr:uid="{A3B7E716-0264-43C0-8665-C834E7502620}"/>
    <cellStyle name="Normal 3 2 9 2" xfId="42489" xr:uid="{BDDC8BEE-D3AE-4470-A4D3-DD3F1A793A37}"/>
    <cellStyle name="Normal 3 2 9 2 2" xfId="42490" xr:uid="{FAF4C600-6382-497D-A998-5AC17BC0D12A}"/>
    <cellStyle name="Normal 3 2 9 3" xfId="42491" xr:uid="{F7B6B4EC-5277-402C-96ED-78D47DE9F512}"/>
    <cellStyle name="Normal 3 2 9 4" xfId="42492" xr:uid="{1242A36F-A26E-4DED-AC41-78BA9B8BCF25}"/>
    <cellStyle name="Normal 3 20" xfId="526" xr:uid="{543265D7-7B54-4C9B-8362-17730CCD38D3}"/>
    <cellStyle name="Normal 3 20 2" xfId="537" xr:uid="{C9901338-F3A6-45F0-9F78-BD01B03B9223}"/>
    <cellStyle name="Normal 3 20 2 2" xfId="5328" xr:uid="{96A2456C-FB19-4C4A-A540-BAACD37DB428}"/>
    <cellStyle name="Normal 3 20 3" xfId="1050" xr:uid="{54D48B7D-E552-4A3E-93C0-E42EDCDFF139}"/>
    <cellStyle name="Normal 3 21" xfId="544" xr:uid="{546C718B-61D0-42D0-AAC0-659FCFF6DC0D}"/>
    <cellStyle name="Normal 3 21 2" xfId="5343" xr:uid="{70D06F28-9E57-488E-9492-ABA4C11A572A}"/>
    <cellStyle name="Normal 3 21 2 2" xfId="5349" xr:uid="{347418C6-AB05-4EC9-AF1F-58E54230DC47}"/>
    <cellStyle name="Normal 3 21 3" xfId="5354" xr:uid="{E4D9A689-1F30-46F7-A1A6-28BB7AC8E442}"/>
    <cellStyle name="Normal 3 22" xfId="1366" xr:uid="{B1B7F23E-3EB2-47EB-B2C5-564B7E8CC951}"/>
    <cellStyle name="Normal 3 22 2" xfId="4493" xr:uid="{F640BC37-7E95-4A7F-AD4D-6792E6D6B5F9}"/>
    <cellStyle name="Normal 3 22 2 2" xfId="40452" xr:uid="{44CE28D5-ADB9-4CFA-AD59-6AB306C95131}"/>
    <cellStyle name="Normal 3 22 3" xfId="40454" xr:uid="{43571160-0C21-4817-B237-FFA797DA1B38}"/>
    <cellStyle name="Normal 3 23" xfId="1314" xr:uid="{F00547D1-3D03-4887-B2D5-3ECFBE903882}"/>
    <cellStyle name="Normal 3 23 2" xfId="40456" xr:uid="{4E5361BB-4455-4D77-903C-9E9280981F21}"/>
    <cellStyle name="Normal 3 23 2 2" xfId="40458" xr:uid="{EA07F2BD-07F2-4D36-AECF-F8E091FE2BF4}"/>
    <cellStyle name="Normal 3 23 3" xfId="40460" xr:uid="{98A0EE02-3698-4E11-948E-63DAA86A7B22}"/>
    <cellStyle name="Normal 3 24" xfId="5357" xr:uid="{1581267B-6BB2-4559-B359-725BC1F62CB5}"/>
    <cellStyle name="Normal 3 24 2" xfId="40462" xr:uid="{66FCC15A-F4DB-455B-A2F4-39E72B41E3C5}"/>
    <cellStyle name="Normal 3 24 2 2" xfId="40464" xr:uid="{711AA764-BAFF-4FEC-BE4D-DF38D35DE1C2}"/>
    <cellStyle name="Normal 3 24 3" xfId="40466" xr:uid="{5835C8F4-A920-49B5-AF11-22D15E2F21F9}"/>
    <cellStyle name="Normal 3 25" xfId="42494" xr:uid="{81971BDC-ADC3-44D8-B388-7A484C25E032}"/>
    <cellStyle name="Normal 3 25 2" xfId="42496" xr:uid="{131A5426-0E26-4DCC-87F8-75EF5066A4EF}"/>
    <cellStyle name="Normal 3 25 2 2" xfId="42498" xr:uid="{A66D6875-D9D3-4E89-8DE8-B34ED75002EB}"/>
    <cellStyle name="Normal 3 25 3" xfId="42500" xr:uid="{807CB8E7-B5BA-40E9-B42F-CDAD0155D7D5}"/>
    <cellStyle name="Normal 3 26" xfId="42502" xr:uid="{D7A2BEA7-9735-4895-92FE-887E354FC4FE}"/>
    <cellStyle name="Normal 3 26 2" xfId="42504" xr:uid="{3C0074C6-1368-425C-B690-749339CFE8A5}"/>
    <cellStyle name="Normal 3 26 2 2" xfId="42506" xr:uid="{7B8073E0-A76C-4D08-8768-A09F271C8084}"/>
    <cellStyle name="Normal 3 26 3" xfId="42508" xr:uid="{8A76C72C-C16C-417A-A91E-3266847F07FE}"/>
    <cellStyle name="Normal 3 27" xfId="42511" xr:uid="{1A57821C-4DE7-4E4C-B119-1AEC54E838F7}"/>
    <cellStyle name="Normal 3 27 2" xfId="42514" xr:uid="{9D13EA17-7719-4A2A-BCDA-671E7B0B50ED}"/>
    <cellStyle name="Normal 3 27 2 2" xfId="42517" xr:uid="{B7797D81-C176-4223-A4B5-739428645676}"/>
    <cellStyle name="Normal 3 27 3" xfId="42520" xr:uid="{9E8E69FF-EF16-463C-82B1-36BEB5841E44}"/>
    <cellStyle name="Normal 3 28" xfId="42523" xr:uid="{ABD4FF69-0799-4F17-A1DC-F93F50616A01}"/>
    <cellStyle name="Normal 3 28 2" xfId="42526" xr:uid="{CA6A50BE-43D0-4101-8059-F010177BD0C1}"/>
    <cellStyle name="Normal 3 28 2 2" xfId="42528" xr:uid="{C4778337-57A3-47B9-A28B-D963CD043429}"/>
    <cellStyle name="Normal 3 28 3" xfId="42530" xr:uid="{7FF2FFDA-E5F2-4D9D-9D80-34A0E6994644}"/>
    <cellStyle name="Normal 3 29" xfId="42533" xr:uid="{99E0D372-BA17-4B06-A944-56EABF07024E}"/>
    <cellStyle name="Normal 3 29 2" xfId="42535" xr:uid="{F27BE24E-9863-407E-A132-320DCA5FBA02}"/>
    <cellStyle name="Normal 3 29 2 2" xfId="42537" xr:uid="{B3B3E565-7A9A-45F6-A7EA-C9C91DCFD7C6}"/>
    <cellStyle name="Normal 3 29 3" xfId="42539" xr:uid="{9FD972D1-83B2-4AAB-9983-0F8EB2660EB0}"/>
    <cellStyle name="Normal 3 3" xfId="42540" xr:uid="{72D33852-33FC-458C-B4A8-4153DE446AC1}"/>
    <cellStyle name="Normal 3 3 10" xfId="7593" xr:uid="{B2953930-A412-437F-B0F9-E3F5C20E0D15}"/>
    <cellStyle name="Normal 3 3 11" xfId="42541" xr:uid="{FC4CD1AC-77DB-435A-987A-6FB317F59EE6}"/>
    <cellStyle name="Normal 3 3 2" xfId="42542" xr:uid="{CB074806-BA85-4325-B892-5BF5DA6828BD}"/>
    <cellStyle name="Normal 3 3 2 2" xfId="42543" xr:uid="{7FFB7C7F-5F3D-4E3B-AA61-16146A727487}"/>
    <cellStyle name="Normal 3 3 2 2 2" xfId="42544" xr:uid="{EF555B00-FC20-44D5-8E38-3745CFF105D0}"/>
    <cellStyle name="Normal 3 3 2 2 2 2" xfId="42545" xr:uid="{B9B73655-A9F4-41CA-94C5-109C76D873BB}"/>
    <cellStyle name="Normal 3 3 2 2 2 2 2" xfId="42546" xr:uid="{74BFFA71-8ECD-4EAB-94A2-FCE43DC5BD62}"/>
    <cellStyle name="Normal 3 3 2 2 2 2 2 2" xfId="42547" xr:uid="{A9F7CF13-E952-4B0D-BD3E-DE3ABB7892B7}"/>
    <cellStyle name="Normal 3 3 2 2 2 2 3" xfId="42548" xr:uid="{1031D172-052C-453F-9B4E-016A85DBA17F}"/>
    <cellStyle name="Normal 3 3 2 2 2 3" xfId="42549" xr:uid="{58A2F8F3-679E-443E-A68E-9AB0A3EDB9A8}"/>
    <cellStyle name="Normal 3 3 2 2 2 3 2" xfId="42550" xr:uid="{B5ACCC3E-9E43-43B9-9111-81977F7F963C}"/>
    <cellStyle name="Normal 3 3 2 2 2 3 2 2" xfId="42551" xr:uid="{F33CD4E4-5A47-4EF8-B92A-C44E21779C7B}"/>
    <cellStyle name="Normal 3 3 2 2 2 3 3" xfId="42552" xr:uid="{0A69CB15-B2FF-4CF8-B09C-E1C7A513B922}"/>
    <cellStyle name="Normal 3 3 2 2 2 4" xfId="42553" xr:uid="{A63AED3B-F64E-4B88-BF85-C1362C79F742}"/>
    <cellStyle name="Normal 3 3 2 2 2 4 2" xfId="42554" xr:uid="{EE14EE90-9033-422B-9296-AD011FE85167}"/>
    <cellStyle name="Normal 3 3 2 2 2 5" xfId="42555" xr:uid="{8FCFD342-FF37-4675-8710-BF4D75836746}"/>
    <cellStyle name="Normal 3 3 2 2 3" xfId="42556" xr:uid="{0BF14D21-CBC6-4FC7-B9C9-4B6FFAF1D897}"/>
    <cellStyle name="Normal 3 3 2 2 3 2" xfId="42557" xr:uid="{A01193ED-2AAC-4759-960B-0711E4977DDB}"/>
    <cellStyle name="Normal 3 3 2 2 3 2 2" xfId="42558" xr:uid="{B695A90E-738C-42D3-B273-064C1E17DE50}"/>
    <cellStyle name="Normal 3 3 2 2 3 3" xfId="42559" xr:uid="{4CB0206D-25F8-483C-B580-CA1FBB0B9D98}"/>
    <cellStyle name="Normal 3 3 2 2 4" xfId="42560" xr:uid="{BD5BA995-7214-4F9E-A5A2-FDEFC298DCA2}"/>
    <cellStyle name="Normal 3 3 2 2 4 2" xfId="42561" xr:uid="{CAF47F70-39CB-4A53-877D-B99BBD4CC945}"/>
    <cellStyle name="Normal 3 3 2 2 4 2 2" xfId="42562" xr:uid="{BD8628D3-81AC-4E86-9C6D-4A2180EE9E20}"/>
    <cellStyle name="Normal 3 3 2 2 4 3" xfId="42563" xr:uid="{B5E8DD37-74E7-4D24-BDBD-514F37DE30E8}"/>
    <cellStyle name="Normal 3 3 2 2 5" xfId="42565" xr:uid="{45015883-C767-4CF5-B973-729BAE03CA96}"/>
    <cellStyle name="Normal 3 3 2 2 5 2" xfId="42567" xr:uid="{54C367CF-064D-40F2-95E4-B431DDBBE707}"/>
    <cellStyle name="Normal 3 3 2 2 6" xfId="42569" xr:uid="{22843224-87EB-40B9-9F82-1202AB40C7ED}"/>
    <cellStyle name="Normal 3 3 2 3" xfId="42570" xr:uid="{83E3F88C-2BC0-46CC-BEE0-72F7E5F9FEBB}"/>
    <cellStyle name="Normal 3 3 2 3 2" xfId="42571" xr:uid="{1D38B68C-1600-452A-9F06-F8846364DD22}"/>
    <cellStyle name="Normal 3 3 2 3 2 2" xfId="30596" xr:uid="{B82DBFC5-7B98-4445-A0F4-03DB9FBBDB0C}"/>
    <cellStyle name="Normal 3 3 2 3 2 2 2" xfId="15589" xr:uid="{541E8627-E567-422A-8EC9-0D00462CAA6D}"/>
    <cellStyle name="Normal 3 3 2 3 2 3" xfId="30598" xr:uid="{C93B2790-8972-4838-B61B-FBF884B19444}"/>
    <cellStyle name="Normal 3 3 2 3 3" xfId="42572" xr:uid="{31C8DAA3-816F-4CA8-8783-0AC0FBF6629A}"/>
    <cellStyle name="Normal 3 3 2 3 3 2" xfId="30612" xr:uid="{6483AB19-F43F-4434-AE1A-B590FE1D8F35}"/>
    <cellStyle name="Normal 3 3 2 3 3 2 2" xfId="30614" xr:uid="{0B1B0A23-47F5-4B8E-87D0-1EF54B4FECB5}"/>
    <cellStyle name="Normal 3 3 2 3 3 3" xfId="30616" xr:uid="{41DE74EA-B0F2-43A2-B567-C1918046C7B8}"/>
    <cellStyle name="Normal 3 3 2 3 4" xfId="42573" xr:uid="{D914A9FA-3249-45C1-BBEE-96510E27E391}"/>
    <cellStyle name="Normal 3 3 2 3 4 2" xfId="26898" xr:uid="{CA76C8A8-6B6E-4871-8749-2C91E5BEFFD0}"/>
    <cellStyle name="Normal 3 3 2 3 5" xfId="42575" xr:uid="{1278176B-8996-4188-9E92-4CF0DDD635CB}"/>
    <cellStyle name="Normal 3 3 2 4" xfId="42576" xr:uid="{8203545D-C5EC-4498-BE73-452BDCFDEE2B}"/>
    <cellStyle name="Normal 3 3 2 4 2" xfId="21139" xr:uid="{CCA08B21-9F8D-4857-93BE-DDBDBD35A5AD}"/>
    <cellStyle name="Normal 3 3 2 4 2 2" xfId="30722" xr:uid="{AD57BFF3-5D40-476D-BC46-E4D6B093A35C}"/>
    <cellStyle name="Normal 3 3 2 4 3" xfId="42577" xr:uid="{8155933A-4674-4158-B627-0CE4B95F9F74}"/>
    <cellStyle name="Normal 3 3 2 5" xfId="42578" xr:uid="{C2353E31-EBB5-483A-9510-6FDAE00100CF}"/>
    <cellStyle name="Normal 3 3 2 5 2" xfId="42579" xr:uid="{7F18DC22-9CE0-4015-A0E5-5EF7242F019F}"/>
    <cellStyle name="Normal 3 3 2 5 2 2" xfId="30758" xr:uid="{9F87BEDB-36CC-49B3-9720-3D3AA63071F8}"/>
    <cellStyle name="Normal 3 3 2 5 3" xfId="42580" xr:uid="{0F524877-3EFD-4D5D-9541-3064D8420AF4}"/>
    <cellStyle name="Normal 3 3 2 6" xfId="42581" xr:uid="{E7E1B27B-E66B-41EF-9943-FF09591D9325}"/>
    <cellStyle name="Normal 3 3 2 6 2" xfId="42582" xr:uid="{F2FB2037-A47A-4986-8890-06936C8F69DC}"/>
    <cellStyle name="Normal 3 3 2 7" xfId="42583" xr:uid="{B3CAA68D-D206-4D2D-91FC-57390D998FE2}"/>
    <cellStyle name="Normal 3 3 2 8" xfId="42584" xr:uid="{10FD4CBA-117B-4529-B454-C8358A0691F5}"/>
    <cellStyle name="Normal 3 3 3" xfId="42585" xr:uid="{26B35C91-D8FE-40B5-9E53-FA9B987C301D}"/>
    <cellStyle name="Normal 3 3 3 2" xfId="42586" xr:uid="{29B09B7E-757D-4801-B2E6-696BBA44A127}"/>
    <cellStyle name="Normal 3 3 3 2 2" xfId="42587" xr:uid="{E13205F5-C9C2-4AAA-91B4-A0B6A3151071}"/>
    <cellStyle name="Normal 3 3 3 2 2 2" xfId="42588" xr:uid="{7764E761-D051-45B5-BB59-2F08CF12093C}"/>
    <cellStyle name="Normal 3 3 3 2 2 2 2" xfId="42589" xr:uid="{A86771CA-991C-41B5-B4BB-AD02E281DCB0}"/>
    <cellStyle name="Normal 3 3 3 2 2 3" xfId="42590" xr:uid="{3EC740C8-88C2-4DAF-9824-6773398F0644}"/>
    <cellStyle name="Normal 3 3 3 2 3" xfId="42591" xr:uid="{1629B435-B6ED-44FF-B89A-C8A13CFB4A1D}"/>
    <cellStyle name="Normal 3 3 3 2 3 2" xfId="42592" xr:uid="{3B379D51-CFB9-44AA-AA6F-EB16C3D042EC}"/>
    <cellStyle name="Normal 3 3 3 2 3 2 2" xfId="42593" xr:uid="{DE243D97-376B-4F86-B7A0-A731ED9AF96D}"/>
    <cellStyle name="Normal 3 3 3 2 3 3" xfId="42594" xr:uid="{ADFBD77D-0E56-465E-8EB8-3B56C72A8178}"/>
    <cellStyle name="Normal 3 3 3 2 4" xfId="42595" xr:uid="{81342169-7371-41CC-8373-132EA361A7BC}"/>
    <cellStyle name="Normal 3 3 3 2 4 2" xfId="42596" xr:uid="{93B92F33-B340-42EC-8DEE-3D2CBC7E48AE}"/>
    <cellStyle name="Normal 3 3 3 2 5" xfId="42598" xr:uid="{C22F7874-E9E2-48BC-A29C-84DCB823CB76}"/>
    <cellStyle name="Normal 3 3 3 3" xfId="42599" xr:uid="{0E6C4F4C-C085-4DC5-A410-22C4E7C27A3B}"/>
    <cellStyle name="Normal 3 3 3 3 2" xfId="42600" xr:uid="{FF812D77-280A-4DE9-886C-9BD152BAB805}"/>
    <cellStyle name="Normal 3 3 3 3 2 2" xfId="42601" xr:uid="{02BF47B0-80FF-4824-BD1F-491CE1344CA0}"/>
    <cellStyle name="Normal 3 3 3 3 3" xfId="42602" xr:uid="{CB68D4A5-1A5B-449F-A698-5A550324DD2A}"/>
    <cellStyle name="Normal 3 3 3 4" xfId="42603" xr:uid="{279A25A9-84B1-4FDB-BA81-77D01C98CAB3}"/>
    <cellStyle name="Normal 3 3 3 4 2" xfId="42604" xr:uid="{793AE297-E3EB-43E9-97CE-5563606AD5E5}"/>
    <cellStyle name="Normal 3 3 3 4 2 2" xfId="42605" xr:uid="{15C1599C-932D-48DD-A116-46FEF3E77BF9}"/>
    <cellStyle name="Normal 3 3 3 4 3" xfId="42606" xr:uid="{38F0EDAD-A03C-4A8B-8DF1-9A7D347A512E}"/>
    <cellStyle name="Normal 3 3 3 5" xfId="42607" xr:uid="{2DB4AB78-53AF-4DFD-B7EF-3363AD2DD754}"/>
    <cellStyle name="Normal 3 3 3 5 2" xfId="42608" xr:uid="{9D69FCEB-6DD7-481E-8E72-78257A53CD37}"/>
    <cellStyle name="Normal 3 3 3 6" xfId="42609" xr:uid="{593F3FC5-A1C2-496D-A101-93BEB028CF5D}"/>
    <cellStyle name="Normal 3 3 3 7" xfId="54179" xr:uid="{0B474E4F-C5BF-4F51-8B86-793BEFCDEDCF}"/>
    <cellStyle name="Normal 3 3 4" xfId="42610" xr:uid="{26943A15-AF95-4557-811A-20B9910F770D}"/>
    <cellStyle name="Normal 3 3 4 2" xfId="42611" xr:uid="{2CC509B7-EDF9-45B1-8311-A3E2E9744978}"/>
    <cellStyle name="Normal 3 3 4 2 2" xfId="42612" xr:uid="{04D6A3E2-7CC9-40FB-9DBB-05C588636CD8}"/>
    <cellStyle name="Normal 3 3 4 2 2 2" xfId="42613" xr:uid="{1FCC44AC-4160-4F19-AEDA-E6AC65F72F0E}"/>
    <cellStyle name="Normal 3 3 4 2 3" xfId="42614" xr:uid="{373C1D2C-F993-4D90-8BEF-62F792DEE232}"/>
    <cellStyle name="Normal 3 3 4 3" xfId="42615" xr:uid="{B82043EA-5C37-46E0-A620-D88040C67DFA}"/>
    <cellStyle name="Normal 3 3 4 3 2" xfId="42616" xr:uid="{F2AD0E7C-9E9E-4FF4-9038-337B7566C858}"/>
    <cellStyle name="Normal 3 3 4 3 2 2" xfId="31069" xr:uid="{2F08BFC4-B6E2-4C51-85BF-DB0A2A9257DC}"/>
    <cellStyle name="Normal 3 3 4 3 3" xfId="42617" xr:uid="{DEEC1C69-8CF1-492E-9457-DD088AECC41F}"/>
    <cellStyle name="Normal 3 3 4 4" xfId="42618" xr:uid="{9FC638F2-00FC-4D73-AC5C-96BAF2F425E4}"/>
    <cellStyle name="Normal 3 3 4 4 2" xfId="42619" xr:uid="{0145D56B-CC60-4826-B0F2-A727D3E68D15}"/>
    <cellStyle name="Normal 3 3 4 5" xfId="42620" xr:uid="{AD39FB58-7A83-4994-BDAA-1CB3543D04F3}"/>
    <cellStyle name="Normal 3 3 4 6" xfId="54157" xr:uid="{DA4C0E56-117B-4E79-BF28-6A45F1E26601}"/>
    <cellStyle name="Normal 3 3 5" xfId="42621" xr:uid="{84959FA5-C648-471A-A967-ED7DA5246A40}"/>
    <cellStyle name="Normal 3 3 5 2" xfId="42622" xr:uid="{2FFB7707-A05B-4BF7-9107-098195767F5B}"/>
    <cellStyle name="Normal 3 3 5 2 2" xfId="42623" xr:uid="{14912AF4-7D83-4715-A061-FC572BEF5C80}"/>
    <cellStyle name="Normal 3 3 5 3" xfId="42624" xr:uid="{EF08BD5A-9DEF-490F-8803-B309BFFBA823}"/>
    <cellStyle name="Normal 3 3 6" xfId="42625" xr:uid="{95A429F5-FAD5-470B-9114-544EB554C2D4}"/>
    <cellStyle name="Normal 3 3 6 2" xfId="42626" xr:uid="{6A5890EC-E10D-4C44-AA1B-32C5F8688DA6}"/>
    <cellStyle name="Normal 3 3 6 2 2" xfId="42627" xr:uid="{A029D7EC-4FC6-4592-82CE-25268C3D22AD}"/>
    <cellStyle name="Normal 3 3 6 3" xfId="42628" xr:uid="{75A155A7-00EE-4336-B500-DD15894F03AD}"/>
    <cellStyle name="Normal 3 3 6 4" xfId="42629" xr:uid="{AFFF00CD-22FE-4F35-811B-94805A5A031F}"/>
    <cellStyle name="Normal 3 3 7" xfId="42630" xr:uid="{F827BA94-EE25-43E7-9657-9124A694019E}"/>
    <cellStyle name="Normal 3 3 7 2" xfId="42631" xr:uid="{84CDA263-A6F8-4203-AD27-FB89A6DBC2F0}"/>
    <cellStyle name="Normal 3 3 8" xfId="42632" xr:uid="{F7802227-2431-4133-BD44-6D753FA8C9A4}"/>
    <cellStyle name="Normal 3 3 9" xfId="42633" xr:uid="{17662F52-39BC-4A09-B2BF-73AAD01D56C5}"/>
    <cellStyle name="Normal 3 30" xfId="42493" xr:uid="{71830FB9-2729-443E-BA1D-08577F990A11}"/>
    <cellStyle name="Normal 3 30 2" xfId="42495" xr:uid="{F8E53442-B20B-4E6F-8CAE-A1A36F75FCCC}"/>
    <cellStyle name="Normal 3 30 2 2" xfId="42497" xr:uid="{5AF15B07-B1BC-4FD0-A9BA-BACAEFA79E76}"/>
    <cellStyle name="Normal 3 30 3" xfId="42499" xr:uid="{EBFB967B-85E3-40B0-AF44-A62DCE7B281C}"/>
    <cellStyle name="Normal 3 31" xfId="42501" xr:uid="{75F2B1C3-E6B2-4AD5-924E-FF158F928186}"/>
    <cellStyle name="Normal 3 31 2" xfId="42503" xr:uid="{C18ABC88-EFD1-443D-8A71-CE8913A007FF}"/>
    <cellStyle name="Normal 3 31 2 2" xfId="42505" xr:uid="{17548032-B550-4197-BBED-B6CB3DD7886A}"/>
    <cellStyle name="Normal 3 31 3" xfId="42507" xr:uid="{75FEFFC6-2C09-4A82-A30E-4BB01B967EF5}"/>
    <cellStyle name="Normal 3 32" xfId="42510" xr:uid="{F3440066-3818-4839-9189-3C025DE84D26}"/>
    <cellStyle name="Normal 3 32 2" xfId="42513" xr:uid="{592CF872-F4E2-48CF-B2BC-D12C9834A787}"/>
    <cellStyle name="Normal 3 32 2 2" xfId="42516" xr:uid="{35E50BE0-D41C-4203-951B-BDD3F2C8A00A}"/>
    <cellStyle name="Normal 3 32 3" xfId="42519" xr:uid="{6594368A-C45E-4CAF-B07B-53DE86594B69}"/>
    <cellStyle name="Normal 3 33" xfId="42522" xr:uid="{7FCC8A0C-974D-43CF-A755-C3653BACE4B2}"/>
    <cellStyle name="Normal 3 33 2" xfId="42525" xr:uid="{2907F1B5-1C44-4F9D-9095-472F36F8214F}"/>
    <cellStyle name="Normal 3 33 2 2" xfId="42527" xr:uid="{EBC7D202-98DA-4DF1-8D7D-67DD8BA68868}"/>
    <cellStyle name="Normal 3 33 3" xfId="42529" xr:uid="{3A3CB572-A544-41CA-B4FC-0D3D58CC4962}"/>
    <cellStyle name="Normal 3 34" xfId="42532" xr:uid="{62524436-50B4-48C6-9915-43F88E9D3538}"/>
    <cellStyle name="Normal 3 34 2" xfId="42534" xr:uid="{66A23523-74AA-4E94-8038-71C91C2B440E}"/>
    <cellStyle name="Normal 3 34 2 2" xfId="42536" xr:uid="{A238504D-69E2-4271-AACF-241EF3E178FE}"/>
    <cellStyle name="Normal 3 34 3" xfId="42538" xr:uid="{A26A98C3-4BE2-44C9-82C8-550BF8C9DFCF}"/>
    <cellStyle name="Normal 3 35" xfId="42635" xr:uid="{E8AE0716-316F-4CE7-A6AB-527ADF9726A0}"/>
    <cellStyle name="Normal 3 35 2" xfId="42637" xr:uid="{D0C83C67-0161-473E-B47B-0D6081EEBBA8}"/>
    <cellStyle name="Normal 3 35 2 2" xfId="42639" xr:uid="{77375F29-AF2C-455C-8D57-E677087D4AF3}"/>
    <cellStyle name="Normal 3 35 3" xfId="42641" xr:uid="{5246BEF1-44CC-413C-A1DF-3FF5B62FB750}"/>
    <cellStyle name="Normal 3 36" xfId="42644" xr:uid="{1A90B274-D703-4CE5-9606-04841CF41773}"/>
    <cellStyle name="Normal 3 36 2" xfId="42646" xr:uid="{9B08F004-945F-4FDC-96FE-EB64A26FD9D9}"/>
    <cellStyle name="Normal 3 36 2 2" xfId="42648" xr:uid="{26D81BCF-785C-4D2F-A689-466667C9D10C}"/>
    <cellStyle name="Normal 3 36 3" xfId="42650" xr:uid="{2BD1412A-E745-4D1A-9556-5D37BDE9B2FB}"/>
    <cellStyle name="Normal 3 37" xfId="42652" xr:uid="{2592DB3B-3ECE-41FB-B46E-B0D293231B41}"/>
    <cellStyle name="Normal 3 37 2" xfId="42654" xr:uid="{EE6B2E02-34E0-4C1C-92DA-D9C2BDEF2BD4}"/>
    <cellStyle name="Normal 3 37 2 2" xfId="42656" xr:uid="{0779FB1E-61AB-49A2-95A8-C430FB8D4350}"/>
    <cellStyle name="Normal 3 37 3" xfId="42658" xr:uid="{74CF1D66-35B7-41BB-BE35-1E03597F0D66}"/>
    <cellStyle name="Normal 3 38" xfId="42660" xr:uid="{B707AB8A-EBD5-4034-ADCD-C6F45D69238C}"/>
    <cellStyle name="Normal 3 38 2" xfId="42662" xr:uid="{B708E582-9ABE-4084-8918-D343672475B8}"/>
    <cellStyle name="Normal 3 38 2 2" xfId="147" xr:uid="{DA8B7F74-4CF9-4498-917A-61A50C0D9D89}"/>
    <cellStyle name="Normal 3 38 3" xfId="42664" xr:uid="{768231B1-886C-4226-8CC2-B922910031D1}"/>
    <cellStyle name="Normal 3 39" xfId="42666" xr:uid="{068A55AA-D391-4FFB-A3E6-313DFB2A1685}"/>
    <cellStyle name="Normal 3 39 2" xfId="42668" xr:uid="{0F941ED5-0BF3-409B-AF02-59944B7C6496}"/>
    <cellStyle name="Normal 3 39 2 2" xfId="29548" xr:uid="{BFE714E6-57B9-4C71-87D0-94E82E54236D}"/>
    <cellStyle name="Normal 3 39 3" xfId="42670" xr:uid="{5D9C67F7-D054-417F-A537-74033F458CBB}"/>
    <cellStyle name="Normal 3 4" xfId="42671" xr:uid="{77C6EE2C-B3D7-4C13-8E8B-E34910CF16B4}"/>
    <cellStyle name="Normal 3 4 2" xfId="42672" xr:uid="{03958C33-E238-4B8A-BE5A-A39B81479D17}"/>
    <cellStyle name="Normal 3 4 2 10" xfId="42673" xr:uid="{333F69A3-C82E-4BA9-A4A7-A73402E13891}"/>
    <cellStyle name="Normal 3 4 2 2" xfId="42674" xr:uid="{E601FBC2-9D57-4247-A73F-587420F17D53}"/>
    <cellStyle name="Normal 3 4 2 2 2" xfId="42675" xr:uid="{E73208E1-98ED-4BE7-92AC-B07E6C98CC6D}"/>
    <cellStyle name="Normal 3 4 2 2 2 2" xfId="42676" xr:uid="{0FA8EBA0-2BFF-40CC-8917-418BBADBA326}"/>
    <cellStyle name="Normal 3 4 2 2 2 2 2" xfId="42677" xr:uid="{E83CAC28-5CD9-4E45-AFAE-A83F7679CA5D}"/>
    <cellStyle name="Normal 3 4 2 2 2 2 2 2" xfId="42678" xr:uid="{63F409FB-90D9-447B-AE6E-ADAD7BDA3613}"/>
    <cellStyle name="Normal 3 4 2 2 2 2 2 2 2" xfId="42679" xr:uid="{6EBDBB93-818B-49CD-B66B-FA1E71CD0DF2}"/>
    <cellStyle name="Normal 3 4 2 2 2 2 2 2 2 2" xfId="42680" xr:uid="{3488E897-42B3-43CE-9706-01C8A7A7C154}"/>
    <cellStyle name="Normal 3 4 2 2 2 2 2 2 2 2 2" xfId="42681" xr:uid="{0352AB4F-84AC-4B72-B2D2-827D94359F15}"/>
    <cellStyle name="Normal 3 4 2 2 2 2 2 2 2 3" xfId="42682" xr:uid="{7E32398E-B29C-4EF0-9D9E-45BD26A2EC37}"/>
    <cellStyle name="Normal 3 4 2 2 2 2 2 2 3" xfId="42683" xr:uid="{9FA0C21F-0D79-4049-B475-9599E652E5DC}"/>
    <cellStyle name="Normal 3 4 2 2 2 2 2 2 3 2" xfId="42684" xr:uid="{1094CDA9-7C7E-469E-9A25-7758048030EB}"/>
    <cellStyle name="Normal 3 4 2 2 2 2 2 2 3 2 2" xfId="42685" xr:uid="{6EF24825-BE0A-48BD-B6FD-0CF10DE7A2CE}"/>
    <cellStyle name="Normal 3 4 2 2 2 2 2 2 3 3" xfId="42686" xr:uid="{F203E684-91F4-496F-9ADF-42194FE94EFD}"/>
    <cellStyle name="Normal 3 4 2 2 2 2 2 2 4" xfId="42687" xr:uid="{8E80D83A-27DB-43BC-875F-2F3483CEFBD0}"/>
    <cellStyle name="Normal 3 4 2 2 2 2 2 2 4 2" xfId="42688" xr:uid="{5769B3DC-1C6D-4577-B2A6-55D4CD4C52FF}"/>
    <cellStyle name="Normal 3 4 2 2 2 2 2 2 5" xfId="42689" xr:uid="{4CC500A2-F766-4B63-849F-EA47D87C674E}"/>
    <cellStyle name="Normal 3 4 2 2 2 2 2 3" xfId="42690" xr:uid="{8DECB691-D938-4600-BAA8-4FCE848800E3}"/>
    <cellStyle name="Normal 3 4 2 2 2 2 2 3 2" xfId="42691" xr:uid="{B973FA97-6A69-433E-86E7-EA26B4B0C30C}"/>
    <cellStyle name="Normal 3 4 2 2 2 2 2 3 2 2" xfId="42692" xr:uid="{FBDC66FE-D205-46E8-BD9F-307041C768BD}"/>
    <cellStyle name="Normal 3 4 2 2 2 2 2 3 3" xfId="5461" xr:uid="{2A0BDA23-4316-4A83-9AD1-684E5CA0F5CE}"/>
    <cellStyle name="Normal 3 4 2 2 2 2 2 4" xfId="42693" xr:uid="{4A01235D-7012-4E1D-9AC3-C98617711F56}"/>
    <cellStyle name="Normal 3 4 2 2 2 2 2 4 2" xfId="42694" xr:uid="{A0DE7E02-8B47-4066-8D53-D11267B676FC}"/>
    <cellStyle name="Normal 3 4 2 2 2 2 2 4 2 2" xfId="42695" xr:uid="{2F3028B5-4983-4C47-9AD4-DF899B840C33}"/>
    <cellStyle name="Normal 3 4 2 2 2 2 2 4 3" xfId="5480" xr:uid="{07427C4C-1367-46B7-B07D-3D637C7A106A}"/>
    <cellStyle name="Normal 3 4 2 2 2 2 2 5" xfId="42696" xr:uid="{498AF012-24CA-4627-B136-B86BA098B3DE}"/>
    <cellStyle name="Normal 3 4 2 2 2 2 2 5 2" xfId="42697" xr:uid="{D6C57C0D-F9C5-4A8E-844A-71776A3821B6}"/>
    <cellStyle name="Normal 3 4 2 2 2 2 2 6" xfId="42698" xr:uid="{FA0AE50B-8473-432E-8045-8296726F45FD}"/>
    <cellStyle name="Normal 3 4 2 2 2 2 3" xfId="42699" xr:uid="{B3330832-2B9F-4778-AE25-DE707ADB1411}"/>
    <cellStyle name="Normal 3 4 2 2 2 2 3 2" xfId="42700" xr:uid="{F1811B06-CB01-4D65-954E-5F31BC3B44EF}"/>
    <cellStyle name="Normal 3 4 2 2 2 2 3 2 2" xfId="42701" xr:uid="{A4CF6595-AA7D-4661-8DEC-7E0270C3896F}"/>
    <cellStyle name="Normal 3 4 2 2 2 2 3 2 2 2" xfId="42702" xr:uid="{BC68C027-73DF-423F-A2DB-05699715BDF2}"/>
    <cellStyle name="Normal 3 4 2 2 2 2 3 2 3" xfId="42703" xr:uid="{A9ABA8A1-767D-4CD9-97FA-18B092C00C81}"/>
    <cellStyle name="Normal 3 4 2 2 2 2 3 3" xfId="42704" xr:uid="{1D86CF2F-05DF-4B8C-B3AB-710CE3197627}"/>
    <cellStyle name="Normal 3 4 2 2 2 2 3 3 2" xfId="42705" xr:uid="{FA52E527-9426-47A0-BBDC-FDCDE934B9AA}"/>
    <cellStyle name="Normal 3 4 2 2 2 2 3 3 2 2" xfId="42706" xr:uid="{0EE87183-6BB0-4F26-BC78-3AE9D0006B8D}"/>
    <cellStyle name="Normal 3 4 2 2 2 2 3 3 3" xfId="5987" xr:uid="{7E689BFD-E409-49A4-B9F9-A86C909A1C7D}"/>
    <cellStyle name="Normal 3 4 2 2 2 2 3 4" xfId="42707" xr:uid="{1772230A-10E9-42EA-851F-0D039995AF75}"/>
    <cellStyle name="Normal 3 4 2 2 2 2 3 4 2" xfId="42708" xr:uid="{3BBD430A-AD76-424E-A7E9-4E3CE51FAAA7}"/>
    <cellStyle name="Normal 3 4 2 2 2 2 3 5" xfId="42709" xr:uid="{73093595-D2F9-4B75-BBBC-12C07F4ACCCE}"/>
    <cellStyle name="Normal 3 4 2 2 2 2 4" xfId="4192" xr:uid="{16E9E4AF-B4DE-435B-B2CA-F8B2C3C26552}"/>
    <cellStyle name="Normal 3 4 2 2 2 2 4 2" xfId="4195" xr:uid="{E132540E-D6C6-4037-90E0-4A7F5AE2B14B}"/>
    <cellStyle name="Normal 3 4 2 2 2 2 4 2 2" xfId="4197" xr:uid="{A942E91C-C602-49CC-936C-422A4C96B5B4}"/>
    <cellStyle name="Normal 3 4 2 2 2 2 4 3" xfId="1155" xr:uid="{2EAFF84D-287F-44E5-88EB-E20553C8CD9E}"/>
    <cellStyle name="Normal 3 4 2 2 2 2 5" xfId="4220" xr:uid="{39C49364-74D8-4AD2-A538-9DFE50ADEEFC}"/>
    <cellStyle name="Normal 3 4 2 2 2 2 5 2" xfId="4222" xr:uid="{2C98AB20-5059-4D7D-A9EB-CB002C87E7C4}"/>
    <cellStyle name="Normal 3 4 2 2 2 2 5 2 2" xfId="4224" xr:uid="{20C0288E-FA10-4114-B748-39114519BD28}"/>
    <cellStyle name="Normal 3 4 2 2 2 2 5 3" xfId="1186" xr:uid="{E0FECC3E-A1C2-4AA4-82B3-21FFD05271DF}"/>
    <cellStyle name="Normal 3 4 2 2 2 2 6" xfId="4239" xr:uid="{100847D0-C851-4D37-94DC-55DB8474129F}"/>
    <cellStyle name="Normal 3 4 2 2 2 2 6 2" xfId="4241" xr:uid="{484113C4-6640-4BC1-996D-6118E1BE42CC}"/>
    <cellStyle name="Normal 3 4 2 2 2 2 7" xfId="4247" xr:uid="{D1B953A1-E76D-4C74-AE50-DA08F6F10A33}"/>
    <cellStyle name="Normal 3 4 2 2 2 3" xfId="42710" xr:uid="{7A181022-EE3F-43DB-86D8-5173501A82F5}"/>
    <cellStyle name="Normal 3 4 2 2 2 3 2" xfId="42711" xr:uid="{3FA681CE-92AC-4612-B123-A9CB90C460E9}"/>
    <cellStyle name="Normal 3 4 2 2 2 3 2 2" xfId="42712" xr:uid="{350694DE-3590-4BD6-9922-3BBCAF29AA7B}"/>
    <cellStyle name="Normal 3 4 2 2 2 3 2 2 2" xfId="42713" xr:uid="{F5F4C7D5-F584-46D1-A7B1-D0147697543F}"/>
    <cellStyle name="Normal 3 4 2 2 2 3 2 2 2 2" xfId="42714" xr:uid="{4868632F-292A-4471-835F-C5D99E641205}"/>
    <cellStyle name="Normal 3 4 2 2 2 3 2 2 3" xfId="42715" xr:uid="{2F9BD8E4-7DAE-4993-8FB7-D2A1258F379E}"/>
    <cellStyle name="Normal 3 4 2 2 2 3 2 3" xfId="42716" xr:uid="{C8E5DC30-AA27-496F-8D82-E19700B09A6D}"/>
    <cellStyle name="Normal 3 4 2 2 2 3 2 3 2" xfId="42717" xr:uid="{287C7335-0300-43A4-932C-491902185143}"/>
    <cellStyle name="Normal 3 4 2 2 2 3 2 3 2 2" xfId="42718" xr:uid="{0DB11D85-9259-4448-9BC3-4969330149F0}"/>
    <cellStyle name="Normal 3 4 2 2 2 3 2 3 3" xfId="19635" xr:uid="{30E8265B-E7C8-4031-A0D1-3B379FFC8396}"/>
    <cellStyle name="Normal 3 4 2 2 2 3 2 4" xfId="42719" xr:uid="{93D9157E-7FF8-4786-9853-D13A55C262AD}"/>
    <cellStyle name="Normal 3 4 2 2 2 3 2 4 2" xfId="42720" xr:uid="{1D85E8F4-55BF-4EDD-9403-0B60657D7DE5}"/>
    <cellStyle name="Normal 3 4 2 2 2 3 2 5" xfId="42721" xr:uid="{3EBF0229-70A6-41B8-A118-DA81F95B0CBF}"/>
    <cellStyle name="Normal 3 4 2 2 2 3 3" xfId="42722" xr:uid="{0A4602F1-5111-47BA-9D74-FFB124A57EF5}"/>
    <cellStyle name="Normal 3 4 2 2 2 3 3 2" xfId="42723" xr:uid="{0394CAC2-957D-44DD-AB58-9BFE25026EC9}"/>
    <cellStyle name="Normal 3 4 2 2 2 3 3 2 2" xfId="42724" xr:uid="{2FA36DD7-E70A-4BC6-84E4-249B8809A607}"/>
    <cellStyle name="Normal 3 4 2 2 2 3 3 3" xfId="42725" xr:uid="{3043D302-1355-41F7-9494-33D9CE42CC09}"/>
    <cellStyle name="Normal 3 4 2 2 2 3 4" xfId="4254" xr:uid="{85727EA9-7BF7-4896-8E05-372D050B7EDA}"/>
    <cellStyle name="Normal 3 4 2 2 2 3 4 2" xfId="4256" xr:uid="{79842504-D65C-4C03-89A1-A886BD4B6EC0}"/>
    <cellStyle name="Normal 3 4 2 2 2 3 4 2 2" xfId="4258" xr:uid="{8DDD9795-CFEB-4402-B6F1-2AD74B50FCFD}"/>
    <cellStyle name="Normal 3 4 2 2 2 3 4 3" xfId="1259" xr:uid="{EA0BEED4-CF78-484E-A1BC-D7D9E4026D81}"/>
    <cellStyle name="Normal 3 4 2 2 2 3 5" xfId="4263" xr:uid="{21A1A547-DC85-4644-A19F-043DB442B83B}"/>
    <cellStyle name="Normal 3 4 2 2 2 3 5 2" xfId="4265" xr:uid="{AAE467D3-27D3-4069-9F0D-3A3454699489}"/>
    <cellStyle name="Normal 3 4 2 2 2 3 6" xfId="4269" xr:uid="{5E64C6CF-5A2A-4931-9128-BC5454791CD1}"/>
    <cellStyle name="Normal 3 4 2 2 2 4" xfId="42726" xr:uid="{A1D25004-AA19-4E5D-A8A3-A807A3174430}"/>
    <cellStyle name="Normal 3 4 2 2 2 4 2" xfId="42727" xr:uid="{54CDED77-9DB3-46D2-9E55-91564AEB747E}"/>
    <cellStyle name="Normal 3 4 2 2 2 4 2 2" xfId="42728" xr:uid="{D432695D-759C-4ED8-9639-7DBB100D45AC}"/>
    <cellStyle name="Normal 3 4 2 2 2 4 2 2 2" xfId="42729" xr:uid="{1AC6AB13-B6D6-4628-B4A9-37243AB8151B}"/>
    <cellStyle name="Normal 3 4 2 2 2 4 2 3" xfId="42730" xr:uid="{3A2DA356-8B75-4AD5-8D88-49F7C8E0CC99}"/>
    <cellStyle name="Normal 3 4 2 2 2 4 3" xfId="42731" xr:uid="{1673A536-EF9E-4865-8FDF-BB9B758EFD42}"/>
    <cellStyle name="Normal 3 4 2 2 2 4 3 2" xfId="42732" xr:uid="{97D0F312-711A-481E-A883-47F54DF0DAF6}"/>
    <cellStyle name="Normal 3 4 2 2 2 4 3 2 2" xfId="42733" xr:uid="{033BE9AF-F344-4B3F-A118-BBDB74AD9974}"/>
    <cellStyle name="Normal 3 4 2 2 2 4 3 3" xfId="42734" xr:uid="{9998BC84-D59B-4149-955B-E97FF4F4FC05}"/>
    <cellStyle name="Normal 3 4 2 2 2 4 4" xfId="4277" xr:uid="{4CC8F293-1ECF-4B77-A515-1E8B56477F5E}"/>
    <cellStyle name="Normal 3 4 2 2 2 4 4 2" xfId="4279" xr:uid="{748DACB9-734F-496B-A813-4A733CCC1AC1}"/>
    <cellStyle name="Normal 3 4 2 2 2 4 5" xfId="4283" xr:uid="{06153304-F115-4BD3-8648-A33399593D07}"/>
    <cellStyle name="Normal 3 4 2 2 2 5" xfId="42735" xr:uid="{9883DF8C-AC50-4AF5-B27D-3730E99E6E0B}"/>
    <cellStyle name="Normal 3 4 2 2 2 5 2" xfId="42736" xr:uid="{9E35A6BF-5660-4190-8281-B1A9A72DCDB8}"/>
    <cellStyle name="Normal 3 4 2 2 2 5 2 2" xfId="42737" xr:uid="{6D97694D-5490-4D1E-9C59-109660E3F683}"/>
    <cellStyle name="Normal 3 4 2 2 2 5 3" xfId="42738" xr:uid="{DCA672E7-039D-4287-BE98-94D69E6FB3EE}"/>
    <cellStyle name="Normal 3 4 2 2 2 6" xfId="42739" xr:uid="{A4607600-3397-413C-847A-4716B13AE42C}"/>
    <cellStyle name="Normal 3 4 2 2 2 6 2" xfId="42740" xr:uid="{218E8717-375D-40D2-B9EB-19D906316698}"/>
    <cellStyle name="Normal 3 4 2 2 2 6 2 2" xfId="42741" xr:uid="{F2EF9937-3859-4475-8964-3BDE1C78D7F7}"/>
    <cellStyle name="Normal 3 4 2 2 2 6 3" xfId="42742" xr:uid="{B92FF3E5-BD56-40C4-BD95-F26F3B339FFA}"/>
    <cellStyle name="Normal 3 4 2 2 2 7" xfId="42743" xr:uid="{EB0C1EFB-6928-4E6A-8410-A21CA2C1B20F}"/>
    <cellStyle name="Normal 3 4 2 2 2 7 2" xfId="42744" xr:uid="{09048F18-045F-4853-B9FF-93252465C598}"/>
    <cellStyle name="Normal 3 4 2 2 2 8" xfId="42745" xr:uid="{C4A8967E-A916-4C38-A0DB-358DEB2F0BEA}"/>
    <cellStyle name="Normal 3 4 2 2 3" xfId="42746" xr:uid="{284D9903-6B3A-41F3-87D8-824297EBF42D}"/>
    <cellStyle name="Normal 3 4 2 2 3 2" xfId="42747" xr:uid="{02D76B89-5508-47F5-AA63-AF0C7AC23589}"/>
    <cellStyle name="Normal 3 4 2 2 3 2 2" xfId="42750" xr:uid="{B4506CA4-C647-414E-AF7F-61909217F09D}"/>
    <cellStyle name="Normal 3 4 2 2 3 2 2 2" xfId="9003" xr:uid="{C4E8A842-AF8F-4ACF-A1EC-4AE2111A5C47}"/>
    <cellStyle name="Normal 3 4 2 2 3 2 2 2 2" xfId="42753" xr:uid="{073269BA-7F26-4A34-8520-29E36D8E123F}"/>
    <cellStyle name="Normal 3 4 2 2 3 2 2 2 2 2" xfId="42754" xr:uid="{1750F4B2-F78F-43ED-BC64-B800EE9A7A4D}"/>
    <cellStyle name="Normal 3 4 2 2 3 2 2 2 2 2 2" xfId="42755" xr:uid="{689E0DC6-2133-41C7-A520-3C87F3A43BA9}"/>
    <cellStyle name="Normal 3 4 2 2 3 2 2 2 2 3" xfId="42756" xr:uid="{8D429DC3-71BB-4A26-9A5D-DDCA3B9C2C35}"/>
    <cellStyle name="Normal 3 4 2 2 3 2 2 2 3" xfId="42757" xr:uid="{D5A144F9-B11F-4163-A68A-EB8695E4E0D7}"/>
    <cellStyle name="Normal 3 4 2 2 3 2 2 2 3 2" xfId="42758" xr:uid="{32CA1767-AB5B-474D-8E11-B52348E5003B}"/>
    <cellStyle name="Normal 3 4 2 2 3 2 2 2 3 2 2" xfId="42759" xr:uid="{1CFD7E5C-1581-4BC0-A846-813C596B91EF}"/>
    <cellStyle name="Normal 3 4 2 2 3 2 2 2 3 3" xfId="42760" xr:uid="{530AD0BD-BD10-4213-ACAF-39154413E7A4}"/>
    <cellStyle name="Normal 3 4 2 2 3 2 2 2 4" xfId="42761" xr:uid="{DC7F0DA6-A3C8-400B-BC9F-A5D977E8BD7A}"/>
    <cellStyle name="Normal 3 4 2 2 3 2 2 2 4 2" xfId="42762" xr:uid="{954B7A44-959A-483A-B094-4B4A45E4FD99}"/>
    <cellStyle name="Normal 3 4 2 2 3 2 2 2 5" xfId="42763" xr:uid="{412E3751-5CD7-448B-8E20-EF481564BDA9}"/>
    <cellStyle name="Normal 3 4 2 2 3 2 2 3" xfId="42766" xr:uid="{7C327543-DE44-4DF3-A0E6-DC03EEAA863B}"/>
    <cellStyle name="Normal 3 4 2 2 3 2 2 3 2" xfId="42767" xr:uid="{1F5FCC51-1B08-4467-99B3-170FD2918D66}"/>
    <cellStyle name="Normal 3 4 2 2 3 2 2 3 2 2" xfId="42768" xr:uid="{BE832DC9-D096-4057-8314-A5E5C929C43A}"/>
    <cellStyle name="Normal 3 4 2 2 3 2 2 3 3" xfId="12915" xr:uid="{811EDCF6-60DA-4B61-A99A-51969903C855}"/>
    <cellStyle name="Normal 3 4 2 2 3 2 2 4" xfId="42769" xr:uid="{4BD6173A-A3A4-41E5-AF38-A9FE5F1FB4F6}"/>
    <cellStyle name="Normal 3 4 2 2 3 2 2 4 2" xfId="42770" xr:uid="{6AD22F47-59FF-454A-A5DB-7AD4C692CC80}"/>
    <cellStyle name="Normal 3 4 2 2 3 2 2 4 2 2" xfId="42771" xr:uid="{1D18C0F4-DEFE-409B-AEC8-C91B50FE9CFD}"/>
    <cellStyle name="Normal 3 4 2 2 3 2 2 4 3" xfId="12945" xr:uid="{8A4588B9-D7C1-4C2B-B028-0DD9E85FF1B1}"/>
    <cellStyle name="Normal 3 4 2 2 3 2 2 5" xfId="42772" xr:uid="{41B424EA-DA3F-4F7C-A696-B4E598F3EE50}"/>
    <cellStyle name="Normal 3 4 2 2 3 2 2 5 2" xfId="42773" xr:uid="{EBD3A142-5F90-4CF1-891F-18EDF71B16F4}"/>
    <cellStyle name="Normal 3 4 2 2 3 2 2 6" xfId="42774" xr:uid="{5611E5D0-FD95-421E-A5EA-81E36C2142B9}"/>
    <cellStyle name="Normal 3 4 2 2 3 2 3" xfId="42777" xr:uid="{B70E337E-E9CB-4B82-9DFB-AA7DA5B87836}"/>
    <cellStyle name="Normal 3 4 2 2 3 2 3 2" xfId="42780" xr:uid="{643614F9-DBC7-4E2C-BC73-EF20C93A7E6C}"/>
    <cellStyle name="Normal 3 4 2 2 3 2 3 2 2" xfId="42783" xr:uid="{565D4867-FAE2-49B2-A02E-FFFBC983FA0C}"/>
    <cellStyle name="Normal 3 4 2 2 3 2 3 2 2 2" xfId="42784" xr:uid="{41F03A9C-1869-4BFE-80A8-B45794232599}"/>
    <cellStyle name="Normal 3 4 2 2 3 2 3 2 3" xfId="42785" xr:uid="{8862DF7C-32AE-451D-8323-321D070B9B07}"/>
    <cellStyle name="Normal 3 4 2 2 3 2 3 3" xfId="42788" xr:uid="{C28A5E42-3FF8-4A71-96EC-A72BE72907AB}"/>
    <cellStyle name="Normal 3 4 2 2 3 2 3 3 2" xfId="42789" xr:uid="{4F1F68FA-C601-4FB2-8847-E6E290415941}"/>
    <cellStyle name="Normal 3 4 2 2 3 2 3 3 2 2" xfId="42790" xr:uid="{56A17098-82F7-4A76-988F-05AC222DB44C}"/>
    <cellStyle name="Normal 3 4 2 2 3 2 3 3 3" xfId="13489" xr:uid="{7F2671D3-253E-4174-9264-D9F44628A3B4}"/>
    <cellStyle name="Normal 3 4 2 2 3 2 3 4" xfId="42791" xr:uid="{1889C26E-4187-4858-B774-1DC428C28C2F}"/>
    <cellStyle name="Normal 3 4 2 2 3 2 3 4 2" xfId="42792" xr:uid="{41E2371C-17D0-49A7-A1A6-EED602A69961}"/>
    <cellStyle name="Normal 3 4 2 2 3 2 3 5" xfId="42793" xr:uid="{31C1455D-953E-42DB-9EDF-D58503E65A15}"/>
    <cellStyle name="Normal 3 4 2 2 3 2 4" xfId="5363" xr:uid="{B1E3C79A-53AE-48C8-AE2D-885C8676FF97}"/>
    <cellStyle name="Normal 3 4 2 2 3 2 4 2" xfId="5367" xr:uid="{D26D5A70-FF16-4ACB-B6C1-C1D678866C6A}"/>
    <cellStyle name="Normal 3 4 2 2 3 2 4 2 2" xfId="769" xr:uid="{0BBD5F31-9117-45EC-9DBE-7500BDC9A342}"/>
    <cellStyle name="Normal 3 4 2 2 3 2 4 3" xfId="5376" xr:uid="{970951EC-B90C-43FC-8EA0-4A1F019606D9}"/>
    <cellStyle name="Normal 3 4 2 2 3 2 5" xfId="5394" xr:uid="{51EF3633-EB45-4E45-A8E0-4DC27F5B989B}"/>
    <cellStyle name="Normal 3 4 2 2 3 2 5 2" xfId="5399" xr:uid="{17E8938A-6B7F-4666-8ACC-B1BF3AAE6B57}"/>
    <cellStyle name="Normal 3 4 2 2 3 2 5 2 2" xfId="5405" xr:uid="{8CE3A09A-2E1C-49A9-874A-61B17451575E}"/>
    <cellStyle name="Normal 3 4 2 2 3 2 5 3" xfId="5412" xr:uid="{20E66323-45DB-4B27-A052-134A3B23C039}"/>
    <cellStyle name="Normal 3 4 2 2 3 2 6" xfId="5421" xr:uid="{A257D09E-09CB-4758-9F37-B2190C30A7BB}"/>
    <cellStyle name="Normal 3 4 2 2 3 2 6 2" xfId="355" xr:uid="{773643D8-8997-408F-A758-671D3ECA805D}"/>
    <cellStyle name="Normal 3 4 2 2 3 2 7" xfId="5429" xr:uid="{6C241BA8-BA98-4312-8519-FF3B44E52172}"/>
    <cellStyle name="Normal 3 4 2 2 3 3" xfId="42794" xr:uid="{B990A8EB-703F-4A28-B452-6FA20A6A284E}"/>
    <cellStyle name="Normal 3 4 2 2 3 3 2" xfId="42795" xr:uid="{0CB157AE-1277-462B-A467-CCD92C8908F2}"/>
    <cellStyle name="Normal 3 4 2 2 3 3 2 2" xfId="42796" xr:uid="{B8239EAF-57E9-43EE-AD20-9628BAC992B5}"/>
    <cellStyle name="Normal 3 4 2 2 3 3 2 2 2" xfId="15246" xr:uid="{D9CB48FE-4C96-4500-B014-8138BE42703D}"/>
    <cellStyle name="Normal 3 4 2 2 3 3 2 2 2 2" xfId="15249" xr:uid="{B49E301A-211C-412F-8632-FCC8E9C9F541}"/>
    <cellStyle name="Normal 3 4 2 2 3 3 2 2 3" xfId="15256" xr:uid="{066425F5-0AF2-4DF7-9FC8-C70404280428}"/>
    <cellStyle name="Normal 3 4 2 2 3 3 2 3" xfId="42797" xr:uid="{C4019ABE-3D62-4855-9E22-FF0095991BD3}"/>
    <cellStyle name="Normal 3 4 2 2 3 3 2 3 2" xfId="15275" xr:uid="{65E0318F-0C26-4D3F-94F8-E6906E5028E2}"/>
    <cellStyle name="Normal 3 4 2 2 3 3 2 3 2 2" xfId="42798" xr:uid="{8FACB046-67B4-4971-B408-173256B9F1F4}"/>
    <cellStyle name="Normal 3 4 2 2 3 3 2 3 3" xfId="15283" xr:uid="{F900F451-9FBC-4FAC-910E-A12ACA2489CC}"/>
    <cellStyle name="Normal 3 4 2 2 3 3 2 4" xfId="42799" xr:uid="{DA25AF43-27D4-4E8B-9437-A0247AF360E3}"/>
    <cellStyle name="Normal 3 4 2 2 3 3 2 4 2" xfId="42800" xr:uid="{61C1B93C-28BE-40D0-8D2F-09A913D8B881}"/>
    <cellStyle name="Normal 3 4 2 2 3 3 2 5" xfId="42801" xr:uid="{8946D21D-7B46-4E93-823D-FFBA75FEF10B}"/>
    <cellStyle name="Normal 3 4 2 2 3 3 3" xfId="42802" xr:uid="{30AE5C5F-A5D7-4D89-BF3C-828D2EB7F2AD}"/>
    <cellStyle name="Normal 3 4 2 2 3 3 3 2" xfId="42803" xr:uid="{450FE8B5-3A70-443E-87AE-A6994CBD6370}"/>
    <cellStyle name="Normal 3 4 2 2 3 3 3 2 2" xfId="15481" xr:uid="{3A153145-26CA-4F8F-BE7C-278F99BD5314}"/>
    <cellStyle name="Normal 3 4 2 2 3 3 3 3" xfId="42804" xr:uid="{D4ED6C0A-ADF7-4018-BF1B-64AB1568F257}"/>
    <cellStyle name="Normal 3 4 2 2 3 3 4" xfId="5441" xr:uid="{6157FE4A-D1C2-4605-BB18-D9E04651A851}"/>
    <cellStyle name="Normal 3 4 2 2 3 3 4 2" xfId="5443" xr:uid="{BBFD8698-AD6A-4993-B4A4-6AC085663C2F}"/>
    <cellStyle name="Normal 3 4 2 2 3 3 4 2 2" xfId="5446" xr:uid="{E9693E68-405B-4E48-9C4B-8E37A6299BEB}"/>
    <cellStyle name="Normal 3 4 2 2 3 3 4 3" xfId="5451" xr:uid="{21D46C7A-E16F-4017-A462-CA49CB7FAD0D}"/>
    <cellStyle name="Normal 3 4 2 2 3 3 5" xfId="5454" xr:uid="{8745E1D9-B347-4FFE-982D-0DDDA9579302}"/>
    <cellStyle name="Normal 3 4 2 2 3 3 5 2" xfId="5456" xr:uid="{22C4A10D-BC05-4050-A614-5DC0FEEF4476}"/>
    <cellStyle name="Normal 3 4 2 2 3 3 6" xfId="5463" xr:uid="{40FA4840-8831-4D93-ADC2-17D3D246783E}"/>
    <cellStyle name="Normal 3 4 2 2 3 4" xfId="42805" xr:uid="{A927A88D-8FF5-4407-ACF4-ED1FAD1B7014}"/>
    <cellStyle name="Normal 3 4 2 2 3 4 2" xfId="42806" xr:uid="{A722E097-955A-4712-B7A0-BF696A8FCCE6}"/>
    <cellStyle name="Normal 3 4 2 2 3 4 2 2" xfId="42807" xr:uid="{88D8CF4F-4741-48FC-B6E4-3D25CB5CFDF5}"/>
    <cellStyle name="Normal 3 4 2 2 3 4 2 2 2" xfId="36479" xr:uid="{23EDBD83-BF28-4F45-9CB0-7DAE306FD702}"/>
    <cellStyle name="Normal 3 4 2 2 3 4 2 3" xfId="42808" xr:uid="{DA45CA80-D16D-4DEF-95DA-18DC6254C8DD}"/>
    <cellStyle name="Normal 3 4 2 2 3 4 3" xfId="42809" xr:uid="{A2F8D868-AF13-44CC-BEA4-3FFFFED1C900}"/>
    <cellStyle name="Normal 3 4 2 2 3 4 3 2" xfId="42810" xr:uid="{702723FE-C22E-4A7D-BB44-7B2AA6954947}"/>
    <cellStyle name="Normal 3 4 2 2 3 4 3 2 2" xfId="42811" xr:uid="{7BB70D8A-8C3D-40B0-8B13-6C2F8A50F204}"/>
    <cellStyle name="Normal 3 4 2 2 3 4 3 3" xfId="42812" xr:uid="{A947FD88-15E8-43E6-ABB0-8171EF8274A4}"/>
    <cellStyle name="Normal 3 4 2 2 3 4 4" xfId="5472" xr:uid="{70A75E75-7177-48E3-9C50-4231D7DC446F}"/>
    <cellStyle name="Normal 3 4 2 2 3 4 4 2" xfId="5474" xr:uid="{1A61FCA0-3855-4762-BBD9-B771DF4DE3AB}"/>
    <cellStyle name="Normal 3 4 2 2 3 4 5" xfId="5477" xr:uid="{FB727BAC-6FEC-4192-9FE6-3A878D58927F}"/>
    <cellStyle name="Normal 3 4 2 2 3 5" xfId="42813" xr:uid="{BB6ECB54-AA15-4576-8C26-F9C1BF88CC91}"/>
    <cellStyle name="Normal 3 4 2 2 3 5 2" xfId="42814" xr:uid="{3A66C03D-273B-4DBB-8BCF-754A307DCBF9}"/>
    <cellStyle name="Normal 3 4 2 2 3 5 2 2" xfId="42815" xr:uid="{5609C365-4A6A-49BE-A286-A2037580C126}"/>
    <cellStyle name="Normal 3 4 2 2 3 5 3" xfId="42816" xr:uid="{9350EE8E-C14F-4272-B456-63A4FFF1AC8C}"/>
    <cellStyle name="Normal 3 4 2 2 3 6" xfId="42817" xr:uid="{A85C00B6-0EB0-4286-BAEF-0739AFCFAB2E}"/>
    <cellStyle name="Normal 3 4 2 2 3 6 2" xfId="42819" xr:uid="{D4855059-9ECB-4BB3-AF82-E9A2F3A4A14A}"/>
    <cellStyle name="Normal 3 4 2 2 3 6 2 2" xfId="42821" xr:uid="{C39021F1-4E19-404A-928A-EC661C03E3F1}"/>
    <cellStyle name="Normal 3 4 2 2 3 6 3" xfId="42823" xr:uid="{5945E9AC-0195-4BBE-B7C5-659029365318}"/>
    <cellStyle name="Normal 3 4 2 2 3 7" xfId="42824" xr:uid="{76B30AA0-B1B3-4B4C-9818-0634C3EA0AC3}"/>
    <cellStyle name="Normal 3 4 2 2 3 7 2" xfId="42827" xr:uid="{7059143C-A6A0-4CFC-B785-DA66520FB888}"/>
    <cellStyle name="Normal 3 4 2 2 3 8" xfId="42828" xr:uid="{1EA0324D-429F-491C-8FA0-F5B97FA0426B}"/>
    <cellStyle name="Normal 3 4 2 2 4" xfId="42829" xr:uid="{4DC4596A-BFB9-415D-A305-B8C41EEBD864}"/>
    <cellStyle name="Normal 3 4 2 2 5" xfId="42831" xr:uid="{68E7B73F-B8B9-456C-92E6-F721EF68E5CC}"/>
    <cellStyle name="Normal 3 4 2 3" xfId="42832" xr:uid="{483E65AD-17C8-42EF-8755-2431997B9FA4}"/>
    <cellStyle name="Normal 3 4 2 4" xfId="42833" xr:uid="{3274948E-3994-4D50-8F00-2EECF66D2E85}"/>
    <cellStyle name="Normal 3 4 2 4 2" xfId="42834" xr:uid="{95D63C8E-20C6-4868-B12A-38229544A045}"/>
    <cellStyle name="Normal 3 4 2 4 2 2" xfId="42835" xr:uid="{9017E24B-A835-42C5-82A0-1A7933B4A329}"/>
    <cellStyle name="Normal 3 4 2 4 2 2 2" xfId="42836" xr:uid="{DC9D832C-387C-4A5D-98F8-3B6452FBC1CA}"/>
    <cellStyle name="Normal 3 4 2 4 2 2 2 2" xfId="42837" xr:uid="{8BCCDA75-AC3E-4DD2-ABC4-0AA3878734ED}"/>
    <cellStyle name="Normal 3 4 2 4 2 2 2 2 2" xfId="42838" xr:uid="{EC4B1525-C37F-427D-A2F4-B4F3BB8D8709}"/>
    <cellStyle name="Normal 3 4 2 4 2 2 2 3" xfId="42839" xr:uid="{CB6AF5FD-5016-44FD-9390-3232FBB45969}"/>
    <cellStyle name="Normal 3 4 2 4 2 2 3" xfId="42840" xr:uid="{B86A18A0-40DD-43CD-BFDE-741F41F4E37C}"/>
    <cellStyle name="Normal 3 4 2 4 2 2 3 2" xfId="42841" xr:uid="{56793987-9E10-4D99-BBBA-4AF0068FD8D7}"/>
    <cellStyle name="Normal 3 4 2 4 2 2 3 2 2" xfId="42842" xr:uid="{7D195C51-D399-4668-A59E-7A1943794B4E}"/>
    <cellStyle name="Normal 3 4 2 4 2 2 3 3" xfId="42843" xr:uid="{1059AE57-40C6-4798-95DC-AC4741A7AD1E}"/>
    <cellStyle name="Normal 3 4 2 4 2 2 4" xfId="42844" xr:uid="{4ED83091-1EBF-4087-9499-4303CDD011D6}"/>
    <cellStyle name="Normal 3 4 2 4 2 2 4 2" xfId="42845" xr:uid="{AD9C879A-E7B0-44D4-8A32-539138781C2E}"/>
    <cellStyle name="Normal 3 4 2 4 2 2 5" xfId="42846" xr:uid="{C0D7618B-F631-4904-BB5B-324BE2FE3645}"/>
    <cellStyle name="Normal 3 4 2 4 2 3" xfId="42847" xr:uid="{53D4A994-5903-492B-A408-18BACA6FA860}"/>
    <cellStyle name="Normal 3 4 2 4 2 3 2" xfId="42848" xr:uid="{08F3475C-A5B4-48D1-B6BF-ADFDCF288767}"/>
    <cellStyle name="Normal 3 4 2 4 2 3 2 2" xfId="42849" xr:uid="{7CE6DBD6-55A2-44C0-99EC-7CCADAC27BEB}"/>
    <cellStyle name="Normal 3 4 2 4 2 3 3" xfId="42850" xr:uid="{E2345A00-3306-4B9A-A0AA-05646FBAFAA3}"/>
    <cellStyle name="Normal 3 4 2 4 2 4" xfId="42851" xr:uid="{C08F607C-39CA-4AD3-924D-19AF1E0DD13F}"/>
    <cellStyle name="Normal 3 4 2 4 2 4 2" xfId="42852" xr:uid="{11CAEBF2-6E49-43FC-8680-A3969D65B795}"/>
    <cellStyle name="Normal 3 4 2 4 2 4 2 2" xfId="42853" xr:uid="{ADEE28A8-B7BF-4A59-9E5B-CEA26FC08C7F}"/>
    <cellStyle name="Normal 3 4 2 4 2 4 3" xfId="42854" xr:uid="{A95D5BD5-B22A-495C-99CC-45E8490D833C}"/>
    <cellStyle name="Normal 3 4 2 4 2 5" xfId="42855" xr:uid="{8263433A-24C5-45FE-9DFD-7740A3E2467F}"/>
    <cellStyle name="Normal 3 4 2 4 2 5 2" xfId="42856" xr:uid="{C50AD27F-0B14-4DCE-8B90-7DD7B4F5A64E}"/>
    <cellStyle name="Normal 3 4 2 4 2 6" xfId="42857" xr:uid="{6769C867-1815-4E5E-92C1-3610AAE5DCD9}"/>
    <cellStyle name="Normal 3 4 2 4 3" xfId="42858" xr:uid="{CBBC92B2-DA16-4566-AEA1-50FBD89B8426}"/>
    <cellStyle name="Normal 3 4 2 4 3 2" xfId="42859" xr:uid="{E9C23912-FF9B-4976-83F0-6866876E01DB}"/>
    <cellStyle name="Normal 3 4 2 4 3 2 2" xfId="42860" xr:uid="{6884E57A-0FC1-45E9-B1FD-6AE617D02FB1}"/>
    <cellStyle name="Normal 3 4 2 4 3 2 2 2" xfId="42861" xr:uid="{38E60C3C-086F-48C5-9BFD-B3D1D0E0B1B7}"/>
    <cellStyle name="Normal 3 4 2 4 3 2 3" xfId="42862" xr:uid="{C23C22FA-C145-4131-995B-17FBBAFAB7F3}"/>
    <cellStyle name="Normal 3 4 2 4 3 3" xfId="42863" xr:uid="{65BA0416-1AAF-410B-B9C2-1BFA4FE1AB98}"/>
    <cellStyle name="Normal 3 4 2 4 3 3 2" xfId="42864" xr:uid="{607DD698-6D77-4AAA-824D-6BE08F344775}"/>
    <cellStyle name="Normal 3 4 2 4 3 3 2 2" xfId="42865" xr:uid="{FF33E434-DC9F-4878-8604-1C799165D235}"/>
    <cellStyle name="Normal 3 4 2 4 3 3 3" xfId="42866" xr:uid="{A66E94E3-532A-457D-A30A-D85CE8668D45}"/>
    <cellStyle name="Normal 3 4 2 4 3 4" xfId="42867" xr:uid="{9876BC00-0B68-4FC9-9627-F6CD32D513BF}"/>
    <cellStyle name="Normal 3 4 2 4 3 4 2" xfId="42868" xr:uid="{936F80E2-BE66-45CF-AC99-9C601D77BEFC}"/>
    <cellStyle name="Normal 3 4 2 4 3 5" xfId="42869" xr:uid="{55F9A260-0B2C-4370-854A-B07A03A70A1C}"/>
    <cellStyle name="Normal 3 4 2 4 4" xfId="42870" xr:uid="{12DB0E73-C12E-43DB-BB30-A8B35A6261F1}"/>
    <cellStyle name="Normal 3 4 2 4 4 2" xfId="42871" xr:uid="{92D9B1DC-DBAC-4FC3-B033-EFA4623FA449}"/>
    <cellStyle name="Normal 3 4 2 4 4 2 2" xfId="42872" xr:uid="{A0BFE68E-DCFF-471F-A858-19252CFE98B9}"/>
    <cellStyle name="Normal 3 4 2 4 4 3" xfId="42873" xr:uid="{AFF84319-A12D-41D1-BB79-32D5476AC801}"/>
    <cellStyle name="Normal 3 4 2 4 5" xfId="42875" xr:uid="{1C04288D-348F-48E6-B9C8-F45866459B62}"/>
    <cellStyle name="Normal 3 4 2 4 5 2" xfId="42876" xr:uid="{F900F6E9-2E35-4726-96FD-8AD96AF73BF0}"/>
    <cellStyle name="Normal 3 4 2 4 5 2 2" xfId="42877" xr:uid="{6419683D-881A-416A-B75C-3E8CB0157454}"/>
    <cellStyle name="Normal 3 4 2 4 5 3" xfId="42878" xr:uid="{77E658D9-EE41-4014-B7D7-BB0F0801C569}"/>
    <cellStyle name="Normal 3 4 2 4 6" xfId="42879" xr:uid="{8C3BE1D6-F979-4F71-95EC-E3C635BE7438}"/>
    <cellStyle name="Normal 3 4 2 4 6 2" xfId="42880" xr:uid="{9CD79435-1EB5-4C75-A3B6-41084C962284}"/>
    <cellStyle name="Normal 3 4 2 4 7" xfId="14990" xr:uid="{89B8E5B1-6653-4402-9046-05E3C74E27CA}"/>
    <cellStyle name="Normal 3 4 2 5" xfId="42881" xr:uid="{45EAA383-F94D-4558-BBDE-0F0D6F237815}"/>
    <cellStyle name="Normal 3 4 2 5 2" xfId="42882" xr:uid="{7383C09B-AE8D-4938-B2E2-5955DC0E5B23}"/>
    <cellStyle name="Normal 3 4 2 5 2 2" xfId="42883" xr:uid="{CEC0D128-95B5-4757-A286-B1B169572539}"/>
    <cellStyle name="Normal 3 4 2 5 2 2 2" xfId="42884" xr:uid="{EEE779DC-A271-4656-BE64-ED8A30CF34C9}"/>
    <cellStyle name="Normal 3 4 2 5 2 2 2 2" xfId="42885" xr:uid="{983627EC-9228-4E06-9A6A-87DCD7029339}"/>
    <cellStyle name="Normal 3 4 2 5 2 2 3" xfId="42886" xr:uid="{14A17A0A-CAA9-4EE6-9C62-EF3225650A7C}"/>
    <cellStyle name="Normal 3 4 2 5 2 3" xfId="42887" xr:uid="{F7F75FD0-C6DF-4615-8653-6859B2F89752}"/>
    <cellStyle name="Normal 3 4 2 5 2 3 2" xfId="42888" xr:uid="{ADBFAE7C-5EDC-4D8C-BFBD-42B27B433605}"/>
    <cellStyle name="Normal 3 4 2 5 2 3 2 2" xfId="42889" xr:uid="{F5F71BC7-B351-4197-9A15-5007711DD8E8}"/>
    <cellStyle name="Normal 3 4 2 5 2 3 3" xfId="42890" xr:uid="{D6F78C49-84B5-4E5F-9160-0AB5A35727E3}"/>
    <cellStyle name="Normal 3 4 2 5 2 4" xfId="42891" xr:uid="{A436C5B6-7BC1-462B-9A42-6FD025EF4195}"/>
    <cellStyle name="Normal 3 4 2 5 2 4 2" xfId="42892" xr:uid="{FCC61004-1102-4849-A578-9D9CB8A9267C}"/>
    <cellStyle name="Normal 3 4 2 5 2 5" xfId="24514" xr:uid="{75B71F9E-06C3-4A75-BF10-3F9DD09D4E43}"/>
    <cellStyle name="Normal 3 4 2 5 3" xfId="42893" xr:uid="{13C725F5-102F-464A-9FFA-0785739E579A}"/>
    <cellStyle name="Normal 3 4 2 5 3 2" xfId="42894" xr:uid="{82EA47B4-27E5-4AB8-8A60-05EB9CE99D7B}"/>
    <cellStyle name="Normal 3 4 2 5 3 2 2" xfId="42895" xr:uid="{04588C6B-A460-4D90-96CC-AABBA7E3AAF2}"/>
    <cellStyle name="Normal 3 4 2 5 3 3" xfId="42896" xr:uid="{FD26A03B-D950-4F65-A31E-4BA58CEA8C67}"/>
    <cellStyle name="Normal 3 4 2 5 4" xfId="42897" xr:uid="{376E38A3-00E9-4676-8E69-A33928D1F91B}"/>
    <cellStyle name="Normal 3 4 2 5 4 2" xfId="42898" xr:uid="{981CA52A-F997-4A05-B5C0-34003E51BF38}"/>
    <cellStyle name="Normal 3 4 2 5 4 2 2" xfId="42899" xr:uid="{7D77827E-3E67-4C2E-B791-D1E432CB618E}"/>
    <cellStyle name="Normal 3 4 2 5 4 3" xfId="42900" xr:uid="{4586F23A-48D3-4FC7-A9AA-AA0FB696C899}"/>
    <cellStyle name="Normal 3 4 2 5 5" xfId="42901" xr:uid="{EF2E49C7-A391-41B8-9F75-BF7E41C513E9}"/>
    <cellStyle name="Normal 3 4 2 5 5 2" xfId="42902" xr:uid="{4D793987-66C8-4BC8-9FE7-E7322C50FF7A}"/>
    <cellStyle name="Normal 3 4 2 5 6" xfId="42903" xr:uid="{F5240862-6948-49A2-B5F6-60BB2F2A8B3B}"/>
    <cellStyle name="Normal 3 4 2 6" xfId="42904" xr:uid="{CDA72E8A-35CC-407C-B946-B6F546A483C1}"/>
    <cellStyle name="Normal 3 4 2 6 2" xfId="42905" xr:uid="{90D039B9-FCEC-4071-8663-81033275D736}"/>
    <cellStyle name="Normal 3 4 2 6 2 2" xfId="42906" xr:uid="{F11CBA58-C6AA-48DC-8C19-A70CBF37E296}"/>
    <cellStyle name="Normal 3 4 2 6 2 2 2" xfId="42907" xr:uid="{B0C34711-8200-4E8D-B0D9-72A462F8C87D}"/>
    <cellStyle name="Normal 3 4 2 6 2 3" xfId="42908" xr:uid="{C7D59FDA-9BDD-4D15-A4E4-66F3D831F900}"/>
    <cellStyle name="Normal 3 4 2 6 3" xfId="42909" xr:uid="{48701789-F091-4D81-9252-EFEC090D72C7}"/>
    <cellStyle name="Normal 3 4 2 6 3 2" xfId="42910" xr:uid="{FAF7B6DC-C1AD-453E-9840-C6AA449EB587}"/>
    <cellStyle name="Normal 3 4 2 6 3 2 2" xfId="42911" xr:uid="{B5371A25-0BBF-4B0A-A55B-9D4BA11F0936}"/>
    <cellStyle name="Normal 3 4 2 6 3 3" xfId="42912" xr:uid="{364D790E-AC94-478B-9A61-CA8A4FB1242A}"/>
    <cellStyle name="Normal 3 4 2 6 4" xfId="42913" xr:uid="{292066E8-40E1-415C-8E5C-F98157EB4CD3}"/>
    <cellStyle name="Normal 3 4 2 6 4 2" xfId="42914" xr:uid="{6273EB0D-C368-4A80-8449-A4671A579BE3}"/>
    <cellStyle name="Normal 3 4 2 6 5" xfId="42915" xr:uid="{0C84646D-CF46-4B16-83C7-6544ABA34159}"/>
    <cellStyle name="Normal 3 4 2 7" xfId="42916" xr:uid="{148F9909-A571-4719-818C-B85867A33C1F}"/>
    <cellStyle name="Normal 3 4 2 7 2" xfId="42917" xr:uid="{04EFBAB1-4E18-4070-8DCE-39A7427DE277}"/>
    <cellStyle name="Normal 3 4 2 7 2 2" xfId="42918" xr:uid="{7AAB8297-B48A-4FD8-991A-0D697F7BCB06}"/>
    <cellStyle name="Normal 3 4 2 7 3" xfId="42919" xr:uid="{5315D18B-E82A-4726-A11D-30026C6D7BD4}"/>
    <cellStyle name="Normal 3 4 2 8" xfId="42920" xr:uid="{0EEAA47A-7A1F-46AE-B2AE-2C604C3D2278}"/>
    <cellStyle name="Normal 3 4 2 8 2" xfId="42921" xr:uid="{AE12ECBC-1A24-4A1D-869C-060D107CFA9F}"/>
    <cellStyle name="Normal 3 4 2 8 2 2" xfId="42922" xr:uid="{BCC3D175-9507-4FDF-8D82-2F89B82CF72F}"/>
    <cellStyle name="Normal 3 4 2 8 3" xfId="42923" xr:uid="{F1B949C5-1D67-4BCB-A9D7-C709C3C9F03C}"/>
    <cellStyle name="Normal 3 4 2 9" xfId="19517" xr:uid="{2DC90E10-869A-4661-BE6B-ABAD0D759DF5}"/>
    <cellStyle name="Normal 3 4 2 9 2" xfId="19519" xr:uid="{933C8763-4627-44E7-9130-AE7A6204FB5E}"/>
    <cellStyle name="Normal 3 4 3" xfId="3809" xr:uid="{DEE4258B-54DB-4825-8D88-C44A0F20B250}"/>
    <cellStyle name="Normal 3 4 3 2" xfId="42924" xr:uid="{73054D5F-8254-4A64-986F-55FA6F88333E}"/>
    <cellStyle name="Normal 3 4 3 2 2" xfId="42925" xr:uid="{2FEC2D08-F746-42ED-B938-8AD77D775402}"/>
    <cellStyle name="Normal 3 4 3 2 2 2" xfId="42926" xr:uid="{F2B478F7-6C4E-4885-82B8-A67202CAEE78}"/>
    <cellStyle name="Normal 3 4 3 2 2 2 2" xfId="42927" xr:uid="{733038E4-7C7B-4378-9CEB-38342275AE7B}"/>
    <cellStyle name="Normal 3 4 3 2 2 2 2 2" xfId="42928" xr:uid="{AF9D8FBA-30C5-4792-98BC-AC3C0B5ABC6C}"/>
    <cellStyle name="Normal 3 4 3 2 2 2 2 2 2" xfId="25154" xr:uid="{AA234023-1955-4C60-A863-6BB71527630D}"/>
    <cellStyle name="Normal 3 4 3 2 2 2 2 3" xfId="42929" xr:uid="{E7A8055E-51D9-4B84-8575-52F94C01FC95}"/>
    <cellStyle name="Normal 3 4 3 2 2 2 3" xfId="42930" xr:uid="{DF4EEF1B-E022-4759-B90D-092313EA551C}"/>
    <cellStyle name="Normal 3 4 3 2 2 2 3 2" xfId="42931" xr:uid="{AF2D7D8C-172F-4887-B272-62C6CC5CBD01}"/>
    <cellStyle name="Normal 3 4 3 2 2 2 3 2 2" xfId="42932" xr:uid="{968CEEFC-08CF-4290-82F4-B8B3F61F8D8F}"/>
    <cellStyle name="Normal 3 4 3 2 2 2 3 3" xfId="42933" xr:uid="{56DD5C19-9A9E-4114-A193-2951B3537811}"/>
    <cellStyle name="Normal 3 4 3 2 2 2 4" xfId="11859" xr:uid="{7AD83FF9-BCA3-4D40-B697-070695AC407E}"/>
    <cellStyle name="Normal 3 4 3 2 2 2 4 2" xfId="11861" xr:uid="{77418E52-70FA-4E25-81CA-02CF668EEE16}"/>
    <cellStyle name="Normal 3 4 3 2 2 2 5" xfId="11913" xr:uid="{7752AD27-6A6E-465B-87D3-D68768254FA8}"/>
    <cellStyle name="Normal 3 4 3 2 2 3" xfId="42934" xr:uid="{3A525958-BFCC-453F-9365-7DF6CA973E7C}"/>
    <cellStyle name="Normal 3 4 3 2 2 3 2" xfId="42935" xr:uid="{0FB053CC-FF0E-417B-83FF-EDA045D823AA}"/>
    <cellStyle name="Normal 3 4 3 2 2 3 2 2" xfId="42936" xr:uid="{3297E23F-D6BD-4267-A9CE-26CCD1561122}"/>
    <cellStyle name="Normal 3 4 3 2 2 3 3" xfId="42937" xr:uid="{BBD956F1-E1E6-4B06-9802-2473A4D83D2F}"/>
    <cellStyle name="Normal 3 4 3 2 2 4" xfId="42938" xr:uid="{3FEF2417-F869-48AF-8FAC-E03F26BF528C}"/>
    <cellStyle name="Normal 3 4 3 2 2 4 2" xfId="42939" xr:uid="{E49A083D-74C9-430C-BAA4-6E7765DA5279}"/>
    <cellStyle name="Normal 3 4 3 2 2 4 2 2" xfId="42940" xr:uid="{426F8F07-CCF7-467A-947C-66CA0F72551A}"/>
    <cellStyle name="Normal 3 4 3 2 2 4 3" xfId="42941" xr:uid="{448E3FF4-4C61-44B5-B13F-EE67E5988D77}"/>
    <cellStyle name="Normal 3 4 3 2 2 5" xfId="42942" xr:uid="{5A10D357-FB5B-4964-9FC4-F3FFD57251BE}"/>
    <cellStyle name="Normal 3 4 3 2 2 5 2" xfId="26107" xr:uid="{5D66D3D0-3091-4A75-A52B-7F5A4589FAE8}"/>
    <cellStyle name="Normal 3 4 3 2 2 6" xfId="42943" xr:uid="{16F5D8CC-00AB-4493-85FC-861DC5447886}"/>
    <cellStyle name="Normal 3 4 3 2 3" xfId="42945" xr:uid="{3F3F7CB0-1309-487E-BE1A-576A378798CA}"/>
    <cellStyle name="Normal 3 4 3 2 3 2" xfId="42947" xr:uid="{9806C72F-9944-406F-B7FB-E03797E9F587}"/>
    <cellStyle name="Normal 3 4 3 2 3 2 2" xfId="42949" xr:uid="{653A4FD5-6455-4EAF-945F-12F9CDC4C7CE}"/>
    <cellStyle name="Normal 3 4 3 2 3 2 2 2" xfId="42951" xr:uid="{EAA54A5E-23B6-4903-BF78-581DBBF6BE65}"/>
    <cellStyle name="Normal 3 4 3 2 3 2 3" xfId="42953" xr:uid="{645D7447-EC1C-4E21-BC9D-2E74BC07E5BD}"/>
    <cellStyle name="Normal 3 4 3 2 3 3" xfId="42955" xr:uid="{B6CB6B48-2A53-4527-813E-6CCE9DA902EA}"/>
    <cellStyle name="Normal 3 4 3 2 3 3 2" xfId="42957" xr:uid="{139F8BE2-E85F-4A46-9370-933E97606559}"/>
    <cellStyle name="Normal 3 4 3 2 3 3 2 2" xfId="42958" xr:uid="{FA94DAE6-C2A5-482F-B1FC-1BA96B2D0563}"/>
    <cellStyle name="Normal 3 4 3 2 3 3 3" xfId="42959" xr:uid="{2C3D6768-47B9-4E28-9D24-513B93EF4BDF}"/>
    <cellStyle name="Normal 3 4 3 2 3 4" xfId="42961" xr:uid="{F419142F-06A9-4993-B6BC-073552F631CA}"/>
    <cellStyle name="Normal 3 4 3 2 3 4 2" xfId="42962" xr:uid="{D16ABB2E-AD6F-4E40-8EEC-69AA97AC3011}"/>
    <cellStyle name="Normal 3 4 3 2 3 5" xfId="42963" xr:uid="{6CFC1EEB-9D1D-4B0D-9789-0ED4047078F6}"/>
    <cellStyle name="Normal 3 4 3 2 4" xfId="42965" xr:uid="{6989445B-875E-47F3-9E29-358E33D64E61}"/>
    <cellStyle name="Normal 3 4 3 2 4 2" xfId="42967" xr:uid="{C5B48418-871C-44CA-B8C5-D52078D09EEB}"/>
    <cellStyle name="Normal 3 4 3 2 4 2 2" xfId="42969" xr:uid="{3819A105-A5EA-4922-9C9C-8C3758CBA2D4}"/>
    <cellStyle name="Normal 3 4 3 2 4 3" xfId="42971" xr:uid="{A6D79692-6468-494C-8FBA-B20C0D6CD1F6}"/>
    <cellStyle name="Normal 3 4 3 2 5" xfId="42974" xr:uid="{491AE1D3-33A5-411B-90DF-DFFA4C11E1BE}"/>
    <cellStyle name="Normal 3 4 3 2 5 2" xfId="42977" xr:uid="{F0849BDB-DE0A-407E-8A39-8F68C2C6FD73}"/>
    <cellStyle name="Normal 3 4 3 2 5 2 2" xfId="42978" xr:uid="{3B785A90-6D1C-4382-8BF7-F4D0B6DA5FE0}"/>
    <cellStyle name="Normal 3 4 3 2 5 3" xfId="42979" xr:uid="{9B229F60-B0A7-4AA6-A430-FC7512E702DF}"/>
    <cellStyle name="Normal 3 4 3 2 6" xfId="42982" xr:uid="{8CA224B7-D372-494A-864A-5AD34665B4AD}"/>
    <cellStyle name="Normal 3 4 3 2 6 2" xfId="42983" xr:uid="{B4924930-6CA6-4A53-8493-C562B854E434}"/>
    <cellStyle name="Normal 3 4 3 2 7" xfId="42984" xr:uid="{0F369111-41DF-4C9A-ABB0-3C2E4ECF3D7B}"/>
    <cellStyle name="Normal 3 4 3 2 8" xfId="42985" xr:uid="{D1B521F5-939E-495A-BFD0-BDE9E7E6A090}"/>
    <cellStyle name="Normal 3 4 3 3" xfId="42986" xr:uid="{277508C6-2F51-4C57-A494-98CFD30085D0}"/>
    <cellStyle name="Normal 3 4 3 3 2" xfId="42987" xr:uid="{06D917AA-6D35-436C-B647-CA3657E653F4}"/>
    <cellStyle name="Normal 3 4 3 3 2 2" xfId="42988" xr:uid="{095FA82B-6224-4C82-8BCE-DFA21956E1F6}"/>
    <cellStyle name="Normal 3 4 3 3 2 2 2" xfId="42989" xr:uid="{36A65018-91B8-4AAA-B213-E77DC58F5E59}"/>
    <cellStyle name="Normal 3 4 3 3 2 2 2 2" xfId="42990" xr:uid="{B76B5F3A-B1AA-43CD-9A00-74CAD19C6F64}"/>
    <cellStyle name="Normal 3 4 3 3 2 2 3" xfId="42991" xr:uid="{1EF1C756-8916-4B0B-ABCA-FA9BBD0ACFAC}"/>
    <cellStyle name="Normal 3 4 3 3 2 3" xfId="42992" xr:uid="{C1997549-3E8F-4C71-BDBB-4E7F94ABCDCD}"/>
    <cellStyle name="Normal 3 4 3 3 2 3 2" xfId="42993" xr:uid="{98B32B4F-3680-4521-BE31-333B4B81507F}"/>
    <cellStyle name="Normal 3 4 3 3 2 3 2 2" xfId="35010" xr:uid="{0C3D66E5-536A-4ED8-A321-44F7D03D6297}"/>
    <cellStyle name="Normal 3 4 3 3 2 3 3" xfId="42994" xr:uid="{91EE2D46-48A2-49DF-B96E-3A011D264B5A}"/>
    <cellStyle name="Normal 3 4 3 3 2 4" xfId="42995" xr:uid="{FEC02C56-6508-4267-AF17-466A7B1E5C47}"/>
    <cellStyle name="Normal 3 4 3 3 2 4 2" xfId="42996" xr:uid="{94402EFF-D92F-4A4D-BE7C-40B6B48BB05A}"/>
    <cellStyle name="Normal 3 4 3 3 2 5" xfId="42997" xr:uid="{26F56D94-6618-4664-8E54-7CDF05913B83}"/>
    <cellStyle name="Normal 3 4 3 3 3" xfId="42999" xr:uid="{F3A3220C-4F9F-4882-96D0-20E270A04370}"/>
    <cellStyle name="Normal 3 4 3 3 3 2" xfId="43001" xr:uid="{9961EDA2-DC1F-4440-BBB7-B3FADEFD163A}"/>
    <cellStyle name="Normal 3 4 3 3 3 2 2" xfId="43003" xr:uid="{C47D0CB2-3E6F-420F-B2B1-BBBA849BCABA}"/>
    <cellStyle name="Normal 3 4 3 3 3 3" xfId="43005" xr:uid="{C89DF397-FC92-4424-8754-4F01762D40D2}"/>
    <cellStyle name="Normal 3 4 3 3 4" xfId="43007" xr:uid="{FBF2853E-CD45-4432-887C-80795BB876EA}"/>
    <cellStyle name="Normal 3 4 3 3 4 2" xfId="43009" xr:uid="{B4BE94DD-1A49-4FFC-B066-A15FEBBDB866}"/>
    <cellStyle name="Normal 3 4 3 3 4 2 2" xfId="43010" xr:uid="{C34F6DA3-6884-4F7E-92E4-9ED5E4C7639B}"/>
    <cellStyle name="Normal 3 4 3 3 4 3" xfId="43011" xr:uid="{2100E11D-C489-4169-86B3-50C22B6AEC96}"/>
    <cellStyle name="Normal 3 4 3 3 5" xfId="43014" xr:uid="{131F19E5-7CD4-4EFF-A1E9-979FAC558E59}"/>
    <cellStyle name="Normal 3 4 3 3 5 2" xfId="43015" xr:uid="{4A9403D5-E4C9-491E-A596-58CC0E3E45E5}"/>
    <cellStyle name="Normal 3 4 3 3 6" xfId="43016" xr:uid="{83DE2AD3-01F3-425A-B025-352711F29F65}"/>
    <cellStyle name="Normal 3 4 3 4" xfId="43017" xr:uid="{3D9EA1F6-D3DC-45D3-8C03-CFC7618A821B}"/>
    <cellStyle name="Normal 3 4 3 4 2" xfId="43018" xr:uid="{D68AD947-26A2-41BE-B6C8-BA21E0A45030}"/>
    <cellStyle name="Normal 3 4 3 4 2 2" xfId="43019" xr:uid="{3016EC2F-A727-4A3B-AA64-E6B0FF113115}"/>
    <cellStyle name="Normal 3 4 3 4 2 2 2" xfId="43020" xr:uid="{778DB76C-85E8-414B-8AA2-B6FF9E212656}"/>
    <cellStyle name="Normal 3 4 3 4 2 3" xfId="43021" xr:uid="{AE359770-CA1C-4390-8709-D3B6409C382B}"/>
    <cellStyle name="Normal 3 4 3 4 3" xfId="43023" xr:uid="{84FCDDD9-D6AA-4A72-B5FD-CBA21FF2FEF0}"/>
    <cellStyle name="Normal 3 4 3 4 3 2" xfId="43025" xr:uid="{C594971B-3ED4-4249-B711-731422752C4C}"/>
    <cellStyle name="Normal 3 4 3 4 3 2 2" xfId="43026" xr:uid="{45BAA463-DE44-4517-88D7-889DEB7EB210}"/>
    <cellStyle name="Normal 3 4 3 4 3 3" xfId="43027" xr:uid="{35A6EBF6-E99F-408A-B305-256C244EEB1D}"/>
    <cellStyle name="Normal 3 4 3 4 4" xfId="43029" xr:uid="{B9295DBB-4550-4348-A67D-C093F0CD448E}"/>
    <cellStyle name="Normal 3 4 3 4 4 2" xfId="43030" xr:uid="{5EA584B4-A24B-4971-A24F-8ED25BFA0522}"/>
    <cellStyle name="Normal 3 4 3 4 5" xfId="43031" xr:uid="{067394E6-1D65-4B53-8D77-84F6FF28A73E}"/>
    <cellStyle name="Normal 3 4 3 5" xfId="43032" xr:uid="{29B77E3D-55AB-49C9-89E1-263E4A7A77B0}"/>
    <cellStyle name="Normal 3 4 3 5 2" xfId="43033" xr:uid="{BB5AD2C6-3658-431A-BC09-6C37E620A205}"/>
    <cellStyle name="Normal 3 4 3 5 2 2" xfId="43034" xr:uid="{85F62340-CAE6-4735-AE2F-D43993C76AB7}"/>
    <cellStyle name="Normal 3 4 3 5 3" xfId="43036" xr:uid="{503375F2-8F8E-4B8D-AF40-CC148645E1C2}"/>
    <cellStyle name="Normal 3 4 3 6" xfId="43037" xr:uid="{F290BE2F-36E7-4068-A424-68185C9A066E}"/>
    <cellStyle name="Normal 3 4 3 6 2" xfId="43038" xr:uid="{412D6164-E653-45A7-B291-5C499989C857}"/>
    <cellStyle name="Normal 3 4 3 6 2 2" xfId="43039" xr:uid="{E8E45567-5B4D-41E9-B909-A41310A7F480}"/>
    <cellStyle name="Normal 3 4 3 6 3" xfId="43040" xr:uid="{6188C5ED-A1AE-4204-9FC1-5BC0FFB968AC}"/>
    <cellStyle name="Normal 3 4 3 7" xfId="43041" xr:uid="{BC91B673-DECC-4BF9-991D-066673F6D3EE}"/>
    <cellStyle name="Normal 3 4 3 7 2" xfId="43042" xr:uid="{5F823CE0-D1B1-4F01-BAAD-6B4DECC84652}"/>
    <cellStyle name="Normal 3 4 3 8" xfId="43043" xr:uid="{E64F9D58-2A7A-4EE9-909E-B9B428B40C98}"/>
    <cellStyle name="Normal 3 4 4" xfId="43044" xr:uid="{4D6F141E-12B8-461D-9292-7A242816FF53}"/>
    <cellStyle name="Normal 3 4 4 2" xfId="43045" xr:uid="{AB9CE937-5963-4E4A-AA7C-C3AC01B39DB4}"/>
    <cellStyle name="Normal 3 4 4 2 2" xfId="43046" xr:uid="{6707A3C1-7F5E-4187-8249-863FEFD6F41F}"/>
    <cellStyle name="Normal 3 4 4 2 2 2" xfId="43047" xr:uid="{E917D1C0-C01A-4669-88AC-7BB94D227175}"/>
    <cellStyle name="Normal 3 4 4 2 2 2 2" xfId="43048" xr:uid="{D2BA8C51-5515-41C0-9000-16BAA82D73A4}"/>
    <cellStyle name="Normal 3 4 4 2 2 2 2 2" xfId="43049" xr:uid="{E4E2F5D4-961B-4CAC-9D65-85B31A1D662B}"/>
    <cellStyle name="Normal 3 4 4 2 2 2 2 2 2" xfId="43050" xr:uid="{285BAA85-18BD-4F86-91C6-26C65E7F3878}"/>
    <cellStyle name="Normal 3 4 4 2 2 2 2 3" xfId="43051" xr:uid="{6A453AE5-3843-4E35-BC00-62BF978027BC}"/>
    <cellStyle name="Normal 3 4 4 2 2 2 3" xfId="21974" xr:uid="{64CA2571-E911-4DAC-8F4B-1FA25307FE27}"/>
    <cellStyle name="Normal 3 4 4 2 2 2 3 2" xfId="21976" xr:uid="{DA88E0F6-6756-4BA3-87BC-8338190E954B}"/>
    <cellStyle name="Normal 3 4 4 2 2 2 3 2 2" xfId="43052" xr:uid="{8C4C86CB-2F09-4631-BB7B-5FD78C83AB3A}"/>
    <cellStyle name="Normal 3 4 4 2 2 2 3 3" xfId="43053" xr:uid="{192463F9-A023-42BF-A2F5-31C49CF58EC7}"/>
    <cellStyle name="Normal 3 4 4 2 2 2 4" xfId="13010" xr:uid="{2658AD60-A042-49AB-9453-4FC9BC250218}"/>
    <cellStyle name="Normal 3 4 4 2 2 2 4 2" xfId="43054" xr:uid="{EDD34AE6-B48D-4D15-AE9A-ED628CCF9B27}"/>
    <cellStyle name="Normal 3 4 4 2 2 2 5" xfId="43055" xr:uid="{F613F1B2-BF71-4F26-99E1-B7094F26FE0A}"/>
    <cellStyle name="Normal 3 4 4 2 2 3" xfId="43056" xr:uid="{B0C033D8-550D-41BF-8C29-8F17E4CCB933}"/>
    <cellStyle name="Normal 3 4 4 2 2 3 2" xfId="43057" xr:uid="{CE327810-6191-4078-89A5-FFB6E0AB3A45}"/>
    <cellStyle name="Normal 3 4 4 2 2 3 2 2" xfId="43058" xr:uid="{4B0AFCC7-54D4-4378-8205-E3CA1F346BA6}"/>
    <cellStyle name="Normal 3 4 4 2 2 3 3" xfId="16880" xr:uid="{E7318907-143A-40E8-AF14-2014CD6D0B6F}"/>
    <cellStyle name="Normal 3 4 4 2 2 4" xfId="43059" xr:uid="{5B8EB5C7-D1AB-4176-B559-2A47D9545B7C}"/>
    <cellStyle name="Normal 3 4 4 2 2 4 2" xfId="43060" xr:uid="{A6EF2189-C684-47D2-B311-9A1E65C1607C}"/>
    <cellStyle name="Normal 3 4 4 2 2 4 2 2" xfId="43061" xr:uid="{A78BE54D-26D5-4242-8A3A-FE3AC717EAA1}"/>
    <cellStyle name="Normal 3 4 4 2 2 4 3" xfId="43062" xr:uid="{2EED1F79-9C90-4210-990B-F96E9524889A}"/>
    <cellStyle name="Normal 3 4 4 2 2 5" xfId="43063" xr:uid="{2AE7295C-A5F2-4507-9FC4-1D99AD06C560}"/>
    <cellStyle name="Normal 3 4 4 2 2 5 2" xfId="43064" xr:uid="{FD986F98-76A1-470E-9D47-7A928BF048E0}"/>
    <cellStyle name="Normal 3 4 4 2 2 6" xfId="43065" xr:uid="{CE0CD0F1-26D7-4C5B-A97D-9E4BF56A4AEB}"/>
    <cellStyle name="Normal 3 4 4 2 3" xfId="43067" xr:uid="{30C000A3-C24F-46CE-8F46-7C0D8CCAE14B}"/>
    <cellStyle name="Normal 3 4 4 2 3 2" xfId="43069" xr:uid="{BBBD6837-2526-4B0F-AC30-370458D4E6D7}"/>
    <cellStyle name="Normal 3 4 4 2 3 2 2" xfId="43071" xr:uid="{6BAC4D2E-89B8-4317-83E4-9249823D78AD}"/>
    <cellStyle name="Normal 3 4 4 2 3 2 2 2" xfId="43072" xr:uid="{C1F05291-7187-45B3-8F99-D8E09FD581E8}"/>
    <cellStyle name="Normal 3 4 4 2 3 2 3" xfId="21988" xr:uid="{2EB27AA6-D58D-4377-91B1-411F65AC57BB}"/>
    <cellStyle name="Normal 3 4 4 2 3 3" xfId="43074" xr:uid="{5480A260-69CB-48C1-8D16-D3E2BCB87CE8}"/>
    <cellStyle name="Normal 3 4 4 2 3 3 2" xfId="43075" xr:uid="{AAFF9DFD-78A9-4B00-B57E-E98D5E8D3926}"/>
    <cellStyle name="Normal 3 4 4 2 3 3 2 2" xfId="43076" xr:uid="{039FCDAA-5344-4D09-939B-8A89B13DDE4E}"/>
    <cellStyle name="Normal 3 4 4 2 3 3 3" xfId="43077" xr:uid="{0BA8CB92-01A4-425D-B1CF-0D478B304CE7}"/>
    <cellStyle name="Normal 3 4 4 2 3 4" xfId="43078" xr:uid="{B29283A1-29D8-4273-B5B2-EDF7F99EC686}"/>
    <cellStyle name="Normal 3 4 4 2 3 4 2" xfId="43079" xr:uid="{D0441D48-D2C7-4F48-85C9-6B155D9C1DD6}"/>
    <cellStyle name="Normal 3 4 4 2 3 5" xfId="43080" xr:uid="{76CF84A4-F64D-4EFA-91D8-39D73259A923}"/>
    <cellStyle name="Normal 3 4 4 2 4" xfId="43082" xr:uid="{16212C38-10D1-4732-B77D-E87E166EF85F}"/>
    <cellStyle name="Normal 3 4 4 2 4 2" xfId="43084" xr:uid="{2E5F72EA-FF93-46C3-963B-39595EE401E8}"/>
    <cellStyle name="Normal 3 4 4 2 4 2 2" xfId="43085" xr:uid="{FB95DB1E-A978-4B37-AC30-8285176185E1}"/>
    <cellStyle name="Normal 3 4 4 2 4 3" xfId="43086" xr:uid="{E84284D2-E94A-4EB4-AEFB-D87C51D223F8}"/>
    <cellStyle name="Normal 3 4 4 2 5" xfId="43089" xr:uid="{2FAF20E1-A5AD-4E6D-9D9D-F59ADC7C9590}"/>
    <cellStyle name="Normal 3 4 4 2 5 2" xfId="43090" xr:uid="{D017B15A-FE0B-4EE2-A9F1-3901658814C7}"/>
    <cellStyle name="Normal 3 4 4 2 5 2 2" xfId="43091" xr:uid="{D842605B-E613-416E-ABDE-5832A8270C83}"/>
    <cellStyle name="Normal 3 4 4 2 5 3" xfId="43092" xr:uid="{9B56EDC4-368D-4267-A9FA-1396D696B748}"/>
    <cellStyle name="Normal 3 4 4 2 6" xfId="43093" xr:uid="{C042B57D-7B00-443F-8E38-80CBB36E984E}"/>
    <cellStyle name="Normal 3 4 4 2 6 2" xfId="43094" xr:uid="{33D2239C-471F-4544-B7D0-6B16A3379822}"/>
    <cellStyle name="Normal 3 4 4 2 7" xfId="43095" xr:uid="{6E2375FE-888F-47B0-A27C-DD14D3EFCEC8}"/>
    <cellStyle name="Normal 3 4 4 3" xfId="43096" xr:uid="{85400C6C-0E96-4811-AA2A-D910E592507C}"/>
    <cellStyle name="Normal 3 4 4 3 2" xfId="43097" xr:uid="{82B40181-C866-41C3-9D7B-9AD870260867}"/>
    <cellStyle name="Normal 3 4 4 3 2 2" xfId="43098" xr:uid="{76ABB190-FF06-4E43-981D-9BA6A469F3B0}"/>
    <cellStyle name="Normal 3 4 4 3 2 2 2" xfId="43099" xr:uid="{62DD8BC2-1880-4D59-9474-C8B81D3EE77A}"/>
    <cellStyle name="Normal 3 4 4 3 2 2 2 2" xfId="43100" xr:uid="{36DCFC3D-BAE3-4DC3-A579-ACA5E2403BB5}"/>
    <cellStyle name="Normal 3 4 4 3 2 2 3" xfId="15309" xr:uid="{9A737659-05DE-4BA4-810E-40202BBB7871}"/>
    <cellStyle name="Normal 3 4 4 3 2 3" xfId="43101" xr:uid="{FD73EFCC-F1A1-4603-95C2-1F3D38DFD512}"/>
    <cellStyle name="Normal 3 4 4 3 2 3 2" xfId="43102" xr:uid="{D48748D5-4A85-43B3-B28C-C26F6EF4E1C7}"/>
    <cellStyle name="Normal 3 4 4 3 2 3 2 2" xfId="43103" xr:uid="{EF5E885B-A238-4BAA-9869-E8F975AC3850}"/>
    <cellStyle name="Normal 3 4 4 3 2 3 3" xfId="43104" xr:uid="{7003D087-1B6C-4FAC-8392-D8B643BC1FB3}"/>
    <cellStyle name="Normal 3 4 4 3 2 4" xfId="43105" xr:uid="{FA51A821-D9E6-4082-A70B-9DD9E9B5B084}"/>
    <cellStyle name="Normal 3 4 4 3 2 4 2" xfId="43106" xr:uid="{0F125033-4632-4ACB-B18E-4104BD27A6E5}"/>
    <cellStyle name="Normal 3 4 4 3 2 5" xfId="43107" xr:uid="{3F80FD01-AF75-42EF-98DE-F1246577DE33}"/>
    <cellStyle name="Normal 3 4 4 3 3" xfId="43109" xr:uid="{EADE8ABE-5EE9-4F31-AE93-DBF8D47FEB0F}"/>
    <cellStyle name="Normal 3 4 4 3 3 2" xfId="43111" xr:uid="{4DB0C672-D25B-4017-BAF6-9A73C200D91F}"/>
    <cellStyle name="Normal 3 4 4 3 3 2 2" xfId="43112" xr:uid="{F97F267C-FD37-455A-AD6F-A415B74FE5BB}"/>
    <cellStyle name="Normal 3 4 4 3 3 3" xfId="43113" xr:uid="{C471482B-B3F9-4C18-B2B1-0BCF9DFFD619}"/>
    <cellStyle name="Normal 3 4 4 3 4" xfId="43115" xr:uid="{A7A36F40-2661-4E71-804A-13904C35826C}"/>
    <cellStyle name="Normal 3 4 4 3 4 2" xfId="43116" xr:uid="{6AC61BED-064B-41F3-A91D-F53EEC2D0EA2}"/>
    <cellStyle name="Normal 3 4 4 3 4 2 2" xfId="43117" xr:uid="{E74D2752-B0ED-4651-8C89-8A578ACBE012}"/>
    <cellStyle name="Normal 3 4 4 3 4 3" xfId="43118" xr:uid="{7EC00E22-31FB-40D2-A9D6-49131768EFF6}"/>
    <cellStyle name="Normal 3 4 4 3 5" xfId="43119" xr:uid="{3E234ECC-979D-4D88-8E4A-2179600792CF}"/>
    <cellStyle name="Normal 3 4 4 3 5 2" xfId="43120" xr:uid="{929896CD-2C4D-401F-8303-8A46F5D3804C}"/>
    <cellStyle name="Normal 3 4 4 3 6" xfId="43121" xr:uid="{42916C40-0E9D-49A5-B950-130106D4FA2E}"/>
    <cellStyle name="Normal 3 4 4 4" xfId="43122" xr:uid="{34733B19-E22E-4B16-91D7-3058F7706AAC}"/>
    <cellStyle name="Normal 3 4 4 4 2" xfId="43123" xr:uid="{2D3FD23F-165A-4203-A022-1C4AE3464B54}"/>
    <cellStyle name="Normal 3 4 4 4 2 2" xfId="43124" xr:uid="{4D72BE27-E056-4FF9-9922-008BCB61B60E}"/>
    <cellStyle name="Normal 3 4 4 4 2 2 2" xfId="43125" xr:uid="{3DAF0756-C02F-433E-9F61-2DD70CC6A6E0}"/>
    <cellStyle name="Normal 3 4 4 4 2 3" xfId="43126" xr:uid="{BC74F86E-6C93-4E26-AF1B-303FDC1F14AA}"/>
    <cellStyle name="Normal 3 4 4 4 3" xfId="43128" xr:uid="{89CD14DD-E1D1-486E-9A6C-A56B1CF2F788}"/>
    <cellStyle name="Normal 3 4 4 4 3 2" xfId="43129" xr:uid="{75D3FA6E-5096-451E-9B30-4232C5A31858}"/>
    <cellStyle name="Normal 3 4 4 4 3 2 2" xfId="43130" xr:uid="{1CB0A9F9-A551-4ABE-A9D6-76DFD534EB1E}"/>
    <cellStyle name="Normal 3 4 4 4 3 3" xfId="43131" xr:uid="{52F64996-5157-4BB5-B3B2-96CA82861CBA}"/>
    <cellStyle name="Normal 3 4 4 4 4" xfId="43132" xr:uid="{3CCE2EF8-B8E9-4279-B6F6-3B929DAE7A32}"/>
    <cellStyle name="Normal 3 4 4 4 4 2" xfId="43133" xr:uid="{9DED4FC1-3454-4663-B809-A4E89A0C015A}"/>
    <cellStyle name="Normal 3 4 4 4 5" xfId="43134" xr:uid="{E1FBE3A8-A5D9-412A-94D9-92329A09AD83}"/>
    <cellStyle name="Normal 3 4 4 5" xfId="43135" xr:uid="{3414F027-8024-4AA4-B1A5-EB4D73CA4E60}"/>
    <cellStyle name="Normal 3 4 4 5 2" xfId="43136" xr:uid="{AD5BA475-BB64-45E3-A749-CE03AC23797E}"/>
    <cellStyle name="Normal 3 4 4 5 2 2" xfId="43137" xr:uid="{F4663D75-BE34-4B52-A41A-38E70B78CBBC}"/>
    <cellStyle name="Normal 3 4 4 5 3" xfId="43138" xr:uid="{17DF91DC-FB74-4E5C-91BF-51EF4A461C0C}"/>
    <cellStyle name="Normal 3 4 4 6" xfId="15334" xr:uid="{478403C9-1791-49DF-BDC9-25B006B6BB07}"/>
    <cellStyle name="Normal 3 4 4 6 2" xfId="43139" xr:uid="{48CF9B85-278C-43AB-AD32-8805415684DE}"/>
    <cellStyle name="Normal 3 4 4 6 2 2" xfId="43140" xr:uid="{98F7E31E-DCAC-4005-9BCA-78A28E7A40B6}"/>
    <cellStyle name="Normal 3 4 4 6 3" xfId="43141" xr:uid="{097ACB94-AFE4-4133-9C42-C861FA66D054}"/>
    <cellStyle name="Normal 3 4 4 7" xfId="43142" xr:uid="{0E363A82-50F8-4C7D-A7BE-9F1318CC9119}"/>
    <cellStyle name="Normal 3 4 4 7 2" xfId="43143" xr:uid="{95FC93D2-2F56-4F5D-9EBD-1B21E8849AB6}"/>
    <cellStyle name="Normal 3 4 4 8" xfId="43144" xr:uid="{51436679-250E-464E-B1FF-9826AF39C834}"/>
    <cellStyle name="Normal 3 4 5" xfId="43145" xr:uid="{AB353DB8-2C50-414D-9EAF-67897220C2DD}"/>
    <cellStyle name="Normal 3 4 6" xfId="43146" xr:uid="{C5A02EC5-7D4E-42AE-9D28-5022260F1761}"/>
    <cellStyle name="Normal 3 4 7" xfId="43147" xr:uid="{5440CC05-CBB6-446E-93E5-BA83CD75680B}"/>
    <cellStyle name="Normal 3 4 8" xfId="43148" xr:uid="{C25A541A-8BE9-4511-A254-4B0859CB70EA}"/>
    <cellStyle name="Normal 3 40" xfId="42634" xr:uid="{CB5D9DF2-68D1-4086-B51A-4C0DC47CDAD2}"/>
    <cellStyle name="Normal 3 40 2" xfId="42636" xr:uid="{0F9A264A-191D-4B89-BFEB-41BBE57E99C1}"/>
    <cellStyle name="Normal 3 40 2 2" xfId="42638" xr:uid="{8BDE55DD-2680-448E-8C6A-180BCA490478}"/>
    <cellStyle name="Normal 3 40 3" xfId="42640" xr:uid="{5FE91FC6-F667-45BF-AEB6-8C3E0E4CD03B}"/>
    <cellStyle name="Normal 3 41" xfId="42643" xr:uid="{3AE1C89C-0B1E-49C6-8CD9-DACD0E6E5E96}"/>
    <cellStyle name="Normal 3 41 2" xfId="42645" xr:uid="{487E9279-DFAE-49F8-BCB7-CB8FF5FD2204}"/>
    <cellStyle name="Normal 3 41 2 2" xfId="42647" xr:uid="{68E449D9-3E52-41FF-B6C6-32140FAB018B}"/>
    <cellStyle name="Normal 3 41 3" xfId="42649" xr:uid="{7A192AF3-04F8-408A-A937-14192A843844}"/>
    <cellStyle name="Normal 3 42" xfId="42651" xr:uid="{669FCFC8-FC4E-41BF-A6A6-007A607E3DDB}"/>
    <cellStyle name="Normal 3 42 2" xfId="42653" xr:uid="{004EE673-B6A0-4349-BFA7-D49AAD829198}"/>
    <cellStyle name="Normal 3 42 2 2" xfId="42655" xr:uid="{EE19F56E-5879-4C14-8257-C684EFBDA633}"/>
    <cellStyle name="Normal 3 42 3" xfId="42657" xr:uid="{DEA337AC-23F2-4B19-9939-A5F3643E995B}"/>
    <cellStyle name="Normal 3 43" xfId="42659" xr:uid="{6B416D82-6DBB-4E14-B6D9-59882B4A510E}"/>
    <cellStyle name="Normal 3 43 2" xfId="42661" xr:uid="{152A1846-75E9-4FCB-BD48-F64A10AE6E8D}"/>
    <cellStyle name="Normal 3 43 2 2" xfId="146" xr:uid="{8B5586F1-14CA-4A95-A14F-A0A780EE343B}"/>
    <cellStyle name="Normal 3 43 3" xfId="42663" xr:uid="{B0C0DDA9-75DF-4A52-AD16-E22ECC80EA89}"/>
    <cellStyle name="Normal 3 44" xfId="42665" xr:uid="{59A93807-E39C-4B57-A78B-7E18DC7F0C58}"/>
    <cellStyle name="Normal 3 44 2" xfId="42667" xr:uid="{75EB7207-424A-4801-A338-F3941A2DF633}"/>
    <cellStyle name="Normal 3 44 2 2" xfId="29547" xr:uid="{06C81CBE-BDE3-4E18-86AF-6E5D39442F05}"/>
    <cellStyle name="Normal 3 44 3" xfId="42669" xr:uid="{017815A3-7464-40FD-9E08-CD7670AFF021}"/>
    <cellStyle name="Normal 3 45" xfId="43151" xr:uid="{F6D51E77-F3B8-44AF-B1A4-31BE75854995}"/>
    <cellStyle name="Normal 3 45 2" xfId="43153" xr:uid="{50C2BC0B-808E-4E48-A2B0-0BE4793DA4C5}"/>
    <cellStyle name="Normal 3 45 2 2" xfId="23370" xr:uid="{68F97F54-0DEE-4F69-8FDD-AC961BC51759}"/>
    <cellStyle name="Normal 3 45 3" xfId="43155" xr:uid="{EF79E1AE-993C-4070-ADB8-19FDD50F0BF4}"/>
    <cellStyle name="Normal 3 46" xfId="43157" xr:uid="{9F189C4E-E0D1-40D2-B4AD-40DC8E4CF668}"/>
    <cellStyle name="Normal 3 46 2" xfId="43159" xr:uid="{F517E06B-0BC0-47AF-B668-639B0096BA52}"/>
    <cellStyle name="Normal 3 46 2 2" xfId="43161" xr:uid="{65F89BFF-621F-48FB-964F-AA09B4A1193B}"/>
    <cellStyle name="Normal 3 46 3" xfId="43163" xr:uid="{A83CAB9C-885B-4E40-92D2-AFB6C93EE775}"/>
    <cellStyle name="Normal 3 47" xfId="43165" xr:uid="{DE55CC26-2B2C-4224-9545-133CBDE49339}"/>
    <cellStyle name="Normal 3 47 2" xfId="43167" xr:uid="{808E7DB0-EB93-4F1B-AEBB-2F9893DE2DFC}"/>
    <cellStyle name="Normal 3 47 2 2" xfId="43169" xr:uid="{267EDB2D-40AC-41EB-9AAF-565E9B1C8464}"/>
    <cellStyle name="Normal 3 47 3" xfId="43171" xr:uid="{C575BF32-4D4F-4EE5-BEA5-F55A6C147DC7}"/>
    <cellStyle name="Normal 3 48" xfId="43173" xr:uid="{E6B7934B-B058-403B-875C-4314FC82DB2A}"/>
    <cellStyle name="Normal 3 48 2" xfId="43175" xr:uid="{24B7F818-A234-48C3-B3EE-526417078561}"/>
    <cellStyle name="Normal 3 48 2 2" xfId="43177" xr:uid="{136EBEC3-3AB6-401B-BA92-7AF5EA839F49}"/>
    <cellStyle name="Normal 3 48 3" xfId="43179" xr:uid="{4CC41C2D-DB65-4E69-96AA-95F4A3A3153A}"/>
    <cellStyle name="Normal 3 49" xfId="43181" xr:uid="{F07860C9-9A02-4C28-8471-7846C3F5A1E8}"/>
    <cellStyle name="Normal 3 49 2" xfId="43183" xr:uid="{63144B4A-484D-41C3-B7F7-56FC35838ED5}"/>
    <cellStyle name="Normal 3 49 2 2" xfId="43185" xr:uid="{D93DAF32-EFE0-49C6-A932-C7401DC0D145}"/>
    <cellStyle name="Normal 3 49 3" xfId="43187" xr:uid="{3C6EB6DD-0376-436B-8F3E-D6D2CAC46227}"/>
    <cellStyle name="Normal 3 5" xfId="43188" xr:uid="{21E3CA2E-528E-4057-91A4-B314DEF78AB5}"/>
    <cellStyle name="Normal 3 5 2" xfId="43189" xr:uid="{31655DE3-432F-454B-A61A-1DAA6CA67D90}"/>
    <cellStyle name="Normal 3 5 2 2" xfId="43190" xr:uid="{56196A0C-8E26-41C9-A26D-60BE7824C8F5}"/>
    <cellStyle name="Normal 3 5 2 2 2" xfId="43191" xr:uid="{943D3D1F-28B0-41F0-998B-434F86CA0A69}"/>
    <cellStyle name="Normal 3 5 2 2 2 2" xfId="43192" xr:uid="{9AF29E05-AE6A-4311-9708-996D09F8626A}"/>
    <cellStyle name="Normal 3 5 2 2 2 2 2" xfId="43193" xr:uid="{63817C0B-65E3-48F1-8CD6-617069882C16}"/>
    <cellStyle name="Normal 3 5 2 2 2 2 2 2" xfId="43194" xr:uid="{78316342-BEC4-44B5-B656-65B0BD301C6E}"/>
    <cellStyle name="Normal 3 5 2 2 2 2 2 2 2" xfId="43195" xr:uid="{A137D4DF-FD91-48D2-A761-389389ED95D4}"/>
    <cellStyle name="Normal 3 5 2 2 2 2 2 3" xfId="43196" xr:uid="{751C61C5-A1E4-4CCE-917B-CB3936816229}"/>
    <cellStyle name="Normal 3 5 2 2 2 2 3" xfId="43197" xr:uid="{B6405C54-C89E-4809-AC58-52EB7D9F6295}"/>
    <cellStyle name="Normal 3 5 2 2 2 2 3 2" xfId="43198" xr:uid="{58F70CEA-7FCF-49E4-8FB9-C8EEEF7A5E0D}"/>
    <cellStyle name="Normal 3 5 2 2 2 2 3 2 2" xfId="43199" xr:uid="{EE2E2C99-EC27-4E8D-BAFD-A64E636362F8}"/>
    <cellStyle name="Normal 3 5 2 2 2 2 3 3" xfId="43200" xr:uid="{046E7CBC-ED3D-44FB-811A-DC2C8804DB17}"/>
    <cellStyle name="Normal 3 5 2 2 2 2 4" xfId="43201" xr:uid="{7FD3F0FB-7C61-4272-A7D4-0D048CEB5EDC}"/>
    <cellStyle name="Normal 3 5 2 2 2 2 4 2" xfId="43202" xr:uid="{3308B659-814A-4F9E-AF04-069109C282A6}"/>
    <cellStyle name="Normal 3 5 2 2 2 2 5" xfId="43203" xr:uid="{459174B0-A26C-4089-AEF6-455AAFCA30B2}"/>
    <cellStyle name="Normal 3 5 2 2 2 3" xfId="43204" xr:uid="{A571EFB6-C654-420C-9677-CF8E5A1B2100}"/>
    <cellStyle name="Normal 3 5 2 2 2 3 2" xfId="43205" xr:uid="{E134F854-6DC3-4B3B-B3F1-C4D47328D259}"/>
    <cellStyle name="Normal 3 5 2 2 2 3 2 2" xfId="43206" xr:uid="{D823B135-2384-4C54-B9A2-4BA5C4818CE1}"/>
    <cellStyle name="Normal 3 5 2 2 2 3 3" xfId="43207" xr:uid="{97EA067E-4392-466E-BEB4-5F22BD25849B}"/>
    <cellStyle name="Normal 3 5 2 2 2 4" xfId="24271" xr:uid="{3D8EFC04-E366-4B07-A2EA-89F4BC03F10B}"/>
    <cellStyle name="Normal 3 5 2 2 2 4 2" xfId="27602" xr:uid="{4BFF5D43-48BA-4A60-8DB0-410D5162A076}"/>
    <cellStyle name="Normal 3 5 2 2 2 4 2 2" xfId="43208" xr:uid="{2906F38F-1899-45E0-BAED-783AF2B4AAF0}"/>
    <cellStyle name="Normal 3 5 2 2 2 4 3" xfId="43209" xr:uid="{434812E6-2F1F-4048-8E8A-E0DFBB7B2E98}"/>
    <cellStyle name="Normal 3 5 2 2 2 5" xfId="27606" xr:uid="{63E7F495-ABA3-40A1-8D64-EBAE50211A86}"/>
    <cellStyle name="Normal 3 5 2 2 2 5 2" xfId="43210" xr:uid="{E526321E-2F58-4998-AB05-D997E391F968}"/>
    <cellStyle name="Normal 3 5 2 2 2 6" xfId="43212" xr:uid="{B252D21B-9379-424F-9836-AF558E07C17C}"/>
    <cellStyle name="Normal 3 5 2 2 3" xfId="43213" xr:uid="{ECF85014-2A95-4124-BF40-ACA475798501}"/>
    <cellStyle name="Normal 3 5 2 2 3 2" xfId="43214" xr:uid="{BD4FC4A7-ECC5-42F7-9631-05E072BA4F87}"/>
    <cellStyle name="Normal 3 5 2 2 3 2 2" xfId="43215" xr:uid="{66F23D0C-7753-4E5C-9B59-1E3C3BA3C49A}"/>
    <cellStyle name="Normal 3 5 2 2 3 2 2 2" xfId="36372" xr:uid="{E1398A1D-AD5C-4D2A-A98E-0CB022C759AB}"/>
    <cellStyle name="Normal 3 5 2 2 3 2 3" xfId="43216" xr:uid="{394FEF6A-8EBA-476B-A19E-47E05DD14903}"/>
    <cellStyle name="Normal 3 5 2 2 3 3" xfId="43217" xr:uid="{25BF4570-F8A7-4ADA-BCEC-B1794AD6B37E}"/>
    <cellStyle name="Normal 3 5 2 2 3 3 2" xfId="43218" xr:uid="{83946E56-F53E-408F-B788-8FA59B6ABBF2}"/>
    <cellStyle name="Normal 3 5 2 2 3 3 2 2" xfId="36513" xr:uid="{76D3A201-591F-4710-B477-481AAEA72EDD}"/>
    <cellStyle name="Normal 3 5 2 2 3 3 3" xfId="43219" xr:uid="{6798413F-4D5C-46C7-A991-7A822D5C6D6D}"/>
    <cellStyle name="Normal 3 5 2 2 3 4" xfId="27609" xr:uid="{C3A96746-5D4D-408C-843A-D0807F42C783}"/>
    <cellStyle name="Normal 3 5 2 2 3 4 2" xfId="43220" xr:uid="{FA516EF0-9078-40FF-B9C6-F83BE895A7E7}"/>
    <cellStyle name="Normal 3 5 2 2 3 5" xfId="43221" xr:uid="{1C45E775-C159-4280-8D3C-34F36B0989F0}"/>
    <cellStyle name="Normal 3 5 2 2 4" xfId="43222" xr:uid="{06FD2359-801E-4816-8058-1220A8534168}"/>
    <cellStyle name="Normal 3 5 2 2 4 2" xfId="43223" xr:uid="{7F612B7A-FCD4-4C25-ABC6-9D4A1105E504}"/>
    <cellStyle name="Normal 3 5 2 2 4 2 2" xfId="43224" xr:uid="{FF677EB5-BF83-4DE1-AFAF-A9F02609F855}"/>
    <cellStyle name="Normal 3 5 2 2 4 3" xfId="43225" xr:uid="{2060E6CE-914F-473B-AA9B-EEC5819CAF46}"/>
    <cellStyle name="Normal 3 5 2 2 5" xfId="43227" xr:uid="{EBC0E9E7-1C6F-4281-8446-FAFF14B34A2E}"/>
    <cellStyle name="Normal 3 5 2 2 5 2" xfId="43229" xr:uid="{B9AF95CB-781C-43A2-B93B-80AC90ABBF37}"/>
    <cellStyle name="Normal 3 5 2 2 5 2 2" xfId="43230" xr:uid="{737EF620-9E0B-4639-9759-33C4AC7E9DAF}"/>
    <cellStyle name="Normal 3 5 2 2 5 3" xfId="43231" xr:uid="{05A7C35E-D79C-483F-9EB5-1C9A9049BDA5}"/>
    <cellStyle name="Normal 3 5 2 2 6" xfId="43234" xr:uid="{8CC52CCD-DFFF-4800-B62A-F64A889FEB62}"/>
    <cellStyle name="Normal 3 5 2 2 6 2" xfId="43235" xr:uid="{71180201-D8C2-4A8C-9D6C-043ABB684C2C}"/>
    <cellStyle name="Normal 3 5 2 2 7" xfId="43236" xr:uid="{ED07CE04-2E61-4BA3-9501-B46EEED677B1}"/>
    <cellStyle name="Normal 3 5 2 3" xfId="43237" xr:uid="{BBF7526D-5D06-4523-9620-22D940E23348}"/>
    <cellStyle name="Normal 3 5 2 3 2" xfId="43238" xr:uid="{320B960C-CC1A-4AFE-878F-CB289511C578}"/>
    <cellStyle name="Normal 3 5 2 3 2 2" xfId="43239" xr:uid="{607DFC21-9A64-4933-AB69-56DF3EFF28DA}"/>
    <cellStyle name="Normal 3 5 2 3 2 2 2" xfId="43240" xr:uid="{AF4B31C0-386F-45E9-9DB9-858E671C7CAD}"/>
    <cellStyle name="Normal 3 5 2 3 2 2 2 2" xfId="43241" xr:uid="{3542BD4D-E2FD-4527-AEC3-32F1A3585E28}"/>
    <cellStyle name="Normal 3 5 2 3 2 2 3" xfId="43242" xr:uid="{008C49A2-233A-44EE-9ADC-9920F52C74AC}"/>
    <cellStyle name="Normal 3 5 2 3 2 3" xfId="43243" xr:uid="{C92FDC09-DDAA-4CA7-837E-C40E1AF727BA}"/>
    <cellStyle name="Normal 3 5 2 3 2 3 2" xfId="43244" xr:uid="{DC021E25-90B2-4D88-95DE-C468BE610BC6}"/>
    <cellStyle name="Normal 3 5 2 3 2 3 2 2" xfId="43245" xr:uid="{24E5F85F-8828-4732-A3D3-D8C9B91A12EC}"/>
    <cellStyle name="Normal 3 5 2 3 2 3 3" xfId="43246" xr:uid="{5FEC9729-BA43-4021-A20D-938ECE197A90}"/>
    <cellStyle name="Normal 3 5 2 3 2 4" xfId="27627" xr:uid="{CA14CF7F-1110-4489-9799-136059A4D2BE}"/>
    <cellStyle name="Normal 3 5 2 3 2 4 2" xfId="43247" xr:uid="{CCFA1457-1EF8-486E-9A00-4F7FE74CEC17}"/>
    <cellStyle name="Normal 3 5 2 3 2 5" xfId="43248" xr:uid="{E0EF5BF8-24AE-46E9-BA94-484CAF5835C4}"/>
    <cellStyle name="Normal 3 5 2 3 3" xfId="43249" xr:uid="{BDC2DE65-50D6-4068-819A-8F9168FB9F3C}"/>
    <cellStyle name="Normal 3 5 2 3 3 2" xfId="43250" xr:uid="{23DE9B32-36DC-4B53-920C-4062BE3EE849}"/>
    <cellStyle name="Normal 3 5 2 3 3 2 2" xfId="43251" xr:uid="{AE6EE7F0-126D-4294-AFEA-B4FB89CABEB7}"/>
    <cellStyle name="Normal 3 5 2 3 3 3" xfId="43252" xr:uid="{C1B9C5AE-6886-47BA-BEA6-6DA82BD4855A}"/>
    <cellStyle name="Normal 3 5 2 3 4" xfId="43253" xr:uid="{388C5238-1E52-47E3-B59E-ED6736A750D3}"/>
    <cellStyle name="Normal 3 5 2 3 4 2" xfId="43254" xr:uid="{1EABAB0A-3FF7-4BD0-AD32-A36B2DE27779}"/>
    <cellStyle name="Normal 3 5 2 3 4 2 2" xfId="43255" xr:uid="{6F99681E-1F65-426F-811E-FA3371CFC396}"/>
    <cellStyle name="Normal 3 5 2 3 4 3" xfId="43256" xr:uid="{8176916D-1A81-4EBA-9794-BD624DAD02F2}"/>
    <cellStyle name="Normal 3 5 2 3 5" xfId="43259" xr:uid="{2BFC3025-8D42-40E2-81EA-88B2BEEF828B}"/>
    <cellStyle name="Normal 3 5 2 3 5 2" xfId="43260" xr:uid="{CB93A7E9-0237-4B75-A5E7-63221E868D64}"/>
    <cellStyle name="Normal 3 5 2 3 6" xfId="43261" xr:uid="{BFBBB762-E1A2-4005-A2A9-4CC3F0EDF2F9}"/>
    <cellStyle name="Normal 3 5 2 4" xfId="43262" xr:uid="{5E7C3D5F-E008-477E-AB9D-90543B1BBE2B}"/>
    <cellStyle name="Normal 3 5 2 4 2" xfId="43263" xr:uid="{ABD1C64A-21E2-4A85-885F-9525BF5629CB}"/>
    <cellStyle name="Normal 3 5 2 4 2 2" xfId="43264" xr:uid="{AB3B2A97-4FDD-4B8B-AE1A-805FB3B1C05A}"/>
    <cellStyle name="Normal 3 5 2 4 2 2 2" xfId="43265" xr:uid="{2DE899F2-D164-4AC9-B3A3-0D0625C2A6E7}"/>
    <cellStyle name="Normal 3 5 2 4 2 3" xfId="43266" xr:uid="{1DA2F9DD-0207-4DB6-8A9E-089155404477}"/>
    <cellStyle name="Normal 3 5 2 4 3" xfId="43267" xr:uid="{46F151FD-9FA4-4FAF-AE2A-6AF2E3E067F4}"/>
    <cellStyle name="Normal 3 5 2 4 3 2" xfId="43268" xr:uid="{A5ACED17-0A9D-4F3E-89C6-81ECF4D1D494}"/>
    <cellStyle name="Normal 3 5 2 4 3 2 2" xfId="43269" xr:uid="{1A09FDA2-76CE-429B-9C1E-A7CF6B1BFD98}"/>
    <cellStyle name="Normal 3 5 2 4 3 3" xfId="43270" xr:uid="{38F11C36-29CD-4B9F-9FF5-752434469A1C}"/>
    <cellStyle name="Normal 3 5 2 4 4" xfId="43271" xr:uid="{696D9ACF-D64C-4234-BD74-B7E77A6DBB90}"/>
    <cellStyle name="Normal 3 5 2 4 4 2" xfId="43272" xr:uid="{BB677251-AF91-414B-B1DA-C03A183A125A}"/>
    <cellStyle name="Normal 3 5 2 4 5" xfId="43273" xr:uid="{3FEA8ABC-AA76-428D-8363-A8C4D8F001B8}"/>
    <cellStyle name="Normal 3 5 2 5" xfId="43274" xr:uid="{8E618DA7-17CB-4970-8FC3-3C2F04281637}"/>
    <cellStyle name="Normal 3 5 2 5 2" xfId="4186" xr:uid="{66EEBF08-F12E-4ABA-B254-B31FE4A26625}"/>
    <cellStyle name="Normal 3 5 2 5 2 2" xfId="43275" xr:uid="{28A9C357-D990-48AC-B09D-14A124B845EB}"/>
    <cellStyle name="Normal 3 5 2 5 3" xfId="43276" xr:uid="{FCFB705B-652B-4744-B509-0B706A18DAFE}"/>
    <cellStyle name="Normal 3 5 2 5 3 2" xfId="43277" xr:uid="{644CF454-B5C4-4F96-B3B2-FEA866D6F15E}"/>
    <cellStyle name="Normal 3 5 2 5 4" xfId="43278" xr:uid="{AB06963B-54AC-4F47-B6EF-64CF8EFAC6AA}"/>
    <cellStyle name="Normal 3 5 2 5 5" xfId="43279" xr:uid="{A1CB1305-B5FB-410F-90AC-3B8C4014D3CA}"/>
    <cellStyle name="Normal 3 5 2 5 5 2 2" xfId="54207" xr:uid="{ADD23889-8218-4710-9CA3-FB611BF570BE}"/>
    <cellStyle name="Normal 3 5 2 5 5 3" xfId="43280" xr:uid="{71167478-68E9-4A92-B17E-8322EDF37191}"/>
    <cellStyle name="Normal 3 5 2 6" xfId="43281" xr:uid="{D30DC055-4F67-4B45-AB10-037371D68075}"/>
    <cellStyle name="Normal 3 5 2 6 2" xfId="43282" xr:uid="{0EEDD18C-E98C-4939-8843-C4950DE5650C}"/>
    <cellStyle name="Normal 3 5 2 6 2 2" xfId="43283" xr:uid="{7C87BB43-065F-4F0A-BE5D-BA67D65E3C42}"/>
    <cellStyle name="Normal 3 5 2 6 3" xfId="43284" xr:uid="{BA61A04B-19F1-40D3-BBC9-8BF5B0390553}"/>
    <cellStyle name="Normal 3 5 2 7" xfId="43285" xr:uid="{92A397C6-98CF-4D16-8655-294B4C3422C9}"/>
    <cellStyle name="Normal 3 5 2 7 2" xfId="43286" xr:uid="{FD3BF0D0-1FAA-4FA1-A6E1-A059F5A772A2}"/>
    <cellStyle name="Normal 3 5 2 8" xfId="43287" xr:uid="{9A196E69-C6E5-4107-A03C-91EE05E58028}"/>
    <cellStyle name="Normal 3 5 3" xfId="43289" xr:uid="{3B3D2D9E-C13A-450B-A76E-BB9EBB33080C}"/>
    <cellStyle name="Normal 3 5 3 2" xfId="43290" xr:uid="{DBCE6959-6F56-4F9D-992A-6E7ECF1DEB8C}"/>
    <cellStyle name="Normal 3 5 3 2 2" xfId="43291" xr:uid="{1CC54B5D-377D-4AFD-9B94-AB3C4579FEE3}"/>
    <cellStyle name="Normal 3 5 3 2 2 2" xfId="43292" xr:uid="{CE58187A-10E5-4023-BD4F-656EC3CE3387}"/>
    <cellStyle name="Normal 3 5 3 2 2 2 2" xfId="43293" xr:uid="{150ADA0A-B323-4C2E-A068-D5C8D01289B9}"/>
    <cellStyle name="Normal 3 5 3 2 2 2 2 2" xfId="43294" xr:uid="{96305F10-982C-4D45-BF5E-AF8EB3DC0C0E}"/>
    <cellStyle name="Normal 3 5 3 2 2 2 2 2 2" xfId="43295" xr:uid="{61F86AF0-8416-48A0-BF4D-03FDBD5F966F}"/>
    <cellStyle name="Normal 3 5 3 2 2 2 2 3" xfId="43296" xr:uid="{C2C92A19-0A3E-42E4-A7AD-66FFB959FB9C}"/>
    <cellStyle name="Normal 3 5 3 2 2 2 3" xfId="43297" xr:uid="{B5A236CA-E453-44F9-AA82-079583008B2B}"/>
    <cellStyle name="Normal 3 5 3 2 2 2 3 2" xfId="43298" xr:uid="{70CC5F99-E292-4F5A-B9F7-D7F89ECC434E}"/>
    <cellStyle name="Normal 3 5 3 2 2 2 3 2 2" xfId="43299" xr:uid="{95663B15-3EE4-467C-834D-4F76E8DE1A55}"/>
    <cellStyle name="Normal 3 5 3 2 2 2 3 3" xfId="43300" xr:uid="{F4D3D8B8-3E76-4518-A5BB-306B1CD1C84D}"/>
    <cellStyle name="Normal 3 5 3 2 2 2 4" xfId="43301" xr:uid="{0FA8C196-39A8-4363-9507-D5264014AD7D}"/>
    <cellStyle name="Normal 3 5 3 2 2 2 4 2" xfId="43302" xr:uid="{3CAE1ECA-536D-4109-8081-B6951FC96CD2}"/>
    <cellStyle name="Normal 3 5 3 2 2 2 5" xfId="43303" xr:uid="{B0697D44-B174-4598-B84B-E1B753CE791A}"/>
    <cellStyle name="Normal 3 5 3 2 2 3" xfId="43304" xr:uid="{55CD0A3F-9487-496B-820D-A5842B1C33F1}"/>
    <cellStyle name="Normal 3 5 3 2 2 3 2" xfId="43305" xr:uid="{DAAC95A8-6731-44E3-8976-5712375F8095}"/>
    <cellStyle name="Normal 3 5 3 2 2 3 2 2" xfId="43306" xr:uid="{724C6C33-E1F1-4C4A-AC83-F5C022E3483B}"/>
    <cellStyle name="Normal 3 5 3 2 2 3 3" xfId="43307" xr:uid="{6F2C7D58-6088-4713-A53F-6D227BBA8EF6}"/>
    <cellStyle name="Normal 3 5 3 2 2 4" xfId="27675" xr:uid="{BF06C1E7-193D-4CB8-A456-43C2EE26D61A}"/>
    <cellStyle name="Normal 3 5 3 2 2 4 2" xfId="43308" xr:uid="{2DF67FAA-0848-4718-95E3-8C5463E13FE9}"/>
    <cellStyle name="Normal 3 5 3 2 2 4 2 2" xfId="43309" xr:uid="{E2B2BA62-D086-42CC-A04B-C3B77D9C3CAE}"/>
    <cellStyle name="Normal 3 5 3 2 2 4 3" xfId="43310" xr:uid="{F4F16511-A421-436E-8E2C-F7A130871542}"/>
    <cellStyle name="Normal 3 5 3 2 2 5" xfId="43311" xr:uid="{D9951656-680C-4136-83C1-4173E01A3614}"/>
    <cellStyle name="Normal 3 5 3 2 2 5 2" xfId="43312" xr:uid="{B029248D-5EF1-4093-9B8E-081E9C7F53EF}"/>
    <cellStyle name="Normal 3 5 3 2 2 6" xfId="43314" xr:uid="{88F7A2CD-ECCD-46E1-BB84-02BB8C71838F}"/>
    <cellStyle name="Normal 3 5 3 2 3" xfId="43316" xr:uid="{0B265357-FDE7-4EE7-961E-279508B5E31D}"/>
    <cellStyle name="Normal 3 5 3 2 3 2" xfId="43318" xr:uid="{150C29C4-3394-47A6-ABA7-ABBAB7579821}"/>
    <cellStyle name="Normal 3 5 3 2 3 2 2" xfId="43320" xr:uid="{B47ACC09-DD68-493C-9B1E-FC0067CF6A08}"/>
    <cellStyle name="Normal 3 5 3 2 3 2 2 2" xfId="43321" xr:uid="{7948A467-F994-4B98-A7B0-0F62F205C031}"/>
    <cellStyle name="Normal 3 5 3 2 3 2 3" xfId="43322" xr:uid="{F520C5B8-03B3-488B-9673-39475F754B22}"/>
    <cellStyle name="Normal 3 5 3 2 3 3" xfId="43324" xr:uid="{351FE320-25B3-463A-B75C-7D346A6E234F}"/>
    <cellStyle name="Normal 3 5 3 2 3 3 2" xfId="43325" xr:uid="{FB4F0C18-EFC4-4C8E-B070-25FD593E4042}"/>
    <cellStyle name="Normal 3 5 3 2 3 3 2 2" xfId="43326" xr:uid="{D0CED830-331F-46EB-B8EF-C20D2BB836BB}"/>
    <cellStyle name="Normal 3 5 3 2 3 3 3" xfId="43327" xr:uid="{4FDBD221-EFD6-4B50-AEE7-B1B2CFEB1EDA}"/>
    <cellStyle name="Normal 3 5 3 2 3 4" xfId="1089" xr:uid="{C6C5CC2D-D71C-4271-9EA7-1388097501E2}"/>
    <cellStyle name="Normal 3 5 3 2 3 4 2" xfId="619" xr:uid="{1E844356-F5E6-42E8-9233-504486119D82}"/>
    <cellStyle name="Normal 3 5 3 2 3 5" xfId="470" xr:uid="{9ED87457-B7FF-464D-AC91-D1C7F7703096}"/>
    <cellStyle name="Normal 3 5 3 2 4" xfId="43329" xr:uid="{180CA4BA-0D13-4467-9E62-E8F099591B33}"/>
    <cellStyle name="Normal 3 5 3 2 4 2" xfId="43331" xr:uid="{63F0708C-70E8-41C4-A4E8-88B4936D52B5}"/>
    <cellStyle name="Normal 3 5 3 2 4 2 2" xfId="43332" xr:uid="{D4A7CA21-1CCC-41E9-BEB2-EE9725967067}"/>
    <cellStyle name="Normal 3 5 3 2 4 3" xfId="43333" xr:uid="{B4405975-B3CA-4F90-AD0C-15F90CAEBB56}"/>
    <cellStyle name="Normal 3 5 3 2 5" xfId="43336" xr:uid="{A01869CB-C969-4623-A68B-E1D71988C40D}"/>
    <cellStyle name="Normal 3 5 3 2 5 2" xfId="43337" xr:uid="{815F5CBB-6A6B-4B53-B564-1C348873E462}"/>
    <cellStyle name="Normal 3 5 3 2 5 2 2" xfId="43338" xr:uid="{1EF08BFC-C431-4D03-A88F-C8CA487AAB5A}"/>
    <cellStyle name="Normal 3 5 3 2 5 3" xfId="43339" xr:uid="{B7EA0364-2725-436A-A7D6-56491372FE48}"/>
    <cellStyle name="Normal 3 5 3 2 6" xfId="43340" xr:uid="{8F52B2E5-94FB-46F2-BC28-F508B9821519}"/>
    <cellStyle name="Normal 3 5 3 2 6 2" xfId="43341" xr:uid="{FE920B62-3D1C-44CA-8017-7CBF1022086D}"/>
    <cellStyle name="Normal 3 5 3 2 7" xfId="43342" xr:uid="{B0885E0F-068A-4639-BB4A-0EA998FDC14E}"/>
    <cellStyle name="Normal 3 5 3 3" xfId="43343" xr:uid="{45202954-54FF-4C09-A23D-1DF1E90A2EC0}"/>
    <cellStyle name="Normal 3 5 3 3 2" xfId="43344" xr:uid="{8764DC05-CBA0-4F19-9202-F9D363B832F8}"/>
    <cellStyle name="Normal 3 5 3 3 2 2" xfId="43345" xr:uid="{C28571CA-1E8B-4F5B-B0A2-57396DC4C10E}"/>
    <cellStyle name="Normal 3 5 3 3 2 2 2" xfId="43346" xr:uid="{6B2FA1F7-ACFC-45D9-81A5-23F4B305535E}"/>
    <cellStyle name="Normal 3 5 3 3 2 2 2 2" xfId="43347" xr:uid="{8E285D7B-45D2-4D3C-BC6D-BE38D904D69C}"/>
    <cellStyle name="Normal 3 5 3 3 2 2 3" xfId="43348" xr:uid="{C5B908E2-AB8D-4444-81EE-D786095336A4}"/>
    <cellStyle name="Normal 3 5 3 3 2 3" xfId="43349" xr:uid="{476C6250-373E-48D0-A200-45E15132D80E}"/>
    <cellStyle name="Normal 3 5 3 3 2 3 2" xfId="43350" xr:uid="{7DF10243-41C6-4975-A8E8-53DB8CC5AC5C}"/>
    <cellStyle name="Normal 3 5 3 3 2 3 2 2" xfId="43351" xr:uid="{E80436E1-93DD-4B0A-8C87-6043F763B463}"/>
    <cellStyle name="Normal 3 5 3 3 2 3 3" xfId="43352" xr:uid="{6014D1D2-E910-4D77-8AE1-2B999CC2238D}"/>
    <cellStyle name="Normal 3 5 3 3 2 4" xfId="43353" xr:uid="{C605236C-C54B-4875-B275-95DB4547B8C6}"/>
    <cellStyle name="Normal 3 5 3 3 2 4 2" xfId="43354" xr:uid="{8035A7FF-6958-4839-91C0-069B868E114F}"/>
    <cellStyle name="Normal 3 5 3 3 2 5" xfId="43355" xr:uid="{208B40AA-CA39-443D-ABE3-2ECEA456BF6C}"/>
    <cellStyle name="Normal 3 5 3 3 3" xfId="43357" xr:uid="{B659EEF6-2AAE-4424-9AAD-1240D8B2E614}"/>
    <cellStyle name="Normal 3 5 3 3 3 2" xfId="43359" xr:uid="{799C0D12-1AAA-4AC5-AC8F-2915E2AF0CD8}"/>
    <cellStyle name="Normal 3 5 3 3 3 2 2" xfId="43360" xr:uid="{760626AB-1C76-4E3D-82EB-88C7EEF42DDB}"/>
    <cellStyle name="Normal 3 5 3 3 3 3" xfId="43361" xr:uid="{988DC2A7-8D9A-43CA-812A-A4D1AF2ED6C0}"/>
    <cellStyle name="Normal 3 5 3 3 4" xfId="43363" xr:uid="{E0FFD4D0-E7E0-4471-84FC-0C8A264525B8}"/>
    <cellStyle name="Normal 3 5 3 3 4 2" xfId="43364" xr:uid="{B24E2E8F-4F25-4A60-BA80-D652F98C353D}"/>
    <cellStyle name="Normal 3 5 3 3 4 2 2" xfId="43365" xr:uid="{050BCE76-8B3E-4BE0-965C-C22155C0E831}"/>
    <cellStyle name="Normal 3 5 3 3 4 3" xfId="43366" xr:uid="{8D7958D0-C7C3-4CBB-9984-B23D3B2FE753}"/>
    <cellStyle name="Normal 3 5 3 3 5" xfId="43367" xr:uid="{857A5800-2CB0-4BED-8958-C43503C7985F}"/>
    <cellStyle name="Normal 3 5 3 3 5 2" xfId="43368" xr:uid="{FA7AF684-51AD-4E3B-A4B3-D1106F3C856B}"/>
    <cellStyle name="Normal 3 5 3 3 6" xfId="43369" xr:uid="{8C5DD775-AD57-4B6F-8A49-45FBB2694F8F}"/>
    <cellStyle name="Normal 3 5 3 4" xfId="43370" xr:uid="{F4C34BA1-8C7E-4ECF-BD1B-1FF9044BAE90}"/>
    <cellStyle name="Normal 3 5 3 4 2" xfId="43371" xr:uid="{D2AB9175-85B4-46F0-B49A-09664668A473}"/>
    <cellStyle name="Normal 3 5 3 4 2 2" xfId="43372" xr:uid="{723F48F0-89C0-4C72-9913-E7DBEE44686A}"/>
    <cellStyle name="Normal 3 5 3 4 2 2 2" xfId="43373" xr:uid="{2B5517CD-AF50-4C31-A220-589FC4EA81EA}"/>
    <cellStyle name="Normal 3 5 3 4 2 3" xfId="43374" xr:uid="{7258FB72-AB88-4E4F-A0AE-782689A8BA82}"/>
    <cellStyle name="Normal 3 5 3 4 3" xfId="43376" xr:uid="{C94A2F33-0C8A-42A3-9234-D9499EB935E3}"/>
    <cellStyle name="Normal 3 5 3 4 3 2" xfId="43377" xr:uid="{7520BB68-59E9-4E17-A422-E29D4E92BD69}"/>
    <cellStyle name="Normal 3 5 3 4 3 2 2" xfId="43378" xr:uid="{45403E87-E0CD-41A5-830C-BEF41F847EC7}"/>
    <cellStyle name="Normal 3 5 3 4 3 3" xfId="43379" xr:uid="{51349604-A509-45F7-BFC6-F41DE732136A}"/>
    <cellStyle name="Normal 3 5 3 4 4" xfId="43380" xr:uid="{36D561EA-7069-4761-894E-4B8322D8A296}"/>
    <cellStyle name="Normal 3 5 3 4 4 2" xfId="43381" xr:uid="{8CE1CB8F-B895-4A13-8E64-77B02EA18A90}"/>
    <cellStyle name="Normal 3 5 3 4 5" xfId="43382" xr:uid="{22FD53FC-7B4B-45D8-A09D-6B9B3D78B42F}"/>
    <cellStyle name="Normal 3 5 3 5" xfId="43383" xr:uid="{A300B43B-28B7-4788-9BC6-32C3B680FF90}"/>
    <cellStyle name="Normal 3 5 3 5 2" xfId="43384" xr:uid="{88F77BC5-C759-4D0E-9844-D1B59CCE4DB7}"/>
    <cellStyle name="Normal 3 5 3 5 2 2" xfId="43385" xr:uid="{4F561CA4-437C-418E-B67A-55C731BCBAD6}"/>
    <cellStyle name="Normal 3 5 3 5 3" xfId="43386" xr:uid="{346E11DB-EE5E-4FCD-96A8-8624EB050A5E}"/>
    <cellStyle name="Normal 3 5 3 6" xfId="43387" xr:uid="{6B1F13F6-01E9-432B-90FE-1646B8A3CFF4}"/>
    <cellStyle name="Normal 3 5 3 6 2" xfId="43388" xr:uid="{A020C6F6-7B43-4A5D-A527-86749EAAB212}"/>
    <cellStyle name="Normal 3 5 3 6 2 2" xfId="43389" xr:uid="{934E6A75-11FE-4993-9490-46A5DD8ED86A}"/>
    <cellStyle name="Normal 3 5 3 6 3" xfId="43390" xr:uid="{1F004192-A702-4EBF-BAC0-7A0C6A4DBD49}"/>
    <cellStyle name="Normal 3 5 3 7" xfId="43391" xr:uid="{D08E1A3D-B54A-4220-BF4C-497445A8C7B1}"/>
    <cellStyle name="Normal 3 5 3 7 2" xfId="43392" xr:uid="{4B11DF0D-E4D0-439F-A5CC-7EC23C8F2349}"/>
    <cellStyle name="Normal 3 5 3 8" xfId="43393" xr:uid="{CB8D1288-829E-49E9-9601-756586C840C5}"/>
    <cellStyle name="Normal 3 5 4" xfId="43394" xr:uid="{80D6C9BE-0FCD-4730-A2B4-BD2272609ACB}"/>
    <cellStyle name="Normal 3 5 5" xfId="43395" xr:uid="{58E5DFAF-38EE-45DC-9F1F-F718F6EFE6BD}"/>
    <cellStyle name="Normal 3 5 6" xfId="43396" xr:uid="{9A72EA3F-6D95-4516-8F74-CA3244F9052C}"/>
    <cellStyle name="Normal 3 5 7" xfId="43397" xr:uid="{591F3558-F49E-492C-A49D-3EF63B01AB9D}"/>
    <cellStyle name="Normal 3 50" xfId="43150" xr:uid="{041C81BD-80B1-45C7-939F-A107CE26BF4D}"/>
    <cellStyle name="Normal 3 50 2" xfId="43152" xr:uid="{F3B376E8-D266-4B00-A525-DD85A9379A89}"/>
    <cellStyle name="Normal 3 50 2 2" xfId="23369" xr:uid="{99097601-A7FB-43B5-B5B9-1CB6DD685AAE}"/>
    <cellStyle name="Normal 3 50 3" xfId="43154" xr:uid="{DF6DC159-D91B-4E16-9C89-39415239B280}"/>
    <cellStyle name="Normal 3 51" xfId="43156" xr:uid="{5B9C8975-5D37-432E-93D2-98E4525C3852}"/>
    <cellStyle name="Normal 3 51 2" xfId="43158" xr:uid="{29F26533-B33F-48F1-9555-5013A02C1C2F}"/>
    <cellStyle name="Normal 3 51 2 2" xfId="43160" xr:uid="{6AD06755-0C3D-4424-97B7-F9883DB197EF}"/>
    <cellStyle name="Normal 3 51 3" xfId="43162" xr:uid="{1A21B9CC-5E22-44EC-A4D1-E9002E08C865}"/>
    <cellStyle name="Normal 3 52" xfId="43164" xr:uid="{2B92A21D-93EC-4749-B58B-AEBAB39BF2D4}"/>
    <cellStyle name="Normal 3 52 2" xfId="43166" xr:uid="{7CAB0D36-26F8-456B-A479-0AC03F455AE0}"/>
    <cellStyle name="Normal 3 52 2 2" xfId="43168" xr:uid="{10303D8A-F011-4DC3-A181-C08F05BF9FD4}"/>
    <cellStyle name="Normal 3 52 3" xfId="43170" xr:uid="{63943A61-48F7-493D-AEDB-70ED9F404007}"/>
    <cellStyle name="Normal 3 53" xfId="43172" xr:uid="{956F7058-E5D0-4B6A-AF71-1EAD525793CF}"/>
    <cellStyle name="Normal 3 53 2" xfId="43174" xr:uid="{75773170-4F8B-42FC-A2B7-61696E1B3C16}"/>
    <cellStyle name="Normal 3 53 2 2" xfId="43176" xr:uid="{DEDD40D5-B60E-4A25-AB17-36377ABED7BB}"/>
    <cellStyle name="Normal 3 53 3" xfId="43178" xr:uid="{27C819EF-61EB-4278-8CB3-C2FCE9518F11}"/>
    <cellStyle name="Normal 3 54" xfId="43180" xr:uid="{9C63951E-E299-40D4-BEC3-F2AAF0B5580B}"/>
    <cellStyle name="Normal 3 54 2" xfId="43182" xr:uid="{C24E7BD3-426A-4932-8D44-265FCAFE8DD7}"/>
    <cellStyle name="Normal 3 54 2 2" xfId="43184" xr:uid="{42A5770F-2517-4583-8A97-73DBA888F591}"/>
    <cellStyle name="Normal 3 54 3" xfId="43186" xr:uid="{5663708E-A192-43C8-A53C-519CB1B6ECD0}"/>
    <cellStyle name="Normal 3 55" xfId="43399" xr:uid="{C7CDFC0C-C616-4279-B3E1-E25F309255A8}"/>
    <cellStyle name="Normal 3 55 2" xfId="10613" xr:uid="{079B2952-4740-4196-8559-C53CEB470450}"/>
    <cellStyle name="Normal 3 55 2 2" xfId="43401" xr:uid="{0D929949-8F82-4E76-B6D1-6E2C349EA9E4}"/>
    <cellStyle name="Normal 3 55 3" xfId="10616" xr:uid="{189201B9-A7A7-499C-8DEA-AA0D26328953}"/>
    <cellStyle name="Normal 3 56" xfId="42749" xr:uid="{B094928D-6CEB-4492-801D-644595CEEF3A}"/>
    <cellStyle name="Normal 3 56 2" xfId="9002" xr:uid="{15A20CB0-BA7D-4C9E-9E0A-8354D18F61D9}"/>
    <cellStyle name="Normal 3 56 2 2" xfId="42752" xr:uid="{C4ECDFF6-38A7-4340-9E7A-8F391FC444D5}"/>
    <cellStyle name="Normal 3 56 3" xfId="42765" xr:uid="{D8B2E14A-A686-4102-BFA4-60F639A0BD89}"/>
    <cellStyle name="Normal 3 57" xfId="42776" xr:uid="{3B0C6E06-13F0-4C3C-8DDB-C049BF584A73}"/>
    <cellStyle name="Normal 3 57 2" xfId="42779" xr:uid="{2AF12F86-BABA-4D8B-BBFB-96F3B1108D01}"/>
    <cellStyle name="Normal 3 57 2 2" xfId="42782" xr:uid="{26C9ADD8-9C86-4708-824C-5E7F4AE18ADF}"/>
    <cellStyle name="Normal 3 57 3" xfId="42787" xr:uid="{33F984BD-E83B-47F4-8689-3B7D89A834D2}"/>
    <cellStyle name="Normal 3 58" xfId="5362" xr:uid="{7C3C181A-F008-4A54-8887-C2DADDADBC76}"/>
    <cellStyle name="Normal 3 58 2" xfId="5366" xr:uid="{025B2DD0-84D8-4740-AFDF-BA816E025707}"/>
    <cellStyle name="Normal 3 58 2 2" xfId="768" xr:uid="{D5CC7EF5-1901-4466-BAD7-7866A7EBEC59}"/>
    <cellStyle name="Normal 3 58 3" xfId="5375" xr:uid="{CA17C8B3-EDB0-4147-9129-60C80DE13F44}"/>
    <cellStyle name="Normal 3 59" xfId="5393" xr:uid="{B121A19E-64EE-4277-8B66-0D4D7A631855}"/>
    <cellStyle name="Normal 3 59 2" xfId="5398" xr:uid="{C622E582-342D-45AD-9B2E-47BB9F0A37F3}"/>
    <cellStyle name="Normal 3 59 2 2" xfId="5404" xr:uid="{87F92857-F867-4E4D-A668-37CDF93304D3}"/>
    <cellStyle name="Normal 3 59 3" xfId="5411" xr:uid="{EA16B899-9E36-4A1B-992C-DFF2CEDB00CB}"/>
    <cellStyle name="Normal 3 6" xfId="43402" xr:uid="{33FD5C64-EF91-48A7-ADCA-04E93B6B0AC0}"/>
    <cellStyle name="Normal 3 6 2" xfId="43403" xr:uid="{C97C8969-C065-4372-A3D9-16F9CBBAB0D5}"/>
    <cellStyle name="Normal 3 6 3" xfId="43404" xr:uid="{5F93D985-E6DB-4023-B3B7-7B3CDAF2B075}"/>
    <cellStyle name="Normal 3 6 4" xfId="43405" xr:uid="{DBD9FB06-B5D6-467A-AA0B-543A6B258259}"/>
    <cellStyle name="Normal 3 60" xfId="43398" xr:uid="{30873933-2B0B-45E7-9A46-3783026ED2A0}"/>
    <cellStyle name="Normal 3 60 2" xfId="10612" xr:uid="{C234EFD8-8CA8-46FB-B50A-4B9FD5697CD4}"/>
    <cellStyle name="Normal 3 60 2 2" xfId="43400" xr:uid="{30781226-8176-4F15-BD05-FA774EDF262B}"/>
    <cellStyle name="Normal 3 60 3" xfId="10615" xr:uid="{69752F05-3305-4306-AC64-0C97BCA63EE2}"/>
    <cellStyle name="Normal 3 61" xfId="42748" xr:uid="{74245AFC-516A-43A7-9CA7-E3145A06A8AE}"/>
    <cellStyle name="Normal 3 61 2" xfId="9001" xr:uid="{7A624A29-95A7-45D1-90A3-CB43DB9DC966}"/>
    <cellStyle name="Normal 3 61 2 2" xfId="42751" xr:uid="{9D18F309-6529-494F-92C7-52E34F28D562}"/>
    <cellStyle name="Normal 3 61 3" xfId="42764" xr:uid="{5AA657FF-7A1A-42E2-8F91-BE74C97D596B}"/>
    <cellStyle name="Normal 3 62" xfId="42775" xr:uid="{D3D18C47-0ADF-464C-B414-DC255E658317}"/>
    <cellStyle name="Normal 3 62 2" xfId="42778" xr:uid="{AB6AD596-1B56-4F9A-ADD8-030362596000}"/>
    <cellStyle name="Normal 3 62 2 2" xfId="42781" xr:uid="{E25C7E87-EB5F-4522-BDC1-4EEBC67562FD}"/>
    <cellStyle name="Normal 3 62 3" xfId="42786" xr:uid="{5B50D334-227F-4A68-8D58-A2346F58B0DD}"/>
    <cellStyle name="Normal 3 63" xfId="5361" xr:uid="{8AF5EA72-B53A-4DEA-A49C-F39503AC37D0}"/>
    <cellStyle name="Normal 3 63 2" xfId="5365" xr:uid="{926E1443-EDC8-4384-B6A8-F3742FE115DF}"/>
    <cellStyle name="Normal 3 63 2 2" xfId="767" xr:uid="{D662FD1A-5124-4C60-AE05-0C1DCEC14E42}"/>
    <cellStyle name="Normal 3 63 3" xfId="5374" xr:uid="{534A0961-780A-4326-A1E9-75EBF6EAF012}"/>
    <cellStyle name="Normal 3 64" xfId="5392" xr:uid="{3AA434BD-95C9-4A63-B6D7-9AC1118E6A7A}"/>
    <cellStyle name="Normal 3 64 2" xfId="5397" xr:uid="{D5AB0CCE-ACD4-4C70-B960-0A687D297199}"/>
    <cellStyle name="Normal 3 64 2 2" xfId="5403" xr:uid="{A01016CC-D281-42CC-866E-D3C69974B4CE}"/>
    <cellStyle name="Normal 3 64 3" xfId="5410" xr:uid="{6F8CE39D-EEA6-4301-A9CB-F6CD33EB2B62}"/>
    <cellStyle name="Normal 3 65" xfId="5420" xr:uid="{61C5F77F-638D-4F1B-AA80-1279716D83DD}"/>
    <cellStyle name="Normal 3 65 2" xfId="354" xr:uid="{AE0FBAF0-3295-4C28-B2E7-39A24A721060}"/>
    <cellStyle name="Normal 3 65 2 2" xfId="5425" xr:uid="{2BBB4A2F-80F8-4052-9043-CB7878CF0626}"/>
    <cellStyle name="Normal 3 65 3" xfId="364" xr:uid="{B4936438-CD9B-44C6-9FD1-AB1782CE9586}"/>
    <cellStyle name="Normal 3 66" xfId="5428" xr:uid="{2946DA54-F363-4D92-8074-4304DC51513C}"/>
    <cellStyle name="Normal 3 66 2" xfId="5433" xr:uid="{D2526965-E650-424B-9103-09F51D85FE78}"/>
    <cellStyle name="Normal 3 66 2 2" xfId="43406" xr:uid="{58EAB565-C3B0-4DE2-9A61-7A8729FDB317}"/>
    <cellStyle name="Normal 3 66 3" xfId="43407" xr:uid="{3D6F6B42-3A7B-4344-994C-EE015F14FB63}"/>
    <cellStyle name="Normal 3 67" xfId="5436" xr:uid="{06BD526D-AD30-4819-8437-A214552668F3}"/>
    <cellStyle name="Normal 3 67 2" xfId="43408" xr:uid="{157879FD-5D91-4B4F-A374-36AFDB677963}"/>
    <cellStyle name="Normal 3 67 2 2" xfId="43409" xr:uid="{16456FA8-E3E7-40D3-BC43-60EB8F8CD36C}"/>
    <cellStyle name="Normal 3 67 3" xfId="43410" xr:uid="{922EEC18-405D-4AC4-BE21-27BDCBC2492B}"/>
    <cellStyle name="Normal 3 68" xfId="5439" xr:uid="{DCA9F883-5F52-484F-9989-0D572F7E3189}"/>
    <cellStyle name="Normal 3 68 2" xfId="43411" xr:uid="{482F57D1-9534-4481-B0D5-16684C958E0F}"/>
    <cellStyle name="Normal 3 68 2 2" xfId="43412" xr:uid="{AEFAA395-7F7B-4602-A65B-4A8768BA7D2C}"/>
    <cellStyle name="Normal 3 68 3" xfId="43413" xr:uid="{BD225E9E-ACB4-48C4-90A3-4191E92AEF45}"/>
    <cellStyle name="Normal 3 69" xfId="43415" xr:uid="{8047C6DB-C336-4B0C-AAF7-9F01C8A01461}"/>
    <cellStyle name="Normal 3 69 2" xfId="43416" xr:uid="{D24008F3-BD6E-42D4-B78C-1B7A783C80CC}"/>
    <cellStyle name="Normal 3 7" xfId="43417" xr:uid="{779A1CE6-7365-43F9-96C3-3F896D04B6AC}"/>
    <cellStyle name="Normal 3 7 2" xfId="43418" xr:uid="{2633FE6A-430E-4DC2-B03C-74D65D674578}"/>
    <cellStyle name="Normal 3 7 2 2" xfId="43419" xr:uid="{BC573D43-4773-47FB-9862-55A5B0F7CE5E}"/>
    <cellStyle name="Normal 3 7 2 2 2" xfId="43420" xr:uid="{A7EA7F8D-62F1-4122-B539-29A521DAFC71}"/>
    <cellStyle name="Normal 3 7 2 2 2 2" xfId="43421" xr:uid="{B4C68E7D-DE1B-4411-8E3E-E8A13713086F}"/>
    <cellStyle name="Normal 3 7 2 2 2 2 2" xfId="43422" xr:uid="{21CCA29C-24A6-4C8B-9820-2CDF6AF06F1F}"/>
    <cellStyle name="Normal 3 7 2 2 2 3" xfId="43423" xr:uid="{55B5F809-D2E0-45DE-B8D3-CCB69BCB58BE}"/>
    <cellStyle name="Normal 3 7 2 2 3" xfId="43424" xr:uid="{AB841EFD-FB19-4350-9482-616E84FAC19E}"/>
    <cellStyle name="Normal 3 7 2 2 3 2" xfId="43425" xr:uid="{A90B016B-799C-4E6A-8B21-3B994185392B}"/>
    <cellStyle name="Normal 3 7 2 2 3 2 2" xfId="43426" xr:uid="{C94F4903-3E06-4BDD-A7CC-D738AEBC03D4}"/>
    <cellStyle name="Normal 3 7 2 2 3 3" xfId="43427" xr:uid="{01756CC1-3C99-4872-930F-8D3D2DCCA452}"/>
    <cellStyle name="Normal 3 7 2 2 4" xfId="43428" xr:uid="{4CB83C20-798C-48B8-9712-789FBF4EB576}"/>
    <cellStyle name="Normal 3 7 2 2 4 2" xfId="43429" xr:uid="{8B2FE3DA-2BBA-4D0D-8F09-A5183ABE778C}"/>
    <cellStyle name="Normal 3 7 2 2 5" xfId="43430" xr:uid="{EB653042-FFA9-4B9B-8F60-0CDF0A294456}"/>
    <cellStyle name="Normal 3 7 2 3" xfId="43431" xr:uid="{CBD17D40-1A06-45C5-AD43-0AED4055FE7A}"/>
    <cellStyle name="Normal 3 7 2 3 2" xfId="43432" xr:uid="{1EC85E32-7121-4DEC-9DE4-F0786CF06C68}"/>
    <cellStyle name="Normal 3 7 2 3 2 2" xfId="43433" xr:uid="{E4773978-F122-41EF-A895-215B0B23AE08}"/>
    <cellStyle name="Normal 3 7 2 3 3" xfId="43434" xr:uid="{91651982-146B-4224-A37A-7B775CC07025}"/>
    <cellStyle name="Normal 3 7 2 4" xfId="43435" xr:uid="{4D382C51-3558-4BED-B7C4-3A8B0034B3F1}"/>
    <cellStyle name="Normal 3 7 2 4 2" xfId="43436" xr:uid="{E6E1CA3D-B809-4A69-BD09-522427FA0E97}"/>
    <cellStyle name="Normal 3 7 2 4 2 2" xfId="14603" xr:uid="{A092C408-9293-4777-ABCA-90CB4E1DF2C2}"/>
    <cellStyle name="Normal 3 7 2 4 3" xfId="43437" xr:uid="{02C6AD0A-4B68-4DB7-B610-5014B3B1C08F}"/>
    <cellStyle name="Normal 3 7 2 5" xfId="43438" xr:uid="{660DC966-7051-45C2-8F08-4E70CBB7206F}"/>
    <cellStyle name="Normal 3 7 2 5 2" xfId="43439" xr:uid="{F1C26010-6C1A-4211-9F5D-3CB50D539123}"/>
    <cellStyle name="Normal 3 7 2 6" xfId="43440" xr:uid="{791A05BB-B592-43BE-815A-24854CA3AAB1}"/>
    <cellStyle name="Normal 3 7 3" xfId="43441" xr:uid="{0B166CA9-AB2B-405F-A174-1A29CE2F9BA6}"/>
    <cellStyle name="Normal 3 7 3 2" xfId="43442" xr:uid="{DDED1C83-168F-4485-858B-F9F2DC474BBE}"/>
    <cellStyle name="Normal 3 7 3 2 2" xfId="39581" xr:uid="{26ECB978-224E-4ED9-8A2E-C8D59B89AA37}"/>
    <cellStyle name="Normal 3 7 3 2 2 2" xfId="39583" xr:uid="{4B4E2F82-020E-41D7-BF88-11935E281DC7}"/>
    <cellStyle name="Normal 3 7 3 2 3" xfId="39592" xr:uid="{4480FDA7-597F-441E-BB13-38D1E9724ACD}"/>
    <cellStyle name="Normal 3 7 3 3" xfId="43443" xr:uid="{6CDC3B8C-FA76-4589-B432-39E1A99C47E5}"/>
    <cellStyle name="Normal 3 7 3 3 2" xfId="39663" xr:uid="{DA5A41BF-C9F0-4823-9D5A-CEF99BA9A250}"/>
    <cellStyle name="Normal 3 7 3 3 2 2" xfId="39665" xr:uid="{A900D4E5-092F-4A1F-A6B4-95BDD595E5C5}"/>
    <cellStyle name="Normal 3 7 3 3 3" xfId="39669" xr:uid="{01BAEBCE-C02C-425C-8D38-F76FC989B35E}"/>
    <cellStyle name="Normal 3 7 3 4" xfId="43444" xr:uid="{CCEF6829-9949-48D3-9552-A8A3815E1243}"/>
    <cellStyle name="Normal 3 7 3 4 2" xfId="39703" xr:uid="{71876E8B-C734-4690-A165-E33E90F671EB}"/>
    <cellStyle name="Normal 3 7 3 5" xfId="43445" xr:uid="{594248EC-F6A0-4A9B-BE2F-9C8E739115AC}"/>
    <cellStyle name="Normal 3 7 4" xfId="43446" xr:uid="{02A881AD-AEF0-4843-B094-CF2E9670F364}"/>
    <cellStyle name="Normal 3 7 4 2" xfId="43447" xr:uid="{417DD079-8BCB-486F-BE2B-75A04E309E04}"/>
    <cellStyle name="Normal 3 7 4 2 2" xfId="43448" xr:uid="{F320B622-6766-41E5-8193-0EB6AA1E0948}"/>
    <cellStyle name="Normal 3 7 4 3" xfId="43449" xr:uid="{E58B9F40-90D7-45B0-B6D4-E02CC88023C1}"/>
    <cellStyle name="Normal 3 7 5" xfId="43450" xr:uid="{FC4FEC06-CC44-47DF-86E1-6F1DFADAD4C5}"/>
    <cellStyle name="Normal 3 7 5 2" xfId="43451" xr:uid="{BB9BD564-EC88-4A7E-9E17-90D021E0B29A}"/>
    <cellStyle name="Normal 3 7 5 2 2" xfId="39906" xr:uid="{3BB34F8F-3AC0-4655-9C90-D0DC8A7C9694}"/>
    <cellStyle name="Normal 3 7 5 3" xfId="43452" xr:uid="{CD3E134B-A2A2-46A8-BA31-61373555E097}"/>
    <cellStyle name="Normal 3 7 6" xfId="43453" xr:uid="{09EA7548-8B48-4DBA-A543-B38F64047108}"/>
    <cellStyle name="Normal 3 7 6 2" xfId="43454" xr:uid="{AE7E53A6-0B35-4665-AB17-CE3172FDE935}"/>
    <cellStyle name="Normal 3 7 7" xfId="43456" xr:uid="{EAE3A8AD-4C1F-4C2E-A585-2B4406FC9AF3}"/>
    <cellStyle name="Normal 3 70" xfId="5419" xr:uid="{19418A37-7FA8-4950-A98B-421CF87DCCFF}"/>
    <cellStyle name="Normal 3 70 2" xfId="353" xr:uid="{5366AAB4-7A90-4201-9F79-15697E38CF2D}"/>
    <cellStyle name="Normal 3 71" xfId="5427" xr:uid="{65FF4E4E-43FF-4F09-B5D4-0A5936F5BA55}"/>
    <cellStyle name="Normal 3 71 2" xfId="5432" xr:uid="{28FE72B4-F124-4557-993E-8D102C601002}"/>
    <cellStyle name="Normal 3 72" xfId="5435" xr:uid="{EA573ACD-7E52-400E-BB48-389E44E4901A}"/>
    <cellStyle name="Normal 3 73" xfId="5438" xr:uid="{8D82B248-6153-432E-B384-69996D10AF73}"/>
    <cellStyle name="Normal 3 74" xfId="43414" xr:uid="{D9EEA7DF-E87D-4728-A0B5-49F4EA6C9E83}"/>
    <cellStyle name="Normal 3 75" xfId="43458" xr:uid="{C99FD3B8-9DF0-4708-9DE2-DF2CB2CB8039}"/>
    <cellStyle name="Normal 3 76" xfId="43460" xr:uid="{CB82E256-8671-4176-821C-77FA6A1B97BB}"/>
    <cellStyle name="Normal 3 76 2" xfId="43461" xr:uid="{655F55EB-0ABE-494C-8C77-1D47752C61BE}"/>
    <cellStyle name="Normal 3 77" xfId="43464" xr:uid="{5A6669EA-8581-460E-874E-3D4A16428FC0}"/>
    <cellStyle name="Normal 3 78" xfId="43467" xr:uid="{7D3B461F-7248-4F37-831F-01D94A42033D}"/>
    <cellStyle name="Normal 3 79" xfId="43469" xr:uid="{1654C59D-8FA3-460B-B3F2-5104CDF39A10}"/>
    <cellStyle name="Normal 3 8" xfId="43470" xr:uid="{A2834B03-9BB2-441E-8CB5-CE342D8E50B6}"/>
    <cellStyle name="Normal 3 8 2" xfId="43471" xr:uid="{C8DC19C0-000D-4065-BC0F-AA2E357EBEE5}"/>
    <cellStyle name="Normal 3 8 2 2" xfId="43472" xr:uid="{ECDD5B53-29E3-43E7-8FE2-72C0E8E1A7A6}"/>
    <cellStyle name="Normal 3 8 2 2 2" xfId="43474" xr:uid="{3FC2BD3B-6739-41C6-A45B-65E443D32E7F}"/>
    <cellStyle name="Normal 3 8 2 2 2 2" xfId="43476" xr:uid="{D429A39D-A818-42D7-8B98-A1D0A3249E81}"/>
    <cellStyle name="Normal 3 8 2 2 3" xfId="43478" xr:uid="{D3567DA5-8A45-4034-83A1-EF3F14820179}"/>
    <cellStyle name="Normal 3 8 2 3" xfId="43479" xr:uid="{F4EF0EE7-DD86-431F-BD7B-6904F8945783}"/>
    <cellStyle name="Normal 3 8 2 3 2" xfId="43481" xr:uid="{20885EB9-ECDB-4287-980D-A87801880EDA}"/>
    <cellStyle name="Normal 3 8 2 3 2 2" xfId="43483" xr:uid="{BF7C9A84-C22C-4DB2-8FD1-3532C2992AC6}"/>
    <cellStyle name="Normal 3 8 2 3 3" xfId="43485" xr:uid="{261F2813-33F4-4C52-9C68-C3DF0174B992}"/>
    <cellStyle name="Normal 3 8 2 4" xfId="43486" xr:uid="{46DCB0A6-5E4F-4E22-AA08-6FD1DC5A0C6C}"/>
    <cellStyle name="Normal 3 8 2 4 2" xfId="43488" xr:uid="{AD8281F2-F64D-4F4A-A0EE-363857C49DAF}"/>
    <cellStyle name="Normal 3 8 2 5" xfId="43489" xr:uid="{B0CD5B5E-CD1B-4178-9353-437812F5D387}"/>
    <cellStyle name="Normal 3 8 3" xfId="43490" xr:uid="{EE335436-4614-4236-BAA6-595474090979}"/>
    <cellStyle name="Normal 3 8 3 2" xfId="43491" xr:uid="{6714206F-2F5A-4B79-9522-CE2B5759F2C9}"/>
    <cellStyle name="Normal 3 8 3 2 2" xfId="43493" xr:uid="{B9144870-3879-45DF-98C7-7FC7525B1A5C}"/>
    <cellStyle name="Normal 3 8 3 3" xfId="43494" xr:uid="{5ABE21A6-6963-49A7-9B09-FFB317228035}"/>
    <cellStyle name="Normal 3 8 4" xfId="43495" xr:uid="{2BEA2090-900F-4DA5-BA76-01AABCDF38ED}"/>
    <cellStyle name="Normal 3 8 4 2" xfId="43496" xr:uid="{11391A4E-B578-4053-8266-2B34D0D9C35C}"/>
    <cellStyle name="Normal 3 8 4 2 2" xfId="43498" xr:uid="{AE38469C-6D8F-404D-AAAF-7A7D91636BA0}"/>
    <cellStyle name="Normal 3 8 4 3" xfId="43499" xr:uid="{5754BBE8-4647-4CF4-8A4F-B4CACEB1A755}"/>
    <cellStyle name="Normal 3 8 5" xfId="43500" xr:uid="{E9AAA4DE-DA35-4949-B956-64FE107A5F64}"/>
    <cellStyle name="Normal 3 8 5 2" xfId="43501" xr:uid="{96670DBC-850F-41E4-AEBD-9237EC16C622}"/>
    <cellStyle name="Normal 3 8 6" xfId="43502" xr:uid="{367742A1-C2A9-4EB8-BA32-1068E8EB4A4A}"/>
    <cellStyle name="Normal 3 80" xfId="43457" xr:uid="{85E24AD6-EBC4-431F-8AF2-9875DE75D146}"/>
    <cellStyle name="Normal 3 80 2" xfId="43503" xr:uid="{236D3EDE-0C7B-43F9-8AF8-30CEC3F66F41}"/>
    <cellStyle name="Normal 3 81" xfId="43459" xr:uid="{415CFE1E-2094-409E-9446-E054CAFD7A1C}"/>
    <cellStyle name="Normal 3 82" xfId="43463" xr:uid="{8450F017-D3F6-4B8D-B667-1F133A41D66B}"/>
    <cellStyle name="Normal 3 83" xfId="43466" xr:uid="{718317E2-B64D-48C9-B35B-FEAF79A79E73}"/>
    <cellStyle name="Normal 3 84" xfId="43468" xr:uid="{2BB66BF4-8B48-4C03-9C31-761FCAEA2A14}"/>
    <cellStyle name="Normal 3 84 2" xfId="43504" xr:uid="{8C226781-32A2-4EF7-89AC-B6A94B76C7DC}"/>
    <cellStyle name="Normal 3 85" xfId="43505" xr:uid="{0FB3730B-9B85-4CCE-9520-AF073FFB2D08}"/>
    <cellStyle name="Normal 3 85 2" xfId="54181" xr:uid="{58313393-E9BB-46AD-B0F4-99CE67CBDA28}"/>
    <cellStyle name="Normal 3 86" xfId="40435" xr:uid="{BD859077-6774-4428-8C4E-0EDF4899E09D}"/>
    <cellStyle name="Normal 3 9" xfId="43506" xr:uid="{4A0CA4BB-4AB3-47A5-A1BD-C2488C3EBED2}"/>
    <cellStyle name="Normal 3 9 2" xfId="43507" xr:uid="{6B36FD83-00CD-4EF7-B515-5DC2E56ED301}"/>
    <cellStyle name="Normal 3 9 2 2" xfId="43508" xr:uid="{474D1582-E922-4BAB-BFAD-873A51E4A70F}"/>
    <cellStyle name="Normal 3 9 2 2 2" xfId="43509" xr:uid="{E794F720-3179-4B2C-8864-98686031E699}"/>
    <cellStyle name="Normal 3 9 2 3" xfId="43510" xr:uid="{FE73C32F-3F77-4998-924D-07355F3A13BC}"/>
    <cellStyle name="Normal 3 9 2 4" xfId="43511" xr:uid="{5D1574B8-5596-42B0-A84E-21E840D59462}"/>
    <cellStyle name="Normal 3 9 2 4 2" xfId="43512" xr:uid="{633B22B3-9093-41E4-AEC2-3A5C5BE85CFB}"/>
    <cellStyle name="Normal 3 9 3" xfId="43513" xr:uid="{5CA7628E-86C2-4D40-A610-8E9E096C7DCF}"/>
    <cellStyle name="Normal 3 9 3 2" xfId="43514" xr:uid="{C5CEAADE-1C2C-4DA0-88B3-88FC49121D12}"/>
    <cellStyle name="Normal 3 9 3 2 2" xfId="43515" xr:uid="{6344D5BD-E9AA-44CE-BF9D-F929EFE6B144}"/>
    <cellStyle name="Normal 3 9 3 3" xfId="43516" xr:uid="{E185F775-6304-4DF3-A5C9-6C2AA9C3B475}"/>
    <cellStyle name="Normal 3 9 4" xfId="43517" xr:uid="{2D762949-F773-4BE5-8250-D168CC7AB0C7}"/>
    <cellStyle name="Normal 3 9 4 2" xfId="43518" xr:uid="{696770FF-390A-4AFA-941E-84E74D6F3F11}"/>
    <cellStyle name="Normal 3 9 5" xfId="43519" xr:uid="{B7D91FAE-F5A8-4049-836B-73F90D20AED7}"/>
    <cellStyle name="Normal 3_Bilangan Kes A11 berbanding dengan data bersih JP Negeri_alam sekitar_p190112" xfId="43521" xr:uid="{2DCABDB2-96A7-428C-A552-F514817D5745}"/>
    <cellStyle name="Normal 30" xfId="38091" xr:uid="{8872C53D-41AA-4C6B-A8C6-BA7553B106E2}"/>
    <cellStyle name="Normal 30 2" xfId="38093" xr:uid="{FDCBC255-9909-4AF8-B65C-28CFD6A92C6C}"/>
    <cellStyle name="Normal 30 2 2" xfId="38095" xr:uid="{C9B0C295-5B51-4D25-8DBA-7BC1F4A2B00E}"/>
    <cellStyle name="Normal 30 2 2 2" xfId="43522" xr:uid="{9C624E00-AF98-4029-AAA9-60B478C3E00F}"/>
    <cellStyle name="Normal 30 3" xfId="38098" xr:uid="{032FBF9D-460F-4B7A-8B5C-EE7499DFFE58}"/>
    <cellStyle name="Normal 300" xfId="30468" xr:uid="{1035CD10-21CC-4EFD-89F5-8FEB1F90B192}"/>
    <cellStyle name="Normal 300 2" xfId="34904" xr:uid="{E54EDCED-C9D4-490D-82B3-513873395E1D}"/>
    <cellStyle name="Normal 300 2 2" xfId="34909" xr:uid="{CA729046-0F6B-48C4-B1A8-154110B75419}"/>
    <cellStyle name="Normal 300 3" xfId="34914" xr:uid="{C99F911E-4002-4E2A-848B-1FA3DE769B1E}"/>
    <cellStyle name="Normal 301" xfId="29739" xr:uid="{CD0DE955-C686-4C88-9046-4517495361CA}"/>
    <cellStyle name="Normal 301 2" xfId="34919" xr:uid="{5B514407-9228-47DE-8A42-EA8FE548E52E}"/>
    <cellStyle name="Normal 301 2 2" xfId="34924" xr:uid="{124F81A7-4094-4ACC-AB53-8D1A1A73282D}"/>
    <cellStyle name="Normal 301 3" xfId="34929" xr:uid="{DC53A074-278E-4112-BD0B-4D215C3209D0}"/>
    <cellStyle name="Normal 302" xfId="28306" xr:uid="{27E9CB3F-5718-4E79-8CB5-C969FFF35EA5}"/>
    <cellStyle name="Normal 302 2" xfId="28314" xr:uid="{F0328CD5-F49D-45EB-9A3D-9AC6DB6B74E5}"/>
    <cellStyle name="Normal 302 2 2" xfId="28320" xr:uid="{A35CE03E-E3B3-4729-815C-38CDC0BE1B50}"/>
    <cellStyle name="Normal 302 3" xfId="21911" xr:uid="{75FFA91F-9438-488F-9F58-3CC344CD6408}"/>
    <cellStyle name="Normal 303" xfId="28336" xr:uid="{2795AB71-DA27-47A5-BDF0-05BBB0A947C1}"/>
    <cellStyle name="Normal 303 2" xfId="28344" xr:uid="{86063432-D358-4494-B06C-3D9D42AC3081}"/>
    <cellStyle name="Normal 303 2 2" xfId="28352" xr:uid="{C1CE973A-AA70-487A-9832-074EDA5645B5}"/>
    <cellStyle name="Normal 303 3" xfId="28364" xr:uid="{472A7FE7-3DEF-4A3A-8586-D726D28B7998}"/>
    <cellStyle name="Normal 304" xfId="28375" xr:uid="{766A3EB7-BE5B-4DAA-9DA4-7CD284C4836C}"/>
    <cellStyle name="Normal 304 2" xfId="28382" xr:uid="{CD150AC1-54FC-4522-ACE1-293E4833A172}"/>
    <cellStyle name="Normal 304 2 2" xfId="28389" xr:uid="{05997570-3A1B-4F52-B5DF-124A237ACB32}"/>
    <cellStyle name="Normal 304 3" xfId="28396" xr:uid="{7E55A3D3-E68B-4BDF-98DC-31A38F23F5BB}"/>
    <cellStyle name="Normal 305" xfId="28403" xr:uid="{D50BEEC1-EC63-48FA-B2CE-BF501306E98C}"/>
    <cellStyle name="Normal 305 2" xfId="12031" xr:uid="{EC909287-2C43-46A0-BBBD-891D64082745}"/>
    <cellStyle name="Normal 305 2 2" xfId="38107" xr:uid="{FE60B6A4-D04F-41FA-9AD3-DECA6DEC02E0}"/>
    <cellStyle name="Normal 305 3" xfId="38112" xr:uid="{B41439CD-828F-4508-A68B-D3E34A157B93}"/>
    <cellStyle name="Normal 306" xfId="5209" xr:uid="{815E49A5-E386-4C5B-954F-1CD0469A500B}"/>
    <cellStyle name="Normal 306 2" xfId="5218" xr:uid="{369CB140-9A4E-4706-A26E-F58FBC288477}"/>
    <cellStyle name="Normal 306 2 2" xfId="38117" xr:uid="{8F368439-1815-4533-B58F-A7EB134DB4DB}"/>
    <cellStyle name="Normal 306 3" xfId="38122" xr:uid="{2126B531-6FE5-4435-ADEF-A360591E6BDD}"/>
    <cellStyle name="Normal 307" xfId="5225" xr:uid="{C00F4037-5869-4B34-9608-2A32A11403CC}"/>
    <cellStyle name="Normal 307 2" xfId="38127" xr:uid="{2952C857-51D1-4208-9271-840D62AFF7FE}"/>
    <cellStyle name="Normal 307 2 2" xfId="38132" xr:uid="{0C5DD653-F66E-4ED7-B0B2-E72B2EE9C605}"/>
    <cellStyle name="Normal 307 3" xfId="38137" xr:uid="{8116D755-738B-4D26-AE9B-410D4A747E4C}"/>
    <cellStyle name="Normal 308" xfId="38141" xr:uid="{32000EFB-526A-4B31-9E71-BF87B393EEA7}"/>
    <cellStyle name="Normal 308 2" xfId="38146" xr:uid="{4C87E42A-9137-4ECE-81AF-1E7EAE43E865}"/>
    <cellStyle name="Normal 308 2 2" xfId="38151" xr:uid="{C3154D86-56AE-42FE-8540-C18D518DD237}"/>
    <cellStyle name="Normal 308 3" xfId="38157" xr:uid="{52EFC5FC-F90B-4670-A263-E6E424046BFC}"/>
    <cellStyle name="Normal 309" xfId="38161" xr:uid="{840B6784-637F-4217-BD58-BDA0E8AEB718}"/>
    <cellStyle name="Normal 309 2" xfId="21737" xr:uid="{2E1482EC-1369-4A07-BF75-94F99C26325E}"/>
    <cellStyle name="Normal 309 2 2" xfId="21742" xr:uid="{F6D45F30-1169-4DC6-A8F9-F6E88909C2AA}"/>
    <cellStyle name="Normal 309 3" xfId="21748" xr:uid="{F90C8E53-5E57-496E-96C2-68E85F95898B}"/>
    <cellStyle name="Normal 31" xfId="38164" xr:uid="{1C72C455-38BD-4B44-92EE-DE97E29D1832}"/>
    <cellStyle name="Normal 31 2" xfId="38166" xr:uid="{CB805DA2-F0C8-4830-9C4B-7FA19CD629BC}"/>
    <cellStyle name="Normal 31 2 2" xfId="38168" xr:uid="{6B084C21-438A-4B97-A3CF-0457FA79E873}"/>
    <cellStyle name="Normal 310" xfId="28402" xr:uid="{2AF31F28-2447-4F7E-986E-70130E25F634}"/>
    <cellStyle name="Normal 310 2" xfId="12030" xr:uid="{14843FC6-1328-4AE6-A8E9-BADEE715861A}"/>
    <cellStyle name="Normal 310 2 2" xfId="38106" xr:uid="{AD6834B6-0231-4E1A-9D39-6C6A54A926A9}"/>
    <cellStyle name="Normal 310 3" xfId="38111" xr:uid="{4975661A-C013-4BB0-BCA7-8F68F49749B5}"/>
    <cellStyle name="Normal 311" xfId="5208" xr:uid="{8967E511-2013-409B-B990-673C53530329}"/>
    <cellStyle name="Normal 311 2" xfId="5217" xr:uid="{8BF4FDF8-8748-452C-977E-D5283882D3A4}"/>
    <cellStyle name="Normal 311 2 2" xfId="38116" xr:uid="{C530BC03-F446-434C-93A7-506FD58AEE0E}"/>
    <cellStyle name="Normal 311 3" xfId="38121" xr:uid="{CBDD629F-3865-401D-846A-707E655DECF1}"/>
    <cellStyle name="Normal 312" xfId="5224" xr:uid="{4662A34C-8037-4113-9BAD-A5DD1E3E75AD}"/>
    <cellStyle name="Normal 312 2" xfId="38126" xr:uid="{28339E1C-A2CB-4BED-98BA-83CDEBBD0B72}"/>
    <cellStyle name="Normal 312 2 2" xfId="38131" xr:uid="{4A2128A0-BBFC-403B-8C4A-7B633B84226F}"/>
    <cellStyle name="Normal 312 3" xfId="38136" xr:uid="{3817C971-0D56-41A4-B3A5-FF1144E07200}"/>
    <cellStyle name="Normal 313" xfId="38140" xr:uid="{6A3076ED-F148-4B64-828A-F7F0E9D23EEA}"/>
    <cellStyle name="Normal 313 2" xfId="38145" xr:uid="{B1DDCFA7-C124-4BA1-87F9-4154469053DA}"/>
    <cellStyle name="Normal 313 2 2" xfId="38150" xr:uid="{C081C7CB-EC36-43ED-9DE2-4202C11F16F0}"/>
    <cellStyle name="Normal 313 3" xfId="38156" xr:uid="{61396F9D-C589-4DD7-BBF9-34B0478116B1}"/>
    <cellStyle name="Normal 314" xfId="38160" xr:uid="{218965CE-8767-4DD5-B54E-241E5B2F3F99}"/>
    <cellStyle name="Normal 314 2" xfId="21736" xr:uid="{D9853AD5-7264-4061-B7FD-8382090A4AAE}"/>
    <cellStyle name="Normal 314 2 2" xfId="21741" xr:uid="{78DEAC2C-7709-4D67-87C2-B399449E71FD}"/>
    <cellStyle name="Normal 314 3" xfId="21747" xr:uid="{A5ABF98E-46C9-4797-9D62-868FF0622489}"/>
    <cellStyle name="Normal 315" xfId="38175" xr:uid="{6DB0DAF5-B2E7-4942-A1BB-598A08CA598E}"/>
    <cellStyle name="Normal 315 2" xfId="21760" xr:uid="{8D8DDB1E-EBE7-464E-A518-10A5C04ED5D5}"/>
    <cellStyle name="Normal 315 2 2" xfId="38179" xr:uid="{6B681CA2-8DD0-4F83-BD4F-2ED0EC6B7261}"/>
    <cellStyle name="Normal 315 3" xfId="38184" xr:uid="{843BF0CB-4C1C-40EB-BFD7-815E909898BB}"/>
    <cellStyle name="Normal 316" xfId="38188" xr:uid="{D2E690FB-7E38-477A-8DEE-ED9977E41C10}"/>
    <cellStyle name="Normal 316 2" xfId="38192" xr:uid="{4A0D39A0-96C5-44D4-A7AE-E22C0D9732E1}"/>
    <cellStyle name="Normal 316 2 2" xfId="38196" xr:uid="{1FE89C14-FB8E-4F70-A876-1729CE8923B8}"/>
    <cellStyle name="Normal 316 3" xfId="38201" xr:uid="{A04FE3E1-53DF-4A2E-91EA-F4305DD38BF4}"/>
    <cellStyle name="Normal 317" xfId="38205" xr:uid="{7E93DF8B-D957-4FA6-B54C-0C336D98F7E5}"/>
    <cellStyle name="Normal 317 2" xfId="38209" xr:uid="{AFC274B1-54DD-4116-8F08-FAED27F84573}"/>
    <cellStyle name="Normal 317 2 2" xfId="38213" xr:uid="{24D2E257-EE80-4554-88BA-965400874335}"/>
    <cellStyle name="Normal 317 3" xfId="38217" xr:uid="{D17DDB81-353E-4040-914A-2B8475F24C59}"/>
    <cellStyle name="Normal 318" xfId="38221" xr:uid="{0E881D83-6A5A-4993-A880-1595155D0BD4}"/>
    <cellStyle name="Normal 318 2" xfId="38225" xr:uid="{F1D88A07-6D10-4D65-8F96-E423EFB9C210}"/>
    <cellStyle name="Normal 318 2 2" xfId="38229" xr:uid="{4A51E279-0CB5-4743-89F9-FE44DE4361BC}"/>
    <cellStyle name="Normal 318 3" xfId="38233" xr:uid="{1C1E8BFD-EC67-4233-BA56-735DBB21BD67}"/>
    <cellStyle name="Normal 319" xfId="38237" xr:uid="{9FAE4B3C-F295-4C48-9649-8423C7910D8B}"/>
    <cellStyle name="Normal 319 2" xfId="38241" xr:uid="{0EF1094D-AD12-4385-B9E0-CB85BEE688A5}"/>
    <cellStyle name="Normal 319 2 2" xfId="38245" xr:uid="{A884EEC1-5188-4489-8C95-A63769B53BE1}"/>
    <cellStyle name="Normal 319 3" xfId="38249" xr:uid="{70BE20A5-147E-41D8-8957-14ACD2B6AD48}"/>
    <cellStyle name="Normal 32" xfId="38252" xr:uid="{0148AA32-10DA-4EFB-9E17-BBC528C102AA}"/>
    <cellStyle name="Normal 32 2" xfId="24148" xr:uid="{5E07BBDA-CD87-47E3-85E8-F87F2662B932}"/>
    <cellStyle name="Normal 32 3" xfId="24155" xr:uid="{D78D81A8-29E2-400E-8244-E9646C60F1A9}"/>
    <cellStyle name="Normal 320" xfId="38174" xr:uid="{0C1069DE-595E-46F4-811D-D49563C3ACEA}"/>
    <cellStyle name="Normal 320 2" xfId="21759" xr:uid="{01AF3B46-C399-437F-A941-765804CBFBDB}"/>
    <cellStyle name="Normal 320 2 2" xfId="38178" xr:uid="{FA486909-F2BB-4F60-B61E-9FF8E250609D}"/>
    <cellStyle name="Normal 320 3" xfId="38183" xr:uid="{424EBE12-3343-4525-95D7-F306CAEF9554}"/>
    <cellStyle name="Normal 321" xfId="38187" xr:uid="{B3A8FDF6-26A9-4EE6-976A-3B8C6552F7CD}"/>
    <cellStyle name="Normal 321 2" xfId="38191" xr:uid="{E69FF0AB-E7D1-4415-AEF7-E4DA28B85493}"/>
    <cellStyle name="Normal 321 2 2" xfId="38195" xr:uid="{43143037-298D-4272-AE08-7EC923C8B6C3}"/>
    <cellStyle name="Normal 321 3" xfId="38200" xr:uid="{9D684567-A020-4933-A7B5-31F94EE86084}"/>
    <cellStyle name="Normal 322" xfId="38204" xr:uid="{31A5CE9B-A8CF-4BC6-9D50-21989F35A65F}"/>
    <cellStyle name="Normal 322 2" xfId="38208" xr:uid="{D916924E-69F9-4C3D-BF98-A3E45A3A65A8}"/>
    <cellStyle name="Normal 322 2 2" xfId="38212" xr:uid="{7E671E9F-8A56-4DD2-9C96-154B418E2DD4}"/>
    <cellStyle name="Normal 322 3" xfId="38216" xr:uid="{3DF5AC62-79CF-44B8-BBA2-959586D35E99}"/>
    <cellStyle name="Normal 323" xfId="38220" xr:uid="{578ED9ED-11C0-419B-8226-55FC1C7EA39B}"/>
    <cellStyle name="Normal 323 2" xfId="38224" xr:uid="{075C1028-F383-4EA6-B210-3AC5DDB3C4C5}"/>
    <cellStyle name="Normal 323 2 2" xfId="38228" xr:uid="{B8DACEEB-50D3-40DF-B5C1-F65135E4682D}"/>
    <cellStyle name="Normal 323 3" xfId="38232" xr:uid="{93E73D05-14CE-420D-B9CF-CFDD6E384C3A}"/>
    <cellStyle name="Normal 324" xfId="38236" xr:uid="{DA29EE1A-E251-4731-852D-36EEC2189369}"/>
    <cellStyle name="Normal 324 2" xfId="38240" xr:uid="{F8C26850-822E-41B4-A727-983FE83D8B98}"/>
    <cellStyle name="Normal 324 2 2" xfId="38244" xr:uid="{F00996DB-BD14-4B8D-9A46-54AA9FC001F2}"/>
    <cellStyle name="Normal 324 3" xfId="38248" xr:uid="{9985583F-52F0-417F-BD90-15EE5332B9BE}"/>
    <cellStyle name="Normal 325" xfId="40238" xr:uid="{165A7B0E-4DCE-426D-ACF5-967FD3F54434}"/>
    <cellStyle name="Normal 325 2" xfId="40242" xr:uid="{8DC776ED-F595-4E2C-9839-B818E96484D8}"/>
    <cellStyle name="Normal 325 2 2" xfId="40246" xr:uid="{C4E4207F-449C-481C-9BD4-773683B4EEB2}"/>
    <cellStyle name="Normal 325 3" xfId="40250" xr:uid="{817089EE-FBBC-4C74-AD34-225E5F952D64}"/>
    <cellStyle name="Normal 326" xfId="40254" xr:uid="{792E3CBE-1AF3-4C37-9E8A-990A7436CD2D}"/>
    <cellStyle name="Normal 326 2" xfId="40258" xr:uid="{320D3646-B871-43B5-8518-E6EED42338A5}"/>
    <cellStyle name="Normal 326 2 2" xfId="40262" xr:uid="{0CE71C44-0B55-407E-AAF7-CCA266C7ECDB}"/>
    <cellStyle name="Normal 326 3" xfId="40266" xr:uid="{B0C8B117-B0E3-40AB-BA2E-4B817B600F8E}"/>
    <cellStyle name="Normal 327" xfId="40270" xr:uid="{8753F0DF-C3D5-4611-BA81-182996B964E1}"/>
    <cellStyle name="Normal 327 2" xfId="40274" xr:uid="{846FF4A7-E8C2-407F-ACD7-B8971C8275C5}"/>
    <cellStyle name="Normal 327 2 2" xfId="40278" xr:uid="{69687405-6F0D-4979-B597-6FD4FEF7360D}"/>
    <cellStyle name="Normal 327 3" xfId="40282" xr:uid="{54BE5AAB-D24E-4925-B980-DE5CD85BC896}"/>
    <cellStyle name="Normal 328" xfId="40286" xr:uid="{8E42322E-9DAF-46B7-9A44-C2844B0416D5}"/>
    <cellStyle name="Normal 328 2" xfId="40290" xr:uid="{94EABA5C-0BFD-4F7B-9365-7A94D5ED67FD}"/>
    <cellStyle name="Normal 328 2 2" xfId="40294" xr:uid="{58DD4C05-8EC0-4C54-A737-A4F6E64F7C75}"/>
    <cellStyle name="Normal 328 3" xfId="40298" xr:uid="{952CAED0-5BE9-41F7-B73C-0B76B7FE6967}"/>
    <cellStyle name="Normal 329" xfId="40302" xr:uid="{8962CA64-D7B5-4A09-9521-347AEBF6369F}"/>
    <cellStyle name="Normal 329 2" xfId="40306" xr:uid="{90C703D5-2F81-460A-97A0-AFB526066F0E}"/>
    <cellStyle name="Normal 329 2 2" xfId="40310" xr:uid="{3FE7105A-0408-4524-9E8C-1EE980268D6C}"/>
    <cellStyle name="Normal 329 3" xfId="40314" xr:uid="{17133856-B05F-44BB-9321-ED5D6A8D3331}"/>
    <cellStyle name="Normal 33" xfId="40317" xr:uid="{22A293C8-B80C-404D-BD4F-7C2A90DA277B}"/>
    <cellStyle name="Normal 33 10" xfId="43523" xr:uid="{CCBEEAE8-7163-4AFB-B454-C8210DC36B30}"/>
    <cellStyle name="Normal 33 10 2" xfId="43524" xr:uid="{F4441AA5-71B1-4D7F-9D48-A9709CC55056}"/>
    <cellStyle name="Normal 33 10 2 2" xfId="34262" xr:uid="{4633D7BD-7DDC-4739-B925-59E5220EAB3F}"/>
    <cellStyle name="Normal 33 10 2 2 2" xfId="400" xr:uid="{6BE13932-F04A-4116-B4F0-2D928764F7E6}"/>
    <cellStyle name="Normal 33 10 2 2 2 2" xfId="37234" xr:uid="{8E5B4FEC-57E0-43DD-9DC6-40CCD8AA977A}"/>
    <cellStyle name="Normal 33 10 2 2 3" xfId="405" xr:uid="{75625CBC-FCA8-4A3F-85D3-68C5838088C5}"/>
    <cellStyle name="Normal 33 10 2 3" xfId="43525" xr:uid="{966429C1-6D0F-45F5-8719-4007C9926B0E}"/>
    <cellStyle name="Normal 33 10 2 3 2" xfId="37255" xr:uid="{5D080A61-680D-426C-9D57-837E424D6256}"/>
    <cellStyle name="Normal 33 10 2 4" xfId="43526" xr:uid="{D839BC4F-B0F6-4F6D-A959-94386221009B}"/>
    <cellStyle name="Normal 33 10 3" xfId="43527" xr:uid="{60F206FD-F50E-4234-8D15-2DED3D11B907}"/>
    <cellStyle name="Normal 33 10 3 2" xfId="43528" xr:uid="{0EACA099-6303-422A-B21A-4A30E263EAED}"/>
    <cellStyle name="Normal 33 10 3 2 2" xfId="37320" xr:uid="{65ED0527-F37A-489B-950F-1DAEF27896A1}"/>
    <cellStyle name="Normal 33 10 3 3" xfId="43529" xr:uid="{5BD44EA5-2200-4466-86DD-449AA51B149F}"/>
    <cellStyle name="Normal 33 10 4" xfId="43530" xr:uid="{2373B044-94E2-45D4-BFB4-AC43E4AA731A}"/>
    <cellStyle name="Normal 33 10 4 2" xfId="43531" xr:uid="{4EA389D0-A665-4F7D-8A84-80D2A139EDD7}"/>
    <cellStyle name="Normal 33 10 5" xfId="43532" xr:uid="{3EA751F4-3C32-4E84-AEC5-A5F2BF633868}"/>
    <cellStyle name="Normal 33 11" xfId="43533" xr:uid="{645C2A23-97D8-46FC-BB81-730CF4729E5C}"/>
    <cellStyle name="Normal 33 11 2" xfId="43534" xr:uid="{35D766D0-B664-4619-928D-BBBA19C1513F}"/>
    <cellStyle name="Normal 33 11 2 2" xfId="43535" xr:uid="{49D0D253-EA27-46B1-9499-EF009207BDB2}"/>
    <cellStyle name="Normal 33 11 2 2 2" xfId="37423" xr:uid="{F04A255D-3777-478F-BEA0-6A77EED4EE90}"/>
    <cellStyle name="Normal 33 11 2 3" xfId="43536" xr:uid="{BB483485-BDCE-4838-8B54-E0364D8AEA76}"/>
    <cellStyle name="Normal 33 11 3" xfId="43537" xr:uid="{A7F32F7F-68A3-45EB-BA3B-BCC2B84D52BB}"/>
    <cellStyle name="Normal 33 11 3 2" xfId="43538" xr:uid="{8B77CB21-9E7B-4BA9-93BF-4CA36D970488}"/>
    <cellStyle name="Normal 33 11 4" xfId="43539" xr:uid="{300F4DFB-2762-4842-A6F0-051A10D5AD11}"/>
    <cellStyle name="Normal 33 12" xfId="43540" xr:uid="{A4648734-5DA1-4DA9-A95F-F3629B429AEE}"/>
    <cellStyle name="Normal 33 12 2" xfId="43541" xr:uid="{E294637A-9E0D-4CD1-85DD-945C694C75B9}"/>
    <cellStyle name="Normal 33 12 2 2" xfId="43542" xr:uid="{0209048D-7FE3-4F54-9E9D-22BE1834BE76}"/>
    <cellStyle name="Normal 33 12 3" xfId="43543" xr:uid="{4B30237A-861E-4BDD-86FC-9D3130D1101D}"/>
    <cellStyle name="Normal 33 13" xfId="43544" xr:uid="{C0CFA5C5-EB23-430A-A01A-DC18127024EA}"/>
    <cellStyle name="Normal 33 13 2" xfId="43545" xr:uid="{49D0FA55-4815-4BA0-9E2D-D10978D556CA}"/>
    <cellStyle name="Normal 33 14" xfId="43546" xr:uid="{448177E7-14D9-44EA-BA97-8F5BB1859F70}"/>
    <cellStyle name="Normal 33 15" xfId="43547" xr:uid="{433EADA3-A37E-4D6A-98B8-7638054021BC}"/>
    <cellStyle name="Normal 33 16" xfId="43548" xr:uid="{1D8CF671-2604-465E-A0FA-3FA62159D7E7}"/>
    <cellStyle name="Normal 33 17" xfId="43549" xr:uid="{50C67481-DFCF-4874-8440-877636CC7EB9}"/>
    <cellStyle name="Normal 33 2" xfId="24173" xr:uid="{1EE2E11E-57A6-4B8C-8F3D-312986663699}"/>
    <cellStyle name="Normal 33 2 10" xfId="43550" xr:uid="{0323E933-BAAE-4D73-A86F-50ADCEC4AF19}"/>
    <cellStyle name="Normal 33 2 10 2" xfId="43551" xr:uid="{D77D3830-9767-48DC-87C3-288BADC714EA}"/>
    <cellStyle name="Normal 33 2 10 2 2" xfId="43552" xr:uid="{AE82D097-6435-47D1-BE08-E1D513D2F263}"/>
    <cellStyle name="Normal 33 2 10 3" xfId="43553" xr:uid="{57CAB774-036D-4FA1-8F2F-E56967760493}"/>
    <cellStyle name="Normal 33 2 11" xfId="43554" xr:uid="{4D78D06C-8F93-47E3-B727-CCD89750339A}"/>
    <cellStyle name="Normal 33 2 11 2" xfId="43555" xr:uid="{B24DB3A3-06B7-467B-886A-900DF132F53D}"/>
    <cellStyle name="Normal 33 2 12" xfId="43556" xr:uid="{548E64A7-A0DD-4ABC-811C-4B474F6B7997}"/>
    <cellStyle name="Normal 33 2 13" xfId="43557" xr:uid="{65DD87D7-3DF2-4C03-A3C6-4848CD34596B}"/>
    <cellStyle name="Normal 33 2 14" xfId="43558" xr:uid="{259B42D3-D7AF-4506-955C-2F95330F0F1D}"/>
    <cellStyle name="Normal 33 2 15" xfId="43559" xr:uid="{244EAC7F-B4B8-428E-A80A-15D5C7D0E955}"/>
    <cellStyle name="Normal 33 2 16" xfId="43560" xr:uid="{F486F1C7-8532-44D0-82BC-305C0BAB826B}"/>
    <cellStyle name="Normal 33 2 2" xfId="11852" xr:uid="{FD50CF3E-0068-4EE1-87E7-A5B55F2C5717}"/>
    <cellStyle name="Normal 33 2 2 10" xfId="43561" xr:uid="{0FB5E7D2-3293-45CE-9752-F56F33FE3AE7}"/>
    <cellStyle name="Normal 33 2 2 10 2" xfId="43562" xr:uid="{71410876-579B-415F-9678-47DF3B753581}"/>
    <cellStyle name="Normal 33 2 2 11" xfId="43563" xr:uid="{958B2EE6-865E-49BC-9E39-FAAFEF0DEFD7}"/>
    <cellStyle name="Normal 33 2 2 12" xfId="14757" xr:uid="{76B1AA7B-4FB9-4445-AA3C-449BA10CD779}"/>
    <cellStyle name="Normal 33 2 2 13" xfId="43564" xr:uid="{3170ECAC-6F38-49F9-87FE-311400CD1AF6}"/>
    <cellStyle name="Normal 33 2 2 2" xfId="11857" xr:uid="{A7A72980-15BE-4E43-A2F2-3B6663CEE5F4}"/>
    <cellStyle name="Normal 33 2 2 2 10" xfId="43565" xr:uid="{5801D132-25C1-4CE4-9EAE-8E1EFB6D54DE}"/>
    <cellStyle name="Normal 33 2 2 2 11" xfId="43566" xr:uid="{2D6E4187-44E3-47B8-8463-C506E5185909}"/>
    <cellStyle name="Normal 33 2 2 2 2" xfId="43567" xr:uid="{BD3719EF-0326-4FB4-800E-8B6A1395791B}"/>
    <cellStyle name="Normal 33 2 2 2 2 10" xfId="43568" xr:uid="{969AABC9-15FC-416A-9862-2E5F12A121CA}"/>
    <cellStyle name="Normal 33 2 2 2 2 2" xfId="43569" xr:uid="{B035B3E2-1B63-4BA2-9BF3-D3145DF10FC7}"/>
    <cellStyle name="Normal 33 2 2 2 2 2 2" xfId="43570" xr:uid="{38F9968F-1D1D-4B7D-84A2-C38490733F74}"/>
    <cellStyle name="Normal 33 2 2 2 2 2 2 2" xfId="43571" xr:uid="{68DBFD29-0FE6-4DA3-AFA7-F320B03F90A0}"/>
    <cellStyle name="Normal 33 2 2 2 2 2 2 2 2" xfId="43572" xr:uid="{5B0FBD6B-6492-4300-8676-84FCC7F4A086}"/>
    <cellStyle name="Normal 33 2 2 2 2 2 2 2 2 2" xfId="43573" xr:uid="{8F9F091B-F924-4563-B80D-E37C543786DE}"/>
    <cellStyle name="Normal 33 2 2 2 2 2 2 2 2 2 2" xfId="43574" xr:uid="{6F66AF12-E776-46B0-B4C2-DE22F99F6AF0}"/>
    <cellStyle name="Normal 33 2 2 2 2 2 2 2 2 2 2 2" xfId="43575" xr:uid="{09B42FEC-E8EC-49D1-8245-8431A5C34F2E}"/>
    <cellStyle name="Normal 33 2 2 2 2 2 2 2 2 2 2 2 2" xfId="43576" xr:uid="{C2045F62-52CF-4FD1-B1F6-3ECC8F84E817}"/>
    <cellStyle name="Normal 33 2 2 2 2 2 2 2 2 2 2 3" xfId="43577" xr:uid="{FEF84E09-5E8C-415A-BDED-0F601D076BBF}"/>
    <cellStyle name="Normal 33 2 2 2 2 2 2 2 2 2 3" xfId="43578" xr:uid="{82CFD0F2-2221-4419-A4F5-0983EF7E63EE}"/>
    <cellStyle name="Normal 33 2 2 2 2 2 2 2 2 2 3 2" xfId="43579" xr:uid="{38222A29-3209-4EDA-AE86-570E9F2D1EC8}"/>
    <cellStyle name="Normal 33 2 2 2 2 2 2 2 2 2 4" xfId="43580" xr:uid="{5CCB3ED9-5214-46EF-9350-7CC15286A5D9}"/>
    <cellStyle name="Normal 33 2 2 2 2 2 2 2 2 3" xfId="43581" xr:uid="{EF75FE8D-4CD0-4921-B22E-81A197321EF7}"/>
    <cellStyle name="Normal 33 2 2 2 2 2 2 2 2 3 2" xfId="43582" xr:uid="{CE1717E6-154D-4B68-8381-1CCFD4D60442}"/>
    <cellStyle name="Normal 33 2 2 2 2 2 2 2 2 3 2 2" xfId="43583" xr:uid="{F74D4288-ED79-46D8-A09F-4E0B04B793AC}"/>
    <cellStyle name="Normal 33 2 2 2 2 2 2 2 2 3 3" xfId="43584" xr:uid="{A49AEBFB-A2DD-4B1B-BDF4-0D6B3D1C6E2F}"/>
    <cellStyle name="Normal 33 2 2 2 2 2 2 2 2 4" xfId="43585" xr:uid="{96C2F8D8-C51C-429D-9BCD-3091B47CA2F3}"/>
    <cellStyle name="Normal 33 2 2 2 2 2 2 2 2 4 2" xfId="17747" xr:uid="{A835B34D-5968-4774-9836-90BD5CCEFB28}"/>
    <cellStyle name="Normal 33 2 2 2 2 2 2 2 2 5" xfId="43586" xr:uid="{F3079338-712F-42A1-9477-A49F4E11E37F}"/>
    <cellStyle name="Normal 33 2 2 2 2 2 2 2 3" xfId="43587" xr:uid="{7F55698C-C1BB-4FF3-923E-9947D539BCC5}"/>
    <cellStyle name="Normal 33 2 2 2 2 2 2 2 3 2" xfId="2713" xr:uid="{C3CD55DB-CFF9-4C27-8B21-D4B171EFEEDF}"/>
    <cellStyle name="Normal 33 2 2 2 2 2 2 2 3 2 2" xfId="2724" xr:uid="{B4411438-4D68-4D68-9108-BD21B95D21BE}"/>
    <cellStyle name="Normal 33 2 2 2 2 2 2 2 3 2 2 2" xfId="43588" xr:uid="{4188B6AB-F5F3-4005-92E0-5FF88460605D}"/>
    <cellStyle name="Normal 33 2 2 2 2 2 2 2 3 2 3" xfId="43589" xr:uid="{0E6945B3-71D7-4BE3-8E83-22B2631DE4A7}"/>
    <cellStyle name="Normal 33 2 2 2 2 2 2 2 3 3" xfId="2734" xr:uid="{98F48B49-787D-443D-BFB3-7C41AA020A4A}"/>
    <cellStyle name="Normal 33 2 2 2 2 2 2 2 3 3 2" xfId="43590" xr:uid="{A84740B8-8639-49F7-91F2-5F0DC72140C3}"/>
    <cellStyle name="Normal 33 2 2 2 2 2 2 2 3 4" xfId="12304" xr:uid="{AAEB66EE-0852-4FA4-B89F-742BB1BC4F29}"/>
    <cellStyle name="Normal 33 2 2 2 2 2 2 2 4" xfId="43591" xr:uid="{5DB2C23D-D684-4107-88EB-ACD3E8024648}"/>
    <cellStyle name="Normal 33 2 2 2 2 2 2 2 4 2" xfId="7212" xr:uid="{FCE1C9C1-3633-454C-8CF1-8BB7258AD3C0}"/>
    <cellStyle name="Normal 33 2 2 2 2 2 2 2 4 2 2" xfId="43592" xr:uid="{D7208C11-FD3F-4AD4-93F0-006FC3BAD29D}"/>
    <cellStyle name="Normal 33 2 2 2 2 2 2 2 4 3" xfId="12396" xr:uid="{A98D0E7F-4409-4546-83A9-40AD8738A137}"/>
    <cellStyle name="Normal 33 2 2 2 2 2 2 2 5" xfId="43593" xr:uid="{A1DA32F2-F559-41BB-83FF-DD540F9B8BC8}"/>
    <cellStyle name="Normal 33 2 2 2 2 2 2 2 5 2" xfId="12442" xr:uid="{56E16687-4165-4188-96C0-63C1BD563A20}"/>
    <cellStyle name="Normal 33 2 2 2 2 2 2 2 6" xfId="43594" xr:uid="{0122E9F1-98DE-4765-BA36-C45B5B6412E7}"/>
    <cellStyle name="Normal 33 2 2 2 2 2 2 2 7" xfId="43595" xr:uid="{15AEE826-92E1-45EC-A642-FCB679190127}"/>
    <cellStyle name="Normal 33 2 2 2 2 2 2 3" xfId="43596" xr:uid="{A2750B4C-3F03-49A5-AA98-CF236221781E}"/>
    <cellStyle name="Normal 33 2 2 2 2 2 2 3 2" xfId="43597" xr:uid="{1E2C252C-BEDE-4D27-8B77-B56B8A13A175}"/>
    <cellStyle name="Normal 33 2 2 2 2 2 2 3 2 2" xfId="43598" xr:uid="{D8DB2609-72AC-40D1-A700-523E47944040}"/>
    <cellStyle name="Normal 33 2 2 2 2 2 2 3 2 2 2" xfId="43599" xr:uid="{6E43FC15-B65D-4264-9306-3EBF28F91B29}"/>
    <cellStyle name="Normal 33 2 2 2 2 2 2 3 2 2 2 2" xfId="43600" xr:uid="{79B8E85E-8CD9-42A3-A05A-646273175470}"/>
    <cellStyle name="Normal 33 2 2 2 2 2 2 3 2 2 3" xfId="43601" xr:uid="{864799B0-3C81-49D4-A1A4-FD8D20116123}"/>
    <cellStyle name="Normal 33 2 2 2 2 2 2 3 2 3" xfId="43602" xr:uid="{4E5F8C60-E788-4540-B1A7-540EE767B9A1}"/>
    <cellStyle name="Normal 33 2 2 2 2 2 2 3 2 3 2" xfId="43603" xr:uid="{478DD43F-14BE-4D56-885E-2166997841EF}"/>
    <cellStyle name="Normal 33 2 2 2 2 2 2 3 2 4" xfId="43604" xr:uid="{652D5E80-AA56-42FE-836B-27078A2589AE}"/>
    <cellStyle name="Normal 33 2 2 2 2 2 2 3 3" xfId="43605" xr:uid="{DCB0EF80-3B52-489C-810A-D04466A3E3C7}"/>
    <cellStyle name="Normal 33 2 2 2 2 2 2 3 3 2" xfId="977" xr:uid="{63019DFC-976D-42FA-A6D3-DA1838ACCB5A}"/>
    <cellStyle name="Normal 33 2 2 2 2 2 2 3 3 2 2" xfId="43606" xr:uid="{981C44FB-AE0F-4251-B177-9FC5C8DEA763}"/>
    <cellStyle name="Normal 33 2 2 2 2 2 2 3 3 3" xfId="12597" xr:uid="{B6713D55-DEC7-4627-8C1D-40975C6A2008}"/>
    <cellStyle name="Normal 33 2 2 2 2 2 2 3 4" xfId="43607" xr:uid="{FBBDDA80-B418-4B06-A383-E272E5DBB253}"/>
    <cellStyle name="Normal 33 2 2 2 2 2 2 3 4 2" xfId="12666" xr:uid="{C0C1DBEB-5852-4E14-AF61-74088B65A968}"/>
    <cellStyle name="Normal 33 2 2 2 2 2 2 3 5" xfId="43608" xr:uid="{136A0B06-B7CF-4BC1-8E18-404600461BE5}"/>
    <cellStyle name="Normal 33 2 2 2 2 2 2 4" xfId="38466" xr:uid="{658B00F3-DCE3-4A5A-A896-D31AA26B15D5}"/>
    <cellStyle name="Normal 33 2 2 2 2 2 2 4 2" xfId="38468" xr:uid="{36BC1240-11B8-486D-AF75-2A67F4160076}"/>
    <cellStyle name="Normal 33 2 2 2 2 2 2 4 2 2" xfId="43609" xr:uid="{B730446C-50A6-41D5-9DB1-4BFDE33EA040}"/>
    <cellStyle name="Normal 33 2 2 2 2 2 2 4 2 2 2" xfId="43610" xr:uid="{8FFFBD48-E2D9-480B-A98B-29AF6FF52A66}"/>
    <cellStyle name="Normal 33 2 2 2 2 2 2 4 2 3" xfId="43611" xr:uid="{07275CA9-9027-4474-92A7-D5589298AAFB}"/>
    <cellStyle name="Normal 33 2 2 2 2 2 2 4 3" xfId="43612" xr:uid="{42537706-9695-45AE-A5DD-7BF333340D2B}"/>
    <cellStyle name="Normal 33 2 2 2 2 2 2 4 3 2" xfId="12783" xr:uid="{F9AE0742-5F98-4573-888E-1AF7DC272117}"/>
    <cellStyle name="Normal 33 2 2 2 2 2 2 4 4" xfId="14915" xr:uid="{7474F6FD-C49A-4EE7-ABFD-754D6D29F51C}"/>
    <cellStyle name="Normal 33 2 2 2 2 2 2 5" xfId="38470" xr:uid="{5F8FD949-A4DB-4504-904D-A889B6AFED4F}"/>
    <cellStyle name="Normal 33 2 2 2 2 2 2 5 2" xfId="43613" xr:uid="{336BCFA8-5F72-40ED-ACF1-413AEDF28454}"/>
    <cellStyle name="Normal 33 2 2 2 2 2 2 5 2 2" xfId="43614" xr:uid="{CA1D9CAA-6A28-4ED9-8396-46BFFB64A7E4}"/>
    <cellStyle name="Normal 33 2 2 2 2 2 2 5 3" xfId="43615" xr:uid="{A4C5BB6F-F08B-4D2E-B172-0E437F84E915}"/>
    <cellStyle name="Normal 33 2 2 2 2 2 2 6" xfId="43616" xr:uid="{0883A55D-45EC-4075-AA4B-07672CB3702A}"/>
    <cellStyle name="Normal 33 2 2 2 2 2 2 6 2" xfId="43617" xr:uid="{F328B186-76B4-44B7-AFE2-8D43D50459D3}"/>
    <cellStyle name="Normal 33 2 2 2 2 2 2 7" xfId="43618" xr:uid="{F13CA985-AFB0-40B0-9CB0-EF951AAEE79F}"/>
    <cellStyle name="Normal 33 2 2 2 2 2 2 8" xfId="43619" xr:uid="{1BCE79E8-1E96-46B1-83BA-A4A5AFC5F8CB}"/>
    <cellStyle name="Normal 33 2 2 2 2 2 3" xfId="43620" xr:uid="{9C04E8EF-4F80-465B-BE73-E5D665F29B07}"/>
    <cellStyle name="Normal 33 2 2 2 2 2 3 2" xfId="43621" xr:uid="{E50D3F26-24D9-454B-83CD-8E59BD5839A1}"/>
    <cellStyle name="Normal 33 2 2 2 2 2 3 2 2" xfId="42564" xr:uid="{04B8554C-9A6B-424A-BAD8-55279D3FFA76}"/>
    <cellStyle name="Normal 33 2 2 2 2 2 3 2 2 2" xfId="42566" xr:uid="{2D3B0A53-8214-42E0-A51D-B628F064D16F}"/>
    <cellStyle name="Normal 33 2 2 2 2 2 3 2 2 2 2" xfId="43622" xr:uid="{963500BD-A62A-4B39-89CD-D8512D514587}"/>
    <cellStyle name="Normal 33 2 2 2 2 2 3 2 2 2 2 2" xfId="43623" xr:uid="{01B060C2-7B6E-49CA-A142-9478A1236800}"/>
    <cellStyle name="Normal 33 2 2 2 2 2 3 2 2 2 3" xfId="43624" xr:uid="{0B9E1BE3-C81A-4020-A947-3DA9EEFFF56E}"/>
    <cellStyle name="Normal 33 2 2 2 2 2 3 2 2 3" xfId="43625" xr:uid="{B3B0AD52-E73F-4E29-A11E-AC7C253F7AE5}"/>
    <cellStyle name="Normal 33 2 2 2 2 2 3 2 2 3 2" xfId="43626" xr:uid="{3AA0213D-71BB-4712-8DA0-9A4597CF224F}"/>
    <cellStyle name="Normal 33 2 2 2 2 2 3 2 2 4" xfId="43627" xr:uid="{8B7D3F81-4A16-4ACA-9FC5-E364268A170C}"/>
    <cellStyle name="Normal 33 2 2 2 2 2 3 2 3" xfId="42568" xr:uid="{70C0337F-ADF1-4E02-9A9F-E6D7D132615C}"/>
    <cellStyle name="Normal 33 2 2 2 2 2 3 2 3 2" xfId="4635" xr:uid="{446014E6-80BF-41AB-B14A-31D1760015DE}"/>
    <cellStyle name="Normal 33 2 2 2 2 2 3 2 3 2 2" xfId="43628" xr:uid="{84915768-405D-4DAD-BF1D-D76A0E2E86C4}"/>
    <cellStyle name="Normal 33 2 2 2 2 2 3 2 3 3" xfId="13096" xr:uid="{92140DE0-66BC-4657-B67F-CFD434F6696F}"/>
    <cellStyle name="Normal 33 2 2 2 2 2 3 2 4" xfId="43629" xr:uid="{65856B6D-59E5-42EF-9070-F48C93DE8196}"/>
    <cellStyle name="Normal 33 2 2 2 2 2 3 2 4 2" xfId="13162" xr:uid="{79035643-E141-411B-8109-1175D167F58E}"/>
    <cellStyle name="Normal 33 2 2 2 2 2 3 2 5" xfId="43630" xr:uid="{D708A0CA-97B0-40FA-921D-1389304BBBF3}"/>
    <cellStyle name="Normal 33 2 2 2 2 2 3 3" xfId="43631" xr:uid="{8F2A7BC2-7C0F-4364-A5FE-3A91E6B869D7}"/>
    <cellStyle name="Normal 33 2 2 2 2 2 3 3 2" xfId="42574" xr:uid="{5408BAD3-6257-44E7-896B-5462C36A814B}"/>
    <cellStyle name="Normal 33 2 2 2 2 2 3 3 2 2" xfId="43632" xr:uid="{86511D60-9C81-4E25-90D0-FD024313241F}"/>
    <cellStyle name="Normal 33 2 2 2 2 2 3 3 2 2 2" xfId="43633" xr:uid="{391C53AF-E7A4-4542-93CA-6BB4F6162324}"/>
    <cellStyle name="Normal 33 2 2 2 2 2 3 3 2 3" xfId="43634" xr:uid="{04744084-C6FF-479F-9D25-54B220456A58}"/>
    <cellStyle name="Normal 33 2 2 2 2 2 3 3 3" xfId="43635" xr:uid="{7AA96172-94CA-41D3-84F1-45E4D81FB7B2}"/>
    <cellStyle name="Normal 33 2 2 2 2 2 3 3 3 2" xfId="13295" xr:uid="{19FFC9B0-DE22-401E-B125-90994CEF58F5}"/>
    <cellStyle name="Normal 33 2 2 2 2 2 3 3 4" xfId="43636" xr:uid="{3BCDC824-1D65-44D7-BFF1-FB8AC28C0742}"/>
    <cellStyle name="Normal 33 2 2 2 2 2 3 4" xfId="38473" xr:uid="{FD830341-2F96-4184-9B96-E1A8A24E2A51}"/>
    <cellStyle name="Normal 33 2 2 2 2 2 3 4 2" xfId="43637" xr:uid="{469B2956-BB5F-4829-B2DF-694F01660E08}"/>
    <cellStyle name="Normal 33 2 2 2 2 2 3 4 2 2" xfId="43639" xr:uid="{70F30B4F-E163-4BFB-B8F7-C94A88A069F7}"/>
    <cellStyle name="Normal 33 2 2 2 2 2 3 4 3" xfId="43640" xr:uid="{CFE64007-E495-45B0-8CAC-7D4AC2D1D29F}"/>
    <cellStyle name="Normal 33 2 2 2 2 2 3 5" xfId="43641" xr:uid="{149FA2C9-4A46-4B55-8F92-106014BE94D2}"/>
    <cellStyle name="Normal 33 2 2 2 2 2 3 5 2" xfId="43642" xr:uid="{23F29BF1-F6E3-4E65-8280-4386EBCD9860}"/>
    <cellStyle name="Normal 33 2 2 2 2 2 3 6" xfId="43643" xr:uid="{C57FF932-59A0-4313-9E36-1BCD92127C25}"/>
    <cellStyle name="Normal 33 2 2 2 2 2 3 7" xfId="43644" xr:uid="{6DF44456-B6B2-4F0D-99B5-FE39A5A1C3BE}"/>
    <cellStyle name="Normal 33 2 2 2 2 2 4" xfId="43645" xr:uid="{F170829B-8CB5-436D-97F1-0E27423F7191}"/>
    <cellStyle name="Normal 33 2 2 2 2 2 4 2" xfId="43646" xr:uid="{7904A5FE-E331-4B9D-8C2B-207407B42D4D}"/>
    <cellStyle name="Normal 33 2 2 2 2 2 4 2 2" xfId="42597" xr:uid="{9087F766-FF2F-4346-9D5D-AA0BCFF47809}"/>
    <cellStyle name="Normal 33 2 2 2 2 2 4 2 2 2" xfId="43647" xr:uid="{FB49930C-5780-4B13-B8BF-FB8BA779C310}"/>
    <cellStyle name="Normal 33 2 2 2 2 2 4 2 2 2 2" xfId="43648" xr:uid="{5F1E08E7-F0D9-4B5B-85CE-D7A47191F4E8}"/>
    <cellStyle name="Normal 33 2 2 2 2 2 4 2 2 3" xfId="43649" xr:uid="{729D0C0B-CE3D-49E7-8065-10676C2C557D}"/>
    <cellStyle name="Normal 33 2 2 2 2 2 4 2 3" xfId="43650" xr:uid="{4DBB755F-B7B5-4E8C-BB56-9B6C5F28D840}"/>
    <cellStyle name="Normal 33 2 2 2 2 2 4 2 3 2" xfId="13612" xr:uid="{818F0F21-90CF-4119-A251-056864237932}"/>
    <cellStyle name="Normal 33 2 2 2 2 2 4 2 4" xfId="43651" xr:uid="{B67D6EFA-C2BA-46E2-9BD0-C77BD8426B8B}"/>
    <cellStyle name="Normal 33 2 2 2 2 2 4 3" xfId="43652" xr:uid="{9B6B561D-A95D-427C-9704-0B69C48D3CFB}"/>
    <cellStyle name="Normal 33 2 2 2 2 2 4 3 2" xfId="43653" xr:uid="{F2CB50D3-E6DA-4ADC-9FDC-3A8CA3018594}"/>
    <cellStyle name="Normal 33 2 2 2 2 2 4 3 2 2" xfId="43654" xr:uid="{A40B7FD4-7560-4158-B7F3-B008E8FEA37F}"/>
    <cellStyle name="Normal 33 2 2 2 2 2 4 3 3" xfId="43655" xr:uid="{A98FCE1C-FC45-4B08-9A9C-3CCEE01598C3}"/>
    <cellStyle name="Normal 33 2 2 2 2 2 4 4" xfId="43656" xr:uid="{BD944F9C-D56E-42CE-A725-96E905C7AF06}"/>
    <cellStyle name="Normal 33 2 2 2 2 2 4 4 2" xfId="43657" xr:uid="{92F82D60-B1B8-4DED-8ABA-F966DE2D5DD8}"/>
    <cellStyle name="Normal 33 2 2 2 2 2 4 5" xfId="43658" xr:uid="{8B62E628-9D4B-4893-A39A-CC897D5E0393}"/>
    <cellStyle name="Normal 33 2 2 2 2 2 5" xfId="43659" xr:uid="{F4D9B68A-3E96-488E-A343-FA9CAEAF94F9}"/>
    <cellStyle name="Normal 33 2 2 2 2 2 5 2" xfId="43660" xr:uid="{7EA1E1B9-79DA-4B4F-9D63-2819329C0840}"/>
    <cellStyle name="Normal 33 2 2 2 2 2 5 2 2" xfId="43661" xr:uid="{BB807CB2-6C31-449F-B7FB-B7456DF7FCDE}"/>
    <cellStyle name="Normal 33 2 2 2 2 2 5 2 2 2" xfId="43662" xr:uid="{30EAE860-7B4B-420E-AA5A-4C9A8A80197F}"/>
    <cellStyle name="Normal 33 2 2 2 2 2 5 2 3" xfId="43663" xr:uid="{08BE142B-6303-4AE1-A5A1-F2A04190FB84}"/>
    <cellStyle name="Normal 33 2 2 2 2 2 5 3" xfId="43664" xr:uid="{1065F6DD-38A9-465C-A5CE-12826808884E}"/>
    <cellStyle name="Normal 33 2 2 2 2 2 5 3 2" xfId="43665" xr:uid="{27AED37F-3413-4E61-B423-7108F924F6EC}"/>
    <cellStyle name="Normal 33 2 2 2 2 2 5 4" xfId="43666" xr:uid="{755E3B6E-9695-4EB5-874B-A7DB48942CE1}"/>
    <cellStyle name="Normal 33 2 2 2 2 2 6" xfId="43667" xr:uid="{295FC806-710E-4394-9FD5-9539CBF81C54}"/>
    <cellStyle name="Normal 33 2 2 2 2 2 6 2" xfId="43668" xr:uid="{25BC3EF4-4472-4B58-9901-3F1AEAE27465}"/>
    <cellStyle name="Normal 33 2 2 2 2 2 6 2 2" xfId="43669" xr:uid="{E2611EDA-F78A-42DA-8966-A2E10192A800}"/>
    <cellStyle name="Normal 33 2 2 2 2 2 6 3" xfId="43670" xr:uid="{6D2EA980-79F3-4E22-B957-2D67A8EE092B}"/>
    <cellStyle name="Normal 33 2 2 2 2 2 7" xfId="43671" xr:uid="{164B60EF-B112-4ED3-8AF3-69C2101D9DDB}"/>
    <cellStyle name="Normal 33 2 2 2 2 2 7 2" xfId="43672" xr:uid="{9837D7D8-9837-4FC7-A7CB-11C9B25AC4F8}"/>
    <cellStyle name="Normal 33 2 2 2 2 2 8" xfId="43673" xr:uid="{D1B778F6-88FF-4A1A-9EDA-161B8577DF96}"/>
    <cellStyle name="Normal 33 2 2 2 2 2 9" xfId="43674" xr:uid="{4736CA40-5C6A-45C6-B869-C2ACC1E33F2D}"/>
    <cellStyle name="Normal 33 2 2 2 2 3" xfId="43675" xr:uid="{DBF88049-8651-4D1B-B0A1-353FF90C20F3}"/>
    <cellStyle name="Normal 33 2 2 2 2 3 2" xfId="43676" xr:uid="{1DC87EAF-A447-4ED8-8AAF-95599CBD1487}"/>
    <cellStyle name="Normal 33 2 2 2 2 3 2 2" xfId="43677" xr:uid="{D8C39D5E-31D5-4A18-BAF2-1E76A4AAFA05}"/>
    <cellStyle name="Normal 33 2 2 2 2 3 2 2 2" xfId="43678" xr:uid="{ABA2AD25-42ED-4157-A5C5-BEFE613472DE}"/>
    <cellStyle name="Normal 33 2 2 2 2 3 2 2 2 2" xfId="43679" xr:uid="{12BCDB9A-F2EF-42F9-B4D3-58F15220CAF9}"/>
    <cellStyle name="Normal 33 2 2 2 2 3 2 2 2 2 2" xfId="43680" xr:uid="{4F83B4BB-0D86-410A-BF73-CEB2A72169DD}"/>
    <cellStyle name="Normal 33 2 2 2 2 3 2 2 2 2 2 2" xfId="43681" xr:uid="{8E8CE7A8-901F-4CB9-AD02-17EB291D559D}"/>
    <cellStyle name="Normal 33 2 2 2 2 3 2 2 2 2 3" xfId="43682" xr:uid="{CBCB4EA2-A49F-4501-B5BC-933409EEF480}"/>
    <cellStyle name="Normal 33 2 2 2 2 3 2 2 2 3" xfId="43683" xr:uid="{57931916-9876-45E7-98BE-6059389E22CC}"/>
    <cellStyle name="Normal 33 2 2 2 2 3 2 2 2 3 2" xfId="43684" xr:uid="{8C994BB8-1A00-42EC-9881-A3EAC402376D}"/>
    <cellStyle name="Normal 33 2 2 2 2 3 2 2 2 4" xfId="43685" xr:uid="{08520A78-34C8-4B50-AEF7-4EDF011BAE8E}"/>
    <cellStyle name="Normal 33 2 2 2 2 3 2 2 3" xfId="43686" xr:uid="{B733E205-F2D4-4DA3-93B2-B64BE876B118}"/>
    <cellStyle name="Normal 33 2 2 2 2 3 2 2 3 2" xfId="9263" xr:uid="{D65F1F02-C4A0-4DD3-8607-58549218F5EA}"/>
    <cellStyle name="Normal 33 2 2 2 2 3 2 2 3 2 2" xfId="43687" xr:uid="{BAC51DD8-5A8A-4EC7-BA66-38BCA60F6117}"/>
    <cellStyle name="Normal 33 2 2 2 2 3 2 2 3 3" xfId="14956" xr:uid="{A1C195D2-FEA8-4748-A273-13A830946C7B}"/>
    <cellStyle name="Normal 33 2 2 2 2 3 2 2 4" xfId="43688" xr:uid="{DBB99AA3-8CE1-4DC8-8E55-36ACFF011638}"/>
    <cellStyle name="Normal 33 2 2 2 2 3 2 2 4 2" xfId="14998" xr:uid="{59748EE7-6BAE-49F8-87C3-A6F5FC76AB06}"/>
    <cellStyle name="Normal 33 2 2 2 2 3 2 2 5" xfId="43689" xr:uid="{43B1CD42-1A4F-4804-BEC4-D8D431D5B776}"/>
    <cellStyle name="Normal 33 2 2 2 2 3 2 3" xfId="43690" xr:uid="{AE37D9CD-853D-4C1E-AF7D-F1DEC7BA6511}"/>
    <cellStyle name="Normal 33 2 2 2 2 3 2 3 2" xfId="43691" xr:uid="{B23C1B90-188B-4CA8-A1B1-7B3BF84EABA5}"/>
    <cellStyle name="Normal 33 2 2 2 2 3 2 3 2 2" xfId="43692" xr:uid="{C76AD5CB-531A-4963-B125-F2AA2C5A7DF9}"/>
    <cellStyle name="Normal 33 2 2 2 2 3 2 3 2 2 2" xfId="43693" xr:uid="{8CA5AE0B-5B1B-4D3A-9B0B-322FB30C6C16}"/>
    <cellStyle name="Normal 33 2 2 2 2 3 2 3 2 3" xfId="43694" xr:uid="{24866689-7684-41EF-95B8-DD18408DF74F}"/>
    <cellStyle name="Normal 33 2 2 2 2 3 2 3 3" xfId="43695" xr:uid="{C29B6D58-DACF-49EC-B857-F8CBC4E049C8}"/>
    <cellStyle name="Normal 33 2 2 2 2 3 2 3 3 2" xfId="15107" xr:uid="{E98A4C50-2409-453D-9FA7-BE7B5E0524CE}"/>
    <cellStyle name="Normal 33 2 2 2 2 3 2 3 4" xfId="43696" xr:uid="{90C7F042-C088-422E-8BD5-C715D3F27E36}"/>
    <cellStyle name="Normal 33 2 2 2 2 3 2 4" xfId="38478" xr:uid="{DFBE92FE-33AD-40CB-8BE2-BBBC44F80BCB}"/>
    <cellStyle name="Normal 33 2 2 2 2 3 2 4 2" xfId="43697" xr:uid="{CDF5F372-9816-4EF9-A152-EC7FE7C1A29B}"/>
    <cellStyle name="Normal 33 2 2 2 2 3 2 4 2 2" xfId="43698" xr:uid="{3D9BDDE3-52C7-4C38-BDA5-B1CCC03C13E6}"/>
    <cellStyle name="Normal 33 2 2 2 2 3 2 4 3" xfId="43699" xr:uid="{3A0C6CF3-5308-4317-B5B4-FF64FAD42ADB}"/>
    <cellStyle name="Normal 33 2 2 2 2 3 2 5" xfId="43700" xr:uid="{39C425F2-407A-4CCE-8C39-51619149B0F2}"/>
    <cellStyle name="Normal 33 2 2 2 2 3 2 5 2" xfId="43701" xr:uid="{D89F05A3-6797-4ECE-9AFF-231714FBE47C}"/>
    <cellStyle name="Normal 33 2 2 2 2 3 2 6" xfId="43702" xr:uid="{D7A187B1-0BA0-42AD-AB19-9B3D2FD8FEE3}"/>
    <cellStyle name="Normal 33 2 2 2 2 3 2 7" xfId="43703" xr:uid="{E3A6613F-1C71-44E3-AE59-80E2DBDA4037}"/>
    <cellStyle name="Normal 33 2 2 2 2 3 3" xfId="43704" xr:uid="{1CB2F2C7-DC18-4963-B2C9-39EC6F9D7C92}"/>
    <cellStyle name="Normal 33 2 2 2 2 3 3 2" xfId="43705" xr:uid="{DAFA05D5-3AAC-4B2D-86A9-5C13645BFC2C}"/>
    <cellStyle name="Normal 33 2 2 2 2 3 3 2 2" xfId="42830" xr:uid="{AA450CB5-1154-445D-9A62-7B6211E4D049}"/>
    <cellStyle name="Normal 33 2 2 2 2 3 3 2 2 2" xfId="43706" xr:uid="{F34ED1F3-FA10-4131-B445-F1CE2EE4C864}"/>
    <cellStyle name="Normal 33 2 2 2 2 3 3 2 2 2 2" xfId="43707" xr:uid="{ABFFDD85-4DB5-4D07-913E-D867EF961F71}"/>
    <cellStyle name="Normal 33 2 2 2 2 3 3 2 2 3" xfId="43708" xr:uid="{857EEA9E-6333-41E6-A1FD-39B28E27A743}"/>
    <cellStyle name="Normal 33 2 2 2 2 3 3 2 3" xfId="43709" xr:uid="{F1667F51-A436-45FB-BED2-02072C7E8DB1}"/>
    <cellStyle name="Normal 33 2 2 2 2 3 3 2 3 2" xfId="15340" xr:uid="{7487A5B2-D609-4E71-9463-AE7A461F9689}"/>
    <cellStyle name="Normal 33 2 2 2 2 3 3 2 4" xfId="43710" xr:uid="{3A2A7CFD-ACDC-4497-A458-1602171C4AA6}"/>
    <cellStyle name="Normal 33 2 2 2 2 3 3 3" xfId="43711" xr:uid="{62E295D9-07E0-41EA-992C-64D2569DC4FE}"/>
    <cellStyle name="Normal 33 2 2 2 2 3 3 3 2" xfId="43712" xr:uid="{5A4BE60B-5156-4544-90F7-8EBC12657A2F}"/>
    <cellStyle name="Normal 33 2 2 2 2 3 3 3 2 2" xfId="43713" xr:uid="{F825BD67-1E06-4A73-A19F-C3C9A54D7689}"/>
    <cellStyle name="Normal 33 2 2 2 2 3 3 3 3" xfId="43714" xr:uid="{E658AF5E-7317-4DE4-B175-5136FE27BB45}"/>
    <cellStyle name="Normal 33 2 2 2 2 3 3 4" xfId="43715" xr:uid="{E84849B8-1ED4-488E-B1FE-6DAECA5C4989}"/>
    <cellStyle name="Normal 33 2 2 2 2 3 3 4 2" xfId="42874" xr:uid="{33F7DD89-A710-4E45-938B-EE38CC34CD5C}"/>
    <cellStyle name="Normal 33 2 2 2 2 3 3 5" xfId="43716" xr:uid="{4AA52E32-316A-4758-9A3A-2F07BEA163E8}"/>
    <cellStyle name="Normal 33 2 2 2 2 3 4" xfId="43717" xr:uid="{262C1C86-A541-40AD-968F-AACC0C21E4BD}"/>
    <cellStyle name="Normal 33 2 2 2 2 3 4 2" xfId="43718" xr:uid="{E825E97C-EB9C-4555-A737-1B412A59AE9D}"/>
    <cellStyle name="Normal 33 2 2 2 2 3 4 2 2" xfId="42973" xr:uid="{614355C2-348A-465E-AE56-BCCD07FB68AC}"/>
    <cellStyle name="Normal 33 2 2 2 2 3 4 2 2 2" xfId="42976" xr:uid="{45D0D00B-CFAD-4360-B9E6-E1AA654FA1EA}"/>
    <cellStyle name="Normal 33 2 2 2 2 3 4 2 3" xfId="42981" xr:uid="{7A6C3FCC-7696-4A3A-894B-8120DCFF37BB}"/>
    <cellStyle name="Normal 33 2 2 2 2 3 4 3" xfId="43719" xr:uid="{8F32AAD3-031B-4D01-99AE-1B5503931CF9}"/>
    <cellStyle name="Normal 33 2 2 2 2 3 4 3 2" xfId="43013" xr:uid="{45FC705B-DD63-4E4B-A638-D4B28BFCC781}"/>
    <cellStyle name="Normal 33 2 2 2 2 3 4 4" xfId="43720" xr:uid="{E05158E4-550A-4039-B8F4-16496421F730}"/>
    <cellStyle name="Normal 33 2 2 2 2 3 5" xfId="43721" xr:uid="{7F25401A-020E-4942-89EA-854DDEA4A318}"/>
    <cellStyle name="Normal 33 2 2 2 2 3 5 2" xfId="43722" xr:uid="{C498B36E-F79C-4C1D-A449-3F08CF5C121E}"/>
    <cellStyle name="Normal 33 2 2 2 2 3 5 2 2" xfId="43088" xr:uid="{B8504F07-0ED0-486A-B1C4-D3BFD7212123}"/>
    <cellStyle name="Normal 33 2 2 2 2 3 5 3" xfId="43723" xr:uid="{4029BE3F-580E-407B-976A-FD3927B69E6D}"/>
    <cellStyle name="Normal 33 2 2 2 2 3 6" xfId="43724" xr:uid="{9F0756EC-BCE3-470C-9646-DDE52F35CC68}"/>
    <cellStyle name="Normal 33 2 2 2 2 3 6 2" xfId="43725" xr:uid="{3BB387F9-594D-406D-AEE3-E3E6E63E0F4A}"/>
    <cellStyle name="Normal 33 2 2 2 2 3 7" xfId="43726" xr:uid="{FAC4E980-71ED-4ABF-8CA3-5BF3D598E658}"/>
    <cellStyle name="Normal 33 2 2 2 2 3 8" xfId="43727" xr:uid="{E17500C0-1744-4C1A-A80F-B8D9EE274CAA}"/>
    <cellStyle name="Normal 33 2 2 2 2 4" xfId="43728" xr:uid="{D7EAE40C-E85D-4C5D-9F25-10C3373B38BF}"/>
    <cellStyle name="Normal 33 2 2 2 2 4 2" xfId="43729" xr:uid="{50D8EC80-7D97-4B76-8FE0-2E2ED04FB0F5}"/>
    <cellStyle name="Normal 33 2 2 2 2 4 2 2" xfId="43730" xr:uid="{84D90192-B717-46BD-966D-4A9ECE9CD6E4}"/>
    <cellStyle name="Normal 33 2 2 2 2 4 2 2 2" xfId="43732" xr:uid="{C5BE8A93-BF18-4C01-8D08-D6A959781DD6}"/>
    <cellStyle name="Normal 33 2 2 2 2 4 2 2 2 2" xfId="43734" xr:uid="{B7FA0B9B-4307-4194-BF7C-AEF8C47DACCA}"/>
    <cellStyle name="Normal 33 2 2 2 2 4 2 2 2 2 2" xfId="42360" xr:uid="{184BB1DA-2AC8-4577-BEBC-FAE13D70F3AB}"/>
    <cellStyle name="Normal 33 2 2 2 2 4 2 2 2 3" xfId="43736" xr:uid="{D0D07887-5C87-43A6-9AB3-1C72E807B9CC}"/>
    <cellStyle name="Normal 33 2 2 2 2 4 2 2 3" xfId="43739" xr:uid="{77DE229A-8264-4844-96C7-D7B440184B2F}"/>
    <cellStyle name="Normal 33 2 2 2 2 4 2 2 3 2" xfId="43742" xr:uid="{F04251FC-78E1-4735-A6A5-107FD80AFA17}"/>
    <cellStyle name="Normal 33 2 2 2 2 4 2 2 4" xfId="43745" xr:uid="{DAA891DF-E62A-4503-915C-FAD15B51AF82}"/>
    <cellStyle name="Normal 33 2 2 2 2 4 2 3" xfId="43747" xr:uid="{D19580B0-A935-4C0E-8851-8A444D109DC0}"/>
    <cellStyle name="Normal 33 2 2 2 2 4 2 3 2" xfId="43750" xr:uid="{9DBE13C9-B08E-4014-8A4D-F6E8BE15CB28}"/>
    <cellStyle name="Normal 33 2 2 2 2 4 2 3 2 2" xfId="43753" xr:uid="{C97A6979-311B-4D3E-865D-9F34522C88F6}"/>
    <cellStyle name="Normal 33 2 2 2 2 4 2 3 3" xfId="43757" xr:uid="{0CE36F27-E2D8-43BB-95B5-F104B3477E1F}"/>
    <cellStyle name="Normal 33 2 2 2 2 4 2 4" xfId="43759" xr:uid="{3601F0F0-546F-4251-8894-76A36AE4FF93}"/>
    <cellStyle name="Normal 33 2 2 2 2 4 2 4 2" xfId="43762" xr:uid="{0D13F991-FE49-4536-973E-EAA25051753E}"/>
    <cellStyle name="Normal 33 2 2 2 2 4 2 5" xfId="43764" xr:uid="{025F163F-FA73-495D-B3E3-265C1C3E22B9}"/>
    <cellStyle name="Normal 33 2 2 2 2 4 3" xfId="43765" xr:uid="{27C53825-6634-46EA-90D3-26A913C6362B}"/>
    <cellStyle name="Normal 33 2 2 2 2 4 3 2" xfId="43766" xr:uid="{AA856B8B-B498-4BD4-A415-46D27F60847D}"/>
    <cellStyle name="Normal 33 2 2 2 2 4 3 2 2" xfId="43226" xr:uid="{6CC1041F-87EF-4BA5-9D29-D190D632DB2E}"/>
    <cellStyle name="Normal 33 2 2 2 2 4 3 2 2 2" xfId="43228" xr:uid="{0CED5899-8270-4282-B225-74396D5A2A05}"/>
    <cellStyle name="Normal 33 2 2 2 2 4 3 2 3" xfId="43233" xr:uid="{D3D5E1A9-7826-4501-8A9B-FFDC6952EE57}"/>
    <cellStyle name="Normal 33 2 2 2 2 4 3 3" xfId="43768" xr:uid="{9C903AB4-4528-411D-840F-A69E3FAA341B}"/>
    <cellStyle name="Normal 33 2 2 2 2 4 3 3 2" xfId="43258" xr:uid="{77AB6E42-CD0F-45FD-8F66-54439D3DBE9A}"/>
    <cellStyle name="Normal 33 2 2 2 2 4 3 4" xfId="43770" xr:uid="{F14D10E7-6032-459C-8CF1-DEBDA3F67BF9}"/>
    <cellStyle name="Normal 33 2 2 2 2 4 4" xfId="43771" xr:uid="{22B218B5-106A-40C2-B6D0-F320C6CDA67E}"/>
    <cellStyle name="Normal 33 2 2 2 2 4 4 2" xfId="43772" xr:uid="{8CAA677D-6F01-472B-8B28-B48CD3C9B83F}"/>
    <cellStyle name="Normal 33 2 2 2 2 4 4 2 2" xfId="43335" xr:uid="{4836C246-329B-43BA-A119-2FD304E88628}"/>
    <cellStyle name="Normal 33 2 2 2 2 4 4 3" xfId="43774" xr:uid="{0126B0E6-2F36-4B5D-936B-B934A69C2D82}"/>
    <cellStyle name="Normal 33 2 2 2 2 4 5" xfId="43775" xr:uid="{B2C6F76E-DF9A-452A-925E-1FBB783B450B}"/>
    <cellStyle name="Normal 33 2 2 2 2 4 5 2" xfId="43776" xr:uid="{0B71A9FA-4BA5-4E4F-B451-C511EB23669F}"/>
    <cellStyle name="Normal 33 2 2 2 2 4 6" xfId="43777" xr:uid="{44E05473-86B9-4025-968F-68051C355F3F}"/>
    <cellStyle name="Normal 33 2 2 2 2 4 7" xfId="43778" xr:uid="{EDC4D739-0555-4209-A267-97EF993978CF}"/>
    <cellStyle name="Normal 33 2 2 2 2 5" xfId="43779" xr:uid="{4EA36508-6650-4DA9-A233-0A26491F5306}"/>
    <cellStyle name="Normal 33 2 2 2 2 5 2" xfId="43780" xr:uid="{A4DBE538-DCC9-4345-919E-D7FD3C721E17}"/>
    <cellStyle name="Normal 33 2 2 2 2 5 2 2" xfId="43781" xr:uid="{6170B94E-2699-40D2-90A9-C765FEBD8411}"/>
    <cellStyle name="Normal 33 2 2 2 2 5 2 2 2" xfId="43782" xr:uid="{BCA64B53-B550-400E-B5F6-8B5144678ACB}"/>
    <cellStyle name="Normal 33 2 2 2 2 5 2 2 2 2" xfId="43783" xr:uid="{81F46AC5-58F4-4890-9F07-FBB6DF93426A}"/>
    <cellStyle name="Normal 33 2 2 2 2 5 2 2 3" xfId="43785" xr:uid="{42F7555D-4EC6-4D5B-9265-9F4B9695E159}"/>
    <cellStyle name="Normal 33 2 2 2 2 5 2 3" xfId="43787" xr:uid="{76D1FCB7-AE7E-441B-A4C0-A31E4D6C2A70}"/>
    <cellStyle name="Normal 33 2 2 2 2 5 2 3 2" xfId="43789" xr:uid="{5A3D0549-AF20-418B-A4FE-832D46341880}"/>
    <cellStyle name="Normal 33 2 2 2 2 5 2 4" xfId="43791" xr:uid="{04F2ABF5-2049-4E92-A9F6-8822E2ED403F}"/>
    <cellStyle name="Normal 33 2 2 2 2 5 3" xfId="43792" xr:uid="{1E2C8585-A0A9-44F6-9257-79F7D327DD3F}"/>
    <cellStyle name="Normal 33 2 2 2 2 5 3 2" xfId="43793" xr:uid="{3032A2DE-EE11-404D-942C-DBD5AC6FCE40}"/>
    <cellStyle name="Normal 33 2 2 2 2 5 3 2 2" xfId="43794" xr:uid="{F8870E11-3754-4FF4-8FC4-446F1593620E}"/>
    <cellStyle name="Normal 33 2 2 2 2 5 3 3" xfId="43796" xr:uid="{2EB8FE04-3CBA-42BA-9EA0-6ADFAB798326}"/>
    <cellStyle name="Normal 33 2 2 2 2 5 4" xfId="43797" xr:uid="{EB15A063-4E20-4587-BFAB-648192A8751B}"/>
    <cellStyle name="Normal 33 2 2 2 2 5 4 2" xfId="43798" xr:uid="{8FB7E093-E381-4031-87A9-F09D5B39D498}"/>
    <cellStyle name="Normal 33 2 2 2 2 5 5" xfId="43799" xr:uid="{C1CAE01E-2DE6-4E38-B458-7202ED845F02}"/>
    <cellStyle name="Normal 33 2 2 2 2 6" xfId="42416" xr:uid="{C399633B-549A-42C2-8D1D-6179D4206495}"/>
    <cellStyle name="Normal 33 2 2 2 2 6 2" xfId="42418" xr:uid="{E3A56F9D-4343-482A-9402-D431551C07F7}"/>
    <cellStyle name="Normal 33 2 2 2 2 6 2 2" xfId="43800" xr:uid="{E783A7BB-B155-42F5-8DFB-632FB5F6AE44}"/>
    <cellStyle name="Normal 33 2 2 2 2 6 2 2 2" xfId="39006" xr:uid="{05B01F76-F4F6-4331-B078-A7C9BFC3DCDE}"/>
    <cellStyle name="Normal 33 2 2 2 2 6 2 3" xfId="43802" xr:uid="{527C09A2-D693-4B9B-8215-E63883D3E56C}"/>
    <cellStyle name="Normal 33 2 2 2 2 6 3" xfId="43803" xr:uid="{27E7067B-B0F6-48B2-BDBA-D5F366E0A281}"/>
    <cellStyle name="Normal 33 2 2 2 2 6 3 2" xfId="43804" xr:uid="{29298B3D-8A1F-4D56-91C2-3D453EF2B33A}"/>
    <cellStyle name="Normal 33 2 2 2 2 6 4" xfId="43805" xr:uid="{00FECA32-7254-460A-9545-22871C7F629D}"/>
    <cellStyle name="Normal 33 2 2 2 2 7" xfId="42420" xr:uid="{FEDEE09C-1261-4519-9057-6BBA685ACE3E}"/>
    <cellStyle name="Normal 33 2 2 2 2 7 2" xfId="43806" xr:uid="{CB1F21BB-CF60-4174-AA67-F3518F10B41D}"/>
    <cellStyle name="Normal 33 2 2 2 2 7 2 2" xfId="43807" xr:uid="{1D6816D1-77BF-4F56-90A0-62853543A61B}"/>
    <cellStyle name="Normal 33 2 2 2 2 7 3" xfId="43808" xr:uid="{58B3E07C-F8B7-470C-B460-955E7A48C110}"/>
    <cellStyle name="Normal 33 2 2 2 2 8" xfId="43809" xr:uid="{4B9DF785-D8C7-46D0-8544-3080FC97E50B}"/>
    <cellStyle name="Normal 33 2 2 2 2 8 2" xfId="38337" xr:uid="{91241A33-5189-4E2D-B47D-AA0424506346}"/>
    <cellStyle name="Normal 33 2 2 2 2 9" xfId="43810" xr:uid="{4AB39FB0-DF9B-4331-9EF1-7743B2A8C729}"/>
    <cellStyle name="Normal 33 2 2 2 3" xfId="43812" xr:uid="{2BBCFE00-F81A-41DA-918B-6694BAD7A71F}"/>
    <cellStyle name="Normal 33 2 2 2 3 2" xfId="43814" xr:uid="{FC54A1DB-016F-4085-A4B7-996BA1F1FD0F}"/>
    <cellStyle name="Normal 33 2 2 2 3 2 2" xfId="43816" xr:uid="{6202DD74-16F7-4410-9732-12C6C148FAA1}"/>
    <cellStyle name="Normal 33 2 2 2 3 2 2 2" xfId="43818" xr:uid="{E67E178C-C04E-4B18-9B82-365002D7FF86}"/>
    <cellStyle name="Normal 33 2 2 2 3 2 2 2 2" xfId="43819" xr:uid="{398AF4C6-F690-438F-BC8A-E0EC290E38B7}"/>
    <cellStyle name="Normal 33 2 2 2 3 2 2 2 2 2" xfId="43820" xr:uid="{5DA44536-194A-4917-ADB5-CC1AAB71D072}"/>
    <cellStyle name="Normal 33 2 2 2 3 2 2 2 2 2 2" xfId="43821" xr:uid="{7828F323-BE70-4A95-8BBD-2BB522442AEB}"/>
    <cellStyle name="Normal 33 2 2 2 3 2 2 2 2 2 2 2" xfId="43822" xr:uid="{644B8F67-F55E-44D1-B4ED-39A111F86E4A}"/>
    <cellStyle name="Normal 33 2 2 2 3 2 2 2 2 2 3" xfId="43823" xr:uid="{64F51DAB-F14A-4E6C-B518-A6F9F8A8ECC4}"/>
    <cellStyle name="Normal 33 2 2 2 3 2 2 2 2 3" xfId="43824" xr:uid="{B36AA38F-6747-48C7-8A69-F89BD23197EB}"/>
    <cellStyle name="Normal 33 2 2 2 3 2 2 2 2 3 2" xfId="43825" xr:uid="{D8A444BC-6429-4C95-8860-5FC5550DF309}"/>
    <cellStyle name="Normal 33 2 2 2 3 2 2 2 2 4" xfId="43826" xr:uid="{D12127C3-600C-41A0-BA4F-D2C793415665}"/>
    <cellStyle name="Normal 33 2 2 2 3 2 2 2 3" xfId="43827" xr:uid="{C21C9F9A-0F47-4862-9C9F-DD6473892D07}"/>
    <cellStyle name="Normal 33 2 2 2 3 2 2 2 3 2" xfId="43828" xr:uid="{454E1736-75D1-4577-93E9-2F6AC9C8A7CF}"/>
    <cellStyle name="Normal 33 2 2 2 3 2 2 2 3 2 2" xfId="43829" xr:uid="{7F0822E7-5648-47D8-AA21-02A3E28A69CF}"/>
    <cellStyle name="Normal 33 2 2 2 3 2 2 2 3 3" xfId="43830" xr:uid="{D99E3630-DA53-41EB-93A6-658D7097E21B}"/>
    <cellStyle name="Normal 33 2 2 2 3 2 2 2 4" xfId="43831" xr:uid="{1EDD69E4-9CB3-4D5B-B718-84847BC5AAAC}"/>
    <cellStyle name="Normal 33 2 2 2 3 2 2 2 4 2" xfId="43832" xr:uid="{A3C0D234-F651-420F-8EDF-4638256E3A36}"/>
    <cellStyle name="Normal 33 2 2 2 3 2 2 2 5" xfId="43833" xr:uid="{2AEFC37D-1414-4F0E-8889-029A1BD22816}"/>
    <cellStyle name="Normal 33 2 2 2 3 2 2 3" xfId="43834" xr:uid="{7777864E-0CF4-4052-B026-C760D81344EF}"/>
    <cellStyle name="Normal 33 2 2 2 3 2 2 3 2" xfId="43835" xr:uid="{ECBA6A7C-A13B-4AB1-8AE0-318B853DF55E}"/>
    <cellStyle name="Normal 33 2 2 2 3 2 2 3 2 2" xfId="43836" xr:uid="{D98A3AB3-AB21-4F40-B0F0-E6ED64258C84}"/>
    <cellStyle name="Normal 33 2 2 2 3 2 2 3 2 2 2" xfId="43837" xr:uid="{FD04CA73-18E5-4494-BCC4-B42927EEFFA9}"/>
    <cellStyle name="Normal 33 2 2 2 3 2 2 3 2 3" xfId="43838" xr:uid="{D006E82A-F749-4232-BF94-BA57E97CC55A}"/>
    <cellStyle name="Normal 33 2 2 2 3 2 2 3 3" xfId="43839" xr:uid="{5031FD31-442E-45A6-ADA7-73A257CDFD50}"/>
    <cellStyle name="Normal 33 2 2 2 3 2 2 3 3 2" xfId="43840" xr:uid="{01D9100B-A897-4F1A-B99C-F094EF4B6956}"/>
    <cellStyle name="Normal 33 2 2 2 3 2 2 3 4" xfId="43841" xr:uid="{C78B22D3-4E24-46AA-A0B5-F1E3697C29EB}"/>
    <cellStyle name="Normal 33 2 2 2 3 2 2 4" xfId="38511" xr:uid="{2035411B-3F39-4A22-BCF1-563AF0CEC016}"/>
    <cellStyle name="Normal 33 2 2 2 3 2 2 4 2" xfId="43842" xr:uid="{8A2F092C-311C-4129-BDE4-451F3F1CC1CA}"/>
    <cellStyle name="Normal 33 2 2 2 3 2 2 4 2 2" xfId="43843" xr:uid="{AC63AD6B-BB49-402F-AAA4-F5C9C3B1F25F}"/>
    <cellStyle name="Normal 33 2 2 2 3 2 2 4 3" xfId="43844" xr:uid="{3DFCB8AC-C824-4E3E-9F9F-ED77CA4B05D2}"/>
    <cellStyle name="Normal 33 2 2 2 3 2 2 5" xfId="43845" xr:uid="{F52BF661-A656-4C5F-B15E-92C578A72CC1}"/>
    <cellStyle name="Normal 33 2 2 2 3 2 2 5 2" xfId="43846" xr:uid="{1313A8A7-CD87-4491-BDCB-08F752C35E9D}"/>
    <cellStyle name="Normal 33 2 2 2 3 2 2 6" xfId="43847" xr:uid="{B442827B-7ADB-4809-8512-0599A3BD8242}"/>
    <cellStyle name="Normal 33 2 2 2 3 2 2 7" xfId="43848" xr:uid="{DB6BDEA0-85EF-46BE-8352-D508BF413E93}"/>
    <cellStyle name="Normal 33 2 2 2 3 2 3" xfId="43850" xr:uid="{281F50FA-431E-42BC-A8CB-7F34FCD44091}"/>
    <cellStyle name="Normal 33 2 2 2 3 2 3 2" xfId="43851" xr:uid="{C64E05D9-35A8-4841-BF99-076854A4C721}"/>
    <cellStyle name="Normal 33 2 2 2 3 2 3 2 2" xfId="43852" xr:uid="{795D32F8-BF77-40D0-8F36-FBAD15110DFF}"/>
    <cellStyle name="Normal 33 2 2 2 3 2 3 2 2 2" xfId="43853" xr:uid="{90B03B10-E5A1-417D-9056-9BA6E01CF4B1}"/>
    <cellStyle name="Normal 33 2 2 2 3 2 3 2 2 2 2" xfId="43854" xr:uid="{247CB3C4-0425-4E58-83D6-AFF87C3561C7}"/>
    <cellStyle name="Normal 33 2 2 2 3 2 3 2 2 3" xfId="43855" xr:uid="{AEB470EF-A698-4FDC-9228-92CE77763AA9}"/>
    <cellStyle name="Normal 33 2 2 2 3 2 3 2 3" xfId="43856" xr:uid="{E620A804-1264-4390-8D10-632A10888BF9}"/>
    <cellStyle name="Normal 33 2 2 2 3 2 3 2 3 2" xfId="43857" xr:uid="{50FD8FC7-E0AC-4C76-8C0C-F1A126FBF992}"/>
    <cellStyle name="Normal 33 2 2 2 3 2 3 2 4" xfId="43858" xr:uid="{02A76155-CD9B-433F-899E-421B1760BE92}"/>
    <cellStyle name="Normal 33 2 2 2 3 2 3 3" xfId="43859" xr:uid="{505CFEBA-2AC6-4CD4-95A6-A8844F0F938C}"/>
    <cellStyle name="Normal 33 2 2 2 3 2 3 3 2" xfId="43860" xr:uid="{BE6A8CC5-BBE0-4E62-ADBC-6D6A461CEF4D}"/>
    <cellStyle name="Normal 33 2 2 2 3 2 3 3 2 2" xfId="43861" xr:uid="{D05BCEB4-8B89-49E2-9C7C-716AB499245A}"/>
    <cellStyle name="Normal 33 2 2 2 3 2 3 3 3" xfId="43862" xr:uid="{2CF8FDEA-5D67-435A-8FA0-7F6937107C09}"/>
    <cellStyle name="Normal 33 2 2 2 3 2 3 4" xfId="43863" xr:uid="{38E87EEA-39D5-4BEA-A66C-D20200C3B3F2}"/>
    <cellStyle name="Normal 33 2 2 2 3 2 3 4 2" xfId="23497" xr:uid="{91557C4F-C483-43A7-9F64-AC3291E29F29}"/>
    <cellStyle name="Normal 33 2 2 2 3 2 3 5" xfId="43864" xr:uid="{37BEEA71-A4FF-4857-A676-8BDC1BF4DC58}"/>
    <cellStyle name="Normal 33 2 2 2 3 2 4" xfId="43865" xr:uid="{93EA5D83-1C06-40C5-BEA5-224E451725ED}"/>
    <cellStyle name="Normal 33 2 2 2 3 2 4 2" xfId="43866" xr:uid="{6EF829B6-CE9E-43B2-8D77-263A66AF5AB2}"/>
    <cellStyle name="Normal 33 2 2 2 3 2 4 2 2" xfId="43867" xr:uid="{A32DEEF0-A78C-4B2C-868D-D6153E5B6FF0}"/>
    <cellStyle name="Normal 33 2 2 2 3 2 4 2 2 2" xfId="43868" xr:uid="{52A96996-86FA-496D-B296-BA23E17AE9D0}"/>
    <cellStyle name="Normal 33 2 2 2 3 2 4 2 3" xfId="43869" xr:uid="{15A23E81-77FD-4761-8CFE-7109C80DCCC2}"/>
    <cellStyle name="Normal 33 2 2 2 3 2 4 3" xfId="43870" xr:uid="{8ED376D9-4D55-428B-A17A-A7535E11E6E1}"/>
    <cellStyle name="Normal 33 2 2 2 3 2 4 3 2" xfId="43871" xr:uid="{6655EA3D-C9A0-4B6D-9939-3F18E40E380E}"/>
    <cellStyle name="Normal 33 2 2 2 3 2 4 4" xfId="43872" xr:uid="{E03503A5-9091-4F8C-9E3B-11D53EB868F2}"/>
    <cellStyle name="Normal 33 2 2 2 3 2 5" xfId="43873" xr:uid="{4CE1A9E8-E32B-4767-B4D2-619CB004A866}"/>
    <cellStyle name="Normal 33 2 2 2 3 2 5 2" xfId="43874" xr:uid="{67FBC4E2-F7FF-41AA-A739-E79F307CF005}"/>
    <cellStyle name="Normal 33 2 2 2 3 2 5 2 2" xfId="43875" xr:uid="{3245966B-3A92-46AB-84AA-3DE9A28F8203}"/>
    <cellStyle name="Normal 33 2 2 2 3 2 5 3" xfId="29486" xr:uid="{69631250-AA57-49FC-A025-C85AC9C7948F}"/>
    <cellStyle name="Normal 33 2 2 2 3 2 6" xfId="43876" xr:uid="{A194C0B4-9BB8-42DC-878F-BC2CBD8E91FB}"/>
    <cellStyle name="Normal 33 2 2 2 3 2 6 2" xfId="43877" xr:uid="{74B84802-B4A5-49A7-8592-1FE91C527180}"/>
    <cellStyle name="Normal 33 2 2 2 3 2 7" xfId="43878" xr:uid="{3EF55513-8BD7-448C-A54D-C68D6849D7B0}"/>
    <cellStyle name="Normal 33 2 2 2 3 2 8" xfId="43879" xr:uid="{2BA5AA53-7828-4951-8CEB-5985966FDE2E}"/>
    <cellStyle name="Normal 33 2 2 2 3 3" xfId="43881" xr:uid="{73C19E9C-138F-4ED5-AC35-DD80DA9D5CC5}"/>
    <cellStyle name="Normal 33 2 2 2 3 3 2" xfId="43883" xr:uid="{AC094089-C133-415B-AA2F-FD14912B0FBE}"/>
    <cellStyle name="Normal 33 2 2 2 3 3 2 2" xfId="43884" xr:uid="{43C21FC9-13E4-412F-80E5-40DA002B4AF3}"/>
    <cellStyle name="Normal 33 2 2 2 3 3 2 2 2" xfId="43885" xr:uid="{6AB23BF8-BA35-4E7F-929B-0444F9CF67E9}"/>
    <cellStyle name="Normal 33 2 2 2 3 3 2 2 2 2" xfId="43886" xr:uid="{E87FECB4-F2F9-4934-9924-C627CF5D5E02}"/>
    <cellStyle name="Normal 33 2 2 2 3 3 2 2 2 2 2" xfId="43887" xr:uid="{9AB4A9F6-5761-4347-AD60-BED740802353}"/>
    <cellStyle name="Normal 33 2 2 2 3 3 2 2 2 3" xfId="43888" xr:uid="{02BFB59A-D6F6-4F71-8CBB-69E7358E86AE}"/>
    <cellStyle name="Normal 33 2 2 2 3 3 2 2 3" xfId="43889" xr:uid="{D53CA3EF-5D1D-4A4A-99FC-5E5DA164A905}"/>
    <cellStyle name="Normal 33 2 2 2 3 3 2 2 3 2" xfId="43890" xr:uid="{BEB18134-6C5C-4ACB-8584-4CD39B1536DF}"/>
    <cellStyle name="Normal 33 2 2 2 3 3 2 2 4" xfId="43891" xr:uid="{9F127353-E211-49C0-B680-9A5C9DF79EC1}"/>
    <cellStyle name="Normal 33 2 2 2 3 3 2 3" xfId="43892" xr:uid="{63273B7F-811F-459D-B2AB-2F1CEAED4CFB}"/>
    <cellStyle name="Normal 33 2 2 2 3 3 2 3 2" xfId="43893" xr:uid="{61FA6C72-69BC-4A67-93E9-8AD2FC135BC8}"/>
    <cellStyle name="Normal 33 2 2 2 3 3 2 3 2 2" xfId="43894" xr:uid="{9F5FBD69-014B-4A36-9F52-942EE38B64CA}"/>
    <cellStyle name="Normal 33 2 2 2 3 3 2 3 3" xfId="43895" xr:uid="{A279EAA2-B55C-4380-9FA9-981822B650AA}"/>
    <cellStyle name="Normal 33 2 2 2 3 3 2 4" xfId="43896" xr:uid="{A91C0A07-D2EE-434F-8691-61A17E4497D7}"/>
    <cellStyle name="Normal 33 2 2 2 3 3 2 4 2" xfId="43897" xr:uid="{D9D5E414-C4A6-49C4-BA09-FD0F58D2AE2E}"/>
    <cellStyle name="Normal 33 2 2 2 3 3 2 5" xfId="43898" xr:uid="{EB77833E-7E63-44D6-AA99-8C83130207FF}"/>
    <cellStyle name="Normal 33 2 2 2 3 3 3" xfId="43899" xr:uid="{6E9E4054-F11B-448E-A3A1-E68170F80127}"/>
    <cellStyle name="Normal 33 2 2 2 3 3 3 2" xfId="43900" xr:uid="{E490C0F5-D6FE-4C29-8D5C-3BC360282DFF}"/>
    <cellStyle name="Normal 33 2 2 2 3 3 3 2 2" xfId="43901" xr:uid="{D5C55A4C-97BD-476E-AB00-FBDCD435D674}"/>
    <cellStyle name="Normal 33 2 2 2 3 3 3 2 2 2" xfId="43902" xr:uid="{43626002-FC4F-457C-9EB3-E9862E98FF76}"/>
    <cellStyle name="Normal 33 2 2 2 3 3 3 2 3" xfId="43903" xr:uid="{67054F91-9E12-4FF3-92F3-7A1DD027CF1A}"/>
    <cellStyle name="Normal 33 2 2 2 3 3 3 3" xfId="43904" xr:uid="{50BEBB08-81A6-45E5-B5C2-54CE58E759E1}"/>
    <cellStyle name="Normal 33 2 2 2 3 3 3 3 2" xfId="43905" xr:uid="{EDA6C50A-B62D-4D1A-A701-A48A4BDA166D}"/>
    <cellStyle name="Normal 33 2 2 2 3 3 3 4" xfId="43906" xr:uid="{B793960D-8D31-4216-B4F9-D432EDF0D05F}"/>
    <cellStyle name="Normal 33 2 2 2 3 3 4" xfId="43907" xr:uid="{759CACE2-217C-4330-8FD8-DB1FF2F6736D}"/>
    <cellStyle name="Normal 33 2 2 2 3 3 4 2" xfId="43908" xr:uid="{D6257ED0-CABF-48DD-BE19-71F578EFE4F3}"/>
    <cellStyle name="Normal 33 2 2 2 3 3 4 2 2" xfId="43910" xr:uid="{68C91C1F-CB63-437F-847F-8FDD12E0C378}"/>
    <cellStyle name="Normal 33 2 2 2 3 3 4 3" xfId="43911" xr:uid="{420BBBA2-FF03-4BE6-86A2-2607E973A604}"/>
    <cellStyle name="Normal 33 2 2 2 3 3 5" xfId="43912" xr:uid="{5E039B86-453A-45F2-A58E-6E6304B7E9EA}"/>
    <cellStyle name="Normal 33 2 2 2 3 3 5 2" xfId="43913" xr:uid="{A47F3F0A-A355-4CA9-B7B9-6540AE3B823D}"/>
    <cellStyle name="Normal 33 2 2 2 3 3 6" xfId="43914" xr:uid="{184BE106-C42E-4897-B33C-26E9D9176E43}"/>
    <cellStyle name="Normal 33 2 2 2 3 3 7" xfId="43915" xr:uid="{8230FE33-B2CD-4690-833F-742249016AE3}"/>
    <cellStyle name="Normal 33 2 2 2 3 4" xfId="43917" xr:uid="{726C5C3A-CAB0-4DD0-BDF3-695952DA9527}"/>
    <cellStyle name="Normal 33 2 2 2 3 4 2" xfId="43918" xr:uid="{186EF691-EA2E-4050-AD58-707E443B6428}"/>
    <cellStyle name="Normal 33 2 2 2 3 4 2 2" xfId="43919" xr:uid="{1B0B8328-56FF-4164-9CE3-EFF3A037FAA5}"/>
    <cellStyle name="Normal 33 2 2 2 3 4 2 2 2" xfId="43920" xr:uid="{E2D58481-78D9-4E0B-BC78-4EBD7BD92540}"/>
    <cellStyle name="Normal 33 2 2 2 3 4 2 2 2 2" xfId="43921" xr:uid="{C6832041-9021-4720-8817-014C57196FDB}"/>
    <cellStyle name="Normal 33 2 2 2 3 4 2 2 3" xfId="43923" xr:uid="{CBAC9997-897B-42E6-8D50-D6366AB36793}"/>
    <cellStyle name="Normal 33 2 2 2 3 4 2 3" xfId="43925" xr:uid="{91A24086-F71D-487C-A78A-AEA4733D424B}"/>
    <cellStyle name="Normal 33 2 2 2 3 4 2 3 2" xfId="43927" xr:uid="{73329A78-3E76-48CE-A47E-FD7D4D78A42C}"/>
    <cellStyle name="Normal 33 2 2 2 3 4 2 4" xfId="43929" xr:uid="{CE863DE0-7EC9-4979-889A-2CCFC4E5979B}"/>
    <cellStyle name="Normal 33 2 2 2 3 4 3" xfId="43930" xr:uid="{FABDD92C-6B6A-4C28-AEBA-FBFCD69F8302}"/>
    <cellStyle name="Normal 33 2 2 2 3 4 3 2" xfId="43931" xr:uid="{CA37EB4C-116E-4417-A83E-780E500DA763}"/>
    <cellStyle name="Normal 33 2 2 2 3 4 3 2 2" xfId="43932" xr:uid="{40A83BFF-30B1-4384-A8B0-D9ED42657FFE}"/>
    <cellStyle name="Normal 33 2 2 2 3 4 3 3" xfId="43934" xr:uid="{C64C274E-F3D4-4BB3-A1AD-B313E7F001BD}"/>
    <cellStyle name="Normal 33 2 2 2 3 4 4" xfId="43935" xr:uid="{F17830B1-C3BA-42DD-B2CF-7E73BE9C57CD}"/>
    <cellStyle name="Normal 33 2 2 2 3 4 4 2" xfId="43936" xr:uid="{6E2B0CF8-6C53-4208-9471-AB8505C7619E}"/>
    <cellStyle name="Normal 33 2 2 2 3 4 5" xfId="43937" xr:uid="{2E36DC81-E007-47E9-8366-5FAB8BDE56F7}"/>
    <cellStyle name="Normal 33 2 2 2 3 5" xfId="43938" xr:uid="{67D3283A-91A9-4C33-B61F-DC6693ED72A1}"/>
    <cellStyle name="Normal 33 2 2 2 3 5 2" xfId="43939" xr:uid="{D841EBE9-2B6B-4AC8-B0D6-3C3561BEDA18}"/>
    <cellStyle name="Normal 33 2 2 2 3 5 2 2" xfId="11088" xr:uid="{F6665F65-405B-412A-A1B3-F143717CCB3F}"/>
    <cellStyle name="Normal 33 2 2 2 3 5 2 2 2" xfId="43940" xr:uid="{22C864C1-B674-4E45-8520-2136316D8949}"/>
    <cellStyle name="Normal 33 2 2 2 3 5 2 3" xfId="3088" xr:uid="{7E87A300-E414-4464-8B38-957D190FA629}"/>
    <cellStyle name="Normal 33 2 2 2 3 5 3" xfId="43941" xr:uid="{79909A81-3889-4004-A8C9-5870177F2876}"/>
    <cellStyle name="Normal 33 2 2 2 3 5 3 2" xfId="43942" xr:uid="{AC7B110A-BB6C-4E77-A2A6-BCDD9642820B}"/>
    <cellStyle name="Normal 33 2 2 2 3 5 4" xfId="43943" xr:uid="{A70A6A08-D606-460A-AC39-C2B649C226BA}"/>
    <cellStyle name="Normal 33 2 2 2 3 6" xfId="42423" xr:uid="{BC147738-0730-436C-B010-2C68328DB919}"/>
    <cellStyle name="Normal 33 2 2 2 3 6 2" xfId="43944" xr:uid="{DF89F416-44EB-4DF6-86E5-37839C1D71CB}"/>
    <cellStyle name="Normal 33 2 2 2 3 6 2 2" xfId="43945" xr:uid="{50F3321A-FCE5-4C36-972B-03AE341235F3}"/>
    <cellStyle name="Normal 33 2 2 2 3 6 3" xfId="43946" xr:uid="{D0498445-BCCF-4536-A9B7-883FB9445F17}"/>
    <cellStyle name="Normal 33 2 2 2 3 7" xfId="43947" xr:uid="{EB618EEE-2C0B-4ADB-8E03-009B3CFE96A0}"/>
    <cellStyle name="Normal 33 2 2 2 3 7 2" xfId="43948" xr:uid="{B9C8700D-279E-4D4B-8F19-1A803582009F}"/>
    <cellStyle name="Normal 33 2 2 2 3 8" xfId="43949" xr:uid="{CC1F4E00-CE1A-45ED-B7A6-642F0FCCB9B8}"/>
    <cellStyle name="Normal 33 2 2 2 3 9" xfId="43950" xr:uid="{31923744-0D35-45A6-9587-E370576D6CFD}"/>
    <cellStyle name="Normal 33 2 2 2 4" xfId="43952" xr:uid="{0BBE6316-B154-4B29-92C8-C071CF768FC0}"/>
    <cellStyle name="Normal 33 2 2 2 4 2" xfId="43954" xr:uid="{012A1A53-DF0B-4BAA-A523-30EE0C33A66E}"/>
    <cellStyle name="Normal 33 2 2 2 4 2 2" xfId="43956" xr:uid="{40DA655B-911F-4772-9038-7BD352005895}"/>
    <cellStyle name="Normal 33 2 2 2 4 2 2 2" xfId="43957" xr:uid="{9FF36607-2F29-4AAD-9B0C-7152231BAC95}"/>
    <cellStyle name="Normal 33 2 2 2 4 2 2 2 2" xfId="43958" xr:uid="{EE32435A-FCD5-42BC-A7AE-4692E32676E5}"/>
    <cellStyle name="Normal 33 2 2 2 4 2 2 2 2 2" xfId="43959" xr:uid="{DF405272-EF0D-4F7C-A4FE-138BE8D9CEFC}"/>
    <cellStyle name="Normal 33 2 2 2 4 2 2 2 2 2 2" xfId="43960" xr:uid="{A73BAE78-26C0-437B-B8D4-4559200925DD}"/>
    <cellStyle name="Normal 33 2 2 2 4 2 2 2 2 3" xfId="43961" xr:uid="{1FB155ED-5BAF-4398-9FB6-4D582894C50F}"/>
    <cellStyle name="Normal 33 2 2 2 4 2 2 2 3" xfId="43962" xr:uid="{3D293B82-A275-410C-9DD5-58EB873C9919}"/>
    <cellStyle name="Normal 33 2 2 2 4 2 2 2 3 2" xfId="1465" xr:uid="{FD884A25-B764-4840-AF1A-44D66404DAB8}"/>
    <cellStyle name="Normal 33 2 2 2 4 2 2 2 4" xfId="43963" xr:uid="{75312EF5-DEB2-4459-B537-87325538E7D2}"/>
    <cellStyle name="Normal 33 2 2 2 4 2 2 3" xfId="43964" xr:uid="{9ECDCA91-6F9B-4568-9BF0-EF63E08F110A}"/>
    <cellStyle name="Normal 33 2 2 2 4 2 2 3 2" xfId="43965" xr:uid="{17DC653B-AD9F-4B35-A435-994509B76A22}"/>
    <cellStyle name="Normal 33 2 2 2 4 2 2 3 2 2" xfId="43966" xr:uid="{4715F2FE-3319-4E79-ADEF-2797D31EEED5}"/>
    <cellStyle name="Normal 33 2 2 2 4 2 2 3 3" xfId="43967" xr:uid="{599296B6-FA8F-40AC-8B8D-775342FA0BEB}"/>
    <cellStyle name="Normal 33 2 2 2 4 2 2 4" xfId="43968" xr:uid="{85C36314-0D67-4895-8198-2008E402C53D}"/>
    <cellStyle name="Normal 33 2 2 2 4 2 2 4 2" xfId="43969" xr:uid="{38DD6E84-96FF-4D90-A004-512E215E186F}"/>
    <cellStyle name="Normal 33 2 2 2 4 2 2 5" xfId="43970" xr:uid="{E6B7F4C8-DD71-44B4-8975-3D46B118F9DF}"/>
    <cellStyle name="Normal 33 2 2 2 4 2 3" xfId="43971" xr:uid="{013D7652-5D5E-4E26-8F12-17330D750A7F}"/>
    <cellStyle name="Normal 33 2 2 2 4 2 3 2" xfId="43972" xr:uid="{58B82ACB-3F86-4B68-B10F-EF7AB67FA1A8}"/>
    <cellStyle name="Normal 33 2 2 2 4 2 3 2 2" xfId="43974" xr:uid="{D4036D1C-6D9B-435C-91C2-17A4438DE675}"/>
    <cellStyle name="Normal 33 2 2 2 4 2 3 2 2 2" xfId="43975" xr:uid="{1D4E41AA-E8B4-4823-A129-58E89F79F04D}"/>
    <cellStyle name="Normal 33 2 2 2 4 2 3 2 3" xfId="43976" xr:uid="{6E5D8C95-7ABD-427E-8F0F-B3505DF8B5B7}"/>
    <cellStyle name="Normal 33 2 2 2 4 2 3 3" xfId="43977" xr:uid="{71C5985E-911C-4CFC-9B19-DE98A8810D27}"/>
    <cellStyle name="Normal 33 2 2 2 4 2 3 3 2" xfId="43978" xr:uid="{BB743DCA-1AC4-4705-9E31-18E1458B323B}"/>
    <cellStyle name="Normal 33 2 2 2 4 2 3 4" xfId="43979" xr:uid="{464BFB23-6A0A-4963-8BF1-726CD73A13CC}"/>
    <cellStyle name="Normal 33 2 2 2 4 2 4" xfId="43980" xr:uid="{F025CE67-DE3D-4789-8C51-2D96CC5B0DDA}"/>
    <cellStyle name="Normal 33 2 2 2 4 2 4 2" xfId="43981" xr:uid="{D9D33529-ED1C-4CB8-B19A-6C48A6DEE887}"/>
    <cellStyle name="Normal 33 2 2 2 4 2 4 2 2" xfId="43982" xr:uid="{AC003562-27CC-4C9F-A301-569F69518319}"/>
    <cellStyle name="Normal 33 2 2 2 4 2 4 3" xfId="43983" xr:uid="{5BC27112-3379-49EA-9413-21CE766086F9}"/>
    <cellStyle name="Normal 33 2 2 2 4 2 5" xfId="43984" xr:uid="{37C378E2-EA23-4DB7-AE39-62BE2095036D}"/>
    <cellStyle name="Normal 33 2 2 2 4 2 5 2" xfId="43985" xr:uid="{22CC3018-DD22-43D8-9059-1758CD92EF9C}"/>
    <cellStyle name="Normal 33 2 2 2 4 2 6" xfId="43986" xr:uid="{6564D302-2CB2-4045-8C6F-9C7EA24D7AF3}"/>
    <cellStyle name="Normal 33 2 2 2 4 2 7" xfId="43987" xr:uid="{5DFE8254-CAC8-49E4-9ADF-EE4C005081F1}"/>
    <cellStyle name="Normal 33 2 2 2 4 3" xfId="43989" xr:uid="{D3DECEBD-6509-472E-B579-B6EEE705A9D2}"/>
    <cellStyle name="Normal 33 2 2 2 4 3 2" xfId="43990" xr:uid="{751DC0D5-C1EC-41BD-AEB8-96AAF68330BB}"/>
    <cellStyle name="Normal 33 2 2 2 4 3 2 2" xfId="43991" xr:uid="{DC01F9E4-5DB1-4C38-9A6A-1D4638BC90FB}"/>
    <cellStyle name="Normal 33 2 2 2 4 3 2 2 2" xfId="43992" xr:uid="{45AF3983-465F-4463-AC5C-17CBF299437B}"/>
    <cellStyle name="Normal 33 2 2 2 4 3 2 2 2 2" xfId="43993" xr:uid="{3CBB519F-DEF9-49AD-92C1-C9D02F8E0FCE}"/>
    <cellStyle name="Normal 33 2 2 2 4 3 2 2 3" xfId="43994" xr:uid="{0E40B109-02AF-49D4-B92A-44EA83310262}"/>
    <cellStyle name="Normal 33 2 2 2 4 3 2 3" xfId="43995" xr:uid="{6E7EE6E1-6A74-4F86-9E6B-70ACE0AE4C79}"/>
    <cellStyle name="Normal 33 2 2 2 4 3 2 3 2" xfId="43996" xr:uid="{552C5E89-789C-4088-A324-10148CC7F11A}"/>
    <cellStyle name="Normal 33 2 2 2 4 3 2 4" xfId="43997" xr:uid="{BFC67A4A-4F23-4F07-93AE-E32601D8B238}"/>
    <cellStyle name="Normal 33 2 2 2 4 3 3" xfId="43998" xr:uid="{020CC6C5-98A7-438E-94BF-2D367737844B}"/>
    <cellStyle name="Normal 33 2 2 2 4 3 3 2" xfId="43999" xr:uid="{2328BB30-7C5A-4768-AB58-8C077F9E6992}"/>
    <cellStyle name="Normal 33 2 2 2 4 3 3 2 2" xfId="44000" xr:uid="{052063F8-CC19-43BD-96DB-2200D5DA74AF}"/>
    <cellStyle name="Normal 33 2 2 2 4 3 3 3" xfId="44001" xr:uid="{E1F1A6DC-99F6-4E0B-B4C8-7FBB95A2883C}"/>
    <cellStyle name="Normal 33 2 2 2 4 3 4" xfId="44002" xr:uid="{64AA4B8C-4E93-4566-B13D-D2AE79546B5E}"/>
    <cellStyle name="Normal 33 2 2 2 4 3 4 2" xfId="44003" xr:uid="{520489CC-637A-4C95-B8D8-BC583C0CA54F}"/>
    <cellStyle name="Normal 33 2 2 2 4 3 5" xfId="44004" xr:uid="{469611F2-1877-4DD7-AF09-36FA698F50EA}"/>
    <cellStyle name="Normal 33 2 2 2 4 4" xfId="44005" xr:uid="{A9A5BA86-B173-4F55-9F55-B12C5B818D31}"/>
    <cellStyle name="Normal 33 2 2 2 4 4 2" xfId="44006" xr:uid="{E374DBA2-FFF1-4B03-A2C3-36304F560314}"/>
    <cellStyle name="Normal 33 2 2 2 4 4 2 2" xfId="44007" xr:uid="{60484511-E13C-4613-8FF0-B9CC90D4BE51}"/>
    <cellStyle name="Normal 33 2 2 2 4 4 2 2 2" xfId="44008" xr:uid="{6A0D3F72-A19E-4AB7-B524-31D69624695A}"/>
    <cellStyle name="Normal 33 2 2 2 4 4 2 3" xfId="44010" xr:uid="{4ADBECC0-C22C-412D-8FFC-E9F379FF2D25}"/>
    <cellStyle name="Normal 33 2 2 2 4 4 3" xfId="44011" xr:uid="{E46F2A8C-52C8-44D7-8A6A-22B42DECF511}"/>
    <cellStyle name="Normal 33 2 2 2 4 4 3 2" xfId="44012" xr:uid="{0DA4F900-71D0-460C-A88B-C86921E774CA}"/>
    <cellStyle name="Normal 33 2 2 2 4 4 4" xfId="44013" xr:uid="{DBC13FA0-D4D9-4B04-8478-ECBAF85F6A7A}"/>
    <cellStyle name="Normal 33 2 2 2 4 5" xfId="44014" xr:uid="{E1DEB7C4-4DA9-4076-91E6-5606B3F18FF7}"/>
    <cellStyle name="Normal 33 2 2 2 4 5 2" xfId="44015" xr:uid="{3D15D6D1-419E-4DF4-B8C7-CB07D966C6F7}"/>
    <cellStyle name="Normal 33 2 2 2 4 5 2 2" xfId="44016" xr:uid="{DDA58596-AF7F-4B08-B27F-837E9E1BD211}"/>
    <cellStyle name="Normal 33 2 2 2 4 5 3" xfId="44017" xr:uid="{C1F44E7B-46D0-44A7-9B13-5572ACC7A626}"/>
    <cellStyle name="Normal 33 2 2 2 4 6" xfId="44018" xr:uid="{FE90287D-ECF7-40D2-9B9F-E48C6501B813}"/>
    <cellStyle name="Normal 33 2 2 2 4 6 2" xfId="44019" xr:uid="{C4BC8A51-9AAC-4B56-9661-7F8C88B5F214}"/>
    <cellStyle name="Normal 33 2 2 2 4 7" xfId="44020" xr:uid="{5C3B7F79-AD4A-45B9-910C-FDB7E55661A7}"/>
    <cellStyle name="Normal 33 2 2 2 4 8" xfId="44021" xr:uid="{11F08D43-0D3A-4AF6-BEF1-5F8D4C328E81}"/>
    <cellStyle name="Normal 33 2 2 2 5" xfId="11898" xr:uid="{35EEDE19-E6B5-4259-BF48-D5B851E7E831}"/>
    <cellStyle name="Normal 33 2 2 2 5 2" xfId="11905" xr:uid="{B0F35E49-2AD4-44A6-91AB-D45E05F04D7F}"/>
    <cellStyle name="Normal 33 2 2 2 5 2 2" xfId="44022" xr:uid="{7353AF32-EC8D-43C0-8015-6A56CD7EA15A}"/>
    <cellStyle name="Normal 33 2 2 2 5 2 2 2" xfId="44023" xr:uid="{A914524F-2595-42BF-B13A-3F8E07C9D831}"/>
    <cellStyle name="Normal 33 2 2 2 5 2 2 2 2" xfId="44024" xr:uid="{E29FA385-07A6-4D73-9800-8C60D902FE82}"/>
    <cellStyle name="Normal 33 2 2 2 5 2 2 2 2 2" xfId="44025" xr:uid="{1782ED4D-CBAF-440C-8AE5-5B669B341A6D}"/>
    <cellStyle name="Normal 33 2 2 2 5 2 2 2 3" xfId="44026" xr:uid="{9827073F-A33E-4EE3-A61C-8F2C06438695}"/>
    <cellStyle name="Normal 33 2 2 2 5 2 2 3" xfId="44027" xr:uid="{3F1164D5-5D6E-40E7-91DB-6AEB4BDE13C1}"/>
    <cellStyle name="Normal 33 2 2 2 5 2 2 3 2" xfId="44028" xr:uid="{350368CF-49E5-4C59-97F5-42AE5EBAFFE0}"/>
    <cellStyle name="Normal 33 2 2 2 5 2 2 4" xfId="44029" xr:uid="{ED915FEB-2EF8-4235-899E-8CBDADD07955}"/>
    <cellStyle name="Normal 33 2 2 2 5 2 3" xfId="44030" xr:uid="{7A7D8CCF-53DF-4F88-9A14-CEE125922EC1}"/>
    <cellStyle name="Normal 33 2 2 2 5 2 3 2" xfId="44031" xr:uid="{C0B7FBCB-D4E4-4407-ABBF-F82F5259E2DB}"/>
    <cellStyle name="Normal 33 2 2 2 5 2 3 2 2" xfId="44032" xr:uid="{D34EA347-72A9-4FAA-8E90-EFB67C3FE235}"/>
    <cellStyle name="Normal 33 2 2 2 5 2 3 3" xfId="44033" xr:uid="{DB96BF4C-7ECA-4813-9BBC-839B2EEB5BEF}"/>
    <cellStyle name="Normal 33 2 2 2 5 2 4" xfId="44034" xr:uid="{4402AD9E-5A63-4BA4-8AE1-483D6DF8E8FD}"/>
    <cellStyle name="Normal 33 2 2 2 5 2 4 2" xfId="44035" xr:uid="{9BDF3E2D-46FF-4F0C-B802-E8D8BAFC58A0}"/>
    <cellStyle name="Normal 33 2 2 2 5 2 5" xfId="44036" xr:uid="{A625BDAC-5F5F-4C8B-BA08-883FF7529BDD}"/>
    <cellStyle name="Normal 33 2 2 2 5 3" xfId="44037" xr:uid="{EA1FB5CC-F870-45B5-A648-10C44B554767}"/>
    <cellStyle name="Normal 33 2 2 2 5 3 2" xfId="44038" xr:uid="{D93A90F2-A519-4053-B4DB-B124862639DD}"/>
    <cellStyle name="Normal 33 2 2 2 5 3 2 2" xfId="44039" xr:uid="{8DC931FA-3E69-4C42-BDFE-292606BC4953}"/>
    <cellStyle name="Normal 33 2 2 2 5 3 2 2 2" xfId="44040" xr:uid="{6635B546-2C22-4E26-8B1B-2E1C4AC42F50}"/>
    <cellStyle name="Normal 33 2 2 2 5 3 2 3" xfId="44041" xr:uid="{0889B1F0-ED3E-4795-A48B-9023D376F905}"/>
    <cellStyle name="Normal 33 2 2 2 5 3 3" xfId="44042" xr:uid="{681FEDC3-7699-4AC5-AEA7-4BCD4A8BBA10}"/>
    <cellStyle name="Normal 33 2 2 2 5 3 3 2" xfId="44043" xr:uid="{F0A87F30-8D8A-4694-8DD4-5C0DB8BCD14B}"/>
    <cellStyle name="Normal 33 2 2 2 5 3 4" xfId="44044" xr:uid="{C2346ADE-3D74-4816-8CA3-98AB6F85262F}"/>
    <cellStyle name="Normal 33 2 2 2 5 4" xfId="44045" xr:uid="{86E70BCE-BE45-46AB-980C-0680434F3127}"/>
    <cellStyle name="Normal 33 2 2 2 5 4 2" xfId="44046" xr:uid="{E19D25DD-0D10-4B50-9708-F275707C83E7}"/>
    <cellStyle name="Normal 33 2 2 2 5 4 2 2" xfId="44047" xr:uid="{54DF37BF-7499-481E-BA00-B9490A5C5ACB}"/>
    <cellStyle name="Normal 33 2 2 2 5 4 3" xfId="44048" xr:uid="{F5CC83DF-66E4-49B3-B177-342267D51455}"/>
    <cellStyle name="Normal 33 2 2 2 5 5" xfId="44049" xr:uid="{650D3505-15E4-44A3-96D3-B1068497C854}"/>
    <cellStyle name="Normal 33 2 2 2 5 5 2" xfId="44050" xr:uid="{18EB472E-F6C1-403E-9D61-9B5AA3DA24B7}"/>
    <cellStyle name="Normal 33 2 2 2 5 6" xfId="44052" xr:uid="{974C6207-F72F-4EF4-A360-2A5FF17F2B03}"/>
    <cellStyle name="Normal 33 2 2 2 5 7" xfId="44054" xr:uid="{1C48DC08-A352-4A7C-A109-4C79E6710E1A}"/>
    <cellStyle name="Normal 33 2 2 2 6" xfId="2702" xr:uid="{FDA58926-4EFD-4918-BC3D-E9720414BBDE}"/>
    <cellStyle name="Normal 33 2 2 2 6 2" xfId="44055" xr:uid="{10445240-D545-46FE-8869-49AD355769D0}"/>
    <cellStyle name="Normal 33 2 2 2 6 2 2" xfId="44056" xr:uid="{3F683901-4707-45AF-89CD-912FCC8D94C8}"/>
    <cellStyle name="Normal 33 2 2 2 6 2 2 2" xfId="44057" xr:uid="{F22BEDA0-19CC-4264-B039-1D809BB82ABE}"/>
    <cellStyle name="Normal 33 2 2 2 6 2 2 2 2" xfId="44058" xr:uid="{434891A9-FE94-4F62-96B3-B88C27C88593}"/>
    <cellStyle name="Normal 33 2 2 2 6 2 2 3" xfId="44059" xr:uid="{96EAED94-5B95-4A15-A38D-CDE0480836D8}"/>
    <cellStyle name="Normal 33 2 2 2 6 2 3" xfId="44060" xr:uid="{84D4D6DC-DCE9-494D-AF87-7DC453972576}"/>
    <cellStyle name="Normal 33 2 2 2 6 2 3 2" xfId="44061" xr:uid="{0EC468BB-2024-4EFB-91A5-71437B7C7952}"/>
    <cellStyle name="Normal 33 2 2 2 6 2 4" xfId="44062" xr:uid="{F4CD8756-28F3-43C3-B933-93479B6785E6}"/>
    <cellStyle name="Normal 33 2 2 2 6 3" xfId="44063" xr:uid="{4BDE781C-5C7A-43D2-9AB2-70BE0D0FA888}"/>
    <cellStyle name="Normal 33 2 2 2 6 3 2" xfId="44064" xr:uid="{AEA0FF16-4677-449C-9051-E6088A2CD218}"/>
    <cellStyle name="Normal 33 2 2 2 6 3 2 2" xfId="44065" xr:uid="{920A8519-2791-4C5F-B36D-80ECC73201BC}"/>
    <cellStyle name="Normal 33 2 2 2 6 3 3" xfId="44066" xr:uid="{9524DAAA-83BB-40D4-B0B9-D04D3AABE2BF}"/>
    <cellStyle name="Normal 33 2 2 2 6 4" xfId="44067" xr:uid="{45BFD678-62A8-4DAF-B2B6-449ABF64E0CF}"/>
    <cellStyle name="Normal 33 2 2 2 6 4 2" xfId="44068" xr:uid="{6974263D-FA9F-442A-90CD-A1AF421F86EE}"/>
    <cellStyle name="Normal 33 2 2 2 6 5" xfId="44069" xr:uid="{25430FB6-D81E-4BF9-A3B0-EECA48D519EE}"/>
    <cellStyle name="Normal 33 2 2 2 7" xfId="44070" xr:uid="{47DE51DC-C8EA-4F84-BE7F-09287FFE4BEF}"/>
    <cellStyle name="Normal 33 2 2 2 7 2" xfId="44071" xr:uid="{E3D9518B-B842-4994-9C29-B3FBEA1BF872}"/>
    <cellStyle name="Normal 33 2 2 2 7 2 2" xfId="44072" xr:uid="{B23B2756-3F17-4795-AD1B-69B7F30EB5FF}"/>
    <cellStyle name="Normal 33 2 2 2 7 2 2 2" xfId="44073" xr:uid="{1A4463A1-3865-40ED-88C2-AADC75E96722}"/>
    <cellStyle name="Normal 33 2 2 2 7 2 3" xfId="44074" xr:uid="{6C8D4E61-819E-4613-AD9A-9068509A8527}"/>
    <cellStyle name="Normal 33 2 2 2 7 3" xfId="44075" xr:uid="{09CFE0FC-EB8C-434B-8CBF-D8D5EED4ACCC}"/>
    <cellStyle name="Normal 33 2 2 2 7 3 2" xfId="44077" xr:uid="{A77ABCC2-F6F0-47D6-9E8A-B48BBF7F947D}"/>
    <cellStyle name="Normal 33 2 2 2 7 4" xfId="44078" xr:uid="{4555A715-D7C1-4750-BE1A-7FAB7412691B}"/>
    <cellStyle name="Normal 33 2 2 2 8" xfId="44079" xr:uid="{2B44F194-E9AB-4ED0-9779-966B1ADBBA21}"/>
    <cellStyle name="Normal 33 2 2 2 8 2" xfId="44080" xr:uid="{DDC82A58-39DA-4F52-9F6A-CB058970CA5B}"/>
    <cellStyle name="Normal 33 2 2 2 8 2 2" xfId="44081" xr:uid="{8B918790-3E60-4230-872D-53528CB65183}"/>
    <cellStyle name="Normal 33 2 2 2 8 3" xfId="44082" xr:uid="{5167316F-5C6A-4AE3-AC1B-231E45BF163E}"/>
    <cellStyle name="Normal 33 2 2 2 9" xfId="44083" xr:uid="{F410C207-8E57-48CC-8920-5E6387D96178}"/>
    <cellStyle name="Normal 33 2 2 2 9 2" xfId="44084" xr:uid="{5070534D-16DF-4AA9-AF2B-5D613945E535}"/>
    <cellStyle name="Normal 33 2 2 3" xfId="44085" xr:uid="{D1528B74-0D00-42C5-8764-D50EFBDA46D9}"/>
    <cellStyle name="Normal 33 2 2 3 10" xfId="44086" xr:uid="{A633C665-5DED-4849-8B8C-E5448A3BC2AD}"/>
    <cellStyle name="Normal 33 2 2 3 2" xfId="44087" xr:uid="{07010BDD-F481-4FCF-BF3F-E556D28754F2}"/>
    <cellStyle name="Normal 33 2 2 3 2 2" xfId="44088" xr:uid="{141A5744-4D62-4B00-BDF9-5CAE68EA30A5}"/>
    <cellStyle name="Normal 33 2 2 3 2 2 2" xfId="44089" xr:uid="{62C3EB6E-4563-42C1-97E5-2BE35BC3FB2C}"/>
    <cellStyle name="Normal 33 2 2 3 2 2 2 2" xfId="11918" xr:uid="{07385E69-60DE-41B1-9C3E-0C8FC1C31EBE}"/>
    <cellStyle name="Normal 33 2 2 3 2 2 2 2 2" xfId="44090" xr:uid="{2FECA7C1-9703-4D53-A382-D07C392DBA26}"/>
    <cellStyle name="Normal 33 2 2 3 2 2 2 2 2 2" xfId="44091" xr:uid="{67DF603D-7B60-445B-9013-2899B7B8D4DF}"/>
    <cellStyle name="Normal 33 2 2 3 2 2 2 2 2 2 2" xfId="44092" xr:uid="{A9BAD487-1042-4ACE-97BB-02AABFDEEC38}"/>
    <cellStyle name="Normal 33 2 2 3 2 2 2 2 2 2 2 2" xfId="44093" xr:uid="{723BFE9C-E401-457A-B99E-CFA0F9B6885F}"/>
    <cellStyle name="Normal 33 2 2 3 2 2 2 2 2 2 3" xfId="44094" xr:uid="{F9C6495F-6BF9-458E-A866-FAB9A02D85EF}"/>
    <cellStyle name="Normal 33 2 2 3 2 2 2 2 2 3" xfId="2246" xr:uid="{EB3F6502-827C-411B-BFEF-8293A34F2236}"/>
    <cellStyle name="Normal 33 2 2 3 2 2 2 2 2 3 2" xfId="23774" xr:uid="{46355C1D-80AB-4C3F-B135-09CA125C187D}"/>
    <cellStyle name="Normal 33 2 2 3 2 2 2 2 2 4" xfId="2252" xr:uid="{5E4D2FAE-7136-47EA-BED6-F8344791CEE7}"/>
    <cellStyle name="Normal 33 2 2 3 2 2 2 2 3" xfId="44095" xr:uid="{51E383C7-4F8C-4B51-A27F-BE8B8F2FCC34}"/>
    <cellStyle name="Normal 33 2 2 3 2 2 2 2 3 2" xfId="44096" xr:uid="{82B6C60F-0257-49B5-B099-26C0DCBED824}"/>
    <cellStyle name="Normal 33 2 2 3 2 2 2 2 3 2 2" xfId="44097" xr:uid="{3D86DE5E-2A43-40CB-A47B-2290F2FC77ED}"/>
    <cellStyle name="Normal 33 2 2 3 2 2 2 2 3 3" xfId="23856" xr:uid="{218B3579-28D7-47CA-884B-07332DBF0815}"/>
    <cellStyle name="Normal 33 2 2 3 2 2 2 2 4" xfId="44098" xr:uid="{2D89D8CD-87E5-4F8A-A5F1-6D0139001708}"/>
    <cellStyle name="Normal 33 2 2 3 2 2 2 2 4 2" xfId="44099" xr:uid="{02E27DBC-B11B-4EC5-B9D6-D3B1D665D70F}"/>
    <cellStyle name="Normal 33 2 2 3 2 2 2 2 5" xfId="44100" xr:uid="{75B9FA28-73C9-4982-B22E-316481CA2B3F}"/>
    <cellStyle name="Normal 33 2 2 3 2 2 2 3" xfId="36224" xr:uid="{83577DC8-08D7-4AA6-82F9-569C5DDA164A}"/>
    <cellStyle name="Normal 33 2 2 3 2 2 2 3 2" xfId="44101" xr:uid="{D89891B4-0EDB-45EC-9ED5-A0E884BB15BD}"/>
    <cellStyle name="Normal 33 2 2 3 2 2 2 3 2 2" xfId="44102" xr:uid="{65603D6C-F4F4-4BCC-8361-1A1F9AFD0A4B}"/>
    <cellStyle name="Normal 33 2 2 3 2 2 2 3 2 2 2" xfId="44103" xr:uid="{CD1D796F-00BA-4130-8A42-47C568DAEBFE}"/>
    <cellStyle name="Normal 33 2 2 3 2 2 2 3 2 3" xfId="23938" xr:uid="{3E3212CD-48AA-425C-ABA5-3740A4A824AF}"/>
    <cellStyle name="Normal 33 2 2 3 2 2 2 3 3" xfId="44104" xr:uid="{4F042854-8A27-46D5-BEA4-D7EE1EC67BEB}"/>
    <cellStyle name="Normal 33 2 2 3 2 2 2 3 3 2" xfId="44105" xr:uid="{1B42A4EE-A661-4214-BDCE-B1BD4DA6BA3B}"/>
    <cellStyle name="Normal 33 2 2 3 2 2 2 3 4" xfId="44106" xr:uid="{10124469-C87C-44EE-AA86-3FE0F0AB52A9}"/>
    <cellStyle name="Normal 33 2 2 3 2 2 2 4" xfId="36227" xr:uid="{6CF3F9BA-2EBF-4AB9-874A-9D5B33A3882E}"/>
    <cellStyle name="Normal 33 2 2 3 2 2 2 4 2" xfId="44107" xr:uid="{DEFB5D1C-20B2-42F4-9594-352F534B7ABE}"/>
    <cellStyle name="Normal 33 2 2 3 2 2 2 4 2 2" xfId="44108" xr:uid="{5111191F-BD9F-4D8A-B9F5-C338A5B97A66}"/>
    <cellStyle name="Normal 33 2 2 3 2 2 2 4 3" xfId="44109" xr:uid="{51FB0AC3-7F15-4176-B34B-ED0EA295AEE7}"/>
    <cellStyle name="Normal 33 2 2 3 2 2 2 5" xfId="44110" xr:uid="{7D8B6EEC-9F3F-4FF5-B032-042B1C2F70F4}"/>
    <cellStyle name="Normal 33 2 2 3 2 2 2 5 2" xfId="44111" xr:uid="{857E6742-E9E1-44D1-A404-F8EC759D5A93}"/>
    <cellStyle name="Normal 33 2 2 3 2 2 2 6" xfId="44112" xr:uid="{8390D9CF-9DE8-4606-A269-87A31871D818}"/>
    <cellStyle name="Normal 33 2 2 3 2 2 2 7" xfId="44113" xr:uid="{B69142BF-5BD1-4C05-87B6-1C2CDD5B1D3D}"/>
    <cellStyle name="Normal 33 2 2 3 2 2 3" xfId="44114" xr:uid="{9272C8F6-1C0B-48DB-A14B-9BF79841BAD3}"/>
    <cellStyle name="Normal 33 2 2 3 2 2 3 2" xfId="44115" xr:uid="{D0C312C5-4973-4378-A07E-C62BB3A301DC}"/>
    <cellStyle name="Normal 33 2 2 3 2 2 3 2 2" xfId="44116" xr:uid="{55170764-C0A4-47D5-9257-60C4EBDFFD95}"/>
    <cellStyle name="Normal 33 2 2 3 2 2 3 2 2 2" xfId="44117" xr:uid="{C393A67F-E685-4A1E-B22B-95DEA97C9EDA}"/>
    <cellStyle name="Normal 33 2 2 3 2 2 3 2 2 2 2" xfId="44118" xr:uid="{67374401-85A9-4319-BA07-3E347FD17868}"/>
    <cellStyle name="Normal 33 2 2 3 2 2 3 2 2 3" xfId="1978" xr:uid="{DF3A6F2D-D7FF-4745-B2C6-5BD9506D1540}"/>
    <cellStyle name="Normal 33 2 2 3 2 2 3 2 3" xfId="44119" xr:uid="{943D338D-571D-4763-9060-866C1F8F8932}"/>
    <cellStyle name="Normal 33 2 2 3 2 2 3 2 3 2" xfId="44120" xr:uid="{0FA9E48A-1F65-4371-A98F-6CF975EB54FD}"/>
    <cellStyle name="Normal 33 2 2 3 2 2 3 2 4" xfId="44121" xr:uid="{AB4B7776-BE33-471A-900B-352CA744C52A}"/>
    <cellStyle name="Normal 33 2 2 3 2 2 3 3" xfId="44122" xr:uid="{4ED18609-6FEB-4CBB-917C-B7856250D603}"/>
    <cellStyle name="Normal 33 2 2 3 2 2 3 3 2" xfId="44123" xr:uid="{0DF06A2D-7BD3-47A6-AC22-F581A3DC4BFD}"/>
    <cellStyle name="Normal 33 2 2 3 2 2 3 3 2 2" xfId="44124" xr:uid="{AB0C5A39-186E-4F26-B67D-5C0AF0C1BE96}"/>
    <cellStyle name="Normal 33 2 2 3 2 2 3 3 3" xfId="44125" xr:uid="{019C35DD-6CBA-434A-9010-96A93B9F6D2B}"/>
    <cellStyle name="Normal 33 2 2 3 2 2 3 4" xfId="44126" xr:uid="{BCFF2D65-F8BE-48B1-B608-E4058BD4F51A}"/>
    <cellStyle name="Normal 33 2 2 3 2 2 3 4 2" xfId="44127" xr:uid="{E3A2DC3C-06BF-4A39-92FC-C065137B478B}"/>
    <cellStyle name="Normal 33 2 2 3 2 2 3 5" xfId="44128" xr:uid="{0FF84765-2A64-40D5-AAF1-B1B96F173856}"/>
    <cellStyle name="Normal 33 2 2 3 2 2 4" xfId="44129" xr:uid="{B6863718-27A1-4B09-9726-9B599EC56D54}"/>
    <cellStyle name="Normal 33 2 2 3 2 2 4 2" xfId="44130" xr:uid="{32C1900E-F354-4D28-9373-59BDAF301BA1}"/>
    <cellStyle name="Normal 33 2 2 3 2 2 4 2 2" xfId="19602" xr:uid="{0EA6866E-4691-4C5F-93B0-8EE66A5DA367}"/>
    <cellStyle name="Normal 33 2 2 3 2 2 4 2 2 2" xfId="3329" xr:uid="{1EB523AA-17A4-44B0-9D0B-7D5A1CEF33AE}"/>
    <cellStyle name="Normal 33 2 2 3 2 2 4 2 3" xfId="19668" xr:uid="{D3C08600-A06A-4E21-A718-BDFF52BADB40}"/>
    <cellStyle name="Normal 33 2 2 3 2 2 4 3" xfId="44131" xr:uid="{E930995B-E11E-4E2B-9597-B6FEB5818B3E}"/>
    <cellStyle name="Normal 33 2 2 3 2 2 4 3 2" xfId="17570" xr:uid="{089980AE-6D8D-4D8A-BD20-2DA78843686F}"/>
    <cellStyle name="Normal 33 2 2 3 2 2 4 4" xfId="44132" xr:uid="{5FF1CACA-7F54-4990-9FBE-9448CE5747EE}"/>
    <cellStyle name="Normal 33 2 2 3 2 2 5" xfId="44133" xr:uid="{895DF1F9-313B-4CED-AEA4-AC0CB6BDBF3B}"/>
    <cellStyle name="Normal 33 2 2 3 2 2 5 2" xfId="44134" xr:uid="{4EA7894E-D99C-4828-A06B-A3229E8EE1F7}"/>
    <cellStyle name="Normal 33 2 2 3 2 2 5 2 2" xfId="19939" xr:uid="{E1FABEBE-692C-4559-9C8E-4A0D995AFA68}"/>
    <cellStyle name="Normal 33 2 2 3 2 2 5 3" xfId="44135" xr:uid="{89ABBF1E-7489-46B5-BDD0-D216F98F769F}"/>
    <cellStyle name="Normal 33 2 2 3 2 2 6" xfId="44136" xr:uid="{63B18738-7BCE-49D3-9A19-E095141C576F}"/>
    <cellStyle name="Normal 33 2 2 3 2 2 6 2" xfId="44137" xr:uid="{9A368A5F-DA85-4EFA-BFD4-B6DC75D00321}"/>
    <cellStyle name="Normal 33 2 2 3 2 2 7" xfId="44138" xr:uid="{FA280688-A8A5-4A79-AD0D-3F2F0DC786F7}"/>
    <cellStyle name="Normal 33 2 2 3 2 2 8" xfId="44139" xr:uid="{87927F12-6E76-4B79-9CFC-44E48030A83A}"/>
    <cellStyle name="Normal 33 2 2 3 2 3" xfId="44140" xr:uid="{7416788A-248F-4CEA-8ED5-D6F9169055EA}"/>
    <cellStyle name="Normal 33 2 2 3 2 3 2" xfId="44141" xr:uid="{AECFB44D-305D-45CF-B030-33E9AF0298D8}"/>
    <cellStyle name="Normal 33 2 2 3 2 3 2 2" xfId="44142" xr:uid="{C8D3C270-D83B-49B6-8031-72F2B5F36799}"/>
    <cellStyle name="Normal 33 2 2 3 2 3 2 2 2" xfId="44145" xr:uid="{B7818443-7312-4173-B71F-97B86E97A797}"/>
    <cellStyle name="Normal 33 2 2 3 2 3 2 2 2 2" xfId="44146" xr:uid="{56C83A52-5AB7-40A6-8704-F4F4BA2FF10B}"/>
    <cellStyle name="Normal 33 2 2 3 2 3 2 2 2 2 2" xfId="44147" xr:uid="{C0B5C043-0E57-40D7-8CB5-8959317F1390}"/>
    <cellStyle name="Normal 33 2 2 3 2 3 2 2 2 3" xfId="44148" xr:uid="{62DB4A6E-1AF5-4596-84CC-2C4B5D2A92D8}"/>
    <cellStyle name="Normal 33 2 2 3 2 3 2 2 3" xfId="44151" xr:uid="{A5ED29EA-9C0A-41CE-8E9A-D86B49198C63}"/>
    <cellStyle name="Normal 33 2 2 3 2 3 2 2 3 2" xfId="44152" xr:uid="{BB890481-7AD7-4A77-A5B3-CF29510ABE55}"/>
    <cellStyle name="Normal 33 2 2 3 2 3 2 2 4" xfId="44157" xr:uid="{BCBE1527-D075-45CD-9D01-1C07A21BA5CB}"/>
    <cellStyle name="Normal 33 2 2 3 2 3 2 3" xfId="44158" xr:uid="{34F23DEE-8DF7-4ED0-B1D4-674BB26023AF}"/>
    <cellStyle name="Normal 33 2 2 3 2 3 2 3 2" xfId="44159" xr:uid="{05132A01-F7CF-4582-B698-9EAB76AD62ED}"/>
    <cellStyle name="Normal 33 2 2 3 2 3 2 3 2 2" xfId="44160" xr:uid="{322C0F44-9A4B-47C7-A63B-E959FCACAFF3}"/>
    <cellStyle name="Normal 33 2 2 3 2 3 2 3 3" xfId="44161" xr:uid="{F360CCA9-0493-49FC-A993-A5ED631E2955}"/>
    <cellStyle name="Normal 33 2 2 3 2 3 2 4" xfId="44162" xr:uid="{D0CF48C0-D7D1-4397-9BC3-CC912F93CA98}"/>
    <cellStyle name="Normal 33 2 2 3 2 3 2 4 2" xfId="44163" xr:uid="{DDA28DDC-E9A4-450D-AE7A-50E2B56F95B5}"/>
    <cellStyle name="Normal 33 2 2 3 2 3 2 5" xfId="44164" xr:uid="{50DF4FCE-FED2-4612-A344-1E1702ABCBC9}"/>
    <cellStyle name="Normal 33 2 2 3 2 3 3" xfId="44165" xr:uid="{3DFB59A2-7420-4188-9B7F-8ABDE9C8E242}"/>
    <cellStyle name="Normal 33 2 2 3 2 3 3 2" xfId="44166" xr:uid="{C91AC6A5-644B-4511-B44D-306658DD17B6}"/>
    <cellStyle name="Normal 33 2 2 3 2 3 3 2 2" xfId="44167" xr:uid="{1139C4D3-CC0C-45DE-BC4B-12D138D3EB6F}"/>
    <cellStyle name="Normal 33 2 2 3 2 3 3 2 2 2" xfId="44168" xr:uid="{29BF8968-DAB4-4CD3-97E5-52FD9E4AB957}"/>
    <cellStyle name="Normal 33 2 2 3 2 3 3 2 3" xfId="44169" xr:uid="{A0F6385F-F383-4204-BA7D-3CCFA2918FEF}"/>
    <cellStyle name="Normal 33 2 2 3 2 3 3 3" xfId="44170" xr:uid="{DD01F09A-BFA4-4813-8961-13BE8DDF909C}"/>
    <cellStyle name="Normal 33 2 2 3 2 3 3 3 2" xfId="44171" xr:uid="{BCE7C920-FA6E-4DCE-9909-557CDE13BACE}"/>
    <cellStyle name="Normal 33 2 2 3 2 3 3 4" xfId="44172" xr:uid="{C78498C5-D5C5-4567-8B57-3FA29467114E}"/>
    <cellStyle name="Normal 33 2 2 3 2 3 4" xfId="44173" xr:uid="{BC4BF3A1-8E92-4C34-890A-36EB41A8112B}"/>
    <cellStyle name="Normal 33 2 2 3 2 3 4 2" xfId="44174" xr:uid="{60180F3C-E1E3-4663-9A27-D9FCFA5F2F07}"/>
    <cellStyle name="Normal 33 2 2 3 2 3 4 2 2" xfId="44176" xr:uid="{51CEAFF9-9172-4275-B01D-4DC41CA64C66}"/>
    <cellStyle name="Normal 33 2 2 3 2 3 4 3" xfId="44177" xr:uid="{1402C607-1BDC-4F05-AA0F-1464B9A950F2}"/>
    <cellStyle name="Normal 33 2 2 3 2 3 5" xfId="44178" xr:uid="{60E1AEF3-81F0-40A4-B8A3-E49275E83309}"/>
    <cellStyle name="Normal 33 2 2 3 2 3 5 2" xfId="44179" xr:uid="{7C2D8AF3-CE8A-41B5-AE44-2646EEAFA10B}"/>
    <cellStyle name="Normal 33 2 2 3 2 3 6" xfId="44180" xr:uid="{B76B5965-6871-416E-8D54-21282A606DE7}"/>
    <cellStyle name="Normal 33 2 2 3 2 3 7" xfId="44181" xr:uid="{603030FB-51B9-467E-BDDC-831A7776D587}"/>
    <cellStyle name="Normal 33 2 2 3 2 4" xfId="44182" xr:uid="{4CF63640-335C-4E9A-A1A1-D14EA2D29585}"/>
    <cellStyle name="Normal 33 2 2 3 2 4 2" xfId="44183" xr:uid="{FACE5D53-1710-47FE-BEB8-784CB9CBEB72}"/>
    <cellStyle name="Normal 33 2 2 3 2 4 2 2" xfId="44184" xr:uid="{9F3ACA6B-B677-47B0-B30B-EBED90BD3617}"/>
    <cellStyle name="Normal 33 2 2 3 2 4 2 2 2" xfId="44185" xr:uid="{8232D3B3-385E-426F-BD3C-FD5A24B7C217}"/>
    <cellStyle name="Normal 33 2 2 3 2 4 2 2 2 2" xfId="44186" xr:uid="{A81AAEDC-B5EB-4168-BCBD-60E4C08A01D2}"/>
    <cellStyle name="Normal 33 2 2 3 2 4 2 2 3" xfId="44188" xr:uid="{9F489924-4930-48F3-87F3-82C123FF3BCA}"/>
    <cellStyle name="Normal 33 2 2 3 2 4 2 3" xfId="44190" xr:uid="{0B82E612-3559-456E-ABD2-A9DAADA503FE}"/>
    <cellStyle name="Normal 33 2 2 3 2 4 2 3 2" xfId="44192" xr:uid="{64B55A1D-4B6A-4129-BD9C-00FB52C2F6CC}"/>
    <cellStyle name="Normal 33 2 2 3 2 4 2 4" xfId="44194" xr:uid="{D2781D72-3B68-4F1F-9B2A-4011B4F737E6}"/>
    <cellStyle name="Normal 33 2 2 3 2 4 3" xfId="44195" xr:uid="{A3FF7380-B01A-4936-BE9C-096C66FDECBB}"/>
    <cellStyle name="Normal 33 2 2 3 2 4 3 2" xfId="44196" xr:uid="{B6C63BE5-06A5-4141-8B48-C64967169D4C}"/>
    <cellStyle name="Normal 33 2 2 3 2 4 3 2 2" xfId="44197" xr:uid="{F14A7EE0-200D-4CFF-A3E1-C04114E74121}"/>
    <cellStyle name="Normal 33 2 2 3 2 4 3 3" xfId="44199" xr:uid="{E41C0A51-6E25-4728-AFC8-CBE625C18466}"/>
    <cellStyle name="Normal 33 2 2 3 2 4 4" xfId="44200" xr:uid="{419EAFDE-2186-4238-9863-572C71FE27AD}"/>
    <cellStyle name="Normal 33 2 2 3 2 4 4 2" xfId="44201" xr:uid="{53ADC0BE-7ABB-4343-8AC5-78EB7EAEF517}"/>
    <cellStyle name="Normal 33 2 2 3 2 4 5" xfId="44202" xr:uid="{81249C43-2386-4E5C-8A8B-A6C2A33871E0}"/>
    <cellStyle name="Normal 33 2 2 3 2 5" xfId="44203" xr:uid="{CFF7B6DD-001A-4C3C-8E80-E9185EC4B699}"/>
    <cellStyle name="Normal 33 2 2 3 2 5 2" xfId="44204" xr:uid="{B3F1A6B4-E067-4274-9613-65ECB6D4B731}"/>
    <cellStyle name="Normal 33 2 2 3 2 5 2 2" xfId="44205" xr:uid="{1B9718AD-AEA2-48E3-8A62-2100DA083297}"/>
    <cellStyle name="Normal 33 2 2 3 2 5 2 2 2" xfId="44206" xr:uid="{DF3C5663-96D3-44EB-B51D-21D57B22843E}"/>
    <cellStyle name="Normal 33 2 2 3 2 5 2 3" xfId="44208" xr:uid="{448295C3-8052-4871-A899-7DCD47044916}"/>
    <cellStyle name="Normal 33 2 2 3 2 5 3" xfId="44209" xr:uid="{4ABB2A16-EC83-49AB-B982-DBCCD5B811E3}"/>
    <cellStyle name="Normal 33 2 2 3 2 5 3 2" xfId="44210" xr:uid="{CD2D0CD5-EF84-4A8E-B1F9-2A2991597F11}"/>
    <cellStyle name="Normal 33 2 2 3 2 5 4" xfId="44211" xr:uid="{F41D6353-997E-49C6-B87D-41C5B925A71D}"/>
    <cellStyle name="Normal 33 2 2 3 2 6" xfId="44212" xr:uid="{79EFF302-008A-463D-AF1D-184E49F2D267}"/>
    <cellStyle name="Normal 33 2 2 3 2 6 2" xfId="44213" xr:uid="{E80DE438-4DC0-45FB-8514-F4343C78B0FA}"/>
    <cellStyle name="Normal 33 2 2 3 2 6 2 2" xfId="44214" xr:uid="{9A98C05B-3A0B-46F8-A681-50C95340F9E7}"/>
    <cellStyle name="Normal 33 2 2 3 2 6 3" xfId="44215" xr:uid="{DEE4AE73-A91E-4F89-8CF2-E90ADC23E277}"/>
    <cellStyle name="Normal 33 2 2 3 2 7" xfId="44216" xr:uid="{E77A0411-276F-4815-BAF1-2388AE54372A}"/>
    <cellStyle name="Normal 33 2 2 3 2 7 2" xfId="44217" xr:uid="{1BCCE99C-9F6E-4577-B312-F8F9130BFFE6}"/>
    <cellStyle name="Normal 33 2 2 3 2 8" xfId="44218" xr:uid="{23B75859-BC51-461C-AA8F-B5EDD7CCBE69}"/>
    <cellStyle name="Normal 33 2 2 3 2 9" xfId="44219" xr:uid="{18297564-E7D0-4897-B2E8-0A42AA2EEF7E}"/>
    <cellStyle name="Normal 33 2 2 3 3" xfId="44221" xr:uid="{91F2DCF7-C331-4F02-927C-0DCE088E7BA0}"/>
    <cellStyle name="Normal 33 2 2 3 3 2" xfId="44223" xr:uid="{7CEF756B-2DDB-45A7-9220-A7C859CC2F72}"/>
    <cellStyle name="Normal 33 2 2 3 3 2 2" xfId="44225" xr:uid="{3CD16BB9-56CC-4160-944F-620053D01737}"/>
    <cellStyle name="Normal 33 2 2 3 3 2 2 2" xfId="44226" xr:uid="{28B7460D-573C-4C13-8DDB-9AC11E5B2BFB}"/>
    <cellStyle name="Normal 33 2 2 3 3 2 2 2 2" xfId="44227" xr:uid="{B00CC304-C980-47B6-B734-C47FF3D4DDAE}"/>
    <cellStyle name="Normal 33 2 2 3 3 2 2 2 2 2" xfId="44228" xr:uid="{9AEACC7E-6903-4CD8-9E62-589002463FF1}"/>
    <cellStyle name="Normal 33 2 2 3 3 2 2 2 2 2 2" xfId="44229" xr:uid="{E48F6DEA-4223-41D5-9E2B-F92A8DA4BF57}"/>
    <cellStyle name="Normal 33 2 2 3 3 2 2 2 2 3" xfId="44230" xr:uid="{FC3FE9F5-E1C3-4FFC-B051-E024F5A12A00}"/>
    <cellStyle name="Normal 33 2 2 3 3 2 2 2 3" xfId="44231" xr:uid="{DA180773-B0C4-42ED-8C3F-86BB3CF2B74F}"/>
    <cellStyle name="Normal 33 2 2 3 3 2 2 2 3 2" xfId="44232" xr:uid="{751DC1C8-29F2-451C-B449-0E22BABDFC06}"/>
    <cellStyle name="Normal 33 2 2 3 3 2 2 2 4" xfId="44233" xr:uid="{28928BC4-101F-435D-9A0C-798C10F5E0A4}"/>
    <cellStyle name="Normal 33 2 2 3 3 2 2 3" xfId="42103" xr:uid="{0C3C6A9C-BEDF-493D-BECD-FE0418E590A8}"/>
    <cellStyle name="Normal 33 2 2 3 3 2 2 3 2" xfId="44234" xr:uid="{936B6593-6CB7-477A-B4C7-AFED5099A179}"/>
    <cellStyle name="Normal 33 2 2 3 3 2 2 3 2 2" xfId="44235" xr:uid="{120DBE7A-536D-4BAF-9E49-CE7778B168A3}"/>
    <cellStyle name="Normal 33 2 2 3 3 2 2 3 3" xfId="44236" xr:uid="{92C37C0A-34FC-4E3A-AEF2-0A5DCFBDAC7B}"/>
    <cellStyle name="Normal 33 2 2 3 3 2 2 4" xfId="44237" xr:uid="{4B7CA95F-E8C9-4FCD-9067-07FBB1DA83E3}"/>
    <cellStyle name="Normal 33 2 2 3 3 2 2 4 2" xfId="44238" xr:uid="{1D4ACC7F-0720-4FA6-A88C-05AC0BD32BBE}"/>
    <cellStyle name="Normal 33 2 2 3 3 2 2 5" xfId="44239" xr:uid="{FEB02D80-10E7-4222-A7FC-9BDE2FCB5B1B}"/>
    <cellStyle name="Normal 33 2 2 3 3 2 3" xfId="44240" xr:uid="{028C2D06-7A78-419B-931A-31A253CFE8A9}"/>
    <cellStyle name="Normal 33 2 2 3 3 2 3 2" xfId="44241" xr:uid="{E823C6CD-2B37-4CAB-9F74-9535A18B65D1}"/>
    <cellStyle name="Normal 33 2 2 3 3 2 3 2 2" xfId="44242" xr:uid="{A4171E5C-7955-4F3F-AA03-D7F6AAFC933A}"/>
    <cellStyle name="Normal 33 2 2 3 3 2 3 2 2 2" xfId="44243" xr:uid="{5FDC2A45-563B-47E5-90CA-E09F3942D367}"/>
    <cellStyle name="Normal 33 2 2 3 3 2 3 2 3" xfId="44244" xr:uid="{A9F88C0F-6D5C-4A5A-A33A-0C3949E88565}"/>
    <cellStyle name="Normal 33 2 2 3 3 2 3 3" xfId="44245" xr:uid="{C887618F-688E-4E0B-8D7C-7B9BD2CDAF7D}"/>
    <cellStyle name="Normal 33 2 2 3 3 2 3 3 2" xfId="44246" xr:uid="{8A1E36C0-8475-444E-BC0B-26168CD59FE1}"/>
    <cellStyle name="Normal 33 2 2 3 3 2 3 4" xfId="44247" xr:uid="{8C32F4BD-8640-4E35-AC75-AB8845FB4435}"/>
    <cellStyle name="Normal 33 2 2 3 3 2 4" xfId="44248" xr:uid="{232CC02E-1931-4D08-8681-9FE88E28E875}"/>
    <cellStyle name="Normal 33 2 2 3 3 2 4 2" xfId="44249" xr:uid="{F3A3D703-3B22-4570-AE85-359D1F19FB31}"/>
    <cellStyle name="Normal 33 2 2 3 3 2 4 2 2" xfId="44250" xr:uid="{6001A5A8-1CD1-49D5-BCF2-257177841D48}"/>
    <cellStyle name="Normal 33 2 2 3 3 2 4 3" xfId="44251" xr:uid="{779498E9-1C26-4644-A2C1-A8386675F351}"/>
    <cellStyle name="Normal 33 2 2 3 3 2 5" xfId="44252" xr:uid="{CA194F5F-87AA-46AB-B475-1ED4F0097898}"/>
    <cellStyle name="Normal 33 2 2 3 3 2 5 2" xfId="44253" xr:uid="{D3A3A7F2-964A-4CC5-B492-996333E789DC}"/>
    <cellStyle name="Normal 33 2 2 3 3 2 6" xfId="44254" xr:uid="{387499CE-8BAB-4C02-AAF2-72F3E03E7872}"/>
    <cellStyle name="Normal 33 2 2 3 3 2 7" xfId="44255" xr:uid="{D305F9D5-B314-4D61-9E78-43C60F333C9D}"/>
    <cellStyle name="Normal 33 2 2 3 3 3" xfId="44257" xr:uid="{8E3E31BF-3985-4A5F-8FE8-B0210A6D2FE4}"/>
    <cellStyle name="Normal 33 2 2 3 3 3 2" xfId="44258" xr:uid="{15389274-DC54-438E-A20C-851BD5B7D4C4}"/>
    <cellStyle name="Normal 33 2 2 3 3 3 2 2" xfId="44259" xr:uid="{8B8B7E49-3BFE-42FB-A2DC-AAA1EF7C0CD8}"/>
    <cellStyle name="Normal 33 2 2 3 3 3 2 2 2" xfId="44260" xr:uid="{F7F0FD4E-2EC9-475E-A69D-AB5338FD0303}"/>
    <cellStyle name="Normal 33 2 2 3 3 3 2 2 2 2" xfId="44261" xr:uid="{FA9DB64B-DEB4-4A67-A0AE-EBC372922212}"/>
    <cellStyle name="Normal 33 2 2 3 3 3 2 2 3" xfId="44262" xr:uid="{8A99EB75-C0A4-469A-9BC3-60B2AE827D0A}"/>
    <cellStyle name="Normal 33 2 2 3 3 3 2 3" xfId="44263" xr:uid="{19DA6E80-BDFD-4720-ADC5-CF4E86DE42F2}"/>
    <cellStyle name="Normal 33 2 2 3 3 3 2 3 2" xfId="44264" xr:uid="{3AC84C08-5316-475C-9CCE-F86121873901}"/>
    <cellStyle name="Normal 33 2 2 3 3 3 2 4" xfId="44265" xr:uid="{B807F642-E776-4F5A-94C7-A38599FBD8FF}"/>
    <cellStyle name="Normal 33 2 2 3 3 3 3" xfId="44266" xr:uid="{E8B7D392-DD85-4B5A-9150-D3C8138D60C2}"/>
    <cellStyle name="Normal 33 2 2 3 3 3 3 2" xfId="44267" xr:uid="{7A2CDA65-C3EA-4B97-ACDB-99824174B20C}"/>
    <cellStyle name="Normal 33 2 2 3 3 3 3 2 2" xfId="44268" xr:uid="{9726A5C0-BD17-448E-B709-5AC35CA66FBF}"/>
    <cellStyle name="Normal 33 2 2 3 3 3 3 3" xfId="44269" xr:uid="{412A8D1E-34A6-4188-BBE1-566A195E6B68}"/>
    <cellStyle name="Normal 33 2 2 3 3 3 4" xfId="44270" xr:uid="{A6C583D2-EC12-4979-9954-CA2FD6C79898}"/>
    <cellStyle name="Normal 33 2 2 3 3 3 4 2" xfId="44271" xr:uid="{65898A00-E16B-4252-A43D-FF4318E9BE65}"/>
    <cellStyle name="Normal 33 2 2 3 3 3 5" xfId="44272" xr:uid="{82875FED-B019-491A-A483-496AAC31E75F}"/>
    <cellStyle name="Normal 33 2 2 3 3 4" xfId="44273" xr:uid="{151B8B4E-823D-4478-8C54-5E4FC122EAA1}"/>
    <cellStyle name="Normal 33 2 2 3 3 4 2" xfId="44274" xr:uid="{4A24A19B-EE11-4BC6-987F-AC1882BC9B3C}"/>
    <cellStyle name="Normal 33 2 2 3 3 4 2 2" xfId="44275" xr:uid="{948AB7DE-4637-4B13-A99A-7EA688C12AD0}"/>
    <cellStyle name="Normal 33 2 2 3 3 4 2 2 2" xfId="44276" xr:uid="{1D325030-D8C2-415A-BCEF-7E37A06EEF16}"/>
    <cellStyle name="Normal 33 2 2 3 3 4 2 3" xfId="44278" xr:uid="{D8BED681-3CC0-48B3-AE0B-CBFF069A72BC}"/>
    <cellStyle name="Normal 33 2 2 3 3 4 3" xfId="44279" xr:uid="{5AD819FE-4717-445C-BFC8-B6E30D29342D}"/>
    <cellStyle name="Normal 33 2 2 3 3 4 3 2" xfId="44280" xr:uid="{39FD86FB-9380-46E9-81EB-516DD0C3150E}"/>
    <cellStyle name="Normal 33 2 2 3 3 4 4" xfId="44281" xr:uid="{3ED2B2AF-F666-4A06-8364-945CC2C56852}"/>
    <cellStyle name="Normal 33 2 2 3 3 5" xfId="44282" xr:uid="{B5197784-4D61-48E5-A0EE-36E4FC3C2144}"/>
    <cellStyle name="Normal 33 2 2 3 3 5 2" xfId="44283" xr:uid="{9E09867D-CBA6-4178-9712-25D6A3B142E0}"/>
    <cellStyle name="Normal 33 2 2 3 3 5 2 2" xfId="44284" xr:uid="{C67BF6B3-CC12-4E9D-8DAC-5EEECDEFAD8A}"/>
    <cellStyle name="Normal 33 2 2 3 3 5 3" xfId="44285" xr:uid="{4D0B891E-A871-4FD2-B6A5-CBBB9C1FD0A3}"/>
    <cellStyle name="Normal 33 2 2 3 3 6" xfId="44286" xr:uid="{61AC5927-2802-48CC-9E41-D83268D16009}"/>
    <cellStyle name="Normal 33 2 2 3 3 6 2" xfId="44287" xr:uid="{51E7CF99-2432-442A-9D15-85A79D81BB18}"/>
    <cellStyle name="Normal 33 2 2 3 3 7" xfId="44288" xr:uid="{BC2E34F9-DB76-4855-A179-0A226820FAA9}"/>
    <cellStyle name="Normal 33 2 2 3 3 8" xfId="44289" xr:uid="{AA135C3F-D08D-4451-8044-53FAA6379867}"/>
    <cellStyle name="Normal 33 2 2 3 4" xfId="44291" xr:uid="{103AE685-5194-462F-B1E1-445BD09753D3}"/>
    <cellStyle name="Normal 33 2 2 3 4 2" xfId="44293" xr:uid="{236585D7-4202-481E-AC23-A0DC1836D0B2}"/>
    <cellStyle name="Normal 33 2 2 3 4 2 2" xfId="44294" xr:uid="{E5266ECF-7515-4E60-9B71-C9E0D9E1E667}"/>
    <cellStyle name="Normal 33 2 2 3 4 2 2 2" xfId="44295" xr:uid="{56FC8F3F-4EC8-4A05-8CFD-C32DA2C0E347}"/>
    <cellStyle name="Normal 33 2 2 3 4 2 2 2 2" xfId="44296" xr:uid="{BB83E2F4-694E-4317-97F5-51B995FA1C93}"/>
    <cellStyle name="Normal 33 2 2 3 4 2 2 2 2 2" xfId="44297" xr:uid="{E16FAD11-7D09-43A2-9B65-B107FCC683FD}"/>
    <cellStyle name="Normal 33 2 2 3 4 2 2 2 3" xfId="44298" xr:uid="{A23C6FF5-160E-4B52-91D6-AC2BAE9F57EB}"/>
    <cellStyle name="Normal 33 2 2 3 4 2 2 3" xfId="44299" xr:uid="{C526A491-9802-444D-9862-7D60D791A365}"/>
    <cellStyle name="Normal 33 2 2 3 4 2 2 3 2" xfId="44300" xr:uid="{042A9E88-56F2-461E-A934-9B03368429A2}"/>
    <cellStyle name="Normal 33 2 2 3 4 2 2 4" xfId="44301" xr:uid="{4DCBCB66-6D78-4DF3-9986-F173AF2FF0DC}"/>
    <cellStyle name="Normal 33 2 2 3 4 2 3" xfId="44302" xr:uid="{D4CD0B05-91AC-48F5-86AE-CB3529202BB4}"/>
    <cellStyle name="Normal 33 2 2 3 4 2 3 2" xfId="44303" xr:uid="{F37EA54B-FC9A-457D-985D-C94D4F5A5F0D}"/>
    <cellStyle name="Normal 33 2 2 3 4 2 3 2 2" xfId="44304" xr:uid="{279A14B5-46FD-4985-BB80-5228CCB640AC}"/>
    <cellStyle name="Normal 33 2 2 3 4 2 3 3" xfId="44305" xr:uid="{2E11CB2C-B841-494C-BD09-5423FBA4AE62}"/>
    <cellStyle name="Normal 33 2 2 3 4 2 4" xfId="44306" xr:uid="{4FD4A977-517C-4E87-B9EC-76B538A7BADC}"/>
    <cellStyle name="Normal 33 2 2 3 4 2 4 2" xfId="44307" xr:uid="{21915E48-085E-4797-BB8B-BADE7339AFE3}"/>
    <cellStyle name="Normal 33 2 2 3 4 2 5" xfId="44308" xr:uid="{8A6835B5-0775-468D-B750-4D6C0109F400}"/>
    <cellStyle name="Normal 33 2 2 3 4 3" xfId="44309" xr:uid="{1B582A05-01A3-4C01-A8FF-810BB900ED1F}"/>
    <cellStyle name="Normal 33 2 2 3 4 3 2" xfId="44310" xr:uid="{40341028-AC45-49BD-B3D1-9D048DD576F3}"/>
    <cellStyle name="Normal 33 2 2 3 4 3 2 2" xfId="44311" xr:uid="{7DF23117-2773-4D71-B0B3-074C90C317BD}"/>
    <cellStyle name="Normal 33 2 2 3 4 3 2 2 2" xfId="44312" xr:uid="{2862163F-7FEB-4F52-92C6-D947DC22BC70}"/>
    <cellStyle name="Normal 33 2 2 3 4 3 2 3" xfId="44313" xr:uid="{1BCFFE0A-57BA-4F68-8E6A-EA08E4E7C633}"/>
    <cellStyle name="Normal 33 2 2 3 4 3 3" xfId="44314" xr:uid="{5393098D-B35D-4C9F-8072-25EF94094E8F}"/>
    <cellStyle name="Normal 33 2 2 3 4 3 3 2" xfId="44315" xr:uid="{35756655-6F11-45C2-B246-FAE396E28DD9}"/>
    <cellStyle name="Normal 33 2 2 3 4 3 4" xfId="44316" xr:uid="{4F9DFE9A-EF73-4B0E-8B33-2BC13D0E2C78}"/>
    <cellStyle name="Normal 33 2 2 3 4 4" xfId="44317" xr:uid="{48E55381-033D-4F9B-98BB-C5604E0574F3}"/>
    <cellStyle name="Normal 33 2 2 3 4 4 2" xfId="44318" xr:uid="{9E23C0C7-2D3D-4BFE-AFDF-4E7EAB8527FE}"/>
    <cellStyle name="Normal 33 2 2 3 4 4 2 2" xfId="44319" xr:uid="{938BE3D5-DEA7-46AC-86B2-77F104473556}"/>
    <cellStyle name="Normal 33 2 2 3 4 4 3" xfId="44320" xr:uid="{2C8B4A08-EE92-4C7A-BC37-2E03170752DD}"/>
    <cellStyle name="Normal 33 2 2 3 4 5" xfId="44321" xr:uid="{CD65512B-E795-4382-BFAA-735016FF96D4}"/>
    <cellStyle name="Normal 33 2 2 3 4 5 2" xfId="44322" xr:uid="{47C35D7D-89E9-47A7-8EB5-FAF70C22F13F}"/>
    <cellStyle name="Normal 33 2 2 3 4 6" xfId="44323" xr:uid="{ED66E4DC-C773-440C-A55B-816B087ABC63}"/>
    <cellStyle name="Normal 33 2 2 3 4 7" xfId="44324" xr:uid="{BDF9EE23-F1A9-4005-8131-B9BA50712615}"/>
    <cellStyle name="Normal 33 2 2 3 5" xfId="11940" xr:uid="{0B31C020-3715-452A-953A-C7BB1EDA8082}"/>
    <cellStyle name="Normal 33 2 2 3 5 2" xfId="31228" xr:uid="{A54FCFE6-FD2B-475B-9141-274BCB3605ED}"/>
    <cellStyle name="Normal 33 2 2 3 5 2 2" xfId="44325" xr:uid="{2F9B1229-0B8B-45AF-A6E6-DC8B4800D2BA}"/>
    <cellStyle name="Normal 33 2 2 3 5 2 2 2" xfId="44326" xr:uid="{23C18DEF-329C-4710-87F3-6265E57442D5}"/>
    <cellStyle name="Normal 33 2 2 3 5 2 2 2 2" xfId="18714" xr:uid="{8941201C-E450-4871-8041-6D70B2D3682B}"/>
    <cellStyle name="Normal 33 2 2 3 5 2 2 3" xfId="44327" xr:uid="{52E86398-56B3-450D-923B-B67F070CA162}"/>
    <cellStyle name="Normal 33 2 2 3 5 2 3" xfId="44328" xr:uid="{FACAEFE3-416D-4FAC-AA72-91FF0828CF96}"/>
    <cellStyle name="Normal 33 2 2 3 5 2 3 2" xfId="44329" xr:uid="{E419CF6F-38FC-4175-9650-851FAE42C1C9}"/>
    <cellStyle name="Normal 33 2 2 3 5 2 4" xfId="44330" xr:uid="{5BAD0820-4E9B-4974-8807-59CD5147F66D}"/>
    <cellStyle name="Normal 33 2 2 3 5 3" xfId="44331" xr:uid="{5C1AE944-981D-4740-80A6-6F62DAB6DA42}"/>
    <cellStyle name="Normal 33 2 2 3 5 3 2" xfId="44332" xr:uid="{FA2B174E-D974-403F-9D83-1806406F4A68}"/>
    <cellStyle name="Normal 33 2 2 3 5 3 2 2" xfId="44337" xr:uid="{9E3C778E-E1B9-40CE-B972-854188C89B2E}"/>
    <cellStyle name="Normal 33 2 2 3 5 3 3" xfId="44338" xr:uid="{6D96CBF4-2E92-4355-A0FC-9807D385D3BA}"/>
    <cellStyle name="Normal 33 2 2 3 5 4" xfId="35550" xr:uid="{FFFD2CC7-B624-46B8-87C2-E151C451736B}"/>
    <cellStyle name="Normal 33 2 2 3 5 4 2" xfId="44339" xr:uid="{414E00BB-A878-4FAA-AAD7-73F9C27911A6}"/>
    <cellStyle name="Normal 33 2 2 3 5 5" xfId="44340" xr:uid="{AF07A105-7118-4E30-AFAB-00F86220B6D9}"/>
    <cellStyle name="Normal 33 2 2 3 6" xfId="32796" xr:uid="{AA9D67BF-AA6D-4416-9C96-E2551ABFC7FB}"/>
    <cellStyle name="Normal 33 2 2 3 6 2" xfId="44341" xr:uid="{E6C0A951-285B-4144-909C-E8545A8CBD79}"/>
    <cellStyle name="Normal 33 2 2 3 6 2 2" xfId="44342" xr:uid="{F250B327-6A01-4142-94B7-15CD2FBE55FC}"/>
    <cellStyle name="Normal 33 2 2 3 6 2 2 2" xfId="44343" xr:uid="{82FEB53C-7059-405A-B293-5EC2AD925C02}"/>
    <cellStyle name="Normal 33 2 2 3 6 2 3" xfId="44344" xr:uid="{5C7BBCC5-453B-49A2-9B8A-F8C10A75B199}"/>
    <cellStyle name="Normal 33 2 2 3 6 3" xfId="44345" xr:uid="{B3B82F76-478D-4F7A-BCDD-453927457028}"/>
    <cellStyle name="Normal 33 2 2 3 6 3 2" xfId="44346" xr:uid="{C2FD4E89-846B-48BB-B0CD-1E67C856200C}"/>
    <cellStyle name="Normal 33 2 2 3 6 4" xfId="44347" xr:uid="{92E99C2E-A4E8-4DA9-861F-AED81322DB28}"/>
    <cellStyle name="Normal 33 2 2 3 7" xfId="44348" xr:uid="{F7BE7838-9D80-42AF-B547-18481B00BE75}"/>
    <cellStyle name="Normal 33 2 2 3 7 2" xfId="44349" xr:uid="{82AC1016-5170-42B7-8C85-BC69FCFDB631}"/>
    <cellStyle name="Normal 33 2 2 3 7 2 2" xfId="44350" xr:uid="{8C718840-9551-4B95-AA39-D4F692C40A8B}"/>
    <cellStyle name="Normal 33 2 2 3 7 3" xfId="44351" xr:uid="{66CCCB8C-DB14-4072-B6B9-F009AECDB7C8}"/>
    <cellStyle name="Normal 33 2 2 3 8" xfId="44352" xr:uid="{F92031F3-4EF7-4961-9EBE-651204DC680C}"/>
    <cellStyle name="Normal 33 2 2 3 8 2" xfId="44353" xr:uid="{B27E045B-B565-4B79-ADB5-B58DEF3424D7}"/>
    <cellStyle name="Normal 33 2 2 3 9" xfId="44354" xr:uid="{DE0BE8D7-2C09-4892-A567-3FE2A1F05A01}"/>
    <cellStyle name="Normal 33 2 2 4" xfId="44355" xr:uid="{11CE5FAD-72C5-4103-9203-9157CC5DB8B1}"/>
    <cellStyle name="Normal 33 2 2 4 2" xfId="44356" xr:uid="{6858EA4D-A411-419A-ABBF-8C7848A8C35C}"/>
    <cellStyle name="Normal 33 2 2 4 2 2" xfId="44357" xr:uid="{042F4511-E744-4661-8B41-BF598067EECD}"/>
    <cellStyle name="Normal 33 2 2 4 2 2 2" xfId="44358" xr:uid="{7E9BD20E-1A44-4023-922F-3FC6F2B26FC2}"/>
    <cellStyle name="Normal 33 2 2 4 2 2 2 2" xfId="44359" xr:uid="{FA9D0AA1-8789-42CB-A699-3B9F5BB3A59A}"/>
    <cellStyle name="Normal 33 2 2 4 2 2 2 2 2" xfId="44360" xr:uid="{98809B0E-81D7-4FF5-868D-AE8A3990551A}"/>
    <cellStyle name="Normal 33 2 2 4 2 2 2 2 2 2" xfId="44361" xr:uid="{8EA07A90-4A8D-4C71-9D08-7487393F1B38}"/>
    <cellStyle name="Normal 33 2 2 4 2 2 2 2 2 2 2" xfId="44363" xr:uid="{8D3102EE-9BB6-4191-8D68-64A7DD849BC6}"/>
    <cellStyle name="Normal 33 2 2 4 2 2 2 2 2 3" xfId="44364" xr:uid="{07C1EC16-002D-4DF7-B7F1-B1C444BF2E46}"/>
    <cellStyle name="Normal 33 2 2 4 2 2 2 2 3" xfId="44365" xr:uid="{8EDD9636-F781-4140-B9DA-9E9CC045EF49}"/>
    <cellStyle name="Normal 33 2 2 4 2 2 2 2 3 2" xfId="44366" xr:uid="{BFF2AE7B-EF1A-4ADD-A6E5-B44C9CBDD70E}"/>
    <cellStyle name="Normal 33 2 2 4 2 2 2 2 4" xfId="44367" xr:uid="{FF77D075-3810-4D6B-AC4B-7504E76C1FE3}"/>
    <cellStyle name="Normal 33 2 2 4 2 2 2 3" xfId="44368" xr:uid="{A8FF9793-EA88-476A-9546-00B483BB0503}"/>
    <cellStyle name="Normal 33 2 2 4 2 2 2 3 2" xfId="44369" xr:uid="{5D626ED6-06FC-4DB8-88CB-D1250515D3FD}"/>
    <cellStyle name="Normal 33 2 2 4 2 2 2 3 2 2" xfId="44370" xr:uid="{FEAC7BFC-2183-4053-B2CA-AE50A5D6386B}"/>
    <cellStyle name="Normal 33 2 2 4 2 2 2 3 3" xfId="44371" xr:uid="{5A1DACF6-2F1F-424C-8DD9-795929B048BB}"/>
    <cellStyle name="Normal 33 2 2 4 2 2 2 4" xfId="44372" xr:uid="{B6EBDABF-3E56-42F3-B935-1EB91B312D3B}"/>
    <cellStyle name="Normal 33 2 2 4 2 2 2 4 2" xfId="44373" xr:uid="{9956D2AB-02CA-4029-8C5F-B7E65A947F24}"/>
    <cellStyle name="Normal 33 2 2 4 2 2 2 5" xfId="44374" xr:uid="{5E720974-D009-482D-A07D-C16D55B496DF}"/>
    <cellStyle name="Normal 33 2 2 4 2 2 3" xfId="44375" xr:uid="{90FE6850-FF6F-41A4-8E09-729C7B3BBC88}"/>
    <cellStyle name="Normal 33 2 2 4 2 2 3 2" xfId="44376" xr:uid="{B0CA4AE4-DB45-43A9-8870-C27E13B9B4A3}"/>
    <cellStyle name="Normal 33 2 2 4 2 2 3 2 2" xfId="44377" xr:uid="{3F6D54C7-09EC-4E50-A360-865532E093BF}"/>
    <cellStyle name="Normal 33 2 2 4 2 2 3 2 2 2" xfId="44378" xr:uid="{AD757C85-0B50-4E52-A010-C0DD6CF07935}"/>
    <cellStyle name="Normal 33 2 2 4 2 2 3 2 3" xfId="44379" xr:uid="{630A0A88-6A21-45BE-8A4E-318962DB123E}"/>
    <cellStyle name="Normal 33 2 2 4 2 2 3 3" xfId="44380" xr:uid="{76FD037D-347F-4CBC-95BA-2CC2D354C15C}"/>
    <cellStyle name="Normal 33 2 2 4 2 2 3 3 2" xfId="44381" xr:uid="{5631D2A8-738C-4775-BE4C-660EAC1FD3FE}"/>
    <cellStyle name="Normal 33 2 2 4 2 2 3 4" xfId="44382" xr:uid="{876E783C-4D51-4FF7-B373-1358CB2A7BD2}"/>
    <cellStyle name="Normal 33 2 2 4 2 2 4" xfId="44383" xr:uid="{AEE66D02-D7E3-4CC7-8CB6-8771A55C1EAA}"/>
    <cellStyle name="Normal 33 2 2 4 2 2 4 2" xfId="44384" xr:uid="{1AB3D2BA-19C2-400D-95A6-5AB4346CF2DE}"/>
    <cellStyle name="Normal 33 2 2 4 2 2 4 2 2" xfId="44385" xr:uid="{2AAF71B7-F783-4736-ABDF-144CC2502146}"/>
    <cellStyle name="Normal 33 2 2 4 2 2 4 3" xfId="44386" xr:uid="{623397FB-BD97-460F-93A6-6ADCA3D1BAE9}"/>
    <cellStyle name="Normal 33 2 2 4 2 2 5" xfId="44387" xr:uid="{FAC91FE6-910A-4EB4-A80A-8A4A2C6DB920}"/>
    <cellStyle name="Normal 33 2 2 4 2 2 5 2" xfId="44388" xr:uid="{47FB9865-D761-4E80-838B-4D98D66C72D3}"/>
    <cellStyle name="Normal 33 2 2 4 2 2 6" xfId="44389" xr:uid="{80769FA5-1EE2-49DD-88FA-9CFF5FD60E70}"/>
    <cellStyle name="Normal 33 2 2 4 2 2 7" xfId="44390" xr:uid="{50E5388C-400B-40FF-9250-4BA77DEB6022}"/>
    <cellStyle name="Normal 33 2 2 4 2 3" xfId="11952" xr:uid="{830975A7-7CD1-44C3-BB5E-FA5C2C1443BD}"/>
    <cellStyle name="Normal 33 2 2 4 2 3 2" xfId="30681" xr:uid="{F44BFFB5-2BF1-4146-B025-80CD72696D09}"/>
    <cellStyle name="Normal 33 2 2 4 2 3 2 2" xfId="44391" xr:uid="{5DE680D0-E4DB-485C-B2C8-88A017E40195}"/>
    <cellStyle name="Normal 33 2 2 4 2 3 2 2 2" xfId="44392" xr:uid="{9690192F-434B-473D-B7E8-1015C10CD432}"/>
    <cellStyle name="Normal 33 2 2 4 2 3 2 2 2 2" xfId="44393" xr:uid="{9DCD4ECA-1F43-405C-AA74-7BB6FAE444A0}"/>
    <cellStyle name="Normal 33 2 2 4 2 3 2 2 3" xfId="44394" xr:uid="{81CB970C-CEB3-45F4-ACD7-38AA59148A41}"/>
    <cellStyle name="Normal 33 2 2 4 2 3 2 3" xfId="44395" xr:uid="{39D17627-A496-41B4-AD5D-3845489A1E36}"/>
    <cellStyle name="Normal 33 2 2 4 2 3 2 3 2" xfId="44396" xr:uid="{5BB1AF84-9555-4F4B-946B-9931EE32F0C9}"/>
    <cellStyle name="Normal 33 2 2 4 2 3 2 4" xfId="44397" xr:uid="{D7E3DEAE-243D-45C9-89EB-1B2D5547FB63}"/>
    <cellStyle name="Normal 33 2 2 4 2 3 3" xfId="44398" xr:uid="{6A0EE44D-BAC5-4249-AF9B-00F825D100E0}"/>
    <cellStyle name="Normal 33 2 2 4 2 3 3 2" xfId="44399" xr:uid="{1F600C77-AC22-4367-BBD5-A4F1460A71D5}"/>
    <cellStyle name="Normal 33 2 2 4 2 3 3 2 2" xfId="44400" xr:uid="{B1021E4D-608D-4E4C-A37B-3AF0B2A9033E}"/>
    <cellStyle name="Normal 33 2 2 4 2 3 3 3" xfId="44401" xr:uid="{2993CEE9-A6F0-43BC-8958-E011C366EE2D}"/>
    <cellStyle name="Normal 33 2 2 4 2 3 4" xfId="44402" xr:uid="{AA240FB7-FD00-43AA-B9F0-3751B1EE5F1A}"/>
    <cellStyle name="Normal 33 2 2 4 2 3 4 2" xfId="44403" xr:uid="{F973BABB-A6C8-4C71-90FD-AE1E141B0E7D}"/>
    <cellStyle name="Normal 33 2 2 4 2 3 5" xfId="38546" xr:uid="{417F5DC0-425A-4F4D-8F06-932D12DAB870}"/>
    <cellStyle name="Normal 33 2 2 4 2 4" xfId="30684" xr:uid="{D5697A44-1BAF-4A90-9453-DF8B206EE642}"/>
    <cellStyle name="Normal 33 2 2 4 2 4 2" xfId="44404" xr:uid="{DDBF98EF-29D1-4247-B223-723A1FE93963}"/>
    <cellStyle name="Normal 33 2 2 4 2 4 2 2" xfId="44405" xr:uid="{FD320D15-044D-4590-8637-0EEBC742C9E1}"/>
    <cellStyle name="Normal 33 2 2 4 2 4 2 2 2" xfId="42475" xr:uid="{504E929E-2C3C-42DC-A50E-28F770AB59BD}"/>
    <cellStyle name="Normal 33 2 2 4 2 4 2 3" xfId="44407" xr:uid="{82F56473-4C1E-448C-B6D4-8265DB5618EA}"/>
    <cellStyle name="Normal 33 2 2 4 2 4 3" xfId="44408" xr:uid="{C7532352-9873-4A7E-B83C-9F565232BAC0}"/>
    <cellStyle name="Normal 33 2 2 4 2 4 3 2" xfId="44409" xr:uid="{1F9945AB-2243-42A2-859E-CA527CF6C185}"/>
    <cellStyle name="Normal 33 2 2 4 2 4 4" xfId="44410" xr:uid="{0DA2B32E-250F-4E14-81C6-01457DCA73B5}"/>
    <cellStyle name="Normal 33 2 2 4 2 5" xfId="44411" xr:uid="{FF784476-843D-4AA5-823C-94B3A671FF28}"/>
    <cellStyle name="Normal 33 2 2 4 2 5 2" xfId="44412" xr:uid="{14A43564-517D-44DE-8C53-AE3A6E28D8A8}"/>
    <cellStyle name="Normal 33 2 2 4 2 5 2 2" xfId="44413" xr:uid="{99A1C855-5ED0-4B83-8917-39EF5665E395}"/>
    <cellStyle name="Normal 33 2 2 4 2 5 3" xfId="44414" xr:uid="{9984C1EC-52A3-41A2-9471-E27121132FF5}"/>
    <cellStyle name="Normal 33 2 2 4 2 6" xfId="44415" xr:uid="{00B0A6D2-1249-4EA1-A6BC-ABCDF2F28C57}"/>
    <cellStyle name="Normal 33 2 2 4 2 6 2" xfId="21587" xr:uid="{BC289939-9011-4966-BA36-915BB753439B}"/>
    <cellStyle name="Normal 33 2 2 4 2 7" xfId="44416" xr:uid="{2F17F22C-0CAE-4214-AD6A-6C61B06BE0E4}"/>
    <cellStyle name="Normal 33 2 2 4 2 8" xfId="44417" xr:uid="{ADC68725-13D7-47E5-8233-AA3E735A3721}"/>
    <cellStyle name="Normal 33 2 2 4 3" xfId="44419" xr:uid="{F387639D-9326-4108-8BAC-E8F63A3E8CB7}"/>
    <cellStyle name="Normal 33 2 2 4 3 2" xfId="44421" xr:uid="{30E934E6-2507-4B44-BDF0-B8656A7AB854}"/>
    <cellStyle name="Normal 33 2 2 4 3 2 2" xfId="44422" xr:uid="{81B083FC-8E28-448C-9270-F23445F5D133}"/>
    <cellStyle name="Normal 33 2 2 4 3 2 2 2" xfId="44423" xr:uid="{2373EBA4-FE8C-4834-90E8-3AA7209942EA}"/>
    <cellStyle name="Normal 33 2 2 4 3 2 2 2 2" xfId="44424" xr:uid="{B0DAF5F5-7E48-4503-94FF-84ED236B004F}"/>
    <cellStyle name="Normal 33 2 2 4 3 2 2 2 2 2" xfId="44425" xr:uid="{22B918C7-BBE6-4FA2-97F7-8B16CA899D76}"/>
    <cellStyle name="Normal 33 2 2 4 3 2 2 2 3" xfId="44426" xr:uid="{53C40BAD-0544-4C3C-B0D1-6C62D277F552}"/>
    <cellStyle name="Normal 33 2 2 4 3 2 2 3" xfId="44427" xr:uid="{5D10B6C0-7355-4650-A648-24B26ACFFFB6}"/>
    <cellStyle name="Normal 33 2 2 4 3 2 2 3 2" xfId="44428" xr:uid="{4F0F6D66-0E44-477D-88C0-7D5114068AEF}"/>
    <cellStyle name="Normal 33 2 2 4 3 2 2 4" xfId="44429" xr:uid="{8F9E122C-5546-49CE-9103-EB39AE239CA4}"/>
    <cellStyle name="Normal 33 2 2 4 3 2 3" xfId="44430" xr:uid="{15B68E4E-664F-4808-BCD1-FE65C72629D6}"/>
    <cellStyle name="Normal 33 2 2 4 3 2 3 2" xfId="44431" xr:uid="{695D6A2C-7F26-44D1-A7E4-CB7A52F035BE}"/>
    <cellStyle name="Normal 33 2 2 4 3 2 3 2 2" xfId="44432" xr:uid="{22A9EC9F-64F7-404D-89CF-46B29C03B709}"/>
    <cellStyle name="Normal 33 2 2 4 3 2 3 3" xfId="44433" xr:uid="{BA5A9464-E386-416A-851F-C67144C97A7F}"/>
    <cellStyle name="Normal 33 2 2 4 3 2 4" xfId="44434" xr:uid="{6CE0BB68-C817-4CBE-A9A3-B665357F5E5F}"/>
    <cellStyle name="Normal 33 2 2 4 3 2 4 2" xfId="44435" xr:uid="{48B91C88-CB88-41E0-B25E-0164D53ABA69}"/>
    <cellStyle name="Normal 33 2 2 4 3 2 5" xfId="44436" xr:uid="{3E78DFB7-600B-4B5C-A5C3-32E81F1C0847}"/>
    <cellStyle name="Normal 33 2 2 4 3 3" xfId="30686" xr:uid="{0101B929-7078-41DE-9E3C-E2CD4B6961E8}"/>
    <cellStyle name="Normal 33 2 2 4 3 3 2" xfId="44437" xr:uid="{BD91EEFE-0413-4ECF-9D43-9F9981DC7B90}"/>
    <cellStyle name="Normal 33 2 2 4 3 3 2 2" xfId="44438" xr:uid="{ED59A69A-92F3-468C-8C8A-B693981B7545}"/>
    <cellStyle name="Normal 33 2 2 4 3 3 2 2 2" xfId="44439" xr:uid="{3B6F9AED-3AE0-4E76-BFC6-157028802FA0}"/>
    <cellStyle name="Normal 33 2 2 4 3 3 2 3" xfId="44440" xr:uid="{A60EBB66-1A68-480D-9BDE-59CBB75F9050}"/>
    <cellStyle name="Normal 33 2 2 4 3 3 3" xfId="44441" xr:uid="{351E4EE6-4D00-4DFC-B47B-A9FAE07CDD8E}"/>
    <cellStyle name="Normal 33 2 2 4 3 3 3 2" xfId="44442" xr:uid="{8173AA60-A413-489D-A960-A4CBABE1DD50}"/>
    <cellStyle name="Normal 33 2 2 4 3 3 4" xfId="44443" xr:uid="{D11EBD1B-A471-44BF-9ED9-4FEEC02F2993}"/>
    <cellStyle name="Normal 33 2 2 4 3 4" xfId="44444" xr:uid="{ADEBAC0B-357B-41C6-9FF7-28FFA564E6D2}"/>
    <cellStyle name="Normal 33 2 2 4 3 4 2" xfId="44445" xr:uid="{D587FDF3-DB94-4D77-8450-A41DDC4E2864}"/>
    <cellStyle name="Normal 33 2 2 4 3 4 2 2" xfId="44446" xr:uid="{C916397B-484B-492E-B157-9CF9D18848DA}"/>
    <cellStyle name="Normal 33 2 2 4 3 4 3" xfId="44447" xr:uid="{ED22875E-E6AC-4FD8-807C-FFD2A10454BA}"/>
    <cellStyle name="Normal 33 2 2 4 3 5" xfId="44448" xr:uid="{C9BD9047-8626-4460-A50C-F47CECB099DF}"/>
    <cellStyle name="Normal 33 2 2 4 3 5 2" xfId="44449" xr:uid="{26D52DEE-B18E-40A7-A132-92ABDC2DA1B6}"/>
    <cellStyle name="Normal 33 2 2 4 3 6" xfId="44450" xr:uid="{D02B4E33-39E6-49CB-9D04-78D51977B705}"/>
    <cellStyle name="Normal 33 2 2 4 3 7" xfId="44451" xr:uid="{B6026431-DAA3-4136-9C73-9DDE9A8FBD8A}"/>
    <cellStyle name="Normal 33 2 2 4 4" xfId="44453" xr:uid="{6F65A297-535A-4C9C-B687-55B0383E788F}"/>
    <cellStyle name="Normal 33 2 2 4 4 2" xfId="44454" xr:uid="{4840CAB1-E078-4F3A-94DC-44A0CD2BC73D}"/>
    <cellStyle name="Normal 33 2 2 4 4 2 2" xfId="44455" xr:uid="{47BB09CE-B458-483E-AC6B-CB51F3E27202}"/>
    <cellStyle name="Normal 33 2 2 4 4 2 2 2" xfId="44456" xr:uid="{F955B452-40C7-4413-87B9-2310DF854233}"/>
    <cellStyle name="Normal 33 2 2 4 4 2 2 2 2" xfId="44457" xr:uid="{44FC689E-E10A-498B-8A8F-5101E6B31BEE}"/>
    <cellStyle name="Normal 33 2 2 4 4 2 2 3" xfId="44458" xr:uid="{58FB2F58-A44A-4372-A5CE-C3827E870195}"/>
    <cellStyle name="Normal 33 2 2 4 4 2 3" xfId="44459" xr:uid="{80617F49-C2A1-4888-B5F2-4F2CD6753FAE}"/>
    <cellStyle name="Normal 33 2 2 4 4 2 3 2" xfId="44460" xr:uid="{66638876-56A2-4466-A43D-64D2D9311AE8}"/>
    <cellStyle name="Normal 33 2 2 4 4 2 4" xfId="44461" xr:uid="{C152374A-0E23-4515-AF07-A458C60A18C8}"/>
    <cellStyle name="Normal 33 2 2 4 4 3" xfId="44462" xr:uid="{8A8F8447-3680-4E04-8622-C957BEFD50DD}"/>
    <cellStyle name="Normal 33 2 2 4 4 3 2" xfId="44463" xr:uid="{2F7E5CF2-A463-4AF9-9516-AF3BABE39A6B}"/>
    <cellStyle name="Normal 33 2 2 4 4 3 2 2" xfId="44464" xr:uid="{FB040D46-B782-4EBC-8789-2A7186464AB4}"/>
    <cellStyle name="Normal 33 2 2 4 4 3 3" xfId="44465" xr:uid="{E2BC3B3A-22EB-49B3-8503-426379795D6A}"/>
    <cellStyle name="Normal 33 2 2 4 4 4" xfId="44466" xr:uid="{9627FA31-2EC3-4423-B6FB-C7C3C9BA0BF8}"/>
    <cellStyle name="Normal 33 2 2 4 4 4 2" xfId="44467" xr:uid="{ACE305AB-DFC7-4B74-972F-EB16824B9056}"/>
    <cellStyle name="Normal 33 2 2 4 4 5" xfId="44468" xr:uid="{3B168134-CC08-46A9-955A-8DD3EF4977F3}"/>
    <cellStyle name="Normal 33 2 2 4 5" xfId="1209" xr:uid="{CFBC3F1A-7A87-4625-82A2-DCA8AEF829AA}"/>
    <cellStyle name="Normal 33 2 2 4 5 2" xfId="32805" xr:uid="{12C6E30F-09EA-47B4-9084-01CB948DC485}"/>
    <cellStyle name="Normal 33 2 2 4 5 2 2" xfId="44469" xr:uid="{26D7FC2F-CF5F-4EAB-B069-48EF918B4781}"/>
    <cellStyle name="Normal 33 2 2 4 5 2 2 2" xfId="44470" xr:uid="{1AD0ADEB-D3F1-410D-BCAC-248B7CDF120D}"/>
    <cellStyle name="Normal 33 2 2 4 5 2 3" xfId="44471" xr:uid="{8AF8F4E8-32D3-4E88-9F00-BB1736944E45}"/>
    <cellStyle name="Normal 33 2 2 4 5 3" xfId="44472" xr:uid="{CDA82CB7-99CA-4B3A-A8E2-1B0BF109725F}"/>
    <cellStyle name="Normal 33 2 2 4 5 3 2" xfId="44473" xr:uid="{0BFA8289-D9F4-45D3-8698-7377B0945096}"/>
    <cellStyle name="Normal 33 2 2 4 5 4" xfId="44474" xr:uid="{7F81E5C6-BD39-4BC3-A6B6-0962EFB23238}"/>
    <cellStyle name="Normal 33 2 2 4 6" xfId="1224" xr:uid="{499422D3-60C6-4595-BA40-B2536AC81EF1}"/>
    <cellStyle name="Normal 33 2 2 4 6 2" xfId="44475" xr:uid="{A629A220-A01A-4F45-8C77-10F0EE0F8284}"/>
    <cellStyle name="Normal 33 2 2 4 6 2 2" xfId="44477" xr:uid="{9637DD7E-EE17-48FA-B5FD-C16C5110FF62}"/>
    <cellStyle name="Normal 33 2 2 4 6 3" xfId="44478" xr:uid="{CFBB766F-A318-4FB1-9018-F5F17BD6B83E}"/>
    <cellStyle name="Normal 33 2 2 4 7" xfId="44479" xr:uid="{46171953-C05A-467A-A783-D29D1E195B02}"/>
    <cellStyle name="Normal 33 2 2 4 7 2" xfId="44480" xr:uid="{1ED3668E-C88B-4E64-9F7C-8315703599EB}"/>
    <cellStyle name="Normal 33 2 2 4 8" xfId="44481" xr:uid="{EA537D33-52B2-4F27-B0FB-67886D8B37A7}"/>
    <cellStyle name="Normal 33 2 2 4 9" xfId="44482" xr:uid="{2517F744-8269-4003-99F4-CBE424B47B26}"/>
    <cellStyle name="Normal 33 2 2 5" xfId="44483" xr:uid="{F1D36A92-7795-4B2D-A4FC-43F53C1F40B7}"/>
    <cellStyle name="Normal 33 2 2 5 2" xfId="44484" xr:uid="{AB2E8CC0-0EDF-47F2-9B21-DF01F7BEC409}"/>
    <cellStyle name="Normal 33 2 2 5 2 2" xfId="11959" xr:uid="{7D5D2B7A-5A78-4B62-8AE7-44D487D381DB}"/>
    <cellStyle name="Normal 33 2 2 5 2 2 2" xfId="35133" xr:uid="{53DC881A-A620-4F7B-A9BA-45A2BC8D4322}"/>
    <cellStyle name="Normal 33 2 2 5 2 2 2 2" xfId="35137" xr:uid="{CFB9E7B2-5141-4D5B-A830-B86CADE37685}"/>
    <cellStyle name="Normal 33 2 2 5 2 2 2 2 2" xfId="2130" xr:uid="{351B6B78-D202-4E57-8912-39D1D81B00A3}"/>
    <cellStyle name="Normal 33 2 2 5 2 2 2 2 2 2" xfId="44485" xr:uid="{F265893E-F488-4444-BCF9-9DCF30383AD3}"/>
    <cellStyle name="Normal 33 2 2 5 2 2 2 2 3" xfId="44486" xr:uid="{8128B48B-C875-4657-8691-F6B1B5EEE4DE}"/>
    <cellStyle name="Normal 33 2 2 5 2 2 2 3" xfId="29933" xr:uid="{41A082FC-5F4E-4F3C-87C8-02E29316E9CB}"/>
    <cellStyle name="Normal 33 2 2 5 2 2 2 3 2" xfId="44487" xr:uid="{B14368A7-ECCE-4B3B-9B66-FAA4D209CAF5}"/>
    <cellStyle name="Normal 33 2 2 5 2 2 2 4" xfId="44488" xr:uid="{AE72E7D6-37C9-42A9-8F8B-8E4883CAFF3F}"/>
    <cellStyle name="Normal 33 2 2 5 2 2 3" xfId="35140" xr:uid="{0780148C-9910-4401-A8E6-E968CAEF114D}"/>
    <cellStyle name="Normal 33 2 2 5 2 2 3 2" xfId="44489" xr:uid="{4CB754B6-83C2-46DA-BD3C-5C149D9DCC31}"/>
    <cellStyle name="Normal 33 2 2 5 2 2 3 2 2" xfId="44490" xr:uid="{A3F961E0-479A-473D-B650-17DF6A695880}"/>
    <cellStyle name="Normal 33 2 2 5 2 2 3 3" xfId="44491" xr:uid="{0F26630F-A543-466D-BF76-81471443AE00}"/>
    <cellStyle name="Normal 33 2 2 5 2 2 4" xfId="44492" xr:uid="{2D23C429-95AF-4C44-B9FD-6CCC8C9EBA83}"/>
    <cellStyle name="Normal 33 2 2 5 2 2 4 2" xfId="44493" xr:uid="{92109F5A-420A-48AB-AC79-692706C2AD36}"/>
    <cellStyle name="Normal 33 2 2 5 2 2 5" xfId="44494" xr:uid="{7A785C33-3E9A-45E4-A9FB-1D9C546F5021}"/>
    <cellStyle name="Normal 33 2 2 5 2 3" xfId="30691" xr:uid="{10F4AA12-8091-4FAA-AFE6-19CFC8554C73}"/>
    <cellStyle name="Normal 33 2 2 5 2 3 2" xfId="35145" xr:uid="{F0A984F7-145A-4C39-85E0-2CEBDB2AAA77}"/>
    <cellStyle name="Normal 33 2 2 5 2 3 2 2" xfId="35148" xr:uid="{51B2E344-023A-42DB-8822-3F8D5F99A94D}"/>
    <cellStyle name="Normal 33 2 2 5 2 3 2 2 2" xfId="35155" xr:uid="{2C66F329-4447-4685-9F43-DDD53F0E7C0A}"/>
    <cellStyle name="Normal 33 2 2 5 2 3 2 3" xfId="29945" xr:uid="{80704814-C586-4A1A-A31A-0EF677B79F8E}"/>
    <cellStyle name="Normal 33 2 2 5 2 3 3" xfId="35160" xr:uid="{E2AF2D60-9352-472B-BDD6-81BA48E57249}"/>
    <cellStyle name="Normal 33 2 2 5 2 3 3 2" xfId="44495" xr:uid="{DC7208AE-B119-42AA-9FFB-B7F2CAEA6269}"/>
    <cellStyle name="Normal 33 2 2 5 2 3 4" xfId="44496" xr:uid="{36EC478A-24A0-4F3E-B9E0-70B0F669F7F6}"/>
    <cellStyle name="Normal 33 2 2 5 2 4" xfId="35163" xr:uid="{F9DE44FC-A3CA-4435-AC9D-8D00CE10EC1C}"/>
    <cellStyle name="Normal 33 2 2 5 2 4 2" xfId="35166" xr:uid="{EACB6393-7F86-4837-9EB6-B90F2C4C8D04}"/>
    <cellStyle name="Normal 33 2 2 5 2 4 2 2" xfId="35169" xr:uid="{1D38DC06-98D9-4FBA-B7C1-AC9F39F74CD5}"/>
    <cellStyle name="Normal 33 2 2 5 2 4 3" xfId="15729" xr:uid="{36CB6DBC-88D7-40D0-9A44-01C151EC4ADB}"/>
    <cellStyle name="Normal 33 2 2 5 2 5" xfId="20264" xr:uid="{070E2EAA-6316-45AB-93F7-37B1E53C3C99}"/>
    <cellStyle name="Normal 33 2 2 5 2 5 2" xfId="21595" xr:uid="{43E977E7-4A2A-4597-AD41-9344529E7535}"/>
    <cellStyle name="Normal 33 2 2 5 2 6" xfId="21599" xr:uid="{F2E03B23-D775-413D-9C51-390408327101}"/>
    <cellStyle name="Normal 33 2 2 5 2 7" xfId="35198" xr:uid="{FC59AC55-7105-44E9-8A60-2B79BBB65831}"/>
    <cellStyle name="Normal 33 2 2 5 3" xfId="44498" xr:uid="{6F53A3E6-B208-4BBE-A51F-63C1D96882A2}"/>
    <cellStyle name="Normal 33 2 2 5 3 2" xfId="35361" xr:uid="{3EEAD030-E727-46DD-B120-18F5C0A1E75C}"/>
    <cellStyle name="Normal 33 2 2 5 3 2 2" xfId="27630" xr:uid="{90B9A5A2-7C14-46D4-A1D7-2A3EFC7BDBEA}"/>
    <cellStyle name="Normal 33 2 2 5 3 2 2 2" xfId="44499" xr:uid="{F8B135A4-3370-4BBF-845B-BEF46B03D277}"/>
    <cellStyle name="Normal 33 2 2 5 3 2 2 2 2" xfId="44500" xr:uid="{4BFBB4D0-B2FB-4D9F-B141-94CC9EC8D616}"/>
    <cellStyle name="Normal 33 2 2 5 3 2 2 3" xfId="44501" xr:uid="{2828E4BE-BD7C-40BF-89DC-BB1B8DEE176E}"/>
    <cellStyle name="Normal 33 2 2 5 3 2 3" xfId="44502" xr:uid="{CD03CF94-52E9-4A5D-8173-676E661BE139}"/>
    <cellStyle name="Normal 33 2 2 5 3 2 3 2" xfId="44503" xr:uid="{9ED5260F-FF77-4581-9952-ED59D4677830}"/>
    <cellStyle name="Normal 33 2 2 5 3 2 4" xfId="44504" xr:uid="{276595C4-CB29-4A90-BE08-B810B1247816}"/>
    <cellStyle name="Normal 33 2 2 5 3 3" xfId="35366" xr:uid="{EEFE1A08-E717-41FA-8053-540FBD0A438B}"/>
    <cellStyle name="Normal 33 2 2 5 3 3 2" xfId="13560" xr:uid="{E0543B86-90EA-44E2-A1FD-CFC0B7F5C660}"/>
    <cellStyle name="Normal 33 2 2 5 3 3 2 2" xfId="13569" xr:uid="{61A033E2-70E9-425B-8FFA-A9C10A0C6FB1}"/>
    <cellStyle name="Normal 33 2 2 5 3 3 3" xfId="44505" xr:uid="{DC084CE5-7472-4E79-B41F-1E6A1FD265CC}"/>
    <cellStyle name="Normal 33 2 2 5 3 4" xfId="35371" xr:uid="{44D89CC4-6D12-485F-A102-BE18E8ADA60D}"/>
    <cellStyle name="Normal 33 2 2 5 3 4 2" xfId="13640" xr:uid="{5D533138-3AD0-412B-B050-702D24C5677D}"/>
    <cellStyle name="Normal 33 2 2 5 3 5" xfId="21603" xr:uid="{1BDDB91A-0C31-49F6-A64B-F520AA151758}"/>
    <cellStyle name="Normal 33 2 2 5 4" xfId="44506" xr:uid="{5D749DE1-6AA0-4D35-B2A1-44F934D8C741}"/>
    <cellStyle name="Normal 33 2 2 5 4 2" xfId="44507" xr:uid="{CFB1CC76-D0F7-44DF-BA94-6FF4499C1B4F}"/>
    <cellStyle name="Normal 33 2 2 5 4 2 2" xfId="44508" xr:uid="{40908170-DF00-4799-9D92-2BC75BC64DAA}"/>
    <cellStyle name="Normal 33 2 2 5 4 2 2 2" xfId="22913" xr:uid="{9D558C1A-5E61-481B-9247-9AA3D171F4A2}"/>
    <cellStyle name="Normal 33 2 2 5 4 2 3" xfId="44509" xr:uid="{9E071F7B-AC41-4AF6-A42D-1AEE92BA87B7}"/>
    <cellStyle name="Normal 33 2 2 5 4 3" xfId="44510" xr:uid="{3D187AF3-E807-4954-B97D-00318D72F8E0}"/>
    <cellStyle name="Normal 33 2 2 5 4 3 2" xfId="44511" xr:uid="{52054310-8B32-4050-B8D2-29586C4B7A01}"/>
    <cellStyle name="Normal 33 2 2 5 4 4" xfId="44512" xr:uid="{06A8C2BF-0C16-4D88-9011-FE09236680E5}"/>
    <cellStyle name="Normal 33 2 2 5 5" xfId="32814" xr:uid="{B75E9808-397F-4D94-B742-93572603F533}"/>
    <cellStyle name="Normal 33 2 2 5 5 2" xfId="32819" xr:uid="{A04C15BB-E596-4DD1-9E00-37A293240B48}"/>
    <cellStyle name="Normal 33 2 2 5 5 2 2" xfId="44513" xr:uid="{DC1BBBB0-73E5-4A6A-805C-CBE08174C935}"/>
    <cellStyle name="Normal 33 2 2 5 5 3" xfId="44514" xr:uid="{1D1DFE4D-D3B6-49BA-80D7-7F9DB2E3567A}"/>
    <cellStyle name="Normal 33 2 2 5 6" xfId="32825" xr:uid="{6CFA56B2-AD6E-4B8B-B481-90F991F9BE15}"/>
    <cellStyle name="Normal 33 2 2 5 6 2" xfId="44516" xr:uid="{020392BB-01F1-4437-AAB3-56AC711FF769}"/>
    <cellStyle name="Normal 33 2 2 5 7" xfId="44518" xr:uid="{F3526947-008A-4077-8BA4-03C20DA59F47}"/>
    <cellStyle name="Normal 33 2 2 5 8" xfId="44520" xr:uid="{4A5AC5AC-DACE-4B8E-B5B1-1DD3817698FF}"/>
    <cellStyle name="Normal 33 2 2 6" xfId="44521" xr:uid="{0067B1AC-607B-4C73-B047-4E0232DD1DF7}"/>
    <cellStyle name="Normal 33 2 2 6 2" xfId="44522" xr:uid="{E9593BD5-62C7-4011-83B7-419D60F0DF19}"/>
    <cellStyle name="Normal 33 2 2 6 2 2" xfId="44523" xr:uid="{422B2710-C64B-4B87-B276-3918E6767FD7}"/>
    <cellStyle name="Normal 33 2 2 6 2 2 2" xfId="44524" xr:uid="{42D1E44D-1127-4D84-8658-924E36DDFD51}"/>
    <cellStyle name="Normal 33 2 2 6 2 2 2 2" xfId="44525" xr:uid="{F90EE9CF-0061-49CA-9411-33DB9EC0AAD1}"/>
    <cellStyle name="Normal 33 2 2 6 2 2 2 2 2" xfId="44526" xr:uid="{C99438AA-865C-45B5-BAF6-43D8F7D80888}"/>
    <cellStyle name="Normal 33 2 2 6 2 2 2 3" xfId="44527" xr:uid="{628EF776-541B-4CAA-B01B-E9772E9BB7DD}"/>
    <cellStyle name="Normal 33 2 2 6 2 2 3" xfId="44528" xr:uid="{37E7795D-E8CC-4475-BBB5-A6F2D90864AB}"/>
    <cellStyle name="Normal 33 2 2 6 2 2 3 2" xfId="44529" xr:uid="{6F4C709C-8DEF-47B7-BE92-78EEC4C954A2}"/>
    <cellStyle name="Normal 33 2 2 6 2 2 4" xfId="44530" xr:uid="{6833CAAF-241F-4E03-8A1A-6B2D7DB9CD5A}"/>
    <cellStyle name="Normal 33 2 2 6 2 3" xfId="44531" xr:uid="{8AB98778-6049-45F1-9026-9D3537A7F6BC}"/>
    <cellStyle name="Normal 33 2 2 6 2 3 2" xfId="44532" xr:uid="{5804BB09-C8EF-43BC-921D-E10F8DA926E3}"/>
    <cellStyle name="Normal 33 2 2 6 2 3 2 2" xfId="44533" xr:uid="{62B4AEE9-74C2-4A60-822D-19384D6C055B}"/>
    <cellStyle name="Normal 33 2 2 6 2 3 3" xfId="44534" xr:uid="{DC8DDC6D-FE0D-44C2-99C0-325EEFECC773}"/>
    <cellStyle name="Normal 33 2 2 6 2 4" xfId="44535" xr:uid="{D3D54705-BB0D-435A-AE71-21268A6B4E36}"/>
    <cellStyle name="Normal 33 2 2 6 2 4 2" xfId="44536" xr:uid="{CAADEEE4-9198-492D-9013-5028FA365FC7}"/>
    <cellStyle name="Normal 33 2 2 6 2 5" xfId="44537" xr:uid="{2DE8B1C5-6C67-4F16-B881-E5FBD9476BD9}"/>
    <cellStyle name="Normal 33 2 2 6 3" xfId="44538" xr:uid="{2E113424-A7D4-4737-AB20-2BB2532CC736}"/>
    <cellStyle name="Normal 33 2 2 6 3 2" xfId="44539" xr:uid="{1656CD14-32A5-4EB4-B02E-E42271043CC7}"/>
    <cellStyle name="Normal 33 2 2 6 3 2 2" xfId="44540" xr:uid="{CDEA2A34-8D56-4BF9-8A58-32BB7D9C3CDE}"/>
    <cellStyle name="Normal 33 2 2 6 3 2 2 2" xfId="44541" xr:uid="{8EA27280-8638-41BC-94D2-01B4EB9B0EA0}"/>
    <cellStyle name="Normal 33 2 2 6 3 2 3" xfId="44542" xr:uid="{F292771B-0447-4495-9F2B-C8FB9302E48E}"/>
    <cellStyle name="Normal 33 2 2 6 3 3" xfId="44543" xr:uid="{D2C215EF-2C83-497E-B32F-0950CB74B81D}"/>
    <cellStyle name="Normal 33 2 2 6 3 3 2" xfId="44544" xr:uid="{4175743C-1556-4816-A7D0-317CE274FBC2}"/>
    <cellStyle name="Normal 33 2 2 6 3 4" xfId="44545" xr:uid="{86CE2AA7-0272-46E8-BD73-28A42B4B84B4}"/>
    <cellStyle name="Normal 33 2 2 6 4" xfId="44546" xr:uid="{A85F5217-2408-4E79-883E-BE5B38A725D5}"/>
    <cellStyle name="Normal 33 2 2 6 4 2" xfId="44547" xr:uid="{B612D91C-0127-4805-97F2-E78C7C8FBCCA}"/>
    <cellStyle name="Normal 33 2 2 6 4 2 2" xfId="44548" xr:uid="{4FA54348-FBE7-4D82-8184-1BB4436272B0}"/>
    <cellStyle name="Normal 33 2 2 6 4 3" xfId="44549" xr:uid="{F54A2612-99AF-4237-B1B0-50CB9A57F688}"/>
    <cellStyle name="Normal 33 2 2 6 5" xfId="32834" xr:uid="{47845A5A-C8CF-4631-8970-610448760402}"/>
    <cellStyle name="Normal 33 2 2 6 5 2" xfId="32839" xr:uid="{BA9C8BC6-FCE9-4E4C-83E3-88223911B56E}"/>
    <cellStyle name="Normal 33 2 2 6 6" xfId="32845" xr:uid="{2B93D866-1693-4A5D-A677-81C144D42FDE}"/>
    <cellStyle name="Normal 33 2 2 6 7" xfId="44551" xr:uid="{F56A5EF3-E520-419C-AD17-1C2AE223A98C}"/>
    <cellStyle name="Normal 33 2 2 7" xfId="44552" xr:uid="{6F73288D-E338-4A21-9774-917EE79B514C}"/>
    <cellStyle name="Normal 33 2 2 7 2" xfId="44553" xr:uid="{A08DACB1-C038-4883-8714-EBC711A3F4FC}"/>
    <cellStyle name="Normal 33 2 2 7 2 2" xfId="44554" xr:uid="{7581B43D-3873-4458-97E1-A6BF94D2985A}"/>
    <cellStyle name="Normal 33 2 2 7 2 2 2" xfId="44555" xr:uid="{57787A36-2E86-4CC0-9DE5-C6DC85D32C1F}"/>
    <cellStyle name="Normal 33 2 2 7 2 2 2 2" xfId="44556" xr:uid="{93FD3B53-93BF-4399-A6B7-D0941443B660}"/>
    <cellStyle name="Normal 33 2 2 7 2 2 3" xfId="44557" xr:uid="{72A9DB31-8F7B-4026-A96C-1F8E3EE9C8F6}"/>
    <cellStyle name="Normal 33 2 2 7 2 3" xfId="44558" xr:uid="{817B34E9-D74D-4772-B75A-6C6D8833E578}"/>
    <cellStyle name="Normal 33 2 2 7 2 3 2" xfId="44559" xr:uid="{30633736-FA2C-41A2-BBF6-DA48002493F3}"/>
    <cellStyle name="Normal 33 2 2 7 2 4" xfId="44560" xr:uid="{90B36285-E8AF-4F40-843E-A17A78D132EA}"/>
    <cellStyle name="Normal 33 2 2 7 3" xfId="44561" xr:uid="{4F8B15FF-BE71-4881-B671-DF350690D623}"/>
    <cellStyle name="Normal 33 2 2 7 3 2" xfId="44562" xr:uid="{AE59030C-1235-4967-AEA8-AA84B87AF19A}"/>
    <cellStyle name="Normal 33 2 2 7 3 2 2" xfId="44563" xr:uid="{96C6A81E-002D-4A02-821A-A076DABC8777}"/>
    <cellStyle name="Normal 33 2 2 7 3 3" xfId="44564" xr:uid="{14219C49-C495-44E0-9FE7-0A5B6CF5096F}"/>
    <cellStyle name="Normal 33 2 2 7 4" xfId="44565" xr:uid="{CC6DD0F9-5424-4524-9F17-76C4572E6771}"/>
    <cellStyle name="Normal 33 2 2 7 4 2" xfId="44566" xr:uid="{8719910D-D5DD-4ECA-909D-F9480D1E198F}"/>
    <cellStyle name="Normal 33 2 2 7 5" xfId="29244" xr:uid="{E626DD63-12D3-4611-8EEF-9A594A16E4C9}"/>
    <cellStyle name="Normal 33 2 2 8" xfId="44567" xr:uid="{EB202719-BA36-494C-8A54-A799B264E0A4}"/>
    <cellStyle name="Normal 33 2 2 8 2" xfId="44568" xr:uid="{7919BE2A-DAE1-4D97-8291-EAFB8678FBD9}"/>
    <cellStyle name="Normal 33 2 2 8 2 2" xfId="44569" xr:uid="{72300209-777E-4D80-865A-A70937738449}"/>
    <cellStyle name="Normal 33 2 2 8 2 2 2" xfId="44570" xr:uid="{2E471F80-C647-481B-A57A-9988FF6EDFC7}"/>
    <cellStyle name="Normal 33 2 2 8 2 3" xfId="44571" xr:uid="{EF6EF768-FE72-4C48-98D3-BAFF238CAE11}"/>
    <cellStyle name="Normal 33 2 2 8 3" xfId="44572" xr:uid="{3CAF0C7B-2AD5-4F2E-B3DF-C8E96C2B0D43}"/>
    <cellStyle name="Normal 33 2 2 8 3 2" xfId="44573" xr:uid="{36AC21AC-F0D7-4DB4-9668-F5FAFC912F68}"/>
    <cellStyle name="Normal 33 2 2 8 4" xfId="44574" xr:uid="{0AC2D86E-C319-4CBA-86B0-3ACB2C215CD3}"/>
    <cellStyle name="Normal 33 2 2 9" xfId="44575" xr:uid="{CADE6479-1643-49EC-A041-6775C5546EE8}"/>
    <cellStyle name="Normal 33 2 2 9 2" xfId="44576" xr:uid="{FFC0BACE-C19B-4ABA-B807-F44F5F64629E}"/>
    <cellStyle name="Normal 33 2 2 9 2 2" xfId="44577" xr:uid="{7515BD32-5D05-414C-BFE4-612C4CDAAD49}"/>
    <cellStyle name="Normal 33 2 2 9 3" xfId="44578" xr:uid="{5EF607B4-13D6-4EBC-A3D4-3572ADFE8495}"/>
    <cellStyle name="Normal 33 2 3" xfId="11975" xr:uid="{1B15B9DF-547C-42B4-BD7C-5BB5E587DD71}"/>
    <cellStyle name="Normal 33 2 3 10" xfId="44579" xr:uid="{7B5F6772-2D42-4AE2-BDC2-FBDBA6312A5D}"/>
    <cellStyle name="Normal 33 2 3 11" xfId="44580" xr:uid="{E17A8AA8-F6DE-4F8D-84F1-5D5783781E09}"/>
    <cellStyle name="Normal 33 2 3 2" xfId="44581" xr:uid="{B31633E7-DC11-4088-B668-6B1636D68A89}"/>
    <cellStyle name="Normal 33 2 3 2 10" xfId="44582" xr:uid="{FC63340A-08D2-4A62-BEBE-C1B9132B1A99}"/>
    <cellStyle name="Normal 33 2 3 2 2" xfId="44583" xr:uid="{C5228E8F-ECE0-41A7-A028-2D5A5D790ECC}"/>
    <cellStyle name="Normal 33 2 3 2 2 2" xfId="44584" xr:uid="{D518706B-4DC4-4A97-B384-359E27802EF9}"/>
    <cellStyle name="Normal 33 2 3 2 2 2 2" xfId="44585" xr:uid="{501539F1-02A3-4892-A279-71EDE6722C1B}"/>
    <cellStyle name="Normal 33 2 3 2 2 2 2 2" xfId="44586" xr:uid="{3373BE50-1F6C-45FC-A3CE-A875B2C31F12}"/>
    <cellStyle name="Normal 33 2 3 2 2 2 2 2 2" xfId="25678" xr:uid="{251DB68E-6AE9-4921-857D-25124B2802BF}"/>
    <cellStyle name="Normal 33 2 3 2 2 2 2 2 2 2" xfId="25684" xr:uid="{B2D04D7B-66B3-44EC-B623-BFB4E90CC151}"/>
    <cellStyle name="Normal 33 2 3 2 2 2 2 2 2 2 2" xfId="13534" xr:uid="{370C9F2A-B6BA-40D7-BE4F-41FB4841338A}"/>
    <cellStyle name="Normal 33 2 3 2 2 2 2 2 2 2 2 2" xfId="13537" xr:uid="{49A9CE56-AC35-4C8A-9951-AD97B9FE4EDD}"/>
    <cellStyle name="Normal 33 2 3 2 2 2 2 2 2 2 3" xfId="13541" xr:uid="{D496E4B8-FD09-477D-9404-AE3BC55915B6}"/>
    <cellStyle name="Normal 33 2 3 2 2 2 2 2 2 3" xfId="44587" xr:uid="{36712D4C-E287-4568-8B54-4076A5C047A0}"/>
    <cellStyle name="Normal 33 2 3 2 2 2 2 2 2 3 2" xfId="13553" xr:uid="{1F9DE475-E391-4188-B652-FF5D61D7092F}"/>
    <cellStyle name="Normal 33 2 3 2 2 2 2 2 2 4" xfId="43638" xr:uid="{BD0A39FC-1E08-40C2-A628-37C06A38986D}"/>
    <cellStyle name="Normal 33 2 3 2 2 2 2 2 3" xfId="25701" xr:uid="{F93C88AD-A60B-4DA4-B734-E087589B30EC}"/>
    <cellStyle name="Normal 33 2 3 2 2 2 2 2 3 2" xfId="13396" xr:uid="{CF74AD58-74E8-4BC3-A02A-2E6A9B131DE0}"/>
    <cellStyle name="Normal 33 2 3 2 2 2 2 2 3 2 2" xfId="13578" xr:uid="{13C9B678-457D-4528-B4EB-6E762D99868F}"/>
    <cellStyle name="Normal 33 2 3 2 2 2 2 2 3 3" xfId="44588" xr:uid="{9E58F00C-7F48-4714-AA4D-1A8536FCFE36}"/>
    <cellStyle name="Normal 33 2 3 2 2 2 2 2 4" xfId="25713" xr:uid="{5C4251F4-32FA-4B78-B5BF-26F5C53D6C68}"/>
    <cellStyle name="Normal 33 2 3 2 2 2 2 2 4 2" xfId="44589" xr:uid="{971358C5-2F26-4A25-9699-907F61AE7887}"/>
    <cellStyle name="Normal 33 2 3 2 2 2 2 2 5" xfId="44590" xr:uid="{0F9C8C12-D9FA-4703-B168-641F46DD2645}"/>
    <cellStyle name="Normal 33 2 3 2 2 2 2 3" xfId="44591" xr:uid="{29CCC5F6-1BEC-4710-B1E1-9E81ADEE8238}"/>
    <cellStyle name="Normal 33 2 3 2 2 2 2 3 2" xfId="25919" xr:uid="{00DDD16E-B324-4B96-B9F1-1ACA3A5F60A6}"/>
    <cellStyle name="Normal 33 2 3 2 2 2 2 3 2 2" xfId="44592" xr:uid="{EA9216A8-E8B1-40B4-8543-9C63DB0DD861}"/>
    <cellStyle name="Normal 33 2 3 2 2 2 2 3 2 2 2" xfId="13628" xr:uid="{9C525430-60DD-42BB-A603-F83F172D23C9}"/>
    <cellStyle name="Normal 33 2 3 2 2 2 2 3 2 3" xfId="44593" xr:uid="{368B92E5-B040-40FF-8FA0-5F793354129B}"/>
    <cellStyle name="Normal 33 2 3 2 2 2 2 3 3" xfId="25928" xr:uid="{7079AB8A-07CC-4EE6-9010-579471B94255}"/>
    <cellStyle name="Normal 33 2 3 2 2 2 2 3 3 2" xfId="44594" xr:uid="{D7EF23FB-E48D-42B3-B042-5B2EF979A2A2}"/>
    <cellStyle name="Normal 33 2 3 2 2 2 2 3 4" xfId="25938" xr:uid="{18883329-9C9E-4F1B-9AD7-A75DD1D1201B}"/>
    <cellStyle name="Normal 33 2 3 2 2 2 2 4" xfId="38872" xr:uid="{479DB743-5F4B-449F-8B55-3488DA780CB5}"/>
    <cellStyle name="Normal 33 2 3 2 2 2 2 4 2" xfId="28604" xr:uid="{1C582DC4-BE38-499E-8966-1E0E6A60FB30}"/>
    <cellStyle name="Normal 33 2 3 2 2 2 2 4 2 2" xfId="44595" xr:uid="{7C314F66-5C33-4782-90F5-C823D552E174}"/>
    <cellStyle name="Normal 33 2 3 2 2 2 2 4 3" xfId="44596" xr:uid="{BE3EEE23-2CA9-445A-99F6-0F29D432A540}"/>
    <cellStyle name="Normal 33 2 3 2 2 2 2 5" xfId="44597" xr:uid="{59F31CBE-E3DC-48E0-B920-80635FE586B7}"/>
    <cellStyle name="Normal 33 2 3 2 2 2 2 5 2" xfId="44598" xr:uid="{8B3C87E3-4C0E-4C06-AC42-D1FFECFA0AB8}"/>
    <cellStyle name="Normal 33 2 3 2 2 2 2 6" xfId="44599" xr:uid="{36775450-3619-4625-8F92-A90323BAC6E7}"/>
    <cellStyle name="Normal 33 2 3 2 2 2 2 7" xfId="44600" xr:uid="{0DF88DE9-8D58-4842-94D7-2E0993DAE7A6}"/>
    <cellStyle name="Normal 33 2 3 2 2 2 3" xfId="44601" xr:uid="{4A4D6A82-7D1B-492E-AA75-6FA4EF37D43A}"/>
    <cellStyle name="Normal 33 2 3 2 2 2 3 2" xfId="44602" xr:uid="{B8BB0A59-9A56-4C97-AAD5-1D49D91F3863}"/>
    <cellStyle name="Normal 33 2 3 2 2 2 3 2 2" xfId="44603" xr:uid="{05804741-9CE8-428D-87C9-922ABECDFCDD}"/>
    <cellStyle name="Normal 33 2 3 2 2 2 3 2 2 2" xfId="44604" xr:uid="{91E07026-B54D-4384-809B-69D229726EBB}"/>
    <cellStyle name="Normal 33 2 3 2 2 2 3 2 2 2 2" xfId="13710" xr:uid="{9F1CF205-BA5C-4674-97AF-EABC6AA9AB5E}"/>
    <cellStyle name="Normal 33 2 3 2 2 2 3 2 2 3" xfId="44605" xr:uid="{3332A180-B005-4801-A8A5-2C9A432A8143}"/>
    <cellStyle name="Normal 33 2 3 2 2 2 3 2 3" xfId="44606" xr:uid="{E000E45E-57DD-4037-B2F0-EF092C403DBC}"/>
    <cellStyle name="Normal 33 2 3 2 2 2 3 2 3 2" xfId="44607" xr:uid="{35A2D969-8897-4762-9A8E-5BF84C1E16B5}"/>
    <cellStyle name="Normal 33 2 3 2 2 2 3 2 4" xfId="37843" xr:uid="{C12618BD-9FF0-4879-86E1-4AF109A95423}"/>
    <cellStyle name="Normal 33 2 3 2 2 2 3 3" xfId="44608" xr:uid="{EBD8CF20-7FC0-4A90-BA57-A1A317A714A0}"/>
    <cellStyle name="Normal 33 2 3 2 2 2 3 3 2" xfId="44609" xr:uid="{71292A8B-8F84-45CD-B9D6-337CF2DD7B85}"/>
    <cellStyle name="Normal 33 2 3 2 2 2 3 3 2 2" xfId="44610" xr:uid="{F066A944-4BB2-4FD0-9533-3A833E9BF09E}"/>
    <cellStyle name="Normal 33 2 3 2 2 2 3 3 3" xfId="44611" xr:uid="{8E5B38A4-D3F1-4791-A166-2A5331CD9EA6}"/>
    <cellStyle name="Normal 33 2 3 2 2 2 3 4" xfId="44612" xr:uid="{E439BB45-FD45-45B0-A127-26ADF0C5237B}"/>
    <cellStyle name="Normal 33 2 3 2 2 2 3 4 2" xfId="44613" xr:uid="{2EA07562-51BC-4342-9EC4-ABC505092622}"/>
    <cellStyle name="Normal 33 2 3 2 2 2 3 5" xfId="44614" xr:uid="{479C3DA3-49CE-4561-9575-85847D1ED1AC}"/>
    <cellStyle name="Normal 33 2 3 2 2 2 4" xfId="25163" xr:uid="{9AFF88E2-05B5-4DD8-824F-C55E5B7CBB87}"/>
    <cellStyle name="Normal 33 2 3 2 2 2 4 2" xfId="44615" xr:uid="{DC0F59BB-11EF-4EED-B18D-4E0C3316BB5B}"/>
    <cellStyle name="Normal 33 2 3 2 2 2 4 2 2" xfId="4937" xr:uid="{E230C20F-1826-4E91-ACC0-2FC0FA84CF1D}"/>
    <cellStyle name="Normal 33 2 3 2 2 2 4 2 2 2" xfId="31194" xr:uid="{4EC2F967-CE09-4B15-AA05-A5E7C02A99EE}"/>
    <cellStyle name="Normal 33 2 3 2 2 2 4 2 3" xfId="31197" xr:uid="{779028DA-5553-4668-87CE-B25F6D9B433C}"/>
    <cellStyle name="Normal 33 2 3 2 2 2 4 3" xfId="44616" xr:uid="{93ECB164-1FC9-4BA2-8D78-26197C34389B}"/>
    <cellStyle name="Normal 33 2 3 2 2 2 4 3 2" xfId="31266" xr:uid="{5E58F8E3-2DF0-4368-B6DB-292FE4DCD693}"/>
    <cellStyle name="Normal 33 2 3 2 2 2 4 4" xfId="44617" xr:uid="{B76B4C7A-149A-442D-83FF-6D7A49F14FAF}"/>
    <cellStyle name="Normal 33 2 3 2 2 2 5" xfId="44618" xr:uid="{7F11BD7D-D45D-4164-A87E-45D4827B9E52}"/>
    <cellStyle name="Normal 33 2 3 2 2 2 5 2" xfId="44619" xr:uid="{D83C0939-3918-4145-B638-459B5900E426}"/>
    <cellStyle name="Normal 33 2 3 2 2 2 5 2 2" xfId="31677" xr:uid="{A3C0600F-4B1E-4FB9-A5D9-A2AF46DC8E87}"/>
    <cellStyle name="Normal 33 2 3 2 2 2 5 3" xfId="44620" xr:uid="{C1B1338E-CAA8-48C2-9806-37824C2AA61D}"/>
    <cellStyle name="Normal 33 2 3 2 2 2 6" xfId="44621" xr:uid="{ECD9C7C4-1566-402F-9B43-C73C4B2BB464}"/>
    <cellStyle name="Normal 33 2 3 2 2 2 6 2" xfId="44622" xr:uid="{24E76FC6-B14F-416B-A212-74F24F79ECA3}"/>
    <cellStyle name="Normal 33 2 3 2 2 2 7" xfId="4145" xr:uid="{DCA53235-93E0-4A33-A337-65C71F6D11EB}"/>
    <cellStyle name="Normal 33 2 3 2 2 2 8" xfId="4155" xr:uid="{EA38E2CE-4775-4F16-9266-E79EB0ADADFF}"/>
    <cellStyle name="Normal 33 2 3 2 2 3" xfId="44623" xr:uid="{6BD8FCA3-5DBF-4E83-98E7-CB0EB2038F7E}"/>
    <cellStyle name="Normal 33 2 3 2 2 3 2" xfId="44624" xr:uid="{48E5780E-86FB-405F-A833-1F306205B2B9}"/>
    <cellStyle name="Normal 33 2 3 2 2 3 2 2" xfId="44625" xr:uid="{6B539AAB-E9A6-4C80-9C51-321C9E621E44}"/>
    <cellStyle name="Normal 33 2 3 2 2 3 2 2 2" xfId="1201" xr:uid="{C193E4B8-50AC-45B2-A54F-BA7BA1219BC7}"/>
    <cellStyle name="Normal 33 2 3 2 2 3 2 2 2 2" xfId="44626" xr:uid="{6DEA78BE-DDB2-4BA9-8C15-5FE0A4DDD10F}"/>
    <cellStyle name="Normal 33 2 3 2 2 3 2 2 2 2 2" xfId="13827" xr:uid="{783C3EF9-48CE-418C-8673-0B3B5CBB2942}"/>
    <cellStyle name="Normal 33 2 3 2 2 3 2 2 2 3" xfId="44627" xr:uid="{16AE0361-3921-4859-BFC5-99895E99B235}"/>
    <cellStyle name="Normal 33 2 3 2 2 3 2 2 3" xfId="44628" xr:uid="{81AAAA97-37C8-45C9-8702-26C448E8D73D}"/>
    <cellStyle name="Normal 33 2 3 2 2 3 2 2 3 2" xfId="44629" xr:uid="{11BEFB8C-2F1F-4E9E-BF17-4470556B4D39}"/>
    <cellStyle name="Normal 33 2 3 2 2 3 2 2 4" xfId="44630" xr:uid="{DBE6FEAD-AD96-4509-BA6E-27B3E8775E89}"/>
    <cellStyle name="Normal 33 2 3 2 2 3 2 3" xfId="44631" xr:uid="{44B8FCB4-26CE-45E9-8B57-A041F8B16024}"/>
    <cellStyle name="Normal 33 2 3 2 2 3 2 3 2" xfId="1282" xr:uid="{9368E407-88EB-4DAB-B907-36D062742580}"/>
    <cellStyle name="Normal 33 2 3 2 2 3 2 3 2 2" xfId="44632" xr:uid="{53ED1311-B349-408C-8227-A9523591CF0B}"/>
    <cellStyle name="Normal 33 2 3 2 2 3 2 3 3" xfId="44633" xr:uid="{C023043E-6E6A-4C01-AB1D-7218F6330FE5}"/>
    <cellStyle name="Normal 33 2 3 2 2 3 2 4" xfId="44634" xr:uid="{C15FC9E6-E265-43EF-941C-CE570DBE1B62}"/>
    <cellStyle name="Normal 33 2 3 2 2 3 2 4 2" xfId="1378" xr:uid="{C3F7B760-82BB-4869-A934-FF1E03CB6F47}"/>
    <cellStyle name="Normal 33 2 3 2 2 3 2 5" xfId="44635" xr:uid="{678446C1-CA26-444F-BA59-D085F437336B}"/>
    <cellStyle name="Normal 33 2 3 2 2 3 3" xfId="44636" xr:uid="{930F1172-F14B-427F-B9AD-3B613AEDA275}"/>
    <cellStyle name="Normal 33 2 3 2 2 3 3 2" xfId="44637" xr:uid="{BF02729F-867F-47BB-B92D-911C54ABD10D}"/>
    <cellStyle name="Normal 33 2 3 2 2 3 3 2 2" xfId="44638" xr:uid="{80546974-9BE5-4441-B14C-97B53F07146F}"/>
    <cellStyle name="Normal 33 2 3 2 2 3 3 2 2 2" xfId="44639" xr:uid="{D29C3F51-42DC-44F6-960A-515D8031D0B4}"/>
    <cellStyle name="Normal 33 2 3 2 2 3 3 2 3" xfId="44640" xr:uid="{D124262B-A955-4DFF-91CC-B77EF602668E}"/>
    <cellStyle name="Normal 33 2 3 2 2 3 3 3" xfId="44641" xr:uid="{2F8385F0-7153-4635-83D8-3CABB9311C9C}"/>
    <cellStyle name="Normal 33 2 3 2 2 3 3 3 2" xfId="44642" xr:uid="{988B4BFC-DCEE-46AF-867F-5EC0A855162E}"/>
    <cellStyle name="Normal 33 2 3 2 2 3 3 4" xfId="44643" xr:uid="{9D75A8F9-ACE6-448A-A3DD-CB00FCB154B5}"/>
    <cellStyle name="Normal 33 2 3 2 2 3 4" xfId="44644" xr:uid="{B045C60F-E91B-4519-9414-D35A3178B173}"/>
    <cellStyle name="Normal 33 2 3 2 2 3 4 2" xfId="44645" xr:uid="{577BCF58-3410-4E7C-A2A4-938EB160DD24}"/>
    <cellStyle name="Normal 33 2 3 2 2 3 4 2 2" xfId="44648" xr:uid="{6CCED079-C02A-48EE-AADC-51949177C06E}"/>
    <cellStyle name="Normal 33 2 3 2 2 3 4 3" xfId="44649" xr:uid="{E38D235E-6304-4BB6-9CCE-7DD365ABD513}"/>
    <cellStyle name="Normal 33 2 3 2 2 3 5" xfId="44650" xr:uid="{ED636505-3E0D-404C-972F-73367AB3C85A}"/>
    <cellStyle name="Normal 33 2 3 2 2 3 5 2" xfId="44651" xr:uid="{F3BB17E8-C6BB-4CC8-975D-954A8D8D96DA}"/>
    <cellStyle name="Normal 33 2 3 2 2 3 6" xfId="44652" xr:uid="{F9A4D145-84BE-4639-AA5F-053FD7CD47EF}"/>
    <cellStyle name="Normal 33 2 3 2 2 3 7" xfId="4163" xr:uid="{D09CBAC4-0F16-4CB8-A873-C6C42EA0FFD1}"/>
    <cellStyle name="Normal 33 2 3 2 2 4" xfId="44653" xr:uid="{B5F76788-B9A6-4A08-876A-362C82BABD78}"/>
    <cellStyle name="Normal 33 2 3 2 2 4 2" xfId="44654" xr:uid="{01F2F033-3A17-4DC4-89C8-9A5C2D55CAF7}"/>
    <cellStyle name="Normal 33 2 3 2 2 4 2 2" xfId="44655" xr:uid="{950B589C-E311-47EF-B629-4E810C2200DF}"/>
    <cellStyle name="Normal 33 2 3 2 2 4 2 2 2" xfId="44656" xr:uid="{ABC6718C-EA6A-4B60-9E1A-25F76B675B7B}"/>
    <cellStyle name="Normal 33 2 3 2 2 4 2 2 2 2" xfId="44657" xr:uid="{931EDE94-D827-400A-935E-71CDB1BFACBA}"/>
    <cellStyle name="Normal 33 2 3 2 2 4 2 2 3" xfId="44658" xr:uid="{8313E573-D4BF-40D8-9497-E190AC22E824}"/>
    <cellStyle name="Normal 33 2 3 2 2 4 2 3" xfId="44660" xr:uid="{F8C5F7D4-F848-43E0-A01E-81B24B53C7B8}"/>
    <cellStyle name="Normal 33 2 3 2 2 4 2 3 2" xfId="44662" xr:uid="{049A5657-CA44-4A59-AC7F-C62485D64FAF}"/>
    <cellStyle name="Normal 33 2 3 2 2 4 2 4" xfId="44664" xr:uid="{D8307981-D8B7-432A-A9A5-D7DE6B89CC21}"/>
    <cellStyle name="Normal 33 2 3 2 2 4 3" xfId="44665" xr:uid="{D0127784-805A-46CF-AD46-64BB33161167}"/>
    <cellStyle name="Normal 33 2 3 2 2 4 3 2" xfId="44666" xr:uid="{04F14527-0B0D-43FA-A523-66C9AB852C48}"/>
    <cellStyle name="Normal 33 2 3 2 2 4 3 2 2" xfId="44667" xr:uid="{8BCDAF7F-1051-4E8F-82C8-F71D49429E52}"/>
    <cellStyle name="Normal 33 2 3 2 2 4 3 3" xfId="44669" xr:uid="{9C5529BC-FB17-4A57-BFA7-1AF866BCBA4C}"/>
    <cellStyle name="Normal 33 2 3 2 2 4 4" xfId="44670" xr:uid="{F1571CBF-6032-4A41-84B4-E7A95D277B12}"/>
    <cellStyle name="Normal 33 2 3 2 2 4 4 2" xfId="44671" xr:uid="{A8115C02-10B1-46F9-83DC-2EA521A91554}"/>
    <cellStyle name="Normal 33 2 3 2 2 4 5" xfId="44672" xr:uid="{78A01E8F-F3C0-44F9-AF82-9C3A48B531E9}"/>
    <cellStyle name="Normal 33 2 3 2 2 5" xfId="20542" xr:uid="{6A819857-E8B6-4D4B-8026-BED94ABDBA72}"/>
    <cellStyle name="Normal 33 2 3 2 2 5 2" xfId="44673" xr:uid="{271EB151-CAE5-4F3B-B441-90224F23335D}"/>
    <cellStyle name="Normal 33 2 3 2 2 5 2 2" xfId="44674" xr:uid="{CB5D2EF4-64B7-49D3-90A2-3DCE51802DB2}"/>
    <cellStyle name="Normal 33 2 3 2 2 5 2 2 2" xfId="44675" xr:uid="{84BA9E44-DC96-4A9E-AE6A-B55ADBAD4546}"/>
    <cellStyle name="Normal 33 2 3 2 2 5 2 3" xfId="44677" xr:uid="{5E9AB111-DD85-4FA2-B4BB-40E39B2300BE}"/>
    <cellStyle name="Normal 33 2 3 2 2 5 3" xfId="44678" xr:uid="{47D2AC80-2BAD-462C-8E18-B720452B9C80}"/>
    <cellStyle name="Normal 33 2 3 2 2 5 3 2" xfId="44679" xr:uid="{0B791FED-9BBF-4DC0-BCE4-8246501FF558}"/>
    <cellStyle name="Normal 33 2 3 2 2 5 4" xfId="44680" xr:uid="{79AE23F0-FF3D-42E8-8BC5-394D33D985DC}"/>
    <cellStyle name="Normal 33 2 3 2 2 6" xfId="44681" xr:uid="{70C76379-862F-4A34-9E36-034645391647}"/>
    <cellStyle name="Normal 33 2 3 2 2 6 2" xfId="44682" xr:uid="{A7D31A1C-44E2-468A-AD3F-E92027B149C3}"/>
    <cellStyle name="Normal 33 2 3 2 2 6 2 2" xfId="44683" xr:uid="{F2D9221F-0F55-4E92-AA66-78A58D65F47C}"/>
    <cellStyle name="Normal 33 2 3 2 2 6 3" xfId="44684" xr:uid="{9C954F72-F895-4BF2-9FC9-A91B61C3F2AB}"/>
    <cellStyle name="Normal 33 2 3 2 2 7" xfId="44685" xr:uid="{52495BC1-2F2A-45D7-88C2-C236B4B509B7}"/>
    <cellStyle name="Normal 33 2 3 2 2 7 2" xfId="44686" xr:uid="{05E00C43-8E69-4E13-AA60-559DFF9E9E0F}"/>
    <cellStyle name="Normal 33 2 3 2 2 8" xfId="44687" xr:uid="{E79AAC6F-F3BC-4CE0-BFE8-9FBC13A72B77}"/>
    <cellStyle name="Normal 33 2 3 2 2 9" xfId="44688" xr:uid="{192205D9-8DBA-4E97-9351-9F46B33A3DD9}"/>
    <cellStyle name="Normal 33 2 3 2 3" xfId="44690" xr:uid="{E95C9E98-26F1-4F09-8C00-05B123511BCD}"/>
    <cellStyle name="Normal 33 2 3 2 3 2" xfId="44692" xr:uid="{640DAA44-FB20-41CE-B9A4-92E5CAF5E1D5}"/>
    <cellStyle name="Normal 33 2 3 2 3 2 2" xfId="44694" xr:uid="{482006DD-97C7-4489-AFE9-0E3120FF931C}"/>
    <cellStyle name="Normal 33 2 3 2 3 2 2 2" xfId="44695" xr:uid="{A9A056AC-A824-4F67-AFC4-B4316DBEE369}"/>
    <cellStyle name="Normal 33 2 3 2 3 2 2 2 2" xfId="44696" xr:uid="{A6A35D2C-AFC9-411A-AB31-DF2DF5AF267C}"/>
    <cellStyle name="Normal 33 2 3 2 3 2 2 2 2 2" xfId="44697" xr:uid="{015A8094-1CF8-4414-A4B3-EEAEBC2D997A}"/>
    <cellStyle name="Normal 33 2 3 2 3 2 2 2 2 2 2" xfId="699" xr:uid="{91824C8B-B976-43FD-869A-3A9EEF0DBE53}"/>
    <cellStyle name="Normal 33 2 3 2 3 2 2 2 2 3" xfId="44698" xr:uid="{6E60B763-92BA-416D-B4EF-0D11737E5A09}"/>
    <cellStyle name="Normal 33 2 3 2 3 2 2 2 3" xfId="44699" xr:uid="{1D0E2C45-6C6F-41B6-A483-1FB7076C5110}"/>
    <cellStyle name="Normal 33 2 3 2 3 2 2 2 3 2" xfId="44700" xr:uid="{D36E6910-990F-4AE0-81A0-961FADB27AB8}"/>
    <cellStyle name="Normal 33 2 3 2 3 2 2 2 4" xfId="44701" xr:uid="{DACB5C0D-EF45-47FA-A566-F984157C9DD7}"/>
    <cellStyle name="Normal 33 2 3 2 3 2 2 3" xfId="44702" xr:uid="{600E6691-375A-4D46-9E70-EA643A91C69C}"/>
    <cellStyle name="Normal 33 2 3 2 3 2 2 3 2" xfId="44703" xr:uid="{67A4D5A2-04DF-4683-9D62-AAB06FA704A4}"/>
    <cellStyle name="Normal 33 2 3 2 3 2 2 3 2 2" xfId="44704" xr:uid="{FD93D471-0DCE-402A-AE3C-D414BA8301BC}"/>
    <cellStyle name="Normal 33 2 3 2 3 2 2 3 3" xfId="44705" xr:uid="{C095938F-2C58-4DB6-A3FC-BEA3E562EF4F}"/>
    <cellStyle name="Normal 33 2 3 2 3 2 2 4" xfId="44706" xr:uid="{A71FD920-2CF3-4DE8-8481-5A5FF959627A}"/>
    <cellStyle name="Normal 33 2 3 2 3 2 2 4 2" xfId="44707" xr:uid="{9FE2D0BB-FF50-4900-9AA0-AD79656BA865}"/>
    <cellStyle name="Normal 33 2 3 2 3 2 2 5" xfId="44708" xr:uid="{5BAAC1E1-D07D-4680-8A3E-7ACEC56B39A2}"/>
    <cellStyle name="Normal 33 2 3 2 3 2 3" xfId="44709" xr:uid="{63556C44-14DF-4F66-B09D-27EA7B3AA01A}"/>
    <cellStyle name="Normal 33 2 3 2 3 2 3 2" xfId="44710" xr:uid="{A1AC91A0-332F-4FFA-8E04-876F3092699F}"/>
    <cellStyle name="Normal 33 2 3 2 3 2 3 2 2" xfId="44711" xr:uid="{022E5F8F-C635-4176-83FA-E4EB0419A366}"/>
    <cellStyle name="Normal 33 2 3 2 3 2 3 2 2 2" xfId="44712" xr:uid="{13D05ADE-1EB1-4045-94EC-9E9CE431F8BE}"/>
    <cellStyle name="Normal 33 2 3 2 3 2 3 2 3" xfId="44713" xr:uid="{27EE7224-4EF0-41AB-A6C9-92D3A918DDDD}"/>
    <cellStyle name="Normal 33 2 3 2 3 2 3 3" xfId="44714" xr:uid="{454F619D-4797-49D6-8A9A-6ED6ACA6569D}"/>
    <cellStyle name="Normal 33 2 3 2 3 2 3 3 2" xfId="44715" xr:uid="{186DFEAC-0819-4964-A90A-0642CDC8CB51}"/>
    <cellStyle name="Normal 33 2 3 2 3 2 3 4" xfId="44716" xr:uid="{0B706435-0E92-471F-9729-63B0D5A9A63E}"/>
    <cellStyle name="Normal 33 2 3 2 3 2 4" xfId="44717" xr:uid="{AC00F89C-7F2E-43DC-85D1-460830AE2AFF}"/>
    <cellStyle name="Normal 33 2 3 2 3 2 4 2" xfId="44718" xr:uid="{C1F3FABC-6F89-4F6E-A4B1-B3745A70A65E}"/>
    <cellStyle name="Normal 33 2 3 2 3 2 4 2 2" xfId="44720" xr:uid="{F3CEA4A1-EF88-4574-AC23-64CAD1CB938C}"/>
    <cellStyle name="Normal 33 2 3 2 3 2 4 3" xfId="44721" xr:uid="{1D8CABF3-310D-410D-9B23-5D7EA0B305B0}"/>
    <cellStyle name="Normal 33 2 3 2 3 2 5" xfId="44722" xr:uid="{84BE2F4C-3372-4978-9366-54CFD77B8585}"/>
    <cellStyle name="Normal 33 2 3 2 3 2 5 2" xfId="44723" xr:uid="{030B0982-4E57-410D-B2E4-E8F59B74B16D}"/>
    <cellStyle name="Normal 33 2 3 2 3 2 6" xfId="44724" xr:uid="{9CF9A73D-ABB0-4E23-A542-7CB78FB173BD}"/>
    <cellStyle name="Normal 33 2 3 2 3 2 7" xfId="4179" xr:uid="{805D5B20-1200-4245-A87D-B70906D701D6}"/>
    <cellStyle name="Normal 33 2 3 2 3 3" xfId="44726" xr:uid="{D5B476B9-A7FD-4D2D-A7D5-F35A50A15EA2}"/>
    <cellStyle name="Normal 33 2 3 2 3 3 2" xfId="44727" xr:uid="{36819218-DA94-488F-B5FA-ECAA12A06B01}"/>
    <cellStyle name="Normal 33 2 3 2 3 3 2 2" xfId="44728" xr:uid="{FDBC613C-AF40-4B04-BE3D-DB56497E0BFF}"/>
    <cellStyle name="Normal 33 2 3 2 3 3 2 2 2" xfId="44729" xr:uid="{E93B44B4-9D92-43CF-AE2B-D1526D5AAD34}"/>
    <cellStyle name="Normal 33 2 3 2 3 3 2 2 2 2" xfId="44730" xr:uid="{4AFA0C1C-913B-411E-8D33-DD888B3E3662}"/>
    <cellStyle name="Normal 33 2 3 2 3 3 2 2 3" xfId="44731" xr:uid="{4E70D8D6-BB12-4AA5-8725-A7A7EB0D5C15}"/>
    <cellStyle name="Normal 33 2 3 2 3 3 2 3" xfId="44732" xr:uid="{E37B3B2B-CEAB-4A77-85A3-B8AB71740F0A}"/>
    <cellStyle name="Normal 33 2 3 2 3 3 2 3 2" xfId="44733" xr:uid="{B4D44E53-2350-476E-B143-FC66BD08C348}"/>
    <cellStyle name="Normal 33 2 3 2 3 3 2 4" xfId="44734" xr:uid="{4715BF96-2DC8-4093-B3A8-EE68800CE98B}"/>
    <cellStyle name="Normal 33 2 3 2 3 3 3" xfId="44735" xr:uid="{B526A6B2-BB2B-4548-BEC1-EFDB87365692}"/>
    <cellStyle name="Normal 33 2 3 2 3 3 3 2" xfId="44736" xr:uid="{92DCBD7F-4E2C-43B3-8A94-1FD6B56B3A71}"/>
    <cellStyle name="Normal 33 2 3 2 3 3 3 2 2" xfId="44737" xr:uid="{9688CD60-1FB8-4DE7-AA43-8981888B1E2E}"/>
    <cellStyle name="Normal 33 2 3 2 3 3 3 3" xfId="44738" xr:uid="{0825DE6C-71D4-4AE8-AD1B-95D3FE1A3D02}"/>
    <cellStyle name="Normal 33 2 3 2 3 3 4" xfId="44739" xr:uid="{A508B334-7308-43E1-B84A-DB6F3FAEFC86}"/>
    <cellStyle name="Normal 33 2 3 2 3 3 4 2" xfId="44740" xr:uid="{D006E35A-AE1F-43D1-A545-63BEF6B947D2}"/>
    <cellStyle name="Normal 33 2 3 2 3 3 5" xfId="44741" xr:uid="{B328F91F-1CF2-40D9-9338-0A1E0D21716C}"/>
    <cellStyle name="Normal 33 2 3 2 3 4" xfId="44742" xr:uid="{F4B3AA03-B53F-4372-B6A8-29B29186C86C}"/>
    <cellStyle name="Normal 33 2 3 2 3 4 2" xfId="44743" xr:uid="{7BD34A92-124F-4BFB-BA94-C30EE8244193}"/>
    <cellStyle name="Normal 33 2 3 2 3 4 2 2" xfId="44744" xr:uid="{C60A6465-D336-43C1-8242-A00A5E3A78BF}"/>
    <cellStyle name="Normal 33 2 3 2 3 4 2 2 2" xfId="44745" xr:uid="{FAD8C5A9-C8CE-41F8-AD2D-428EEF4B07DA}"/>
    <cellStyle name="Normal 33 2 3 2 3 4 2 3" xfId="44747" xr:uid="{AE03C4C8-85FC-4A03-B904-B2F1E71FDF05}"/>
    <cellStyle name="Normal 33 2 3 2 3 4 3" xfId="44748" xr:uid="{B310810A-BDDC-4A5B-8676-ECAB0D6D679E}"/>
    <cellStyle name="Normal 33 2 3 2 3 4 3 2" xfId="44749" xr:uid="{B4EB8718-DA52-4D93-942F-D28324EBF8B9}"/>
    <cellStyle name="Normal 33 2 3 2 3 4 4" xfId="44750" xr:uid="{99457516-9D1F-4FBF-92CF-893060166C48}"/>
    <cellStyle name="Normal 33 2 3 2 3 5" xfId="44751" xr:uid="{B15A9DCB-D3B7-4738-A286-AFED5A4B2C38}"/>
    <cellStyle name="Normal 33 2 3 2 3 5 2" xfId="44752" xr:uid="{D057D338-B4A2-40C1-B0A0-CBA02AE87EA3}"/>
    <cellStyle name="Normal 33 2 3 2 3 5 2 2" xfId="44753" xr:uid="{3FF0E4DC-4CE2-4058-986E-93B1883CFB3A}"/>
    <cellStyle name="Normal 33 2 3 2 3 5 3" xfId="44754" xr:uid="{F559BEB2-9AB6-447D-ADDC-9308250CBA4B}"/>
    <cellStyle name="Normal 33 2 3 2 3 6" xfId="44755" xr:uid="{A9627C78-1BF2-45D5-B28C-33A31A2DDDA7}"/>
    <cellStyle name="Normal 33 2 3 2 3 6 2" xfId="44756" xr:uid="{F7964750-3BF9-4D12-BB8D-B5D9A397EDD8}"/>
    <cellStyle name="Normal 33 2 3 2 3 7" xfId="44757" xr:uid="{ECAEBBB7-7D85-426C-9FE3-E043417C77EC}"/>
    <cellStyle name="Normal 33 2 3 2 3 8" xfId="44758" xr:uid="{CA06128C-2091-4916-9462-77E516CDF955}"/>
    <cellStyle name="Normal 33 2 3 2 4" xfId="44760" xr:uid="{3D3956F2-97AE-4EA3-925B-9CCBFD268BBE}"/>
    <cellStyle name="Normal 33 2 3 2 4 2" xfId="44762" xr:uid="{C9C93836-01F7-410D-B967-9972503666F5}"/>
    <cellStyle name="Normal 33 2 3 2 4 2 2" xfId="44763" xr:uid="{D6109FE6-E05A-430F-A1DE-05388DE82893}"/>
    <cellStyle name="Normal 33 2 3 2 4 2 2 2" xfId="44764" xr:uid="{51435657-1C5A-4DBC-BE1E-9F010EB1D518}"/>
    <cellStyle name="Normal 33 2 3 2 4 2 2 2 2" xfId="44765" xr:uid="{11A70098-5DAD-410A-B7FB-0E4418E72FC2}"/>
    <cellStyle name="Normal 33 2 3 2 4 2 2 2 2 2" xfId="44766" xr:uid="{0917CFB4-6C75-41F1-8CC8-C3D7079CAC82}"/>
    <cellStyle name="Normal 33 2 3 2 4 2 2 2 3" xfId="44767" xr:uid="{58EA1FB0-A01A-4A98-82DF-8B7B4A74A167}"/>
    <cellStyle name="Normal 33 2 3 2 4 2 2 3" xfId="44768" xr:uid="{0025FC14-7152-4D4A-9EC7-83B0C5D1BE53}"/>
    <cellStyle name="Normal 33 2 3 2 4 2 2 3 2" xfId="44769" xr:uid="{8FD5992B-1051-4520-A25B-FB6B4AE75E7D}"/>
    <cellStyle name="Normal 33 2 3 2 4 2 2 4" xfId="44770" xr:uid="{D47CF3AE-CB21-48BA-BC80-53D360A48691}"/>
    <cellStyle name="Normal 33 2 3 2 4 2 3" xfId="44771" xr:uid="{A1E0B2BA-7239-470E-A5D2-A9ABCE7DCCE0}"/>
    <cellStyle name="Normal 33 2 3 2 4 2 3 2" xfId="44772" xr:uid="{D81AB19D-ABB2-4358-9A6E-D3DEBAC7F8B2}"/>
    <cellStyle name="Normal 33 2 3 2 4 2 3 2 2" xfId="44773" xr:uid="{E5FA2FB3-1DED-409B-AAB0-D8A2DBA1708E}"/>
    <cellStyle name="Normal 33 2 3 2 4 2 3 3" xfId="44774" xr:uid="{869C2996-9AE2-445E-8C7B-1A89DEF70C89}"/>
    <cellStyle name="Normal 33 2 3 2 4 2 4" xfId="44775" xr:uid="{70E13C3D-2432-498F-A0B0-D5C9F8097B01}"/>
    <cellStyle name="Normal 33 2 3 2 4 2 4 2" xfId="44776" xr:uid="{4B05E5FC-E66F-4DE4-A534-BC0E1E0EDD35}"/>
    <cellStyle name="Normal 33 2 3 2 4 2 5" xfId="44777" xr:uid="{567BC723-AE40-455D-AC68-8857694B1C09}"/>
    <cellStyle name="Normal 33 2 3 2 4 3" xfId="44778" xr:uid="{E5E9A742-2B32-424E-959C-CD0CD2EAE711}"/>
    <cellStyle name="Normal 33 2 3 2 4 3 2" xfId="44779" xr:uid="{B4A8FC89-8D25-4470-A38A-B564ED841A1D}"/>
    <cellStyle name="Normal 33 2 3 2 4 3 2 2" xfId="44780" xr:uid="{E1F0D1F5-1969-4764-8883-DF948057875B}"/>
    <cellStyle name="Normal 33 2 3 2 4 3 2 2 2" xfId="44781" xr:uid="{5B685820-8389-41DC-8CF2-32E0B17E9522}"/>
    <cellStyle name="Normal 33 2 3 2 4 3 2 3" xfId="44782" xr:uid="{88A49DFB-1400-4AF3-90C0-1950AEFA06F5}"/>
    <cellStyle name="Normal 33 2 3 2 4 3 3" xfId="44783" xr:uid="{A01545C0-C0E9-44CE-960D-5BDA3DF0C462}"/>
    <cellStyle name="Normal 33 2 3 2 4 3 3 2" xfId="44784" xr:uid="{56643131-AAFB-4DE7-A543-6771A695A798}"/>
    <cellStyle name="Normal 33 2 3 2 4 3 4" xfId="44785" xr:uid="{B674576D-1119-4A37-8C32-6C9FE00DCD23}"/>
    <cellStyle name="Normal 33 2 3 2 4 4" xfId="44786" xr:uid="{E79DAFE1-2F5E-457A-B570-72F28CD16D1E}"/>
    <cellStyle name="Normal 33 2 3 2 4 4 2" xfId="44787" xr:uid="{3FBB86EC-5D90-474B-80AC-0F83BB0B1041}"/>
    <cellStyle name="Normal 33 2 3 2 4 4 2 2" xfId="44788" xr:uid="{85901E0E-8FE8-492E-9A44-F2EA035F2797}"/>
    <cellStyle name="Normal 33 2 3 2 4 4 3" xfId="44789" xr:uid="{DDEC3070-EDE7-4488-9691-7BA8DAC52B2B}"/>
    <cellStyle name="Normal 33 2 3 2 4 5" xfId="44790" xr:uid="{D2C09480-3546-4DB3-A6E9-5BA837B3C3B0}"/>
    <cellStyle name="Normal 33 2 3 2 4 5 2" xfId="44791" xr:uid="{CB9D57F1-FB64-4ACC-AAD0-ADC3E6DC1A6F}"/>
    <cellStyle name="Normal 33 2 3 2 4 6" xfId="44792" xr:uid="{76571C21-BE24-4660-AAA2-7576A206CF34}"/>
    <cellStyle name="Normal 33 2 3 2 4 7" xfId="44793" xr:uid="{C480C390-B81D-4470-BF29-B63DA796CFB1}"/>
    <cellStyle name="Normal 33 2 3 2 5" xfId="12029" xr:uid="{30C55FA2-7675-4DEB-AA62-3A8CD4187706}"/>
    <cellStyle name="Normal 33 2 3 2 5 2" xfId="38105" xr:uid="{5155210E-6C24-4C39-9E02-C2C5B38A5B83}"/>
    <cellStyle name="Normal 33 2 3 2 5 2 2" xfId="44794" xr:uid="{A1796F9C-06AE-49A8-A33D-D2D71B71B349}"/>
    <cellStyle name="Normal 33 2 3 2 5 2 2 2" xfId="44795" xr:uid="{E4226A04-47B5-403D-BD6C-BBA38F50BBD8}"/>
    <cellStyle name="Normal 33 2 3 2 5 2 2 2 2" xfId="44796" xr:uid="{483D9C62-A929-44A4-B75A-FF6045AD8F87}"/>
    <cellStyle name="Normal 33 2 3 2 5 2 2 3" xfId="44797" xr:uid="{8FB4B485-0592-4E91-84FE-4F4950E6BF20}"/>
    <cellStyle name="Normal 33 2 3 2 5 2 3" xfId="44798" xr:uid="{7F86B5DB-6F8A-47C9-A45A-4B2F2636051B}"/>
    <cellStyle name="Normal 33 2 3 2 5 2 3 2" xfId="44799" xr:uid="{939D30D3-5B18-4EC3-949C-1B3CEC7A07F9}"/>
    <cellStyle name="Normal 33 2 3 2 5 2 4" xfId="44800" xr:uid="{B7955773-1845-4835-87FF-A570F79753DB}"/>
    <cellStyle name="Normal 33 2 3 2 5 3" xfId="44801" xr:uid="{D01821A2-76B6-41E3-9F4F-EBDB0087C1ED}"/>
    <cellStyle name="Normal 33 2 3 2 5 3 2" xfId="44802" xr:uid="{29E7CD2F-9768-448A-86B8-C11B241E3D9D}"/>
    <cellStyle name="Normal 33 2 3 2 5 3 2 2" xfId="44803" xr:uid="{1CB23116-37D1-46C4-A553-C7227E44335C}"/>
    <cellStyle name="Normal 33 2 3 2 5 3 3" xfId="44804" xr:uid="{BBFEC00B-D9C3-4305-890E-2FE7D33458A4}"/>
    <cellStyle name="Normal 33 2 3 2 5 4" xfId="44805" xr:uid="{F7E34296-AB99-4442-8A15-4EEBDCC34C87}"/>
    <cellStyle name="Normal 33 2 3 2 5 4 2" xfId="44806" xr:uid="{B719E28A-D407-489C-B7D9-99AEC9A9F979}"/>
    <cellStyle name="Normal 33 2 3 2 5 5" xfId="44807" xr:uid="{BB5216E4-9E61-4C1B-A50D-A1ADD4D95FDC}"/>
    <cellStyle name="Normal 33 2 3 2 6" xfId="38110" xr:uid="{44926E56-3F3F-46EA-BD70-E503E46CA726}"/>
    <cellStyle name="Normal 33 2 3 2 6 2" xfId="44808" xr:uid="{9E10D70D-4F15-41CC-AA50-A9939F94135E}"/>
    <cellStyle name="Normal 33 2 3 2 6 2 2" xfId="44809" xr:uid="{7B3ABD2C-FF9F-440B-AB64-E658BD5A8A6B}"/>
    <cellStyle name="Normal 33 2 3 2 6 2 2 2" xfId="44810" xr:uid="{E6BA42CA-F4D9-434F-B46F-96B0F23214A3}"/>
    <cellStyle name="Normal 33 2 3 2 6 2 3" xfId="44811" xr:uid="{3F9E682B-AA10-42BA-9E09-FB8E4B884151}"/>
    <cellStyle name="Normal 33 2 3 2 6 3" xfId="44812" xr:uid="{C9F1EBA8-B656-4A1A-B135-55CD0D2F316B}"/>
    <cellStyle name="Normal 33 2 3 2 6 3 2" xfId="44813" xr:uid="{B1D08377-7AF6-48FA-B68C-144C9310D05A}"/>
    <cellStyle name="Normal 33 2 3 2 6 4" xfId="26295" xr:uid="{5CE8A7D4-0086-4497-8D0C-B5E53D412EAB}"/>
    <cellStyle name="Normal 33 2 3 2 7" xfId="44814" xr:uid="{0834B310-3F05-41DF-A8CA-F4F20B5579DD}"/>
    <cellStyle name="Normal 33 2 3 2 7 2" xfId="44815" xr:uid="{BA25B079-DCDE-406B-B194-453E7E030E0F}"/>
    <cellStyle name="Normal 33 2 3 2 7 2 2" xfId="44816" xr:uid="{9E11FC2F-1863-47BF-9864-F628771AF4FB}"/>
    <cellStyle name="Normal 33 2 3 2 7 3" xfId="44817" xr:uid="{50CB83B9-B2AB-4003-B145-CBD42C3B12B9}"/>
    <cellStyle name="Normal 33 2 3 2 8" xfId="44818" xr:uid="{1C64A4CB-E11D-4815-8475-45769EC2BBB1}"/>
    <cellStyle name="Normal 33 2 3 2 8 2" xfId="44819" xr:uid="{FBBDC4A5-5A9D-4319-B263-4DFD6A76B784}"/>
    <cellStyle name="Normal 33 2 3 2 9" xfId="44820" xr:uid="{E0FDD7B8-01D6-4A18-86C2-C64B11A27020}"/>
    <cellStyle name="Normal 33 2 3 3" xfId="44821" xr:uid="{24B6E458-B52D-406F-AB53-06FCFEC767BC}"/>
    <cellStyle name="Normal 33 2 3 3 2" xfId="44822" xr:uid="{50869AFF-5405-4719-997C-D5972723D7F7}"/>
    <cellStyle name="Normal 33 2 3 3 2 2" xfId="44823" xr:uid="{D96C91D8-175A-45AE-8063-481E4CD8DF5F}"/>
    <cellStyle name="Normal 33 2 3 3 2 2 2" xfId="44824" xr:uid="{C739DE4F-7C68-4433-A751-5E401A85D1B1}"/>
    <cellStyle name="Normal 33 2 3 3 2 2 2 2" xfId="44825" xr:uid="{2E1B6961-6F38-4CAC-84F7-D444EDB4BCE4}"/>
    <cellStyle name="Normal 33 2 3 3 2 2 2 2 2" xfId="44826" xr:uid="{64FBACE0-DFA1-4686-AAC5-C1F4BBC1792C}"/>
    <cellStyle name="Normal 33 2 3 3 2 2 2 2 2 2" xfId="44827" xr:uid="{5919FD60-23BE-4A73-BF3F-6917BFB35B2C}"/>
    <cellStyle name="Normal 33 2 3 3 2 2 2 2 2 2 2" xfId="44828" xr:uid="{A81064B5-2385-486B-AE16-666BE305297F}"/>
    <cellStyle name="Normal 33 2 3 3 2 2 2 2 2 3" xfId="44829" xr:uid="{48E0C4F2-86C4-4622-A893-398ADB211E6D}"/>
    <cellStyle name="Normal 33 2 3 3 2 2 2 2 3" xfId="44830" xr:uid="{4064F7DD-461D-4AEA-9912-23F95C46AB15}"/>
    <cellStyle name="Normal 33 2 3 3 2 2 2 2 3 2" xfId="44831" xr:uid="{78BF7158-C063-41F1-B7D3-8345416502A1}"/>
    <cellStyle name="Normal 33 2 3 3 2 2 2 2 4" xfId="44832" xr:uid="{90773711-6CE1-4C39-82CD-24565C880BCD}"/>
    <cellStyle name="Normal 33 2 3 3 2 2 2 3" xfId="44833" xr:uid="{52E0280D-C184-486E-B83A-F2FC7EC9D777}"/>
    <cellStyle name="Normal 33 2 3 3 2 2 2 3 2" xfId="44834" xr:uid="{DCAE7AEC-4E1A-465E-A234-DC59C9B4EB98}"/>
    <cellStyle name="Normal 33 2 3 3 2 2 2 3 2 2" xfId="44835" xr:uid="{B69AE75C-9AAD-42A6-9911-C32E8A3D176A}"/>
    <cellStyle name="Normal 33 2 3 3 2 2 2 3 3" xfId="44836" xr:uid="{17DD0993-6A66-4E26-AE81-E368F62273E7}"/>
    <cellStyle name="Normal 33 2 3 3 2 2 2 4" xfId="44837" xr:uid="{A4ACB875-EBB9-4EC1-AC21-EEA0775628EB}"/>
    <cellStyle name="Normal 33 2 3 3 2 2 2 4 2" xfId="44838" xr:uid="{D8E0244F-BF3E-4204-A002-B42F8C43F194}"/>
    <cellStyle name="Normal 33 2 3 3 2 2 2 5" xfId="44839" xr:uid="{41CA607E-C2EC-41AE-B3E0-4D9BCD0EC687}"/>
    <cellStyle name="Normal 33 2 3 3 2 2 3" xfId="44840" xr:uid="{F86DF518-46CF-48AA-AD60-C106F58D9C0B}"/>
    <cellStyle name="Normal 33 2 3 3 2 2 3 2" xfId="44841" xr:uid="{CCBD404E-0BC4-4627-AD58-CE31E2B73B26}"/>
    <cellStyle name="Normal 33 2 3 3 2 2 3 2 2" xfId="44842" xr:uid="{F073F085-45F6-4165-AFC7-301BFDAB6E94}"/>
    <cellStyle name="Normal 33 2 3 3 2 2 3 2 2 2" xfId="44843" xr:uid="{A32D9A9E-4343-4276-B3BC-9BEA233666CD}"/>
    <cellStyle name="Normal 33 2 3 3 2 2 3 2 3" xfId="44844" xr:uid="{28853BEF-2279-4C11-922C-F62DED14448E}"/>
    <cellStyle name="Normal 33 2 3 3 2 2 3 3" xfId="44845" xr:uid="{934CE90E-F5EB-40CD-B1DD-A17B802BB74B}"/>
    <cellStyle name="Normal 33 2 3 3 2 2 3 3 2" xfId="44846" xr:uid="{F55EF95A-64BE-4F4D-8AEC-E20C396262E8}"/>
    <cellStyle name="Normal 33 2 3 3 2 2 3 4" xfId="44847" xr:uid="{ADA0F77D-FFB1-4A1D-B940-8D7B44EF9D39}"/>
    <cellStyle name="Normal 33 2 3 3 2 2 4" xfId="44848" xr:uid="{D0264678-8E1C-44CA-8B96-B6FF1A370E57}"/>
    <cellStyle name="Normal 33 2 3 3 2 2 4 2" xfId="44849" xr:uid="{0C72894E-79E4-42CD-B667-4510678164DA}"/>
    <cellStyle name="Normal 33 2 3 3 2 2 4 2 2" xfId="44850" xr:uid="{EAFAFB96-8406-41CC-A844-33EF4A49FA9E}"/>
    <cellStyle name="Normal 33 2 3 3 2 2 4 3" xfId="44851" xr:uid="{7BB03E44-E704-4609-8C4A-B54FD9925819}"/>
    <cellStyle name="Normal 33 2 3 3 2 2 5" xfId="44852" xr:uid="{36243315-EA73-4543-B77A-69C780BA0AFD}"/>
    <cellStyle name="Normal 33 2 3 3 2 2 5 2" xfId="44853" xr:uid="{5E15A015-5C50-4C97-A953-4B2F653BBB27}"/>
    <cellStyle name="Normal 33 2 3 3 2 2 6" xfId="44854" xr:uid="{4745251F-45B6-467D-91CE-DD6E23080CDA}"/>
    <cellStyle name="Normal 33 2 3 3 2 2 7" xfId="4232" xr:uid="{0CDB8BD2-A649-4037-B1C9-1776B5980D60}"/>
    <cellStyle name="Normal 33 2 3 3 2 3" xfId="44855" xr:uid="{A756D5DC-6C19-46D7-BB35-38E65D23ADCB}"/>
    <cellStyle name="Normal 33 2 3 3 2 3 2" xfId="44856" xr:uid="{13D7C2B1-32BC-4572-B167-9D298DE444F5}"/>
    <cellStyle name="Normal 33 2 3 3 2 3 2 2" xfId="44857" xr:uid="{07774ED1-D0E4-4C5C-AF58-8FF09848A88D}"/>
    <cellStyle name="Normal 33 2 3 3 2 3 2 2 2" xfId="44858" xr:uid="{7213A1C4-E5FD-4461-85E6-F7E331D98696}"/>
    <cellStyle name="Normal 33 2 3 3 2 3 2 2 2 2" xfId="44859" xr:uid="{32BB5EA1-3DB8-43BC-BF4C-97B46BCEF267}"/>
    <cellStyle name="Normal 33 2 3 3 2 3 2 2 3" xfId="44860" xr:uid="{FE0730F7-1526-4A7C-A6EC-9A0FC6468AEA}"/>
    <cellStyle name="Normal 33 2 3 3 2 3 2 3" xfId="44861" xr:uid="{F078FD53-9BB7-4E58-B708-46F9049598FC}"/>
    <cellStyle name="Normal 33 2 3 3 2 3 2 3 2" xfId="44862" xr:uid="{1E552FD3-93BB-477F-BA01-BE79F910F10B}"/>
    <cellStyle name="Normal 33 2 3 3 2 3 2 4" xfId="44863" xr:uid="{3D62A4EB-5926-43EF-8512-0D231D7C01EC}"/>
    <cellStyle name="Normal 33 2 3 3 2 3 3" xfId="44864" xr:uid="{4C726316-DD71-42C4-AF89-015C7442521D}"/>
    <cellStyle name="Normal 33 2 3 3 2 3 3 2" xfId="44865" xr:uid="{EB624B9B-6F9A-440F-A099-C321CF5A5EAF}"/>
    <cellStyle name="Normal 33 2 3 3 2 3 3 2 2" xfId="44866" xr:uid="{501D51B9-7100-47F3-95D0-CD03D04622E4}"/>
    <cellStyle name="Normal 33 2 3 3 2 3 3 3" xfId="44867" xr:uid="{87BE62A2-32F3-43F8-BA02-1C33A70DFABC}"/>
    <cellStyle name="Normal 33 2 3 3 2 3 4" xfId="44868" xr:uid="{51F700C7-CE81-40D4-9C9E-737B3A9B4AC3}"/>
    <cellStyle name="Normal 33 2 3 3 2 3 4 2" xfId="44869" xr:uid="{AD92E08B-3B35-439E-A4CA-8EDA30148A80}"/>
    <cellStyle name="Normal 33 2 3 3 2 3 5" xfId="44870" xr:uid="{BE825275-667D-416F-90F1-1049743B6C1A}"/>
    <cellStyle name="Normal 33 2 3 3 2 4" xfId="44871" xr:uid="{BD62D2B4-CA31-4114-87F8-76C05EBEAC44}"/>
    <cellStyle name="Normal 33 2 3 3 2 4 2" xfId="44872" xr:uid="{E7CF2EAB-E42A-4BED-B6D3-C40032CF7CBC}"/>
    <cellStyle name="Normal 33 2 3 3 2 4 2 2" xfId="44873" xr:uid="{36A8CEE2-8F74-4F5A-9544-B905987C5F72}"/>
    <cellStyle name="Normal 33 2 3 3 2 4 2 2 2" xfId="44874" xr:uid="{F33859D9-842B-4A70-9FCE-6D501D4737F2}"/>
    <cellStyle name="Normal 33 2 3 3 2 4 2 3" xfId="44876" xr:uid="{B0873E49-F3C3-4616-9C7E-1645242E389F}"/>
    <cellStyle name="Normal 33 2 3 3 2 4 3" xfId="44877" xr:uid="{513F2D11-27BB-4B0F-BBA0-E16B0DC2D647}"/>
    <cellStyle name="Normal 33 2 3 3 2 4 3 2" xfId="44878" xr:uid="{DAC0ED7F-22DD-4B4B-8F08-6482D69BFE19}"/>
    <cellStyle name="Normal 33 2 3 3 2 4 4" xfId="44879" xr:uid="{A3B7D767-ADF1-4247-A3E0-B5736EE8047D}"/>
    <cellStyle name="Normal 33 2 3 3 2 5" xfId="44880" xr:uid="{2908F58E-3613-4043-83EF-9B7C2402E96F}"/>
    <cellStyle name="Normal 33 2 3 3 2 5 2" xfId="44881" xr:uid="{809C8C7A-82B6-4FFB-85A1-5097034EE241}"/>
    <cellStyle name="Normal 33 2 3 3 2 5 2 2" xfId="44882" xr:uid="{F4F52E11-45F2-48F5-B9DC-67F275C2B5C9}"/>
    <cellStyle name="Normal 33 2 3 3 2 5 3" xfId="44883" xr:uid="{9B2BFDF9-11DA-499E-9788-01392693B2A4}"/>
    <cellStyle name="Normal 33 2 3 3 2 6" xfId="44884" xr:uid="{99682602-884C-48C7-BE7C-00557CED0E99}"/>
    <cellStyle name="Normal 33 2 3 3 2 6 2" xfId="41485" xr:uid="{ADC79184-4E43-47FC-97F1-16B360F057B0}"/>
    <cellStyle name="Normal 33 2 3 3 2 7" xfId="44885" xr:uid="{911DB027-D76E-4B7C-A7D9-49375C94076A}"/>
    <cellStyle name="Normal 33 2 3 3 2 8" xfId="44886" xr:uid="{A33291D7-AFDA-4304-9FE3-E8536C108A64}"/>
    <cellStyle name="Normal 33 2 3 3 3" xfId="44888" xr:uid="{8076A399-17E3-49F8-A2B4-BDC609BEA155}"/>
    <cellStyle name="Normal 33 2 3 3 3 2" xfId="44890" xr:uid="{DA5DFE09-15BE-489E-8535-F4F3546319C1}"/>
    <cellStyle name="Normal 33 2 3 3 3 2 2" xfId="44891" xr:uid="{A8F58805-C0A0-4F5F-8758-EC4FEFA7C330}"/>
    <cellStyle name="Normal 33 2 3 3 3 2 2 2" xfId="44892" xr:uid="{6B229C07-2655-4A33-9758-650E06F62937}"/>
    <cellStyle name="Normal 33 2 3 3 3 2 2 2 2" xfId="44893" xr:uid="{5B1AB470-0F78-4177-A622-B885D05D2D0A}"/>
    <cellStyle name="Normal 33 2 3 3 3 2 2 2 2 2" xfId="44894" xr:uid="{8A0D0959-B866-4A28-B7D2-9A1719706135}"/>
    <cellStyle name="Normal 33 2 3 3 3 2 2 2 3" xfId="44895" xr:uid="{89F4B9C0-6BBB-4997-84AB-54FC6AF9D59D}"/>
    <cellStyle name="Normal 33 2 3 3 3 2 2 3" xfId="44896" xr:uid="{98006FF9-5A84-4079-80C9-3F7251C24586}"/>
    <cellStyle name="Normal 33 2 3 3 3 2 2 3 2" xfId="44897" xr:uid="{470F8DB1-9D45-4340-AF78-DDACA81D89C7}"/>
    <cellStyle name="Normal 33 2 3 3 3 2 2 4" xfId="44898" xr:uid="{BA1AB1E3-1CD4-4B8B-B4EF-6A123FA3DA67}"/>
    <cellStyle name="Normal 33 2 3 3 3 2 3" xfId="44899" xr:uid="{A6BE294E-92E0-4330-B57E-AC08BC0B7B5E}"/>
    <cellStyle name="Normal 33 2 3 3 3 2 3 2" xfId="44900" xr:uid="{35323C5F-FCF5-4857-9D46-1F586CCB5C07}"/>
    <cellStyle name="Normal 33 2 3 3 3 2 3 2 2" xfId="30458" xr:uid="{40862132-FA14-4817-94B1-576065BCA082}"/>
    <cellStyle name="Normal 33 2 3 3 3 2 3 3" xfId="44901" xr:uid="{0E505065-56E5-478F-9B74-D7382BD56E38}"/>
    <cellStyle name="Normal 33 2 3 3 3 2 4" xfId="44902" xr:uid="{6FD6BA58-265E-4D41-B089-13A3BB53847D}"/>
    <cellStyle name="Normal 33 2 3 3 3 2 4 2" xfId="44903" xr:uid="{C499EC12-5FBD-474B-B0DF-209181C85163}"/>
    <cellStyle name="Normal 33 2 3 3 3 2 5" xfId="44904" xr:uid="{D3AA4BBA-8DA1-42DF-9EC6-056392776B20}"/>
    <cellStyle name="Normal 33 2 3 3 3 3" xfId="44905" xr:uid="{6F45CE0B-616C-4ED6-87C3-32FDA8A04545}"/>
    <cellStyle name="Normal 33 2 3 3 3 3 2" xfId="44906" xr:uid="{365F5D25-53FE-4FE1-97B4-F9AB86DEC5D1}"/>
    <cellStyle name="Normal 33 2 3 3 3 3 2 2" xfId="44907" xr:uid="{2982A66B-F798-4188-86D1-76E7793F9841}"/>
    <cellStyle name="Normal 33 2 3 3 3 3 2 2 2" xfId="44908" xr:uid="{15B0338C-5108-4ED6-A89E-7CA78090296D}"/>
    <cellStyle name="Normal 33 2 3 3 3 3 2 3" xfId="44909" xr:uid="{71723F76-E225-4DF6-9CC1-FA154EAA5D14}"/>
    <cellStyle name="Normal 33 2 3 3 3 3 3" xfId="44910" xr:uid="{01B1DB6B-DCA5-460B-85C3-2A2019024E0A}"/>
    <cellStyle name="Normal 33 2 3 3 3 3 3 2" xfId="44911" xr:uid="{08EF6586-4A6C-4C08-8D9E-218EBEBFF65C}"/>
    <cellStyle name="Normal 33 2 3 3 3 3 4" xfId="44912" xr:uid="{9D933428-0635-48F1-B7B2-457D1021619B}"/>
    <cellStyle name="Normal 33 2 3 3 3 4" xfId="44913" xr:uid="{48A780AC-F3F8-407B-B454-1E42CDFF6E4B}"/>
    <cellStyle name="Normal 33 2 3 3 3 4 2" xfId="44914" xr:uid="{0DF01B6B-1195-41EC-AE62-952AC735ABE2}"/>
    <cellStyle name="Normal 33 2 3 3 3 4 2 2" xfId="44915" xr:uid="{B9F1BC9D-3D92-4B9D-9BFA-9B4ED2293927}"/>
    <cellStyle name="Normal 33 2 3 3 3 4 3" xfId="44916" xr:uid="{32F0B95F-D2F3-494A-90E8-CC5F33B4FF83}"/>
    <cellStyle name="Normal 33 2 3 3 3 5" xfId="44917" xr:uid="{589B3CDF-4B74-4856-ACE1-4AF164E2A7C6}"/>
    <cellStyle name="Normal 33 2 3 3 3 5 2" xfId="44918" xr:uid="{E3730C81-418F-4F03-80BD-72C3AB1FE27B}"/>
    <cellStyle name="Normal 33 2 3 3 3 6" xfId="44919" xr:uid="{0D186FC1-7A00-41A1-8A28-21E1B49EE412}"/>
    <cellStyle name="Normal 33 2 3 3 3 7" xfId="44920" xr:uid="{4400E37D-0B53-4432-9244-F4597DD5EC17}"/>
    <cellStyle name="Normal 33 2 3 3 4" xfId="12046" xr:uid="{3D6459B5-5E2E-4258-B275-1FCD954CD6EE}"/>
    <cellStyle name="Normal 33 2 3 3 4 2" xfId="27882" xr:uid="{2FF7D586-B8FB-4706-9733-02647B39FB37}"/>
    <cellStyle name="Normal 33 2 3 3 4 2 2" xfId="44921" xr:uid="{4C0CFEC0-C490-4DF1-90F7-C0A6E13931F5}"/>
    <cellStyle name="Normal 33 2 3 3 4 2 2 2" xfId="44922" xr:uid="{8A35154C-90EE-4772-9224-6BF0E7DD3A52}"/>
    <cellStyle name="Normal 33 2 3 3 4 2 2 2 2" xfId="44923" xr:uid="{F22A9B52-0AEA-4EAA-B9FE-76AFAF9AF66F}"/>
    <cellStyle name="Normal 33 2 3 3 4 2 2 3" xfId="44924" xr:uid="{800E54ED-3CC0-411E-A026-D6A769E3C330}"/>
    <cellStyle name="Normal 33 2 3 3 4 2 3" xfId="44925" xr:uid="{748D7106-2075-41F5-A100-102A2B42E923}"/>
    <cellStyle name="Normal 33 2 3 3 4 2 3 2" xfId="44926" xr:uid="{31F171F2-3FC4-4606-94F5-B93FA61B2C4F}"/>
    <cellStyle name="Normal 33 2 3 3 4 2 4" xfId="44927" xr:uid="{FF6C5BA1-4FEE-49E6-87CA-41D25EFD0419}"/>
    <cellStyle name="Normal 33 2 3 3 4 3" xfId="44928" xr:uid="{04414CB1-F9BA-4226-971F-451E6CD3DB9E}"/>
    <cellStyle name="Normal 33 2 3 3 4 3 2" xfId="44929" xr:uid="{87E575BB-9A38-4D6C-9FA6-64E9DFAC5171}"/>
    <cellStyle name="Normal 33 2 3 3 4 3 2 2" xfId="44930" xr:uid="{3B3614E8-6F03-4D11-8BE9-865CF6E3D947}"/>
    <cellStyle name="Normal 33 2 3 3 4 3 3" xfId="44931" xr:uid="{D900C1B6-3294-4257-940C-31BEA43B8237}"/>
    <cellStyle name="Normal 33 2 3 3 4 4" xfId="44932" xr:uid="{F1D09216-0478-40A3-A6C0-80BEE5F47109}"/>
    <cellStyle name="Normal 33 2 3 3 4 4 2" xfId="44934" xr:uid="{7B35E572-709D-4017-B54C-B9C798FB1729}"/>
    <cellStyle name="Normal 33 2 3 3 4 5" xfId="44935" xr:uid="{A5A1026D-6DE9-47E5-A0B3-F5C39530A3DF}"/>
    <cellStyle name="Normal 33 2 3 3 5" xfId="5216" xr:uid="{CD0E48FF-417D-4269-95A2-970BB2FACA80}"/>
    <cellStyle name="Normal 33 2 3 3 5 2" xfId="38115" xr:uid="{B58F9B29-72C2-4DEF-9BF8-C9564E3011C1}"/>
    <cellStyle name="Normal 33 2 3 3 5 2 2" xfId="44936" xr:uid="{7B4CA890-7C2E-4B5A-A4C8-76B3025B0E2B}"/>
    <cellStyle name="Normal 33 2 3 3 5 2 2 2" xfId="44937" xr:uid="{6BDC08B4-2A37-4466-A4BD-10693E048348}"/>
    <cellStyle name="Normal 33 2 3 3 5 2 3" xfId="44938" xr:uid="{E75401C0-6AF7-4E7A-B439-56DA90C4416D}"/>
    <cellStyle name="Normal 33 2 3 3 5 3" xfId="44939" xr:uid="{984AE0FA-BBED-452F-9441-BCEECA52E9B0}"/>
    <cellStyle name="Normal 33 2 3 3 5 3 2" xfId="44940" xr:uid="{313230B2-B718-482D-8A93-2E5D205A2EA5}"/>
    <cellStyle name="Normal 33 2 3 3 5 4" xfId="35579" xr:uid="{E2165198-0976-4FBB-9743-37319AB3B529}"/>
    <cellStyle name="Normal 33 2 3 3 6" xfId="38120" xr:uid="{EE488994-7F2E-4DC9-99F6-5027114D990B}"/>
    <cellStyle name="Normal 33 2 3 3 6 2" xfId="44941" xr:uid="{974D124D-2B93-4DC0-8FBC-7FC26F351140}"/>
    <cellStyle name="Normal 33 2 3 3 6 2 2" xfId="44942" xr:uid="{58CE677B-71B2-4A84-B7FD-091A6ACFA66A}"/>
    <cellStyle name="Normal 33 2 3 3 6 3" xfId="44943" xr:uid="{CC2964B8-CFA6-489B-9268-A7C7BD601AE3}"/>
    <cellStyle name="Normal 33 2 3 3 7" xfId="44944" xr:uid="{60A4078F-86F8-4ED2-8F31-890C44DE0690}"/>
    <cellStyle name="Normal 33 2 3 3 7 2" xfId="44945" xr:uid="{68699A80-8C00-4E7C-8816-9B732DE879F1}"/>
    <cellStyle name="Normal 33 2 3 3 8" xfId="44946" xr:uid="{B70ED870-E883-497C-92F8-5729F39AC398}"/>
    <cellStyle name="Normal 33 2 3 3 9" xfId="44947" xr:uid="{ACD8A2E7-5954-4AF2-94BE-2F8114A88D0C}"/>
    <cellStyle name="Normal 33 2 3 4" xfId="44948" xr:uid="{3848A9FB-189D-4B3F-BDBE-3F953E1EAF03}"/>
    <cellStyle name="Normal 33 2 3 4 2" xfId="44949" xr:uid="{E7969B36-22FC-47E7-B971-B86D3C018EC1}"/>
    <cellStyle name="Normal 33 2 3 4 2 2" xfId="44950" xr:uid="{63A24FEA-3C40-489F-A7B5-E040FE79E1DD}"/>
    <cellStyle name="Normal 33 2 3 4 2 2 2" xfId="44951" xr:uid="{D76394FF-3000-4007-A56D-9E51C812D22C}"/>
    <cellStyle name="Normal 33 2 3 4 2 2 2 2" xfId="44952" xr:uid="{46BB6B76-C838-45F2-9411-1DE73982C525}"/>
    <cellStyle name="Normal 33 2 3 4 2 2 2 2 2" xfId="44953" xr:uid="{3FBBF2DA-8E91-45FB-A895-C53041E3BCD5}"/>
    <cellStyle name="Normal 33 2 3 4 2 2 2 2 2 2" xfId="44954" xr:uid="{D342194C-EBD8-4882-833C-C5FB3612DA1A}"/>
    <cellStyle name="Normal 33 2 3 4 2 2 2 2 3" xfId="44955" xr:uid="{19F23FED-F14A-4735-B1C9-078FE524C882}"/>
    <cellStyle name="Normal 33 2 3 4 2 2 2 3" xfId="44956" xr:uid="{F1F456A8-288A-46C4-A3DD-83881F13CEDC}"/>
    <cellStyle name="Normal 33 2 3 4 2 2 2 3 2" xfId="44957" xr:uid="{B211316E-C4AE-4D63-BC98-7C0B9E27B16D}"/>
    <cellStyle name="Normal 33 2 3 4 2 2 2 4" xfId="44958" xr:uid="{222D4FE1-4B14-4971-AAA6-AE56018CAF98}"/>
    <cellStyle name="Normal 33 2 3 4 2 2 3" xfId="44959" xr:uid="{7AD39A66-B83F-453E-8F6B-68F4CE0DD87F}"/>
    <cellStyle name="Normal 33 2 3 4 2 2 3 2" xfId="44960" xr:uid="{A4DFAB38-BE9F-4F82-B0DD-FEC849696C8A}"/>
    <cellStyle name="Normal 33 2 3 4 2 2 3 2 2" xfId="44961" xr:uid="{4DE87790-3955-44FA-9839-9FEFED99EE56}"/>
    <cellStyle name="Normal 33 2 3 4 2 2 3 3" xfId="44962" xr:uid="{93A11BBE-27BF-432A-8908-62AB146F643F}"/>
    <cellStyle name="Normal 33 2 3 4 2 2 4" xfId="44963" xr:uid="{5BF64EA2-EE3F-4A16-9F96-DEDFD5A7FB2C}"/>
    <cellStyle name="Normal 33 2 3 4 2 2 4 2" xfId="44964" xr:uid="{89D116BA-E8B4-4B41-90B9-4351FE3E6122}"/>
    <cellStyle name="Normal 33 2 3 4 2 2 5" xfId="44965" xr:uid="{8D151BEC-431D-443A-8FF2-F2B3D7CB1A78}"/>
    <cellStyle name="Normal 33 2 3 4 2 3" xfId="30703" xr:uid="{068128CA-9A2B-4AB8-B8B4-30FA5D450660}"/>
    <cellStyle name="Normal 33 2 3 4 2 3 2" xfId="44966" xr:uid="{D042E9D5-A771-49D6-AD80-1D27A2E5D042}"/>
    <cellStyle name="Normal 33 2 3 4 2 3 2 2" xfId="44967" xr:uid="{89264CA9-9927-4116-84E7-787BD477F453}"/>
    <cellStyle name="Normal 33 2 3 4 2 3 2 2 2" xfId="44968" xr:uid="{9621A3BE-533B-4241-A10D-53680C1C663A}"/>
    <cellStyle name="Normal 33 2 3 4 2 3 2 3" xfId="44969" xr:uid="{D53B509D-D584-4960-AD74-58AA3978B6B5}"/>
    <cellStyle name="Normal 33 2 3 4 2 3 3" xfId="44970" xr:uid="{B50DB0AA-B04E-4C7A-877E-3F9A5B0217CF}"/>
    <cellStyle name="Normal 33 2 3 4 2 3 3 2" xfId="44971" xr:uid="{22629F4B-963B-4262-960B-3AD4CB23BD1D}"/>
    <cellStyle name="Normal 33 2 3 4 2 3 4" xfId="44972" xr:uid="{C6163D02-5C2D-4BA0-AD12-D6C0F7A278C6}"/>
    <cellStyle name="Normal 33 2 3 4 2 4" xfId="44973" xr:uid="{610BCCC7-1FDB-4FF3-9EF9-F3BFC0871DBD}"/>
    <cellStyle name="Normal 33 2 3 4 2 4 2" xfId="44974" xr:uid="{FBCA6C96-26DA-4EDE-9638-A2F1E8385FAE}"/>
    <cellStyle name="Normal 33 2 3 4 2 4 2 2" xfId="44975" xr:uid="{939F98BC-DDBF-420D-BC96-51495740EC60}"/>
    <cellStyle name="Normal 33 2 3 4 2 4 3" xfId="44976" xr:uid="{44C5E452-8705-4ED8-8605-D9B1FB533676}"/>
    <cellStyle name="Normal 33 2 3 4 2 5" xfId="44977" xr:uid="{670D611A-CC88-48C2-A5D0-493382B68D9C}"/>
    <cellStyle name="Normal 33 2 3 4 2 5 2" xfId="44978" xr:uid="{9A43FBA2-B5F7-4773-92D3-18E5253B6528}"/>
    <cellStyle name="Normal 33 2 3 4 2 6" xfId="44979" xr:uid="{796E2A9D-EF2E-4E91-A0E8-327478FBE6EC}"/>
    <cellStyle name="Normal 33 2 3 4 2 7" xfId="44980" xr:uid="{756E0AB3-FEFB-4AFE-AF40-17A183890753}"/>
    <cellStyle name="Normal 33 2 3 4 3" xfId="44982" xr:uid="{D85C5AE0-EDD6-4B37-9D44-80F19EEDFA5E}"/>
    <cellStyle name="Normal 33 2 3 4 3 2" xfId="44983" xr:uid="{5EA90B9C-849B-4605-884E-DF26D3F67ADB}"/>
    <cellStyle name="Normal 33 2 3 4 3 2 2" xfId="44984" xr:uid="{F586ECDC-5B7D-49F8-9523-872B376241A7}"/>
    <cellStyle name="Normal 33 2 3 4 3 2 2 2" xfId="44985" xr:uid="{C754DB33-AAFC-4120-86AF-AD86336FE035}"/>
    <cellStyle name="Normal 33 2 3 4 3 2 2 2 2" xfId="44986" xr:uid="{18B9A56A-1AF4-4E21-8B17-6955CBC2555E}"/>
    <cellStyle name="Normal 33 2 3 4 3 2 2 3" xfId="44987" xr:uid="{156C9122-7E12-461C-8B02-7B64D0DF0197}"/>
    <cellStyle name="Normal 33 2 3 4 3 2 3" xfId="44988" xr:uid="{71CFF2AE-52A3-48F8-AB09-3EC07734DC8B}"/>
    <cellStyle name="Normal 33 2 3 4 3 2 3 2" xfId="44989" xr:uid="{8AF3B685-E55A-4649-B310-ED535477A613}"/>
    <cellStyle name="Normal 33 2 3 4 3 2 4" xfId="44990" xr:uid="{63110F34-94D6-4F8B-88CB-DE2CCFB5CFC2}"/>
    <cellStyle name="Normal 33 2 3 4 3 3" xfId="44991" xr:uid="{C694C160-E220-416C-A424-8247704DFDA8}"/>
    <cellStyle name="Normal 33 2 3 4 3 3 2" xfId="44992" xr:uid="{60145C1E-CC4E-4D1A-8E24-A8ED690A9AA7}"/>
    <cellStyle name="Normal 33 2 3 4 3 3 2 2" xfId="44993" xr:uid="{443E2939-E346-474D-A152-C45EC99EEF5A}"/>
    <cellStyle name="Normal 33 2 3 4 3 3 3" xfId="44994" xr:uid="{47854477-9B11-4D04-9DAE-A85885680FC5}"/>
    <cellStyle name="Normal 33 2 3 4 3 4" xfId="44995" xr:uid="{54AE3EA4-1794-453D-BE6A-117958CC54EB}"/>
    <cellStyle name="Normal 33 2 3 4 3 4 2" xfId="44996" xr:uid="{D87B84E3-DDD9-40C7-BACC-F4236E7D723D}"/>
    <cellStyle name="Normal 33 2 3 4 3 5" xfId="44997" xr:uid="{C2DBDAD0-B9E5-42D2-831F-46112779DE9C}"/>
    <cellStyle name="Normal 33 2 3 4 4" xfId="27888" xr:uid="{0467617D-19FA-4B0F-9286-D0C2EB88866D}"/>
    <cellStyle name="Normal 33 2 3 4 4 2" xfId="44998" xr:uid="{559663BA-71D8-44D9-AC37-EE88D82F1D6E}"/>
    <cellStyle name="Normal 33 2 3 4 4 2 2" xfId="44999" xr:uid="{B0F0F338-289F-4A1C-85A0-AA45EADF6E79}"/>
    <cellStyle name="Normal 33 2 3 4 4 2 2 2" xfId="45000" xr:uid="{726E283F-252B-459B-BDC5-AFF110B78743}"/>
    <cellStyle name="Normal 33 2 3 4 4 2 3" xfId="45001" xr:uid="{B2568C86-BE8F-4F23-AE66-D7DFCD733066}"/>
    <cellStyle name="Normal 33 2 3 4 4 3" xfId="45002" xr:uid="{B9E53E83-BDCE-4101-8D43-81C0F8DBF6BB}"/>
    <cellStyle name="Normal 33 2 3 4 4 3 2" xfId="45003" xr:uid="{E6F9B3BA-D85F-4000-885A-775561FEA924}"/>
    <cellStyle name="Normal 33 2 3 4 4 4" xfId="45004" xr:uid="{0D3B380E-3FB6-4105-ADB8-53B481952E50}"/>
    <cellStyle name="Normal 33 2 3 4 5" xfId="38125" xr:uid="{DA0D4461-2108-4790-B021-E41C3CF587B9}"/>
    <cellStyle name="Normal 33 2 3 4 5 2" xfId="38130" xr:uid="{962711E8-F2E2-492A-850D-300CF9FD721E}"/>
    <cellStyle name="Normal 33 2 3 4 5 2 2" xfId="45005" xr:uid="{393E6E77-7827-490E-BBC2-79F34D7F64BF}"/>
    <cellStyle name="Normal 33 2 3 4 5 3" xfId="45006" xr:uid="{D92467F2-FEAA-48DC-99FD-1A27731240A8}"/>
    <cellStyle name="Normal 33 2 3 4 6" xfId="38135" xr:uid="{F922A008-AA0A-4903-B682-EC28355827B9}"/>
    <cellStyle name="Normal 33 2 3 4 6 2" xfId="45007" xr:uid="{C9241F80-2282-4169-95B0-E0C11548514F}"/>
    <cellStyle name="Normal 33 2 3 4 7" xfId="45008" xr:uid="{76869A22-BD6F-4741-B389-0A6A97927931}"/>
    <cellStyle name="Normal 33 2 3 4 8" xfId="45009" xr:uid="{F617785A-8C75-4108-B0F7-3DBB837EFDB0}"/>
    <cellStyle name="Normal 33 2 3 5" xfId="45010" xr:uid="{00D32D68-8ED0-4D0B-BAD9-1C666B4D015D}"/>
    <cellStyle name="Normal 33 2 3 5 2" xfId="45011" xr:uid="{7A11F534-A85F-4D95-BCAA-978A2348F773}"/>
    <cellStyle name="Normal 33 2 3 5 2 2" xfId="20919" xr:uid="{A001A78A-488A-4E4A-B466-6DEEE2E12F80}"/>
    <cellStyle name="Normal 33 2 3 5 2 2 2" xfId="45012" xr:uid="{2234B0F4-56A0-4F2B-A181-02752001383A}"/>
    <cellStyle name="Normal 33 2 3 5 2 2 2 2" xfId="45013" xr:uid="{ACAB1945-5957-46BA-A466-F5F3169F2490}"/>
    <cellStyle name="Normal 33 2 3 5 2 2 2 2 2" xfId="45014" xr:uid="{535E1CD5-2428-4828-99CD-6AE15A2DD018}"/>
    <cellStyle name="Normal 33 2 3 5 2 2 2 3" xfId="45015" xr:uid="{D2C22484-6D80-4F93-B9CD-D8C78924E1D2}"/>
    <cellStyle name="Normal 33 2 3 5 2 2 3" xfId="45016" xr:uid="{BD09B651-406B-4299-9F13-628B598E95FB}"/>
    <cellStyle name="Normal 33 2 3 5 2 2 3 2" xfId="45017" xr:uid="{EA11E221-1BFE-46BF-B170-24863B329DFA}"/>
    <cellStyle name="Normal 33 2 3 5 2 2 4" xfId="21453" xr:uid="{1FEFF25A-F31A-4A46-8560-D97B65595357}"/>
    <cellStyle name="Normal 33 2 3 5 2 3" xfId="45018" xr:uid="{87BE6EE1-38F1-443E-AE36-FA64E5C73500}"/>
    <cellStyle name="Normal 33 2 3 5 2 3 2" xfId="45019" xr:uid="{9767FE9F-9CE9-41D8-9E8B-B232F2F01892}"/>
    <cellStyle name="Normal 33 2 3 5 2 3 2 2" xfId="45020" xr:uid="{B5C61DF1-5894-4072-AD8D-91FE60CAF0C6}"/>
    <cellStyle name="Normal 33 2 3 5 2 3 3" xfId="45021" xr:uid="{3AB02698-B6B0-4091-84D8-3EBF56C53808}"/>
    <cellStyle name="Normal 33 2 3 5 2 4" xfId="45022" xr:uid="{4477C6B4-88A6-4B66-8A1A-2E2FFB098634}"/>
    <cellStyle name="Normal 33 2 3 5 2 4 2" xfId="45023" xr:uid="{49192B41-B5C6-4DF9-B221-EA1C9541FB35}"/>
    <cellStyle name="Normal 33 2 3 5 2 5" xfId="45024" xr:uid="{159C480D-D4E0-4307-A67D-F07F7D67ABFE}"/>
    <cellStyle name="Normal 33 2 3 5 3" xfId="45025" xr:uid="{BAE15DFF-084F-420F-959F-9507F9D82622}"/>
    <cellStyle name="Normal 33 2 3 5 3 2" xfId="45026" xr:uid="{CD9CF96A-BF8D-4EB9-B9A0-23BBE13662F5}"/>
    <cellStyle name="Normal 33 2 3 5 3 2 2" xfId="45027" xr:uid="{146FD344-783A-4114-85A3-660A7EAAC0F7}"/>
    <cellStyle name="Normal 33 2 3 5 3 2 2 2" xfId="45028" xr:uid="{3A277935-10E0-495E-B252-C211D1DBA6C7}"/>
    <cellStyle name="Normal 33 2 3 5 3 2 3" xfId="45029" xr:uid="{0F8BCBE7-3CD9-42A5-AB10-85B260DBD091}"/>
    <cellStyle name="Normal 33 2 3 5 3 3" xfId="45030" xr:uid="{45FC4407-43F4-4F63-BE3F-E410EBF3F927}"/>
    <cellStyle name="Normal 33 2 3 5 3 3 2" xfId="45031" xr:uid="{8C9D71B5-A2FB-420C-A94A-FB9A44D966B1}"/>
    <cellStyle name="Normal 33 2 3 5 3 4" xfId="45032" xr:uid="{C6F919ED-D494-48AE-926B-A9C2B8339CEB}"/>
    <cellStyle name="Normal 33 2 3 5 4" xfId="45033" xr:uid="{E893473B-8978-422B-9C89-D42085B25EA4}"/>
    <cellStyle name="Normal 33 2 3 5 4 2" xfId="45034" xr:uid="{88E9C47A-91BD-4BDC-A252-9993D975113D}"/>
    <cellStyle name="Normal 33 2 3 5 4 2 2" xfId="45035" xr:uid="{540284A4-1873-4C5B-97A5-90C20FD744F4}"/>
    <cellStyle name="Normal 33 2 3 5 4 3" xfId="45036" xr:uid="{0F535641-FC88-4650-B15B-D7FA7907DCDA}"/>
    <cellStyle name="Normal 33 2 3 5 5" xfId="38144" xr:uid="{4653F482-FE6A-4AC2-B1A7-7AD32DEF3FC6}"/>
    <cellStyle name="Normal 33 2 3 5 5 2" xfId="38149" xr:uid="{DF9AE821-BE76-47F8-83C3-46CEFAE6D274}"/>
    <cellStyle name="Normal 33 2 3 5 6" xfId="38155" xr:uid="{E4E87905-4D41-46D5-A783-510644B03445}"/>
    <cellStyle name="Normal 33 2 3 5 7" xfId="45038" xr:uid="{9C0F9752-5357-4D14-942F-0C04C04DFEEB}"/>
    <cellStyle name="Normal 33 2 3 6" xfId="45039" xr:uid="{BB84E1E0-5BF2-4AE3-B806-5741B626AA3C}"/>
    <cellStyle name="Normal 33 2 3 6 2" xfId="45040" xr:uid="{42248519-4EA5-4A9B-B5D0-835D59DAC296}"/>
    <cellStyle name="Normal 33 2 3 6 2 2" xfId="45041" xr:uid="{B9D0BE16-E80B-43BE-AAE5-06851D72FFFF}"/>
    <cellStyle name="Normal 33 2 3 6 2 2 2" xfId="45042" xr:uid="{BC938CA8-3815-4326-B20B-8402DB522D01}"/>
    <cellStyle name="Normal 33 2 3 6 2 2 2 2" xfId="45043" xr:uid="{76DE0CE0-0013-43AC-931E-EBB3FD56AAF6}"/>
    <cellStyle name="Normal 33 2 3 6 2 2 3" xfId="45044" xr:uid="{97EDB230-9758-4915-9982-CA8029650C5B}"/>
    <cellStyle name="Normal 33 2 3 6 2 3" xfId="45045" xr:uid="{8788762E-8F36-4D1F-AA2A-28A8782FB1F3}"/>
    <cellStyle name="Normal 33 2 3 6 2 3 2" xfId="45046" xr:uid="{5493E387-B64E-4E79-9D0C-228B3446C308}"/>
    <cellStyle name="Normal 33 2 3 6 2 4" xfId="45047" xr:uid="{138CE53E-0517-49EC-8A03-AAE9A547D6A7}"/>
    <cellStyle name="Normal 33 2 3 6 3" xfId="45048" xr:uid="{BC28A8F4-E00F-4048-9019-3DF9641648AD}"/>
    <cellStyle name="Normal 33 2 3 6 3 2" xfId="45049" xr:uid="{BBE7F2CB-50CF-4E46-B595-B42D5AD58960}"/>
    <cellStyle name="Normal 33 2 3 6 3 2 2" xfId="45050" xr:uid="{0F40E9F4-3CC9-4D12-B817-98166F096235}"/>
    <cellStyle name="Normal 33 2 3 6 3 3" xfId="45051" xr:uid="{AC711689-5594-4F15-A5DF-9B5C44DFD13E}"/>
    <cellStyle name="Normal 33 2 3 6 4" xfId="21730" xr:uid="{36640B4E-B843-4FF6-B716-04B881083AC0}"/>
    <cellStyle name="Normal 33 2 3 6 4 2" xfId="21732" xr:uid="{DD5A2812-9716-4C07-87EF-59058D8B44F8}"/>
    <cellStyle name="Normal 33 2 3 6 5" xfId="21735" xr:uid="{D6D09B5C-269D-41D0-9898-9DBC27936A71}"/>
    <cellStyle name="Normal 33 2 3 7" xfId="45052" xr:uid="{8D407577-20D5-4201-8E2E-A8D7AB3AE9E2}"/>
    <cellStyle name="Normal 33 2 3 7 2" xfId="45053" xr:uid="{2DC73EAC-B85E-428A-B222-595C01358C8B}"/>
    <cellStyle name="Normal 33 2 3 7 2 2" xfId="45054" xr:uid="{46B13E42-F8EE-4FDD-90ED-831575CA959B}"/>
    <cellStyle name="Normal 33 2 3 7 2 2 2" xfId="45055" xr:uid="{DA124DEA-F6C4-4CE1-BE5F-32F6A86D6E77}"/>
    <cellStyle name="Normal 33 2 3 7 2 3" xfId="45056" xr:uid="{39B02032-A7F0-466A-B731-936A36B4726C}"/>
    <cellStyle name="Normal 33 2 3 7 3" xfId="45057" xr:uid="{A7300BF1-87AA-4E4A-AC3D-AD631DDE7D5D}"/>
    <cellStyle name="Normal 33 2 3 7 3 2" xfId="45058" xr:uid="{FAD992BD-D560-4986-B603-674AF6BB18B2}"/>
    <cellStyle name="Normal 33 2 3 7 4" xfId="21754" xr:uid="{8266DCFB-CBDC-49D9-9DC9-DC6511006D86}"/>
    <cellStyle name="Normal 33 2 3 8" xfId="45059" xr:uid="{74DB15F1-D2C3-4597-9C91-833F5B669FA2}"/>
    <cellStyle name="Normal 33 2 3 8 2" xfId="45060" xr:uid="{3284825F-43EB-4BC0-82DD-9DFA4FE2EA91}"/>
    <cellStyle name="Normal 33 2 3 8 2 2" xfId="45061" xr:uid="{DB771A54-666A-4D85-9D0D-468DD6764526}"/>
    <cellStyle name="Normal 33 2 3 8 3" xfId="45062" xr:uid="{AC5C3253-DE2B-4AE9-BF35-84558D3A418C}"/>
    <cellStyle name="Normal 33 2 3 9" xfId="45063" xr:uid="{3F4B4093-C057-46FD-800A-9DC86B11A9F0}"/>
    <cellStyle name="Normal 33 2 3 9 2" xfId="45064" xr:uid="{014E4C7E-D314-476F-97BE-2D959F129D18}"/>
    <cellStyle name="Normal 33 2 4" xfId="12072" xr:uid="{C306C863-6263-49FD-BF03-C4E606F359BB}"/>
    <cellStyle name="Normal 33 2 4 10" xfId="45065" xr:uid="{57356D5F-08CA-4572-BDC4-57831B194D3D}"/>
    <cellStyle name="Normal 33 2 4 2" xfId="45066" xr:uid="{6BA68F1D-4FC9-455A-A069-EAF09D3437A3}"/>
    <cellStyle name="Normal 33 2 4 2 2" xfId="45067" xr:uid="{D85821EF-DF4E-4EB3-AC84-B61C3AF60CBF}"/>
    <cellStyle name="Normal 33 2 4 2 2 2" xfId="45068" xr:uid="{E0F61208-1F1A-43F4-84E0-C80DCEA122C5}"/>
    <cellStyle name="Normal 33 2 4 2 2 2 2" xfId="45069" xr:uid="{B00071A8-603B-4079-BB26-8E5B6BC3E079}"/>
    <cellStyle name="Normal 33 2 4 2 2 2 2 2" xfId="45070" xr:uid="{90F05E3C-51FA-40F1-8C23-154F055595D6}"/>
    <cellStyle name="Normal 33 2 4 2 2 2 2 2 2" xfId="45071" xr:uid="{33D1485A-AE2F-4B61-9895-25C06871B258}"/>
    <cellStyle name="Normal 33 2 4 2 2 2 2 2 2 2" xfId="45072" xr:uid="{BB286C9F-61C3-4761-9689-E9AF3AD51D11}"/>
    <cellStyle name="Normal 33 2 4 2 2 2 2 2 2 2 2" xfId="45073" xr:uid="{78C1F8A3-35E2-4340-922F-D3EAB7AB253C}"/>
    <cellStyle name="Normal 33 2 4 2 2 2 2 2 2 3" xfId="45074" xr:uid="{A65E9880-C419-49F4-B9F5-BEA8D4858BFB}"/>
    <cellStyle name="Normal 33 2 4 2 2 2 2 2 3" xfId="45075" xr:uid="{B995984D-6C73-4BB3-9277-B24045BCCBC6}"/>
    <cellStyle name="Normal 33 2 4 2 2 2 2 2 3 2" xfId="45076" xr:uid="{6EC18C7C-7A36-4FA5-BF24-BC63425DA216}"/>
    <cellStyle name="Normal 33 2 4 2 2 2 2 2 4" xfId="45077" xr:uid="{14CB3FEC-787F-4EE4-8071-6479C4BC1B82}"/>
    <cellStyle name="Normal 33 2 4 2 2 2 2 3" xfId="45078" xr:uid="{CE3ACAC3-53E3-4D22-A821-718A874B9748}"/>
    <cellStyle name="Normal 33 2 4 2 2 2 2 3 2" xfId="36757" xr:uid="{A206CCBD-B71D-46F5-A46C-3438A4984604}"/>
    <cellStyle name="Normal 33 2 4 2 2 2 2 3 2 2" xfId="45079" xr:uid="{2B02E1EC-3B3E-40B5-BD2F-67A2C557B76B}"/>
    <cellStyle name="Normal 33 2 4 2 2 2 2 3 3" xfId="45080" xr:uid="{AAC207F3-6C28-46A9-AF94-C1A7F9849E1D}"/>
    <cellStyle name="Normal 33 2 4 2 2 2 2 4" xfId="45081" xr:uid="{A5315D2A-650E-47E6-8A44-DE66B20B32D1}"/>
    <cellStyle name="Normal 33 2 4 2 2 2 2 4 2" xfId="45082" xr:uid="{58136B04-16CC-434E-BE2E-C830DAD695A2}"/>
    <cellStyle name="Normal 33 2 4 2 2 2 2 5" xfId="45083" xr:uid="{BD2C2EE9-B17C-4E99-A777-EB13D43B43F1}"/>
    <cellStyle name="Normal 33 2 4 2 2 2 3" xfId="45084" xr:uid="{81E04404-AD76-451D-81CD-2B18B1C6A108}"/>
    <cellStyle name="Normal 33 2 4 2 2 2 3 2" xfId="45085" xr:uid="{CE74C2AE-6E6C-4D36-A873-BE7549B22E3B}"/>
    <cellStyle name="Normal 33 2 4 2 2 2 3 2 2" xfId="45086" xr:uid="{59F1327C-C1A6-4975-8421-8EE4AD0EA380}"/>
    <cellStyle name="Normal 33 2 4 2 2 2 3 2 2 2" xfId="45087" xr:uid="{253C71A6-1F62-4807-B64F-E0B4F67CB06F}"/>
    <cellStyle name="Normal 33 2 4 2 2 2 3 2 3" xfId="45088" xr:uid="{A1FA6BC6-E134-48EC-9B11-0C792A7C3682}"/>
    <cellStyle name="Normal 33 2 4 2 2 2 3 3" xfId="45089" xr:uid="{6B2EA408-9651-4EFC-8C98-89923CE9E6E2}"/>
    <cellStyle name="Normal 33 2 4 2 2 2 3 3 2" xfId="45090" xr:uid="{73D6EE68-A493-41EA-89B8-239D97C91B36}"/>
    <cellStyle name="Normal 33 2 4 2 2 2 3 4" xfId="45091" xr:uid="{3A8677A5-8E26-4393-A0A4-4CBDDECDCBD1}"/>
    <cellStyle name="Normal 33 2 4 2 2 2 4" xfId="45092" xr:uid="{CCF2685A-1427-4E1E-AAC3-AFFE09264D1C}"/>
    <cellStyle name="Normal 33 2 4 2 2 2 4 2" xfId="45093" xr:uid="{30668223-DCA6-4A1F-9757-968032ADA9F1}"/>
    <cellStyle name="Normal 33 2 4 2 2 2 4 2 2" xfId="45094" xr:uid="{412AEAEA-53CE-4A36-B29A-15E420DC12FA}"/>
    <cellStyle name="Normal 33 2 4 2 2 2 4 3" xfId="45095" xr:uid="{F96BA895-52D3-4982-9B23-FF89BA1E0A89}"/>
    <cellStyle name="Normal 33 2 4 2 2 2 5" xfId="45096" xr:uid="{677E10B1-3B91-464F-AE08-6F40F376C51C}"/>
    <cellStyle name="Normal 33 2 4 2 2 2 5 2" xfId="45097" xr:uid="{058ADD54-27E8-447C-AA6E-D9C27B21A177}"/>
    <cellStyle name="Normal 33 2 4 2 2 2 6" xfId="45098" xr:uid="{DE755F59-002F-4EA2-AAFE-BB3325B98DEC}"/>
    <cellStyle name="Normal 33 2 4 2 2 2 7" xfId="1346" xr:uid="{1BD19209-CB25-4A6E-A332-DA702E2A9C8F}"/>
    <cellStyle name="Normal 33 2 4 2 2 3" xfId="45099" xr:uid="{94E7B8D2-F58E-43D3-872A-EC8E74156D9D}"/>
    <cellStyle name="Normal 33 2 4 2 2 3 2" xfId="45100" xr:uid="{973E4E92-088C-4009-B64D-52833AA37C23}"/>
    <cellStyle name="Normal 33 2 4 2 2 3 2 2" xfId="45101" xr:uid="{C0350423-8249-4B50-BC80-F4414209531F}"/>
    <cellStyle name="Normal 33 2 4 2 2 3 2 2 2" xfId="45102" xr:uid="{A9A84AE6-BBCD-4721-A6A7-7DF173DEB1FC}"/>
    <cellStyle name="Normal 33 2 4 2 2 3 2 2 2 2" xfId="45103" xr:uid="{2663EB65-7D45-4296-B30A-DE536B2EBFA6}"/>
    <cellStyle name="Normal 33 2 4 2 2 3 2 2 3" xfId="45104" xr:uid="{A3E4AFE3-5788-444C-A7DB-40EC612DAA45}"/>
    <cellStyle name="Normal 33 2 4 2 2 3 2 3" xfId="45105" xr:uid="{3313A6D3-ABA7-4027-B8B4-B20ED2541755}"/>
    <cellStyle name="Normal 33 2 4 2 2 3 2 3 2" xfId="45106" xr:uid="{F86A3CBA-BB3D-4E69-A8E5-BA11BFD5E32F}"/>
    <cellStyle name="Normal 33 2 4 2 2 3 2 4" xfId="45107" xr:uid="{46A67F6E-DC0D-406F-85CD-8EDC3E4554DE}"/>
    <cellStyle name="Normal 33 2 4 2 2 3 3" xfId="45108" xr:uid="{DBCC227A-88E8-4648-83C2-069205283CBB}"/>
    <cellStyle name="Normal 33 2 4 2 2 3 3 2" xfId="45109" xr:uid="{B6A23359-EB63-4295-8CE2-2B9E663AA9EB}"/>
    <cellStyle name="Normal 33 2 4 2 2 3 3 2 2" xfId="45110" xr:uid="{DCB62491-2367-4114-81CC-2DEA2EA781F8}"/>
    <cellStyle name="Normal 33 2 4 2 2 3 3 3" xfId="23412" xr:uid="{703FBC5E-3EB1-491D-96E9-97E4403D9F3E}"/>
    <cellStyle name="Normal 33 2 4 2 2 3 4" xfId="45111" xr:uid="{D782E185-5FB5-4DC5-A5B9-DCCF490AD352}"/>
    <cellStyle name="Normal 33 2 4 2 2 3 4 2" xfId="45112" xr:uid="{03D6BF34-D615-4C4D-BD1E-60945F7F3B3F}"/>
    <cellStyle name="Normal 33 2 4 2 2 3 5" xfId="45113" xr:uid="{9603736C-2576-4E74-AEBE-575639BC7B05}"/>
    <cellStyle name="Normal 33 2 4 2 2 4" xfId="45114" xr:uid="{D4096296-6162-49DD-AD65-865B1EF77913}"/>
    <cellStyle name="Normal 33 2 4 2 2 4 2" xfId="45115" xr:uid="{193BDAA8-3830-4D49-9A2F-DDA2F4835F21}"/>
    <cellStyle name="Normal 33 2 4 2 2 4 2 2" xfId="45116" xr:uid="{6970F261-BCBA-4221-B140-0CA22338D08B}"/>
    <cellStyle name="Normal 33 2 4 2 2 4 2 2 2" xfId="45117" xr:uid="{AA71A1C7-BB38-452C-8C9B-795915E743FE}"/>
    <cellStyle name="Normal 33 2 4 2 2 4 2 3" xfId="45119" xr:uid="{263BB91E-B3A1-4AFC-A580-653E70DF6AFC}"/>
    <cellStyle name="Normal 33 2 4 2 2 4 3" xfId="45120" xr:uid="{C357A1B9-7448-4BF6-A57B-FEC8CA7F7D58}"/>
    <cellStyle name="Normal 33 2 4 2 2 4 3 2" xfId="45121" xr:uid="{71470F00-B48D-48AE-99F0-EC8B92229B8A}"/>
    <cellStyle name="Normal 33 2 4 2 2 4 4" xfId="45122" xr:uid="{94E171A1-B4CC-4FE2-BA69-ABF42F5005B2}"/>
    <cellStyle name="Normal 33 2 4 2 2 5" xfId="45123" xr:uid="{86F41600-BA8E-483B-B1AD-DC34C763DC21}"/>
    <cellStyle name="Normal 33 2 4 2 2 5 2" xfId="45124" xr:uid="{5994259D-9B9D-4ADE-97C5-4F4565B84B34}"/>
    <cellStyle name="Normal 33 2 4 2 2 5 2 2" xfId="45125" xr:uid="{801597C9-C225-440A-854F-4597A53DA6EF}"/>
    <cellStyle name="Normal 33 2 4 2 2 5 3" xfId="45126" xr:uid="{6AF4EBE0-DC51-4DA0-88FA-15895320766E}"/>
    <cellStyle name="Normal 33 2 4 2 2 6" xfId="45127" xr:uid="{F8CC1F8D-3F33-494A-9C4D-18BBEB8B4D2B}"/>
    <cellStyle name="Normal 33 2 4 2 2 6 2" xfId="45128" xr:uid="{9DCD80E7-1E35-4A40-9854-558555DB1BD6}"/>
    <cellStyle name="Normal 33 2 4 2 2 7" xfId="45129" xr:uid="{5CC23620-3503-45DB-8B86-B57555613BCE}"/>
    <cellStyle name="Normal 33 2 4 2 2 8" xfId="45130" xr:uid="{7ECF07DF-3CD2-4AE6-A699-3221FA60D225}"/>
    <cellStyle name="Normal 33 2 4 2 3" xfId="45133" xr:uid="{3449E875-BB56-47B8-A1E7-FBA71CA58645}"/>
    <cellStyle name="Normal 33 2 4 2 3 2" xfId="45135" xr:uid="{4B4E2279-4322-41E3-A93B-A48444F1497D}"/>
    <cellStyle name="Normal 33 2 4 2 3 2 2" xfId="45136" xr:uid="{553861D0-23E2-485C-9B80-175A45C6CB7F}"/>
    <cellStyle name="Normal 33 2 4 2 3 2 2 2" xfId="45137" xr:uid="{ABB9995A-F19E-4A90-8630-7AEF2233446A}"/>
    <cellStyle name="Normal 33 2 4 2 3 2 2 2 2" xfId="45138" xr:uid="{E7BD16AA-BAAE-4ABF-810B-8A701CFCB36F}"/>
    <cellStyle name="Normal 33 2 4 2 3 2 2 2 2 2" xfId="45139" xr:uid="{137CDF44-641A-49F5-AF9E-24D47A60AAD6}"/>
    <cellStyle name="Normal 33 2 4 2 3 2 2 2 3" xfId="45140" xr:uid="{7804E1A4-F958-4525-A6FE-00F1D8986994}"/>
    <cellStyle name="Normal 33 2 4 2 3 2 2 3" xfId="45141" xr:uid="{DCAFEA2A-E1BA-4E6D-A7B7-3089FBF2D443}"/>
    <cellStyle name="Normal 33 2 4 2 3 2 2 3 2" xfId="45142" xr:uid="{C8868C69-8DDB-447E-98E0-39F7D1FC0B6C}"/>
    <cellStyle name="Normal 33 2 4 2 3 2 2 4" xfId="45143" xr:uid="{42DE9CA4-1807-4439-8D80-F8EAABF5667D}"/>
    <cellStyle name="Normal 33 2 4 2 3 2 3" xfId="45144" xr:uid="{3B410828-756E-4D1B-A829-88F4B8865EDF}"/>
    <cellStyle name="Normal 33 2 4 2 3 2 3 2" xfId="45145" xr:uid="{F345D675-ED88-4BFD-B5B7-008E5DBA06FD}"/>
    <cellStyle name="Normal 33 2 4 2 3 2 3 2 2" xfId="45146" xr:uid="{CD0E841A-96C7-4279-B142-B4180F0453FE}"/>
    <cellStyle name="Normal 33 2 4 2 3 2 3 3" xfId="45147" xr:uid="{383B6E87-50AE-45F3-9EDD-1D446005851E}"/>
    <cellStyle name="Normal 33 2 4 2 3 2 4" xfId="45148" xr:uid="{C9493680-DE86-4687-9A12-D326C9973202}"/>
    <cellStyle name="Normal 33 2 4 2 3 2 4 2" xfId="45149" xr:uid="{03D7FFC9-9CD2-4C29-97D0-4D8DAC6E7F1A}"/>
    <cellStyle name="Normal 33 2 4 2 3 2 5" xfId="45150" xr:uid="{76797A36-C2B1-4C53-818B-1495DE6EE922}"/>
    <cellStyle name="Normal 33 2 4 2 3 3" xfId="45151" xr:uid="{2FDBB640-C9B8-4E07-8C75-F7216559FA1C}"/>
    <cellStyle name="Normal 33 2 4 2 3 3 2" xfId="45152" xr:uid="{1A9BC42B-E3DA-4973-83B7-5A7393F64E23}"/>
    <cellStyle name="Normal 33 2 4 2 3 3 2 2" xfId="45153" xr:uid="{C7F712C0-5431-475C-AE45-45EBBD83A7AF}"/>
    <cellStyle name="Normal 33 2 4 2 3 3 2 2 2" xfId="45154" xr:uid="{348851B7-3D9C-4B4C-A88C-421E470E5214}"/>
    <cellStyle name="Normal 33 2 4 2 3 3 2 3" xfId="45155" xr:uid="{7E1F12FB-AA55-4E6A-9BFD-6DD70260046E}"/>
    <cellStyle name="Normal 33 2 4 2 3 3 3" xfId="45156" xr:uid="{0D0CCD2F-1FCF-4ABE-851B-608BA0EA5996}"/>
    <cellStyle name="Normal 33 2 4 2 3 3 3 2" xfId="45157" xr:uid="{7A87F5C0-D2CE-4475-8F42-2996D2286C03}"/>
    <cellStyle name="Normal 33 2 4 2 3 3 4" xfId="45158" xr:uid="{22661EF0-ABBB-4D36-A60C-61D752333900}"/>
    <cellStyle name="Normal 33 2 4 2 3 4" xfId="45159" xr:uid="{D4CC0D46-8D10-46E8-87F7-73EBF33B7DF0}"/>
    <cellStyle name="Normal 33 2 4 2 3 4 2" xfId="45160" xr:uid="{5BDF8A21-AA0A-44F3-B2C8-24E8B207A6AB}"/>
    <cellStyle name="Normal 33 2 4 2 3 4 2 2" xfId="45161" xr:uid="{14D1A5CC-9D3D-4D2F-9AAF-A8C483E4A9DE}"/>
    <cellStyle name="Normal 33 2 4 2 3 4 3" xfId="45162" xr:uid="{CB5286D6-9B65-4EA3-A95C-177A82425280}"/>
    <cellStyle name="Normal 33 2 4 2 3 5" xfId="45163" xr:uid="{704226E8-B1CB-42FA-B32E-73BAA894BEEC}"/>
    <cellStyle name="Normal 33 2 4 2 3 5 2" xfId="45164" xr:uid="{706B3ABE-0C3D-40DF-8342-FF9493C63F5C}"/>
    <cellStyle name="Normal 33 2 4 2 3 6" xfId="45165" xr:uid="{A66709AE-D9F3-4BFA-96EB-FD85BA67BBF0}"/>
    <cellStyle name="Normal 33 2 4 2 3 7" xfId="45166" xr:uid="{F93A4F19-A3C3-4731-A06B-C2B0B45736AD}"/>
    <cellStyle name="Normal 33 2 4 2 4" xfId="45168" xr:uid="{99904F3C-6DC6-48E0-B8C6-66459B0D3D36}"/>
    <cellStyle name="Normal 33 2 4 2 4 2" xfId="45169" xr:uid="{21BA68BF-7D2C-4856-995E-C234E509E918}"/>
    <cellStyle name="Normal 33 2 4 2 4 2 2" xfId="45170" xr:uid="{81A56C1C-1D36-4AE1-AE71-D2073B298761}"/>
    <cellStyle name="Normal 33 2 4 2 4 2 2 2" xfId="45171" xr:uid="{9D84C3B0-9060-46D5-9A7E-DE220435F6C9}"/>
    <cellStyle name="Normal 33 2 4 2 4 2 2 2 2" xfId="45172" xr:uid="{3534F7A6-E6F1-40E0-B061-53B84A59805C}"/>
    <cellStyle name="Normal 33 2 4 2 4 2 2 3" xfId="45173" xr:uid="{EB40A221-DA02-44C4-8AF3-A89438E1B4B5}"/>
    <cellStyle name="Normal 33 2 4 2 4 2 3" xfId="45174" xr:uid="{624EF63B-2AA2-4B60-81AB-5439055B1DC2}"/>
    <cellStyle name="Normal 33 2 4 2 4 2 3 2" xfId="45175" xr:uid="{E630890A-A2F9-414C-8BDD-70A545CAE54F}"/>
    <cellStyle name="Normal 33 2 4 2 4 2 4" xfId="45176" xr:uid="{1C3B9136-6166-4E17-B109-6CC2DAC49F07}"/>
    <cellStyle name="Normal 33 2 4 2 4 3" xfId="45177" xr:uid="{1B90A98A-5384-41DF-8A78-2C20997382F7}"/>
    <cellStyle name="Normal 33 2 4 2 4 3 2" xfId="45178" xr:uid="{EEF920FD-5E27-47E9-B2BD-01663AEF43C8}"/>
    <cellStyle name="Normal 33 2 4 2 4 3 2 2" xfId="32510" xr:uid="{46539EBC-47F1-443C-93B3-4AE8E334E268}"/>
    <cellStyle name="Normal 33 2 4 2 4 3 3" xfId="45179" xr:uid="{C859E2BD-74F5-4F47-836A-709089125207}"/>
    <cellStyle name="Normal 33 2 4 2 4 4" xfId="45180" xr:uid="{CFB36183-2782-403E-B22C-BECE73100624}"/>
    <cellStyle name="Normal 33 2 4 2 4 4 2" xfId="45181" xr:uid="{C4F9233B-2B4D-4536-8319-D9E92FAB9E1F}"/>
    <cellStyle name="Normal 33 2 4 2 4 5" xfId="45182" xr:uid="{490F0960-6D89-4793-8A31-535758283812}"/>
    <cellStyle name="Normal 33 2 4 2 5" xfId="45185" xr:uid="{D7E43F7A-4B3F-4C90-824A-B174F0BAE04E}"/>
    <cellStyle name="Normal 33 2 4 2 5 2" xfId="45186" xr:uid="{F2D8F646-F300-4E5D-BA3E-E2F1B568C58D}"/>
    <cellStyle name="Normal 33 2 4 2 5 2 2" xfId="45187" xr:uid="{D5571E4A-7DBD-44A9-B5B4-9B6F147D8E56}"/>
    <cellStyle name="Normal 33 2 4 2 5 2 2 2" xfId="45188" xr:uid="{076112CE-36B7-43C3-84D1-FC0FD72EF753}"/>
    <cellStyle name="Normal 33 2 4 2 5 2 3" xfId="45189" xr:uid="{9413F55A-193E-4887-A21F-133AEF5246A4}"/>
    <cellStyle name="Normal 33 2 4 2 5 3" xfId="45190" xr:uid="{61C9EA55-B542-4727-8E53-0D01F082F72D}"/>
    <cellStyle name="Normal 33 2 4 2 5 3 2" xfId="45191" xr:uid="{EB405669-6BC4-4F16-B1E0-014A85855422}"/>
    <cellStyle name="Normal 33 2 4 2 5 4" xfId="45192" xr:uid="{06A3C63F-C564-4556-8D63-532EE77C1A78}"/>
    <cellStyle name="Normal 33 2 4 2 6" xfId="45193" xr:uid="{4FB13F3C-1863-4BAE-8052-2738AEEA446E}"/>
    <cellStyle name="Normal 33 2 4 2 6 2" xfId="45194" xr:uid="{407C6F7C-EE5F-483E-8658-7F29DA618BF7}"/>
    <cellStyle name="Normal 33 2 4 2 6 2 2" xfId="1433" xr:uid="{E8AD1492-1343-4F84-8781-7D69276ED1FB}"/>
    <cellStyle name="Normal 33 2 4 2 6 3" xfId="45195" xr:uid="{BA609166-6032-44A7-90A5-05FAE9D07E8A}"/>
    <cellStyle name="Normal 33 2 4 2 7" xfId="45196" xr:uid="{50D0F170-C6F4-4D8E-957A-C5B4659C1243}"/>
    <cellStyle name="Normal 33 2 4 2 7 2" xfId="45197" xr:uid="{BCA543DA-300C-4DB9-9533-35D0CC96EC7D}"/>
    <cellStyle name="Normal 33 2 4 2 8" xfId="45198" xr:uid="{DFACB446-5F64-4160-8FB6-92BEA47B8976}"/>
    <cellStyle name="Normal 33 2 4 2 9" xfId="45199" xr:uid="{142932DF-F545-44BD-9A57-51B44138A122}"/>
    <cellStyle name="Normal 33 2 4 3" xfId="45200" xr:uid="{09263B8B-C1DA-4ED3-AB34-78CA752B38F5}"/>
    <cellStyle name="Normal 33 2 4 3 2" xfId="45201" xr:uid="{FD8F6D88-83A9-4F1F-8C65-3C0ADE83901E}"/>
    <cellStyle name="Normal 33 2 4 3 2 2" xfId="45202" xr:uid="{10AEA49E-E08A-4DE9-BA24-176BD4DD5398}"/>
    <cellStyle name="Normal 33 2 4 3 2 2 2" xfId="45203" xr:uid="{69A77BB3-E746-4EF3-9AAB-7A3463E504A7}"/>
    <cellStyle name="Normal 33 2 4 3 2 2 2 2" xfId="45204" xr:uid="{BD001716-F399-4F40-B529-F4FA5320960E}"/>
    <cellStyle name="Normal 33 2 4 3 2 2 2 2 2" xfId="45205" xr:uid="{EE62DE4A-DCD3-4FEB-96F5-9C796097299C}"/>
    <cellStyle name="Normal 33 2 4 3 2 2 2 2 2 2" xfId="45206" xr:uid="{88FF85E5-EF8D-4CBA-9CF3-EDA00E241C66}"/>
    <cellStyle name="Normal 33 2 4 3 2 2 2 2 3" xfId="45207" xr:uid="{0C40D0FA-D273-45F1-B338-B9D5FED69BC6}"/>
    <cellStyle name="Normal 33 2 4 3 2 2 2 3" xfId="45208" xr:uid="{F87EB2CF-0EC4-4FCA-9B9B-531667C8F4EF}"/>
    <cellStyle name="Normal 33 2 4 3 2 2 2 3 2" xfId="45209" xr:uid="{1F2BD23E-EA67-419F-BC8B-3BA06438359A}"/>
    <cellStyle name="Normal 33 2 4 3 2 2 2 4" xfId="45210" xr:uid="{22A361E0-EE1B-4E67-A0D1-BE5F75B41D47}"/>
    <cellStyle name="Normal 33 2 4 3 2 2 3" xfId="45211" xr:uid="{0A94B905-0F61-425E-B32F-F0D3D1B6002E}"/>
    <cellStyle name="Normal 33 2 4 3 2 2 3 2" xfId="45212" xr:uid="{19C0A066-1E97-45FC-B67E-143D732FE884}"/>
    <cellStyle name="Normal 33 2 4 3 2 2 3 2 2" xfId="45213" xr:uid="{8993543D-E8E5-4938-A7C8-6FFA5AC8B624}"/>
    <cellStyle name="Normal 33 2 4 3 2 2 3 3" xfId="45214" xr:uid="{CDBE3AEA-469A-45E9-A642-DD7DFD18C62B}"/>
    <cellStyle name="Normal 33 2 4 3 2 2 4" xfId="45215" xr:uid="{A0769834-F4E7-4E75-A743-D1360D7EE056}"/>
    <cellStyle name="Normal 33 2 4 3 2 2 4 2" xfId="45216" xr:uid="{ADFFBB58-4B81-4992-BC3E-929A87791921}"/>
    <cellStyle name="Normal 33 2 4 3 2 2 5" xfId="45217" xr:uid="{98B3EFE6-F69D-4FD3-BE34-A3E0E87FB92E}"/>
    <cellStyle name="Normal 33 2 4 3 2 3" xfId="45218" xr:uid="{4E6EE7BF-EFB2-4476-AB60-37F2A7E5EA48}"/>
    <cellStyle name="Normal 33 2 4 3 2 3 2" xfId="45219" xr:uid="{5886FE1F-3EC3-4A41-91AB-4E969925B2D5}"/>
    <cellStyle name="Normal 33 2 4 3 2 3 2 2" xfId="45220" xr:uid="{900C5D92-28CB-461E-A960-E1B587F48DEB}"/>
    <cellStyle name="Normal 33 2 4 3 2 3 2 2 2" xfId="45221" xr:uid="{AAF6694D-76B5-43D1-9965-F0420459FDA3}"/>
    <cellStyle name="Normal 33 2 4 3 2 3 2 3" xfId="45222" xr:uid="{EACDF1F4-3856-45AF-B02E-DC6FAAF14EFA}"/>
    <cellStyle name="Normal 33 2 4 3 2 3 3" xfId="45223" xr:uid="{35AB62C2-CD74-4816-9634-F099B6328062}"/>
    <cellStyle name="Normal 33 2 4 3 2 3 3 2" xfId="45226" xr:uid="{3E3D4382-5D67-4AD0-A83B-2D4489D41A12}"/>
    <cellStyle name="Normal 33 2 4 3 2 3 4" xfId="45227" xr:uid="{78265E71-7559-4083-95CB-8E440DF54B4C}"/>
    <cellStyle name="Normal 33 2 4 3 2 4" xfId="11730" xr:uid="{187E1618-6332-4D1F-850E-B3F9C00B0E7C}"/>
    <cellStyle name="Normal 33 2 4 3 2 4 2" xfId="45228" xr:uid="{EF6A1343-697C-4941-AD61-C61B061749C7}"/>
    <cellStyle name="Normal 33 2 4 3 2 4 2 2" xfId="45229" xr:uid="{A3DB9F52-0B75-4CE7-9EF5-B5F85DCBF4F7}"/>
    <cellStyle name="Normal 33 2 4 3 2 4 3" xfId="45230" xr:uid="{60E7334B-34ED-4B75-A7F3-BB4A0E348161}"/>
    <cellStyle name="Normal 33 2 4 3 2 5" xfId="45231" xr:uid="{63994F71-77CD-4F46-A4C5-930B72A46A87}"/>
    <cellStyle name="Normal 33 2 4 3 2 5 2" xfId="45232" xr:uid="{D20EB33A-B6BD-4C21-8714-15AC424F4D20}"/>
    <cellStyle name="Normal 33 2 4 3 2 6" xfId="45233" xr:uid="{3BD898C1-70A1-462F-9FE0-E4F4F1E79FD9}"/>
    <cellStyle name="Normal 33 2 4 3 2 7" xfId="45234" xr:uid="{CA4EEDCB-3190-4C06-9843-E403AF403126}"/>
    <cellStyle name="Normal 33 2 4 3 3" xfId="45236" xr:uid="{4472012A-47C2-426B-B1F2-FD9420429531}"/>
    <cellStyle name="Normal 33 2 4 3 3 2" xfId="45237" xr:uid="{6A501435-18D7-4525-A23D-288D21C0F262}"/>
    <cellStyle name="Normal 33 2 4 3 3 2 2" xfId="45238" xr:uid="{1FD0512E-A55C-4574-8E35-0BAF1B4C95FF}"/>
    <cellStyle name="Normal 33 2 4 3 3 2 2 2" xfId="45239" xr:uid="{AF4A1E7F-997F-4574-9EC0-94D173CC3511}"/>
    <cellStyle name="Normal 33 2 4 3 3 2 2 2 2" xfId="45240" xr:uid="{98B05127-8D1C-4337-9109-16E418C32251}"/>
    <cellStyle name="Normal 33 2 4 3 3 2 2 3" xfId="45241" xr:uid="{DAA84E55-358F-4B13-92E2-243F6ED5E85A}"/>
    <cellStyle name="Normal 33 2 4 3 3 2 3" xfId="45242" xr:uid="{6F06B5BB-5C52-43FA-A3AF-115BDA5DF73F}"/>
    <cellStyle name="Normal 33 2 4 3 3 2 3 2" xfId="45243" xr:uid="{31E44D44-1638-408D-8BAA-9116098B983E}"/>
    <cellStyle name="Normal 33 2 4 3 3 2 4" xfId="45244" xr:uid="{16D9C637-594A-4F60-9697-4DC055D6CE63}"/>
    <cellStyle name="Normal 33 2 4 3 3 3" xfId="45245" xr:uid="{0A20E87D-B205-41E8-80D5-989AA8E005BE}"/>
    <cellStyle name="Normal 33 2 4 3 3 3 2" xfId="45246" xr:uid="{F20129EC-DD2B-4324-82D2-5A5A1AFC2FE8}"/>
    <cellStyle name="Normal 33 2 4 3 3 3 2 2" xfId="45247" xr:uid="{3556B4D7-07A8-4D3E-92BC-C3EBA4031DD7}"/>
    <cellStyle name="Normal 33 2 4 3 3 3 3" xfId="45248" xr:uid="{B613EDBA-8A86-4400-89FA-D54FF5054C10}"/>
    <cellStyle name="Normal 33 2 4 3 3 4" xfId="45249" xr:uid="{5A69E0C6-2E5A-456E-B90A-96155EFAB576}"/>
    <cellStyle name="Normal 33 2 4 3 3 4 2" xfId="45250" xr:uid="{96AD3392-05C5-4BC7-9EDE-632C4C8445A0}"/>
    <cellStyle name="Normal 33 2 4 3 3 5" xfId="45251" xr:uid="{50810E1A-77C3-4793-BD4F-EC50F565EE68}"/>
    <cellStyle name="Normal 33 2 4 3 4" xfId="27900" xr:uid="{1F446E41-0427-45B2-997E-19956A1A9B92}"/>
    <cellStyle name="Normal 33 2 4 3 4 2" xfId="45252" xr:uid="{46BD0619-04CE-4020-8FDA-10803242ECCD}"/>
    <cellStyle name="Normal 33 2 4 3 4 2 2" xfId="45253" xr:uid="{FD35BF48-DAF6-46FF-B85E-8BEAF9A0DF13}"/>
    <cellStyle name="Normal 33 2 4 3 4 2 2 2" xfId="45254" xr:uid="{9CC7DC06-EF4E-47CE-BE97-C9BB060935F4}"/>
    <cellStyle name="Normal 33 2 4 3 4 2 3" xfId="45255" xr:uid="{EB16D042-0D5E-4DCD-B4A2-99D8F7613970}"/>
    <cellStyle name="Normal 33 2 4 3 4 3" xfId="45256" xr:uid="{25B1F945-D1CB-46AC-94AF-23C1825C7B1F}"/>
    <cellStyle name="Normal 33 2 4 3 4 3 2" xfId="45257" xr:uid="{1BE33F7F-0942-4A6A-88C7-205746B1B1AA}"/>
    <cellStyle name="Normal 33 2 4 3 4 4" xfId="45258" xr:uid="{23297CDF-5A76-40E2-AAE3-90C6897BFED9}"/>
    <cellStyle name="Normal 33 2 4 3 5" xfId="45261" xr:uid="{1F211049-C7F7-4CD8-8C67-17B63D0EE8C8}"/>
    <cellStyle name="Normal 33 2 4 3 5 2" xfId="45262" xr:uid="{84215A05-A915-4EB6-84CB-85B32A5B11F9}"/>
    <cellStyle name="Normal 33 2 4 3 5 2 2" xfId="45263" xr:uid="{6CEB45E6-89B7-477E-B20F-DE8DFE147199}"/>
    <cellStyle name="Normal 33 2 4 3 5 3" xfId="45264" xr:uid="{B110F87B-BB59-44F4-A5A4-B6027CA10CA2}"/>
    <cellStyle name="Normal 33 2 4 3 6" xfId="45265" xr:uid="{BB596C63-6C6A-40E9-9E68-6AD7AB8C67AB}"/>
    <cellStyle name="Normal 33 2 4 3 6 2" xfId="45266" xr:uid="{969D0415-CE75-44E7-A98D-B3CBBDAC1341}"/>
    <cellStyle name="Normal 33 2 4 3 7" xfId="45267" xr:uid="{04E729D6-A5D6-4500-B538-2B7DBE5CA403}"/>
    <cellStyle name="Normal 33 2 4 3 8" xfId="45268" xr:uid="{61E856DC-2F95-446B-BCD6-98C683533393}"/>
    <cellStyle name="Normal 33 2 4 4" xfId="45269" xr:uid="{8BE481D6-64E0-4765-86AA-D8AF65EAEFAA}"/>
    <cellStyle name="Normal 33 2 4 4 2" xfId="45270" xr:uid="{F45BA999-3165-4809-BDDA-D3125D786ECC}"/>
    <cellStyle name="Normal 33 2 4 4 2 2" xfId="45271" xr:uid="{D3D727B7-ACC7-4C36-8D0C-C639C5EDC2DB}"/>
    <cellStyle name="Normal 33 2 4 4 2 2 2" xfId="45272" xr:uid="{923CAEB7-9EC7-4991-BC0A-1D38D24089FC}"/>
    <cellStyle name="Normal 33 2 4 4 2 2 2 2" xfId="45273" xr:uid="{A2659C9F-BA2D-44CF-9BAB-5D616416EB7C}"/>
    <cellStyle name="Normal 33 2 4 4 2 2 2 2 2" xfId="45274" xr:uid="{B23084BC-D510-4A3A-8661-A67C7A514C87}"/>
    <cellStyle name="Normal 33 2 4 4 2 2 2 3" xfId="45275" xr:uid="{38031C9A-BBEF-4EC9-BA49-72CABA7EE4AF}"/>
    <cellStyle name="Normal 33 2 4 4 2 2 3" xfId="45276" xr:uid="{581C1807-CA4D-4104-A295-09A955C50AAF}"/>
    <cellStyle name="Normal 33 2 4 4 2 2 3 2" xfId="45277" xr:uid="{BB0FDAAC-4BEE-4E43-8ADC-69019458447D}"/>
    <cellStyle name="Normal 33 2 4 4 2 2 4" xfId="45278" xr:uid="{5C9778BB-CBD4-4B99-A44D-18C500EF2341}"/>
    <cellStyle name="Normal 33 2 4 4 2 3" xfId="45279" xr:uid="{12212455-E6A3-4594-9226-9FFCBDD082F8}"/>
    <cellStyle name="Normal 33 2 4 4 2 3 2" xfId="45280" xr:uid="{15562EBC-6427-488D-BC94-D86C8A1057A2}"/>
    <cellStyle name="Normal 33 2 4 4 2 3 2 2" xfId="45281" xr:uid="{21FD09D3-FB4F-47B6-95DE-C73F15658A41}"/>
    <cellStyle name="Normal 33 2 4 4 2 3 3" xfId="45282" xr:uid="{9B3671E6-9E6E-454F-A5AB-4434061AC6BB}"/>
    <cellStyle name="Normal 33 2 4 4 2 4" xfId="45283" xr:uid="{CE109FC1-8165-4670-A96C-9835842AC26C}"/>
    <cellStyle name="Normal 33 2 4 4 2 4 2" xfId="45284" xr:uid="{343BCFF2-D3C3-448D-B265-C404081E6A30}"/>
    <cellStyle name="Normal 33 2 4 4 2 5" xfId="45285" xr:uid="{E106641B-7CF8-4BEF-B568-B363FF3B927A}"/>
    <cellStyle name="Normal 33 2 4 4 3" xfId="45286" xr:uid="{D47F768E-1EBB-4202-ACDF-7D079B74C275}"/>
    <cellStyle name="Normal 33 2 4 4 3 2" xfId="45287" xr:uid="{B5352B78-E7A6-4B82-B3A9-F06B17091990}"/>
    <cellStyle name="Normal 33 2 4 4 3 2 2" xfId="45288" xr:uid="{1B32A98D-79CF-495D-AB2D-D0CD507806EE}"/>
    <cellStyle name="Normal 33 2 4 4 3 2 2 2" xfId="45289" xr:uid="{1DE435F5-94F0-4193-8AA1-CFCC65FAF118}"/>
    <cellStyle name="Normal 33 2 4 4 3 2 3" xfId="45290" xr:uid="{DE6F48C8-3725-4C38-9D7E-A861699FD410}"/>
    <cellStyle name="Normal 33 2 4 4 3 3" xfId="45291" xr:uid="{F59BFFFA-DB1B-4EA0-8CFD-FE664616175D}"/>
    <cellStyle name="Normal 33 2 4 4 3 3 2" xfId="45292" xr:uid="{E4E5BDFE-1062-4E41-8A67-A3A267C47618}"/>
    <cellStyle name="Normal 33 2 4 4 3 4" xfId="45293" xr:uid="{9C96DF5E-4028-4EB7-A0B1-BFAE5CE7C4E1}"/>
    <cellStyle name="Normal 33 2 4 4 4" xfId="45294" xr:uid="{66416100-0807-438E-9AC4-1C797F6E74A1}"/>
    <cellStyle name="Normal 33 2 4 4 4 2" xfId="45295" xr:uid="{0CC62B20-0B0F-4625-9812-10AEF68F60C6}"/>
    <cellStyle name="Normal 33 2 4 4 4 2 2" xfId="45296" xr:uid="{005FF9F8-2566-4995-A745-FCE6864DD5C5}"/>
    <cellStyle name="Normal 33 2 4 4 4 3" xfId="45297" xr:uid="{C782C17A-3814-4C2D-8A5B-6BF45E4D7664}"/>
    <cellStyle name="Normal 33 2 4 4 5" xfId="45300" xr:uid="{F98FBE8F-52B0-47A3-99C0-102FBE2FBB7E}"/>
    <cellStyle name="Normal 33 2 4 4 5 2" xfId="45301" xr:uid="{1FA33DDE-06D2-4862-9B99-E86BD7436A16}"/>
    <cellStyle name="Normal 33 2 4 4 6" xfId="10415" xr:uid="{95AB9114-2C0D-410C-BA0E-E78CE30420CA}"/>
    <cellStyle name="Normal 33 2 4 4 7" xfId="45302" xr:uid="{373BBE3A-9FA5-45CE-BEA2-E84FBE663A65}"/>
    <cellStyle name="Normal 33 2 4 5" xfId="45303" xr:uid="{19DBA074-4DD1-406C-9D59-96A9BDEC550A}"/>
    <cellStyle name="Normal 33 2 4 5 2" xfId="45304" xr:uid="{D42AD9E2-56FA-48F9-94D7-B61D1FE677B1}"/>
    <cellStyle name="Normal 33 2 4 5 2 2" xfId="45305" xr:uid="{F027E0F4-A850-4921-9E95-3FAF318DD3E6}"/>
    <cellStyle name="Normal 33 2 4 5 2 2 2" xfId="45306" xr:uid="{FD38AB97-96B4-4334-A6AD-487EBFAF23FA}"/>
    <cellStyle name="Normal 33 2 4 5 2 2 2 2" xfId="45307" xr:uid="{F1AA190E-D872-4E1C-B2DB-5A380CC30F03}"/>
    <cellStyle name="Normal 33 2 4 5 2 2 3" xfId="45308" xr:uid="{9A4F6C28-ACB9-4D13-8ED2-A9C38965D91D}"/>
    <cellStyle name="Normal 33 2 4 5 2 3" xfId="45309" xr:uid="{FEB76223-D022-41F5-B9AF-EC521EF5DF50}"/>
    <cellStyle name="Normal 33 2 4 5 2 3 2" xfId="45310" xr:uid="{5160F550-8177-48B2-A917-0B4DB86938C1}"/>
    <cellStyle name="Normal 33 2 4 5 2 4" xfId="45311" xr:uid="{C71C3A35-53AE-46CD-8CA7-88A87341EC1A}"/>
    <cellStyle name="Normal 33 2 4 5 3" xfId="45312" xr:uid="{CCC30542-15EB-4CAA-858A-F26411A09571}"/>
    <cellStyle name="Normal 33 2 4 5 3 2" xfId="45313" xr:uid="{4F573B29-515C-498E-A1BC-97C756C3857C}"/>
    <cellStyle name="Normal 33 2 4 5 3 2 2" xfId="45314" xr:uid="{A6D928FC-BD13-4A9D-9904-F4356CDE1976}"/>
    <cellStyle name="Normal 33 2 4 5 3 3" xfId="45315" xr:uid="{395B85B1-5DBA-4068-83ED-C61E04D25E99}"/>
    <cellStyle name="Normal 33 2 4 5 4" xfId="45316" xr:uid="{6C1F79FD-2B5D-43E3-90A6-DEDF98001F68}"/>
    <cellStyle name="Normal 33 2 4 5 4 2" xfId="45317" xr:uid="{8387E925-2CBA-4BF3-ACE9-D789853CB078}"/>
    <cellStyle name="Normal 33 2 4 5 5" xfId="45320" xr:uid="{1563E88E-0177-42B0-9B05-BE15798E7C57}"/>
    <cellStyle name="Normal 33 2 4 6" xfId="45321" xr:uid="{A631280A-7FC1-42DB-B811-DE50B501D70B}"/>
    <cellStyle name="Normal 33 2 4 6 2" xfId="45322" xr:uid="{DB0B91F5-BB7A-4FD3-8908-F67672C9B063}"/>
    <cellStyle name="Normal 33 2 4 6 2 2" xfId="45323" xr:uid="{18973B1B-9670-44D7-9E15-4443DDC953C6}"/>
    <cellStyle name="Normal 33 2 4 6 2 2 2" xfId="45324" xr:uid="{20F0295B-0FEF-4AA3-BBF6-EBA7385D93C8}"/>
    <cellStyle name="Normal 33 2 4 6 2 3" xfId="45325" xr:uid="{40B9E976-4560-491F-A21D-E9E90226B95D}"/>
    <cellStyle name="Normal 33 2 4 6 3" xfId="45326" xr:uid="{AB4820B9-76A6-4D17-BC5E-832235AC4A6E}"/>
    <cellStyle name="Normal 33 2 4 6 3 2" xfId="45327" xr:uid="{1E263C05-3498-48A9-B784-55B0B33D72C8}"/>
    <cellStyle name="Normal 33 2 4 6 4" xfId="10433" xr:uid="{B03789D1-ED64-435E-9645-3A67C448B517}"/>
    <cellStyle name="Normal 33 2 4 7" xfId="45328" xr:uid="{CC61BCAD-1E4E-4B3E-A0EF-186ABA30F626}"/>
    <cellStyle name="Normal 33 2 4 7 2" xfId="45329" xr:uid="{2058BE7C-2F16-445E-87F4-DA072C3F6E7B}"/>
    <cellStyle name="Normal 33 2 4 7 2 2" xfId="45330" xr:uid="{9FA20ECE-7B77-4CE4-AE07-7F5F57692BB8}"/>
    <cellStyle name="Normal 33 2 4 7 3" xfId="45331" xr:uid="{B0B77BED-258F-48E0-8F75-AB21022DD8C2}"/>
    <cellStyle name="Normal 33 2 4 8" xfId="45332" xr:uid="{4789258D-3938-4944-A0CF-6C0B386758D1}"/>
    <cellStyle name="Normal 33 2 4 8 2" xfId="45333" xr:uid="{9AB20A9C-7334-4EBA-8E14-DB6A660E0D39}"/>
    <cellStyle name="Normal 33 2 4 9" xfId="45334" xr:uid="{7066D275-71A4-4AEA-86B8-176BFE8C66CC}"/>
    <cellStyle name="Normal 33 2 5" xfId="12106" xr:uid="{07575981-90DA-4755-8C77-C76F728D9FD0}"/>
    <cellStyle name="Normal 33 2 5 2" xfId="45335" xr:uid="{9A0227FC-87C7-473C-83EC-2EB77539D333}"/>
    <cellStyle name="Normal 33 2 5 2 2" xfId="45336" xr:uid="{E4D29377-E1ED-4415-947F-A98FD226F2C8}"/>
    <cellStyle name="Normal 33 2 5 2 2 2" xfId="45337" xr:uid="{034A69C5-430F-4AE7-BCD5-678B64C4726C}"/>
    <cellStyle name="Normal 33 2 5 2 2 2 2" xfId="45338" xr:uid="{0644AB9A-8842-4FD2-A29D-743D2C2A3BA1}"/>
    <cellStyle name="Normal 33 2 5 2 2 2 2 2" xfId="45339" xr:uid="{7A805FCC-0931-4068-A500-02536F0449FE}"/>
    <cellStyle name="Normal 33 2 5 2 2 2 2 2 2" xfId="45340" xr:uid="{2EA3C397-C7CB-4042-AB36-90C51942106E}"/>
    <cellStyle name="Normal 33 2 5 2 2 2 2 2 2 2" xfId="45341" xr:uid="{C5D07C04-D701-45FE-94F5-64B21CF298A5}"/>
    <cellStyle name="Normal 33 2 5 2 2 2 2 2 3" xfId="45342" xr:uid="{7FC9FBC8-3D87-4436-A255-5AEE4AB49C09}"/>
    <cellStyle name="Normal 33 2 5 2 2 2 2 3" xfId="45343" xr:uid="{E654B30C-6C80-464F-B9C5-A00D3C23DE1D}"/>
    <cellStyle name="Normal 33 2 5 2 2 2 2 3 2" xfId="7940" xr:uid="{2B6CC6F7-18C3-44F2-B625-DEDF002FB7ED}"/>
    <cellStyle name="Normal 33 2 5 2 2 2 2 4" xfId="45344" xr:uid="{FB733ADB-E353-4426-BF33-92E5B4423383}"/>
    <cellStyle name="Normal 33 2 5 2 2 2 3" xfId="45346" xr:uid="{34726D4F-1231-4369-8FC3-40D4B4C1D2B2}"/>
    <cellStyle name="Normal 33 2 5 2 2 2 3 2" xfId="45348" xr:uid="{C7275624-FB84-424B-8C03-033EDDBAA91D}"/>
    <cellStyle name="Normal 33 2 5 2 2 2 3 2 2" xfId="45350" xr:uid="{780468A3-51E6-4524-8AE7-28CB73B64C32}"/>
    <cellStyle name="Normal 33 2 5 2 2 2 3 3" xfId="45352" xr:uid="{A5486D51-E74F-4A86-AFCC-C39AA9C88573}"/>
    <cellStyle name="Normal 33 2 5 2 2 2 4" xfId="45354" xr:uid="{0AEFF354-FC73-4199-AC27-CA8055EA9C91}"/>
    <cellStyle name="Normal 33 2 5 2 2 2 4 2" xfId="45356" xr:uid="{87E4AC54-DCE8-4498-B7BA-7AD4D8712D9B}"/>
    <cellStyle name="Normal 33 2 5 2 2 2 5" xfId="45358" xr:uid="{941F22CF-4F5C-4B32-A2A4-9E4A07AEDF4E}"/>
    <cellStyle name="Normal 33 2 5 2 2 3" xfId="45359" xr:uid="{63959741-8466-476D-85D4-85C7EB0EA417}"/>
    <cellStyle name="Normal 33 2 5 2 2 3 2" xfId="45360" xr:uid="{479BB876-D938-4DE9-A532-FA663F4EC714}"/>
    <cellStyle name="Normal 33 2 5 2 2 3 2 2" xfId="45361" xr:uid="{7B1B515B-5ACD-436A-951B-C38D4BFD3A95}"/>
    <cellStyle name="Normal 33 2 5 2 2 3 2 2 2" xfId="45362" xr:uid="{00885DD7-4D9C-449D-8726-77D5746D7E88}"/>
    <cellStyle name="Normal 33 2 5 2 2 3 2 3" xfId="45363" xr:uid="{41B11966-CC76-49D9-97BE-BBF0744BE38F}"/>
    <cellStyle name="Normal 33 2 5 2 2 3 3" xfId="45365" xr:uid="{99A256AE-53B4-4C7C-8279-8C52DD3E6BCE}"/>
    <cellStyle name="Normal 33 2 5 2 2 3 3 2" xfId="45367" xr:uid="{592B7E53-CF12-42CE-95CC-AFE09604597E}"/>
    <cellStyle name="Normal 33 2 5 2 2 3 4" xfId="45369" xr:uid="{A595B775-F6AD-4317-B453-4E5990A4AD05}"/>
    <cellStyle name="Normal 33 2 5 2 2 4" xfId="45370" xr:uid="{CD77FEBF-D908-448C-97D7-1D66A44C81C5}"/>
    <cellStyle name="Normal 33 2 5 2 2 4 2" xfId="45371" xr:uid="{FCAE7BEB-36BA-41DD-9980-A25806C5363D}"/>
    <cellStyle name="Normal 33 2 5 2 2 4 2 2" xfId="45372" xr:uid="{2C562FDE-8687-49EC-A2D5-17E1D1E21B1B}"/>
    <cellStyle name="Normal 33 2 5 2 2 4 3" xfId="45374" xr:uid="{3EFBDB3D-15F3-42DC-845F-D517DF606B67}"/>
    <cellStyle name="Normal 33 2 5 2 2 5" xfId="45375" xr:uid="{302FDF0F-D3F6-416B-8D26-933DEA94BDD4}"/>
    <cellStyle name="Normal 33 2 5 2 2 5 2" xfId="45376" xr:uid="{F6E8FD87-E444-420F-A998-AD345278AB45}"/>
    <cellStyle name="Normal 33 2 5 2 2 6" xfId="45377" xr:uid="{FFAE7349-1ACC-4ABF-9ADC-DF053B3F4402}"/>
    <cellStyle name="Normal 33 2 5 2 2 7" xfId="45378" xr:uid="{6E1836F4-6CB1-4357-93C7-6934DB81DC05}"/>
    <cellStyle name="Normal 33 2 5 2 3" xfId="45380" xr:uid="{FF768E73-475F-4E6D-833B-CF18C572894E}"/>
    <cellStyle name="Normal 33 2 5 2 3 2" xfId="45381" xr:uid="{364A27F0-B8BB-44CD-949A-DC90D0676B71}"/>
    <cellStyle name="Normal 33 2 5 2 3 2 2" xfId="45382" xr:uid="{7BC36F3B-6A64-42FC-BC23-0DAB35714B03}"/>
    <cellStyle name="Normal 33 2 5 2 3 2 2 2" xfId="45383" xr:uid="{E51BE683-6B3D-4BD3-981F-77D43B40A66A}"/>
    <cellStyle name="Normal 33 2 5 2 3 2 2 2 2" xfId="45384" xr:uid="{684F3336-4257-4F1A-82D6-6CBC9F742A65}"/>
    <cellStyle name="Normal 33 2 5 2 3 2 2 3" xfId="45385" xr:uid="{2FF08031-EC08-4BF9-B9CA-E1D65A8A8188}"/>
    <cellStyle name="Normal 33 2 5 2 3 2 3" xfId="45387" xr:uid="{8D1FC777-66E4-4415-A62D-3AB9D7F91B1A}"/>
    <cellStyle name="Normal 33 2 5 2 3 2 3 2" xfId="45389" xr:uid="{3A3D66B1-697D-4332-A40A-419D4AEDF03B}"/>
    <cellStyle name="Normal 33 2 5 2 3 2 4" xfId="45391" xr:uid="{77B31BD8-9993-48B2-B084-FA27133A9D0D}"/>
    <cellStyle name="Normal 33 2 5 2 3 3" xfId="45392" xr:uid="{60EA7534-8C5A-4C03-BF41-2F7D134F6FA8}"/>
    <cellStyle name="Normal 33 2 5 2 3 3 2" xfId="45393" xr:uid="{23F8DE4B-DCE7-424A-8C06-11357B4637B2}"/>
    <cellStyle name="Normal 33 2 5 2 3 3 2 2" xfId="45394" xr:uid="{F1DF193E-A2BC-4FDF-BD80-5D4786B2B88F}"/>
    <cellStyle name="Normal 33 2 5 2 3 3 3" xfId="45396" xr:uid="{FBC7AD65-2FA5-4495-8834-350B776A0588}"/>
    <cellStyle name="Normal 33 2 5 2 3 4" xfId="45397" xr:uid="{24E12DD0-4539-4581-90A4-8D96039F589D}"/>
    <cellStyle name="Normal 33 2 5 2 3 4 2" xfId="45398" xr:uid="{421A8B03-0136-4142-ABA2-6AC6413F4FE2}"/>
    <cellStyle name="Normal 33 2 5 2 3 5" xfId="45399" xr:uid="{53D9506E-D60F-40EB-9DDA-C298D01B4F91}"/>
    <cellStyle name="Normal 33 2 5 2 4" xfId="45400" xr:uid="{A6960038-E81D-4A35-9FEF-936A057997ED}"/>
    <cellStyle name="Normal 33 2 5 2 4 2" xfId="45401" xr:uid="{57BBAA38-5455-4550-8EC1-F6CD79AC07AF}"/>
    <cellStyle name="Normal 33 2 5 2 4 2 2" xfId="45402" xr:uid="{67FC0AB6-AAB8-4673-A6A9-852FA9BA6D1C}"/>
    <cellStyle name="Normal 33 2 5 2 4 2 2 2" xfId="45403" xr:uid="{18437F80-02FA-4C96-B091-7F91EAD9116C}"/>
    <cellStyle name="Normal 33 2 5 2 4 2 3" xfId="45405" xr:uid="{3A5698BE-392D-4276-A39F-9227BB459A75}"/>
    <cellStyle name="Normal 33 2 5 2 4 3" xfId="45406" xr:uid="{7C2CD143-70BA-4EFE-A306-A5C00694C227}"/>
    <cellStyle name="Normal 33 2 5 2 4 3 2" xfId="45407" xr:uid="{C4282A24-C4CC-4DC4-BEA7-14115F560D10}"/>
    <cellStyle name="Normal 33 2 5 2 4 4" xfId="45408" xr:uid="{0E1D2A7D-DD12-4944-A4A1-FA40D99740D9}"/>
    <cellStyle name="Normal 33 2 5 2 5" xfId="45413" xr:uid="{391FFA0E-980B-4208-B317-D41C2AD85686}"/>
    <cellStyle name="Normal 33 2 5 2 5 2" xfId="45414" xr:uid="{E8A6E69E-1DF3-4612-BE68-DBE21A6E861A}"/>
    <cellStyle name="Normal 33 2 5 2 5 2 2" xfId="10044" xr:uid="{10DB3712-2253-434A-8A8B-A3BF5D2321DF}"/>
    <cellStyle name="Normal 33 2 5 2 5 3" xfId="45415" xr:uid="{CBE9BD0D-0157-4A22-AC49-3BF85FBDB6E3}"/>
    <cellStyle name="Normal 33 2 5 2 6" xfId="45416" xr:uid="{9E6CBF9D-65C8-4FA6-B6AC-C15813B7784F}"/>
    <cellStyle name="Normal 33 2 5 2 6 2" xfId="45417" xr:uid="{A364B1AE-1085-4B20-AA4F-10AB26950C65}"/>
    <cellStyle name="Normal 33 2 5 2 7" xfId="45418" xr:uid="{8B8EF302-CCDC-48A9-8294-5A3B3ED61787}"/>
    <cellStyle name="Normal 33 2 5 2 8" xfId="45419" xr:uid="{148F2246-B729-4C60-B90E-58E337BED219}"/>
    <cellStyle name="Normal 33 2 5 3" xfId="45420" xr:uid="{86A7D76C-CD21-4C77-AA2A-8ABA9A54D4F6}"/>
    <cellStyle name="Normal 33 2 5 3 2" xfId="45421" xr:uid="{2F7DB436-FC3E-4D85-8F08-CBB314A7087E}"/>
    <cellStyle name="Normal 33 2 5 3 2 2" xfId="45422" xr:uid="{9A688664-FFB4-4726-BB78-367285738F5F}"/>
    <cellStyle name="Normal 33 2 5 3 2 2 2" xfId="45423" xr:uid="{10E6DFDD-FEC3-413F-9FB9-331ED280D0CD}"/>
    <cellStyle name="Normal 33 2 5 3 2 2 2 2" xfId="38350" xr:uid="{716A60DC-D200-459B-8100-07D234A992CA}"/>
    <cellStyle name="Normal 33 2 5 3 2 2 2 2 2" xfId="45424" xr:uid="{93E50AA5-C87F-4CD0-90E8-FFF1EF5722F9}"/>
    <cellStyle name="Normal 33 2 5 3 2 2 2 3" xfId="45425" xr:uid="{8BC80544-3B2C-4489-A3C3-11B88D5FD62F}"/>
    <cellStyle name="Normal 33 2 5 3 2 2 3" xfId="45427" xr:uid="{4C4EF16F-57B3-4974-B92D-E2094DB10202}"/>
    <cellStyle name="Normal 33 2 5 3 2 2 3 2" xfId="45429" xr:uid="{9BCB331E-74DE-493F-B251-B377DD1F62D6}"/>
    <cellStyle name="Normal 33 2 5 3 2 2 4" xfId="45431" xr:uid="{70ABBE63-79FA-4A43-ACFF-F408AEEB9010}"/>
    <cellStyle name="Normal 33 2 5 3 2 3" xfId="45432" xr:uid="{72E7D629-0F6D-4045-8290-176F9F14D8C8}"/>
    <cellStyle name="Normal 33 2 5 3 2 3 2" xfId="45433" xr:uid="{F366930A-AB4F-4C92-B255-C7CB6522B0C4}"/>
    <cellStyle name="Normal 33 2 5 3 2 3 2 2" xfId="45434" xr:uid="{A9C1E285-D1AD-4862-A148-AF0A022F6BD0}"/>
    <cellStyle name="Normal 33 2 5 3 2 3 3" xfId="45436" xr:uid="{70C6B800-0A87-4B3C-90EF-42D3B6FA1CC0}"/>
    <cellStyle name="Normal 33 2 5 3 2 4" xfId="45437" xr:uid="{125DD402-CE29-407F-9417-FDF2230C88CA}"/>
    <cellStyle name="Normal 33 2 5 3 2 4 2" xfId="45438" xr:uid="{420094A0-06FE-4B76-844C-AA47098D7972}"/>
    <cellStyle name="Normal 33 2 5 3 2 5" xfId="45439" xr:uid="{5C3E9E2A-63A5-4480-B9A8-FD7953A786FA}"/>
    <cellStyle name="Normal 33 2 5 3 3" xfId="45440" xr:uid="{03534C46-3155-49B3-8285-85F0330D7B68}"/>
    <cellStyle name="Normal 33 2 5 3 3 2" xfId="45441" xr:uid="{5697903C-0082-4168-A092-11FBA0D55880}"/>
    <cellStyle name="Normal 33 2 5 3 3 2 2" xfId="45442" xr:uid="{2E2E165C-F34F-49FC-8130-EB55E61EE158}"/>
    <cellStyle name="Normal 33 2 5 3 3 2 2 2" xfId="45443" xr:uid="{31F9A618-CC0F-477A-BA5C-884A7CDFDB9E}"/>
    <cellStyle name="Normal 33 2 5 3 3 2 3" xfId="45445" xr:uid="{446E119A-213B-4FFE-AF5E-518166D4B562}"/>
    <cellStyle name="Normal 33 2 5 3 3 3" xfId="45446" xr:uid="{EB3F4271-9FA6-42C7-9DC2-74682697E7C8}"/>
    <cellStyle name="Normal 33 2 5 3 3 3 2" xfId="45447" xr:uid="{01AB37ED-8A73-469F-AFAB-C0793FD2E107}"/>
    <cellStyle name="Normal 33 2 5 3 3 4" xfId="45448" xr:uid="{6CD311EE-33A8-4F15-9409-DD25C478135F}"/>
    <cellStyle name="Normal 33 2 5 3 4" xfId="45449" xr:uid="{1226F8C8-5771-44FB-9441-FBC2296BC772}"/>
    <cellStyle name="Normal 33 2 5 3 4 2" xfId="45450" xr:uid="{ECA741CA-3EE6-4117-BB82-12CE959BF849}"/>
    <cellStyle name="Normal 33 2 5 3 4 2 2" xfId="45451" xr:uid="{FCF0BF54-1852-400D-888E-18385C1D23C2}"/>
    <cellStyle name="Normal 33 2 5 3 4 3" xfId="45452" xr:uid="{44CCF4EB-81D1-4BBA-871C-0B1F06E7B352}"/>
    <cellStyle name="Normal 33 2 5 3 5" xfId="45457" xr:uid="{F875DF7B-3C85-48F9-9E1F-F909A5CF9C9D}"/>
    <cellStyle name="Normal 33 2 5 3 5 2" xfId="45458" xr:uid="{5802D67B-D7D4-4453-8DAA-A4C3A60A0C21}"/>
    <cellStyle name="Normal 33 2 5 3 6" xfId="45459" xr:uid="{E2C33E8E-EF61-4E8C-9C9E-FE8C96369EA1}"/>
    <cellStyle name="Normal 33 2 5 3 7" xfId="45460" xr:uid="{41A9D124-7C07-4C18-8768-7A0E4CF2031B}"/>
    <cellStyle name="Normal 33 2 5 4" xfId="45461" xr:uid="{31A41FC9-9C22-4E42-8DBE-B2D31D864FC5}"/>
    <cellStyle name="Normal 33 2 5 4 2" xfId="45462" xr:uid="{9DD43073-C8BF-403A-BFE6-39125265B5B0}"/>
    <cellStyle name="Normal 33 2 5 4 2 2" xfId="45463" xr:uid="{359D12BA-D437-4C06-8A59-E8AC0DCA6BF6}"/>
    <cellStyle name="Normal 33 2 5 4 2 2 2" xfId="45464" xr:uid="{41C1800F-EF95-478D-8C52-4FC0BD5B58D1}"/>
    <cellStyle name="Normal 33 2 5 4 2 2 2 2" xfId="45465" xr:uid="{BD7895E4-3DA1-4392-9D27-5DB2C6DD1D83}"/>
    <cellStyle name="Normal 33 2 5 4 2 2 3" xfId="45466" xr:uid="{9EF8CFDC-FA9F-4ACF-AE4E-1A449BAAF474}"/>
    <cellStyle name="Normal 33 2 5 4 2 3" xfId="45467" xr:uid="{EF74E9B3-3FA0-48DC-AB88-05A454A63AF2}"/>
    <cellStyle name="Normal 33 2 5 4 2 3 2" xfId="45468" xr:uid="{FC64172F-0B6E-4DD8-B3E8-BE00DDDBC19F}"/>
    <cellStyle name="Normal 33 2 5 4 2 4" xfId="45469" xr:uid="{27C095F3-F4E9-4203-8620-309AF9686163}"/>
    <cellStyle name="Normal 33 2 5 4 3" xfId="45470" xr:uid="{1B326EB9-FA9E-432F-B2F9-DFCDFB8B7670}"/>
    <cellStyle name="Normal 33 2 5 4 3 2" xfId="45471" xr:uid="{EBCBF626-8BD1-492C-A7AF-9D8742CD003C}"/>
    <cellStyle name="Normal 33 2 5 4 3 2 2" xfId="45472" xr:uid="{C39C4C8F-5737-4C3F-9460-A8F77BE683F3}"/>
    <cellStyle name="Normal 33 2 5 4 3 3" xfId="45473" xr:uid="{804960D5-54E8-4EC7-87A0-7D3D2C819905}"/>
    <cellStyle name="Normal 33 2 5 4 4" xfId="45474" xr:uid="{C4E73D7C-D9A9-47AA-B13B-4C71D7AD6614}"/>
    <cellStyle name="Normal 33 2 5 4 4 2" xfId="45475" xr:uid="{4697621A-93C5-4DEB-A560-5A1D46F11064}"/>
    <cellStyle name="Normal 33 2 5 4 5" xfId="45480" xr:uid="{FC980061-2ACD-4A62-A799-E21B2F9034DE}"/>
    <cellStyle name="Normal 33 2 5 5" xfId="45481" xr:uid="{36337436-4098-4899-8688-A8D10F86C625}"/>
    <cellStyle name="Normal 33 2 5 5 2" xfId="14700" xr:uid="{E4848A6F-0853-4D32-9CB3-4268F7EE3A7E}"/>
    <cellStyle name="Normal 33 2 5 5 2 2" xfId="45482" xr:uid="{8E05DC27-A09C-4C65-B067-9C140DFE7123}"/>
    <cellStyle name="Normal 33 2 5 5 2 2 2" xfId="45483" xr:uid="{B06F4FA4-DCBE-4319-A9F6-DBF8A81FDC68}"/>
    <cellStyle name="Normal 33 2 5 5 2 3" xfId="45484" xr:uid="{DF233A2B-C013-47D4-B7E4-F63E454E4048}"/>
    <cellStyle name="Normal 33 2 5 5 3" xfId="45485" xr:uid="{476F2C9F-7678-425F-9D75-DADCD3E35F8D}"/>
    <cellStyle name="Normal 33 2 5 5 3 2" xfId="45486" xr:uid="{0CDF244F-1625-4B3C-92ED-A1E739961BCC}"/>
    <cellStyle name="Normal 33 2 5 5 4" xfId="45487" xr:uid="{754A16F6-437C-4D7E-B923-8D6BC0D8D370}"/>
    <cellStyle name="Normal 33 2 5 6" xfId="45488" xr:uid="{766D43D9-5D77-4CD2-99CC-5EFED3739206}"/>
    <cellStyle name="Normal 33 2 5 6 2" xfId="45489" xr:uid="{AB70958A-95E7-48EB-AD78-0A86C2F498FB}"/>
    <cellStyle name="Normal 33 2 5 6 2 2" xfId="45490" xr:uid="{7FA532B9-3827-4B8E-BD0F-FE0721EFF9D1}"/>
    <cellStyle name="Normal 33 2 5 6 3" xfId="45491" xr:uid="{0822D279-C7BC-4379-9DA4-06A91961015C}"/>
    <cellStyle name="Normal 33 2 5 7" xfId="45492" xr:uid="{212AC21D-4246-44F2-A0FC-0BE4BAE5D44F}"/>
    <cellStyle name="Normal 33 2 5 7 2" xfId="45493" xr:uid="{8BEF1DAD-EC5F-469A-B07C-179EC801DDB8}"/>
    <cellStyle name="Normal 33 2 5 8" xfId="45494" xr:uid="{C01D0C7A-B90D-4BC4-942C-A7BA78F9B82F}"/>
    <cellStyle name="Normal 33 2 5 9" xfId="45495" xr:uid="{209149A4-14FB-445C-979B-B8F3CE7DE3EF}"/>
    <cellStyle name="Normal 33 2 6" xfId="45496" xr:uid="{F7687254-2971-4136-98D2-6A1DE3F616DC}"/>
    <cellStyle name="Normal 33 2 6 2" xfId="45497" xr:uid="{FD04B6E9-22DE-4699-BA50-D9D40CB05596}"/>
    <cellStyle name="Normal 33 2 6 2 2" xfId="45498" xr:uid="{0F5D74D2-F525-4FA5-9F83-803073802602}"/>
    <cellStyle name="Normal 33 2 6 2 2 2" xfId="45499" xr:uid="{A709D5DD-8D1A-40DC-A083-B07FA790ABF3}"/>
    <cellStyle name="Normal 33 2 6 2 2 2 2" xfId="45500" xr:uid="{DF6C59A7-A31D-4F87-9458-A9DA3D6933ED}"/>
    <cellStyle name="Normal 33 2 6 2 2 2 2 2" xfId="45501" xr:uid="{BE696118-A9CF-4B22-9103-8C00A731B067}"/>
    <cellStyle name="Normal 33 2 6 2 2 2 2 2 2" xfId="45502" xr:uid="{EB428735-7D51-45EC-82AA-E0FF3A80D3EB}"/>
    <cellStyle name="Normal 33 2 6 2 2 2 2 3" xfId="45503" xr:uid="{0FA77340-9D8D-4C75-AE4C-D35DCE0C48FA}"/>
    <cellStyle name="Normal 33 2 6 2 2 2 3" xfId="45504" xr:uid="{2F8F8E24-E672-4A17-8680-66232438160D}"/>
    <cellStyle name="Normal 33 2 6 2 2 2 3 2" xfId="45505" xr:uid="{C58BE325-5E84-4617-B0CA-BB65877A2101}"/>
    <cellStyle name="Normal 33 2 6 2 2 2 4" xfId="45506" xr:uid="{0D53DEB3-21B5-4EDA-A6A4-C8C2E72FEA6B}"/>
    <cellStyle name="Normal 33 2 6 2 2 3" xfId="45507" xr:uid="{DF88B905-6131-49E3-9894-6FE6B992892D}"/>
    <cellStyle name="Normal 33 2 6 2 2 3 2" xfId="45508" xr:uid="{E6EDCE84-F40C-4D57-9FEE-83BA06B1C048}"/>
    <cellStyle name="Normal 33 2 6 2 2 3 2 2" xfId="45509" xr:uid="{1E807B75-8192-4C94-92D9-5D7CCA9D11A1}"/>
    <cellStyle name="Normal 33 2 6 2 2 3 3" xfId="45510" xr:uid="{61E6075B-65B0-4700-B949-E109E2F4939D}"/>
    <cellStyle name="Normal 33 2 6 2 2 4" xfId="45511" xr:uid="{BB276407-B732-45E0-AFBE-041D748EE669}"/>
    <cellStyle name="Normal 33 2 6 2 2 4 2" xfId="45512" xr:uid="{462165FC-A999-4DC9-958D-2A2BEF8A79B5}"/>
    <cellStyle name="Normal 33 2 6 2 2 5" xfId="45513" xr:uid="{818B12B0-C45E-469B-9512-D1AF523B6660}"/>
    <cellStyle name="Normal 33 2 6 2 3" xfId="45514" xr:uid="{90A77555-4798-4641-A793-073202EBBBDF}"/>
    <cellStyle name="Normal 33 2 6 2 3 2" xfId="45515" xr:uid="{96F97DC7-D779-4C59-BBA5-F0E7C1111054}"/>
    <cellStyle name="Normal 33 2 6 2 3 2 2" xfId="45516" xr:uid="{9409869E-532A-4AC8-9C28-853A77D91991}"/>
    <cellStyle name="Normal 33 2 6 2 3 2 2 2" xfId="45517" xr:uid="{1C9B96AC-D83F-40F5-A864-6B3795E51794}"/>
    <cellStyle name="Normal 33 2 6 2 3 2 3" xfId="45518" xr:uid="{A4E7B92D-0639-46DC-83A0-FFBB8F78B86D}"/>
    <cellStyle name="Normal 33 2 6 2 3 3" xfId="45519" xr:uid="{9F22F406-07C0-4CB9-B83C-B8E348C09F0C}"/>
    <cellStyle name="Normal 33 2 6 2 3 3 2" xfId="45520" xr:uid="{5059B3BF-77AE-4A80-93FC-FD05C8018CAA}"/>
    <cellStyle name="Normal 33 2 6 2 3 4" xfId="45521" xr:uid="{7253D8FB-E3D4-478B-ADAF-CEFC270B54FF}"/>
    <cellStyle name="Normal 33 2 6 2 4" xfId="45522" xr:uid="{3839F794-3E5E-46FF-8B33-51ADACDAE6AA}"/>
    <cellStyle name="Normal 33 2 6 2 4 2" xfId="45523" xr:uid="{2F8CFD9A-D0E1-48A6-B51D-FB0AC5A9F2F7}"/>
    <cellStyle name="Normal 33 2 6 2 4 2 2" xfId="45524" xr:uid="{8619B348-F9E2-4AAF-9347-D2ADEA7BFD0E}"/>
    <cellStyle name="Normal 33 2 6 2 4 3" xfId="45525" xr:uid="{AF0C64C8-65AC-4970-9B81-6FC95E1CC55D}"/>
    <cellStyle name="Normal 33 2 6 2 5" xfId="45528" xr:uid="{F071181F-7A22-43B0-953E-76EB0BEA32DA}"/>
    <cellStyle name="Normal 33 2 6 2 5 2" xfId="45529" xr:uid="{B89E1E89-8B45-42E3-B000-E179FF2B2DEB}"/>
    <cellStyle name="Normal 33 2 6 2 6" xfId="45530" xr:uid="{4A6421AD-8CF7-41F9-9263-54CEEA4F9556}"/>
    <cellStyle name="Normal 33 2 6 2 7" xfId="41380" xr:uid="{238EE522-3D0A-471B-8936-14FEAC014526}"/>
    <cellStyle name="Normal 33 2 6 3" xfId="45531" xr:uid="{784E9BD7-3901-4C6A-AD05-C0B6241F1511}"/>
    <cellStyle name="Normal 33 2 6 3 2" xfId="45532" xr:uid="{0CC55343-58A5-4352-92AA-14C7D794120E}"/>
    <cellStyle name="Normal 33 2 6 3 2 2" xfId="45533" xr:uid="{1CAFBFE3-6239-40A5-ADF5-1F12D87631BA}"/>
    <cellStyle name="Normal 33 2 6 3 2 2 2" xfId="45534" xr:uid="{556CF8CA-C2B8-47B1-AB53-CBEEB92BA04E}"/>
    <cellStyle name="Normal 33 2 6 3 2 2 2 2" xfId="45535" xr:uid="{FD56F653-1FBB-41C8-AD53-7309A4238628}"/>
    <cellStyle name="Normal 33 2 6 3 2 2 3" xfId="45536" xr:uid="{9A77C750-BC40-4061-A73F-93E6FCDC4EFC}"/>
    <cellStyle name="Normal 33 2 6 3 2 3" xfId="45537" xr:uid="{0AFBA6AB-FB7F-48F1-A58E-AD078D061243}"/>
    <cellStyle name="Normal 33 2 6 3 2 3 2" xfId="45538" xr:uid="{E8618861-5A43-45E5-9B74-80F5A3D978B6}"/>
    <cellStyle name="Normal 33 2 6 3 2 4" xfId="45539" xr:uid="{D095204E-D9D9-4918-8D07-25C65BCD4425}"/>
    <cellStyle name="Normal 33 2 6 3 3" xfId="45540" xr:uid="{7406869B-EF76-4267-A805-D5E2C15EFAB9}"/>
    <cellStyle name="Normal 33 2 6 3 3 2" xfId="45541" xr:uid="{9967C6ED-B6E6-4D3C-A7BF-C287ADDE3397}"/>
    <cellStyle name="Normal 33 2 6 3 3 2 2" xfId="45542" xr:uid="{8376B340-C2C8-481D-99CC-6180F1B30B84}"/>
    <cellStyle name="Normal 33 2 6 3 3 3" xfId="45543" xr:uid="{1B75B786-D5D8-4F5F-BF35-EB9ACEB0B6EB}"/>
    <cellStyle name="Normal 33 2 6 3 4" xfId="45544" xr:uid="{A334DFFB-A59A-4827-8BAE-15037F280D7D}"/>
    <cellStyle name="Normal 33 2 6 3 4 2" xfId="45545" xr:uid="{F5610F03-E9D2-45A0-A3C4-D3172C449BB6}"/>
    <cellStyle name="Normal 33 2 6 3 5" xfId="8200" xr:uid="{513A41EB-5DB0-4120-B7F5-E9F7B54FBC1E}"/>
    <cellStyle name="Normal 33 2 6 4" xfId="45546" xr:uid="{FCDF3BB0-F954-4FA7-9ABC-ECF736816519}"/>
    <cellStyle name="Normal 33 2 6 4 2" xfId="45547" xr:uid="{69C55F56-B8B2-4F7E-9917-A3E9A69E90E5}"/>
    <cellStyle name="Normal 33 2 6 4 2 2" xfId="45548" xr:uid="{DF4D8331-2A51-4FA8-95C8-830393CC5AA3}"/>
    <cellStyle name="Normal 33 2 6 4 2 2 2" xfId="45549" xr:uid="{1F09E8D1-06C8-4E57-905A-8C52640CA194}"/>
    <cellStyle name="Normal 33 2 6 4 2 3" xfId="45550" xr:uid="{168D2FE3-471F-47B1-B8CF-AFCAFA5A87F6}"/>
    <cellStyle name="Normal 33 2 6 4 3" xfId="45551" xr:uid="{72BC703E-B8A1-4F8A-9AD6-240D0BB1E5BC}"/>
    <cellStyle name="Normal 33 2 6 4 3 2" xfId="45552" xr:uid="{C791AB33-2F9A-4977-A98E-AFF920DA2E13}"/>
    <cellStyle name="Normal 33 2 6 4 4" xfId="45553" xr:uid="{83986A7B-C95F-45A8-96F4-E7CE9975FE6E}"/>
    <cellStyle name="Normal 33 2 6 5" xfId="45554" xr:uid="{B80ABE8D-5FAD-4A59-842B-A56B882C1EF6}"/>
    <cellStyle name="Normal 33 2 6 5 2" xfId="45555" xr:uid="{BB4D0FEF-33AC-492D-8B7F-767464B5E6AA}"/>
    <cellStyle name="Normal 33 2 6 5 2 2" xfId="45556" xr:uid="{4FC5AB3C-E0A9-4C32-8FEE-92B42F11C68E}"/>
    <cellStyle name="Normal 33 2 6 5 3" xfId="45557" xr:uid="{2964D4BB-1D14-4934-9467-36BA24E31972}"/>
    <cellStyle name="Normal 33 2 6 6" xfId="45558" xr:uid="{9C0AB8F6-FEC9-4378-956D-16325C92A183}"/>
    <cellStyle name="Normal 33 2 6 6 2" xfId="45559" xr:uid="{BBAD7188-2312-4A43-ABB3-29CC3D380E2E}"/>
    <cellStyle name="Normal 33 2 6 7" xfId="45560" xr:uid="{76CABE89-A21E-4AC4-AE0C-32745B9F311A}"/>
    <cellStyle name="Normal 33 2 6 8" xfId="45561" xr:uid="{5D4C16AD-ACAE-4587-901D-3867893127DD}"/>
    <cellStyle name="Normal 33 2 7" xfId="45562" xr:uid="{654CF1D4-7FB4-4583-9C57-E3831212EA1F}"/>
    <cellStyle name="Normal 33 2 7 2" xfId="45563" xr:uid="{1129BA7D-49F2-4686-8311-BFCC87AF21B8}"/>
    <cellStyle name="Normal 33 2 7 2 2" xfId="45564" xr:uid="{04F5D968-0F41-4484-BEC1-E2252D078715}"/>
    <cellStyle name="Normal 33 2 7 2 2 2" xfId="45565" xr:uid="{504B2BBA-6376-4A74-AFDE-A7B593871E06}"/>
    <cellStyle name="Normal 33 2 7 2 2 2 2" xfId="45566" xr:uid="{7D88580B-CBEF-4CED-ADA3-002C127ACA98}"/>
    <cellStyle name="Normal 33 2 7 2 2 2 2 2" xfId="45567" xr:uid="{EFCC4319-5311-4B76-9F21-18C178240D14}"/>
    <cellStyle name="Normal 33 2 7 2 2 2 3" xfId="45568" xr:uid="{A0E0028A-D000-4CE1-8DE4-D6BF9281B34F}"/>
    <cellStyle name="Normal 33 2 7 2 2 3" xfId="45569" xr:uid="{B66552A4-404E-46A9-8424-7565BC725CF9}"/>
    <cellStyle name="Normal 33 2 7 2 2 3 2" xfId="45570" xr:uid="{91FD0068-8C1F-4347-9C15-1296EF3AC890}"/>
    <cellStyle name="Normal 33 2 7 2 2 4" xfId="45571" xr:uid="{EF6AE9E5-7A96-4D5A-9A51-82160A155A20}"/>
    <cellStyle name="Normal 33 2 7 2 3" xfId="45572" xr:uid="{C3ECE850-CFDC-4258-8D1A-21A1981CEFD3}"/>
    <cellStyle name="Normal 33 2 7 2 3 2" xfId="45573" xr:uid="{9EAA8604-7047-480A-9BD5-2F8CBC7C78A4}"/>
    <cellStyle name="Normal 33 2 7 2 3 2 2" xfId="45574" xr:uid="{B4E04C62-47F2-4202-BBCD-0B8A6E0A0784}"/>
    <cellStyle name="Normal 33 2 7 2 3 3" xfId="45575" xr:uid="{899DC0CE-4F88-4B05-A11B-EC93FEC084D2}"/>
    <cellStyle name="Normal 33 2 7 2 4" xfId="45576" xr:uid="{FE219640-1024-4DF5-9AAC-6F6FACB151B6}"/>
    <cellStyle name="Normal 33 2 7 2 4 2" xfId="45577" xr:uid="{9BD6DD43-C7F5-417C-96F7-3E0F0EF34694}"/>
    <cellStyle name="Normal 33 2 7 2 5" xfId="45578" xr:uid="{658E50F1-2D3F-4963-AB79-468E5EC84024}"/>
    <cellStyle name="Normal 33 2 7 3" xfId="45579" xr:uid="{6A910ED6-52EB-474F-9931-DDC5BC301B9A}"/>
    <cellStyle name="Normal 33 2 7 3 2" xfId="45580" xr:uid="{EBE0E1C3-B4C5-4459-B130-B52FAE7503D4}"/>
    <cellStyle name="Normal 33 2 7 3 2 2" xfId="45581" xr:uid="{2E360058-04EE-4FCA-BF54-B7B4BF8988D2}"/>
    <cellStyle name="Normal 33 2 7 3 2 2 2" xfId="45582" xr:uid="{BEA94390-8D91-4E46-BECD-03F623FDB395}"/>
    <cellStyle name="Normal 33 2 7 3 2 3" xfId="45583" xr:uid="{F18E5C55-A011-415B-A106-C4A203680EBC}"/>
    <cellStyle name="Normal 33 2 7 3 3" xfId="45584" xr:uid="{80790BFB-BA1A-43D8-B8D5-7DC0C672F1AD}"/>
    <cellStyle name="Normal 33 2 7 3 3 2" xfId="45585" xr:uid="{22ECBBA6-3290-41E4-85D0-C7FF95667DC4}"/>
    <cellStyle name="Normal 33 2 7 3 4" xfId="45586" xr:uid="{0FBE8F44-7992-40BA-B565-29C98DBA035F}"/>
    <cellStyle name="Normal 33 2 7 4" xfId="45587" xr:uid="{0D944A9B-F3C3-491B-AB8E-1A9CD1B75943}"/>
    <cellStyle name="Normal 33 2 7 4 2" xfId="45588" xr:uid="{10D13E96-9CA6-4932-90C3-FB45247BBF5B}"/>
    <cellStyle name="Normal 33 2 7 4 2 2" xfId="45589" xr:uid="{602028C4-179D-4C86-A7C5-BC481F369FEA}"/>
    <cellStyle name="Normal 33 2 7 4 3" xfId="45590" xr:uid="{44F25770-9EA5-4216-8149-60C1F9C4DB5D}"/>
    <cellStyle name="Normal 33 2 7 5" xfId="45591" xr:uid="{85C5F06E-8ABC-4AF9-99E1-319035BECBF1}"/>
    <cellStyle name="Normal 33 2 7 5 2" xfId="45592" xr:uid="{8BD24CDA-AEDD-47DA-BCED-C33DDB0062E3}"/>
    <cellStyle name="Normal 33 2 7 6" xfId="45593" xr:uid="{A6E227FA-629A-481B-A7A8-638B88F35014}"/>
    <cellStyle name="Normal 33 2 7 7" xfId="45594" xr:uid="{EE7FF274-399C-4F44-86CD-81F9C1601F08}"/>
    <cellStyle name="Normal 33 2 8" xfId="45595" xr:uid="{55A754B7-5C52-4A69-AC3A-CF24DD99B502}"/>
    <cellStyle name="Normal 33 2 8 2" xfId="45596" xr:uid="{1BAEA021-4B44-4340-9FE9-33CB9DF779CB}"/>
    <cellStyle name="Normal 33 2 8 2 2" xfId="45597" xr:uid="{16995935-F7B3-49CB-83A6-FF147DD69CA6}"/>
    <cellStyle name="Normal 33 2 8 2 2 2" xfId="45598" xr:uid="{53E2B8AE-6784-4101-B533-6D1634FEDD2D}"/>
    <cellStyle name="Normal 33 2 8 2 2 2 2" xfId="45599" xr:uid="{824CCF9C-EB74-47D1-A1FB-74D3B0FCE2BF}"/>
    <cellStyle name="Normal 33 2 8 2 2 3" xfId="45600" xr:uid="{6F20B3B8-561F-4DD3-B63D-251057503796}"/>
    <cellStyle name="Normal 33 2 8 2 3" xfId="45601" xr:uid="{D6121B2C-FE8A-4EF2-8C0B-70C870DDE40F}"/>
    <cellStyle name="Normal 33 2 8 2 3 2" xfId="45602" xr:uid="{DD434E00-416E-4544-8EE4-1625B8BB6A0D}"/>
    <cellStyle name="Normal 33 2 8 2 4" xfId="45603" xr:uid="{67FAB69D-C0E4-40CE-90E7-9BBDA05D96B4}"/>
    <cellStyle name="Normal 33 2 8 3" xfId="45604" xr:uid="{CA55BE8D-0215-4E6F-A193-9E717E825513}"/>
    <cellStyle name="Normal 33 2 8 3 2" xfId="45605" xr:uid="{6C08C96B-CFDF-4A8D-BF26-40FFE2068722}"/>
    <cellStyle name="Normal 33 2 8 3 2 2" xfId="45606" xr:uid="{18F01ABF-34B7-44C4-9192-BEFAB93169C1}"/>
    <cellStyle name="Normal 33 2 8 3 3" xfId="45607" xr:uid="{056DA84C-AEF5-403C-84FB-A6E514DC907B}"/>
    <cellStyle name="Normal 33 2 8 4" xfId="45608" xr:uid="{01EE5329-A6B3-4613-A239-4414CE5C5FCD}"/>
    <cellStyle name="Normal 33 2 8 4 2" xfId="45609" xr:uid="{3F7C5F60-CA2A-4397-8EA6-C23F95DEED7D}"/>
    <cellStyle name="Normal 33 2 8 5" xfId="45610" xr:uid="{63B32734-CD6C-4B4F-B74D-938A137D9A42}"/>
    <cellStyle name="Normal 33 2 9" xfId="45611" xr:uid="{72C3548D-6B64-4B7A-99E5-22CE979AC6CE}"/>
    <cellStyle name="Normal 33 2 9 2" xfId="45612" xr:uid="{9525F1BE-CF72-4036-A77D-8423BD00EBE7}"/>
    <cellStyle name="Normal 33 2 9 2 2" xfId="45613" xr:uid="{A4FCE46D-C9E9-4525-B5A9-C1B5971C4BDA}"/>
    <cellStyle name="Normal 33 2 9 2 2 2" xfId="45614" xr:uid="{EAD2DDAC-7D24-44FD-816F-2638DB6E54D8}"/>
    <cellStyle name="Normal 33 2 9 2 3" xfId="45615" xr:uid="{7B4E0366-178E-49BE-9BA8-B4EAC560A367}"/>
    <cellStyle name="Normal 33 2 9 3" xfId="45616" xr:uid="{0677A9C0-F9D9-41F8-A309-AF8B3F79CA62}"/>
    <cellStyle name="Normal 33 2 9 3 2" xfId="45617" xr:uid="{30980612-1C8E-46D5-8E36-6BA1CD8C0EB9}"/>
    <cellStyle name="Normal 33 2 9 4" xfId="45618" xr:uid="{2EBE6248-1E88-4175-8D54-64312F5E3194}"/>
    <cellStyle name="Normal 33 3" xfId="24182" xr:uid="{9A67DD6C-6965-42B6-BABB-E75A57B45B7E}"/>
    <cellStyle name="Normal 33 3 10" xfId="45619" xr:uid="{07E47FB2-DBCE-4949-B5C1-71315E641EAD}"/>
    <cellStyle name="Normal 33 3 10 2" xfId="19101" xr:uid="{827538B7-CC38-4F8D-A106-852B65C6F3D6}"/>
    <cellStyle name="Normal 33 3 11" xfId="45620" xr:uid="{B8B9584F-4749-4045-80D4-139C97E05263}"/>
    <cellStyle name="Normal 33 3 12" xfId="45621" xr:uid="{5FBB97FF-98FB-4A51-8D2D-1AC3D012C402}"/>
    <cellStyle name="Normal 33 3 13" xfId="45622" xr:uid="{E9C4FF1D-8288-49E3-BB30-684193502A4C}"/>
    <cellStyle name="Normal 33 3 2" xfId="12841" xr:uid="{422AAAC0-70ED-451B-A92A-6CD624503BD8}"/>
    <cellStyle name="Normal 33 3 2 10" xfId="45624" xr:uid="{2374B745-10C4-4EB9-920B-41AF2252996D}"/>
    <cellStyle name="Normal 33 3 2 11" xfId="45625" xr:uid="{E7C1F595-9264-4D36-9755-119B6D94E4DB}"/>
    <cellStyle name="Normal 33 3 2 2" xfId="45626" xr:uid="{2EEF780B-111F-48DA-BAA2-E51F3CC05634}"/>
    <cellStyle name="Normal 33 3 2 2 10" xfId="45627" xr:uid="{DA0DF04F-91D2-42DB-83F6-916B9359226B}"/>
    <cellStyle name="Normal 33 3 2 2 2" xfId="45628" xr:uid="{E591A2A1-4699-4F46-B0B3-50257FD63288}"/>
    <cellStyle name="Normal 33 3 2 2 2 2" xfId="45629" xr:uid="{7424B149-82DD-4531-8338-F4BEDB23C3A8}"/>
    <cellStyle name="Normal 33 3 2 2 2 2 2" xfId="45630" xr:uid="{DA1A0CD9-94A4-4C86-8D30-EF6DB793F847}"/>
    <cellStyle name="Normal 33 3 2 2 2 2 2 2" xfId="45631" xr:uid="{337CF885-636B-4BA9-87A2-4282F3EADEE6}"/>
    <cellStyle name="Normal 33 3 2 2 2 2 2 2 2" xfId="42944" xr:uid="{5414534F-8066-4A38-9594-55C249A255A5}"/>
    <cellStyle name="Normal 33 3 2 2 2 2 2 2 2 2" xfId="42946" xr:uid="{CF435019-2B24-4894-88D2-6D0AA5FB4B17}"/>
    <cellStyle name="Normal 33 3 2 2 2 2 2 2 2 2 2" xfId="42948" xr:uid="{170EE3C0-4561-4AC5-A62F-006043E2037A}"/>
    <cellStyle name="Normal 33 3 2 2 2 2 2 2 2 2 2 2" xfId="42950" xr:uid="{118CE3FD-6EF4-412F-A167-C01A33199F1C}"/>
    <cellStyle name="Normal 33 3 2 2 2 2 2 2 2 2 3" xfId="42952" xr:uid="{82103E60-FD5A-407D-8627-3C5873398A77}"/>
    <cellStyle name="Normal 33 3 2 2 2 2 2 2 2 3" xfId="42954" xr:uid="{FBCA04F2-2C22-4408-BB44-8EFA26007E5C}"/>
    <cellStyle name="Normal 33 3 2 2 2 2 2 2 2 3 2" xfId="42956" xr:uid="{7C5FF394-3D41-4911-B386-F1AAF4FDEF26}"/>
    <cellStyle name="Normal 33 3 2 2 2 2 2 2 2 4" xfId="42960" xr:uid="{546A6647-EA18-4E76-AFCF-B37C51B1D3CD}"/>
    <cellStyle name="Normal 33 3 2 2 2 2 2 2 3" xfId="42964" xr:uid="{8C262EB4-BCE3-458B-BCBC-5011536EA212}"/>
    <cellStyle name="Normal 33 3 2 2 2 2 2 2 3 2" xfId="42966" xr:uid="{E2CE6915-224A-4848-894F-B9335B85579A}"/>
    <cellStyle name="Normal 33 3 2 2 2 2 2 2 3 2 2" xfId="42968" xr:uid="{6A051368-7977-4CD7-BC9B-07C1DC3A52E3}"/>
    <cellStyle name="Normal 33 3 2 2 2 2 2 2 3 3" xfId="42970" xr:uid="{8B04D7D8-320D-4E8F-A6B1-18D2C269B4B5}"/>
    <cellStyle name="Normal 33 3 2 2 2 2 2 2 4" xfId="42972" xr:uid="{3CEE893F-6F62-4732-ADDF-AF040F1A1BAF}"/>
    <cellStyle name="Normal 33 3 2 2 2 2 2 2 4 2" xfId="42975" xr:uid="{A91FE9A1-5D1C-44AC-9AAE-A4B017B18F56}"/>
    <cellStyle name="Normal 33 3 2 2 2 2 2 2 5" xfId="42980" xr:uid="{FE4E7B50-7952-47DC-B39F-EACE338AA03E}"/>
    <cellStyle name="Normal 33 3 2 2 2 2 2 3" xfId="45632" xr:uid="{19B5FA9F-E2AC-4656-964B-FFB7EC91ED29}"/>
    <cellStyle name="Normal 33 3 2 2 2 2 2 3 2" xfId="42998" xr:uid="{9ED3D5F7-B535-4BA6-9E2D-E814A9897FAD}"/>
    <cellStyle name="Normal 33 3 2 2 2 2 2 3 2 2" xfId="43000" xr:uid="{FCEAADF3-F9FB-4DC5-9AA8-EA241841F5A1}"/>
    <cellStyle name="Normal 33 3 2 2 2 2 2 3 2 2 2" xfId="43002" xr:uid="{07365B8F-CEFE-433E-BE36-E10C77A7616B}"/>
    <cellStyle name="Normal 33 3 2 2 2 2 2 3 2 3" xfId="43004" xr:uid="{E396B20E-0040-4001-B8EC-B218A8FD8D9D}"/>
    <cellStyle name="Normal 33 3 2 2 2 2 2 3 3" xfId="43006" xr:uid="{AF09A71B-BCE5-4523-B8F7-A032B0389E5A}"/>
    <cellStyle name="Normal 33 3 2 2 2 2 2 3 3 2" xfId="43008" xr:uid="{30910625-B9D5-4E8B-9EEC-D3643FFF684E}"/>
    <cellStyle name="Normal 33 3 2 2 2 2 2 3 4" xfId="43012" xr:uid="{7359EBCF-D002-41EF-A632-992A08D21539}"/>
    <cellStyle name="Normal 33 3 2 2 2 2 2 4" xfId="45633" xr:uid="{B8F35AAF-76B4-4980-A30A-FC7F32971737}"/>
    <cellStyle name="Normal 33 3 2 2 2 2 2 4 2" xfId="43022" xr:uid="{8ECA14FD-D933-45D2-AC16-74BCC61282BC}"/>
    <cellStyle name="Normal 33 3 2 2 2 2 2 4 2 2" xfId="43024" xr:uid="{F74436AD-B426-4BD6-914D-927B165712E4}"/>
    <cellStyle name="Normal 33 3 2 2 2 2 2 4 3" xfId="43028" xr:uid="{3ED33C6C-01F5-4A52-A725-2ED504BAE4D3}"/>
    <cellStyle name="Normal 33 3 2 2 2 2 2 5" xfId="45634" xr:uid="{775119B9-199D-4F99-9F35-49E1ECF7ECD4}"/>
    <cellStyle name="Normal 33 3 2 2 2 2 2 5 2" xfId="43035" xr:uid="{A33BC682-6B53-4AB9-8B2E-E34995F5894F}"/>
    <cellStyle name="Normal 33 3 2 2 2 2 2 6" xfId="45635" xr:uid="{EEC67588-8717-4B02-8D52-04D024AEA7BC}"/>
    <cellStyle name="Normal 33 3 2 2 2 2 2 7" xfId="45636" xr:uid="{2AA72608-F550-4DE1-A87B-4A4D1121BC4D}"/>
    <cellStyle name="Normal 33 3 2 2 2 2 3" xfId="45637" xr:uid="{87C2DE99-5735-40D4-968E-D91E8AD42F2B}"/>
    <cellStyle name="Normal 33 3 2 2 2 2 3 2" xfId="45638" xr:uid="{49EC95F2-6C9F-4D54-8D1F-A1A8D7B2F3B0}"/>
    <cellStyle name="Normal 33 3 2 2 2 2 3 2 2" xfId="43066" xr:uid="{42FA2896-2924-4641-B815-119BBD00D795}"/>
    <cellStyle name="Normal 33 3 2 2 2 2 3 2 2 2" xfId="43068" xr:uid="{1F312E95-A807-4FD0-860C-1623C7A195B8}"/>
    <cellStyle name="Normal 33 3 2 2 2 2 3 2 2 2 2" xfId="43070" xr:uid="{FA4EA1CC-F32A-4980-AD89-9028BEC2838B}"/>
    <cellStyle name="Normal 33 3 2 2 2 2 3 2 2 3" xfId="43073" xr:uid="{1AB072BF-2802-4E04-99D1-266A844612EA}"/>
    <cellStyle name="Normal 33 3 2 2 2 2 3 2 3" xfId="43081" xr:uid="{C2DABD40-CF20-4A29-B049-2D6AF252782A}"/>
    <cellStyle name="Normal 33 3 2 2 2 2 3 2 3 2" xfId="43083" xr:uid="{AD9EEFB7-B14C-4806-BAC4-28FC792125BB}"/>
    <cellStyle name="Normal 33 3 2 2 2 2 3 2 4" xfId="43087" xr:uid="{4CAA1EBB-B638-46D1-B5B1-1AD49C455BD4}"/>
    <cellStyle name="Normal 33 3 2 2 2 2 3 3" xfId="45639" xr:uid="{5D78BF64-52CF-4108-B311-3FA8429F3CFA}"/>
    <cellStyle name="Normal 33 3 2 2 2 2 3 3 2" xfId="43108" xr:uid="{F98914CD-A467-43A8-A373-F9CB59E245D8}"/>
    <cellStyle name="Normal 33 3 2 2 2 2 3 3 2 2" xfId="43110" xr:uid="{BD1E5ECD-E589-4A66-BA19-1D3757BC2A96}"/>
    <cellStyle name="Normal 33 3 2 2 2 2 3 3 3" xfId="43114" xr:uid="{27CFF6D2-81D0-449A-9FB6-7538A53DB73A}"/>
    <cellStyle name="Normal 33 3 2 2 2 2 3 4" xfId="45640" xr:uid="{6361BFE8-3DCC-43B0-809E-D39396B905F5}"/>
    <cellStyle name="Normal 33 3 2 2 2 2 3 4 2" xfId="43127" xr:uid="{49C32F13-B388-4C48-B888-7DD3784AAB76}"/>
    <cellStyle name="Normal 33 3 2 2 2 2 3 5" xfId="45641" xr:uid="{32300A89-3927-44B6-AD9F-F6F656D0BCF8}"/>
    <cellStyle name="Normal 33 3 2 2 2 2 4" xfId="45642" xr:uid="{33E670EB-401E-4456-B3E0-135203B67AEC}"/>
    <cellStyle name="Normal 33 3 2 2 2 2 4 2" xfId="45643" xr:uid="{1BB5F4AF-8F86-4D8A-9A97-A82ED30626CB}"/>
    <cellStyle name="Normal 33 3 2 2 2 2 4 2 2" xfId="45644" xr:uid="{F4982037-C00D-4289-930F-7B8E68925CE4}"/>
    <cellStyle name="Normal 33 3 2 2 2 2 4 2 2 2" xfId="45645" xr:uid="{C1C5B5AD-8BE6-43BF-BFEA-D5E65A6CCAFD}"/>
    <cellStyle name="Normal 33 3 2 2 2 2 4 2 3" xfId="45646" xr:uid="{E27F5FA0-1925-4224-888C-DFCAAC5C8739}"/>
    <cellStyle name="Normal 33 3 2 2 2 2 4 3" xfId="45647" xr:uid="{B5C89C04-34A6-4188-B549-7EBF82B6AD49}"/>
    <cellStyle name="Normal 33 3 2 2 2 2 4 3 2" xfId="3715" xr:uid="{7E805D7C-7E41-4C30-9D4D-7604597EFFB1}"/>
    <cellStyle name="Normal 33 3 2 2 2 2 4 4" xfId="45648" xr:uid="{E1D63B96-05D3-4E09-9B76-E174C05E47D9}"/>
    <cellStyle name="Normal 33 3 2 2 2 2 5" xfId="45649" xr:uid="{3915AB9A-5708-48D8-B680-4FC4EFACE05C}"/>
    <cellStyle name="Normal 33 3 2 2 2 2 5 2" xfId="45650" xr:uid="{C4468CC7-6D16-4896-B708-9AF3A5A81A5E}"/>
    <cellStyle name="Normal 33 3 2 2 2 2 5 2 2" xfId="45651" xr:uid="{36BA8BE0-369A-4BFC-B074-1809483993FF}"/>
    <cellStyle name="Normal 33 3 2 2 2 2 5 3" xfId="45652" xr:uid="{078BBE1E-11F2-4D31-9A76-A6505B95C8BA}"/>
    <cellStyle name="Normal 33 3 2 2 2 2 6" xfId="45653" xr:uid="{E5944CCB-7FDC-419F-9342-1DCCAA2011A1}"/>
    <cellStyle name="Normal 33 3 2 2 2 2 6 2" xfId="45654" xr:uid="{0DA00DF9-BE62-445E-8DBF-56CBFBA2A934}"/>
    <cellStyle name="Normal 33 3 2 2 2 2 7" xfId="45655" xr:uid="{B0D90E48-247E-427A-8632-F69D4326334F}"/>
    <cellStyle name="Normal 33 3 2 2 2 2 8" xfId="45656" xr:uid="{98A8FF5A-9FA4-4193-8765-EF3F66CB612D}"/>
    <cellStyle name="Normal 33 3 2 2 2 3" xfId="45657" xr:uid="{DBF7BED3-7412-445D-8F85-FBA95E29B49B}"/>
    <cellStyle name="Normal 33 3 2 2 2 3 2" xfId="45658" xr:uid="{A8C06F2E-FEAB-4E2C-8361-B23D99493571}"/>
    <cellStyle name="Normal 33 3 2 2 2 3 2 2" xfId="45659" xr:uid="{CAB1A667-08D7-4E75-AF9B-B54057748828}"/>
    <cellStyle name="Normal 33 3 2 2 2 3 2 2 2" xfId="43315" xr:uid="{A27A7379-505C-4E97-9030-2ECB7E1E3A43}"/>
    <cellStyle name="Normal 33 3 2 2 2 3 2 2 2 2" xfId="43317" xr:uid="{B8C6AE5D-237C-46CD-A993-E076B789DCA4}"/>
    <cellStyle name="Normal 33 3 2 2 2 3 2 2 2 2 2" xfId="43319" xr:uid="{FCC98789-50CD-4269-90DB-15A3616B68CD}"/>
    <cellStyle name="Normal 33 3 2 2 2 3 2 2 2 3" xfId="43323" xr:uid="{ADF57B46-5A5C-4E60-99B8-7CB0F359A0E1}"/>
    <cellStyle name="Normal 33 3 2 2 2 3 2 2 3" xfId="43328" xr:uid="{16B1A3A9-6F71-4A3D-9FA2-AB074282FE26}"/>
    <cellStyle name="Normal 33 3 2 2 2 3 2 2 3 2" xfId="43330" xr:uid="{1A7F6007-4C35-4777-927A-AC77F869E225}"/>
    <cellStyle name="Normal 33 3 2 2 2 3 2 2 4" xfId="43334" xr:uid="{EBC9A300-F086-4D23-BB7D-0BE6335FDE4D}"/>
    <cellStyle name="Normal 33 3 2 2 2 3 2 3" xfId="45660" xr:uid="{43527FD7-D277-4267-B605-512152E9396D}"/>
    <cellStyle name="Normal 33 3 2 2 2 3 2 3 2" xfId="43356" xr:uid="{9096FFBE-9695-4338-8A29-EDC9A0386E35}"/>
    <cellStyle name="Normal 33 3 2 2 2 3 2 3 2 2" xfId="43358" xr:uid="{17317917-669B-4EE6-A06A-741572235B7A}"/>
    <cellStyle name="Normal 33 3 2 2 2 3 2 3 3" xfId="43362" xr:uid="{281E082C-32DB-4896-A3C6-2434466E73D2}"/>
    <cellStyle name="Normal 33 3 2 2 2 3 2 4" xfId="45661" xr:uid="{D0B1CD2D-6729-4FBA-80AA-CC8E42CA9E5F}"/>
    <cellStyle name="Normal 33 3 2 2 2 3 2 4 2" xfId="43375" xr:uid="{841E90C9-5C4E-499A-8133-AFC9A2A59720}"/>
    <cellStyle name="Normal 33 3 2 2 2 3 2 5" xfId="45662" xr:uid="{7EF5A252-A7BC-4088-805A-3C9FF909C8C4}"/>
    <cellStyle name="Normal 33 3 2 2 2 3 3" xfId="45663" xr:uid="{B0904EAB-C5FE-4950-BCF7-FE51AB74AF9F}"/>
    <cellStyle name="Normal 33 3 2 2 2 3 3 2" xfId="45664" xr:uid="{BDF62D76-1C2C-4D3A-A23C-385967F8243C}"/>
    <cellStyle name="Normal 33 3 2 2 2 3 3 2 2" xfId="45665" xr:uid="{41CF1921-7AA4-45AA-A638-33E137DCE767}"/>
    <cellStyle name="Normal 33 3 2 2 2 3 3 2 2 2" xfId="45666" xr:uid="{E49F0ACF-8E42-46E3-B42E-BF6457413BD5}"/>
    <cellStyle name="Normal 33 3 2 2 2 3 3 2 3" xfId="45668" xr:uid="{227CB352-2E27-4535-9909-8FE368DA8693}"/>
    <cellStyle name="Normal 33 3 2 2 2 3 3 3" xfId="45669" xr:uid="{50412993-F516-4C12-934F-11FCB8C87616}"/>
    <cellStyle name="Normal 33 3 2 2 2 3 3 3 2" xfId="45670" xr:uid="{E41273B3-6B5A-4FE1-9C05-00224E0FEE46}"/>
    <cellStyle name="Normal 33 3 2 2 2 3 3 4" xfId="8813" xr:uid="{39D79884-B7C7-48E4-8006-83ABCCB4F24F}"/>
    <cellStyle name="Normal 33 3 2 2 2 3 4" xfId="45671" xr:uid="{7CE2E6A7-7391-4E9A-97FC-60FBBFC8B6B4}"/>
    <cellStyle name="Normal 33 3 2 2 2 3 4 2" xfId="45672" xr:uid="{13BF9EE1-D321-423F-B7AF-631048970E84}"/>
    <cellStyle name="Normal 33 3 2 2 2 3 4 2 2" xfId="45674" xr:uid="{BF394611-6680-444F-9FE0-A6329376EE37}"/>
    <cellStyle name="Normal 33 3 2 2 2 3 4 3" xfId="45675" xr:uid="{2BFBF888-9125-47AD-AFCD-77728F3922D1}"/>
    <cellStyle name="Normal 33 3 2 2 2 3 5" xfId="45676" xr:uid="{F198F007-C065-4A4A-99AB-C966F51E3180}"/>
    <cellStyle name="Normal 33 3 2 2 2 3 5 2" xfId="45677" xr:uid="{0DE00AA5-86D4-4BC2-BAE2-45B079613E79}"/>
    <cellStyle name="Normal 33 3 2 2 2 3 6" xfId="45678" xr:uid="{4A980380-D0D4-48ED-B159-C97AED5797DE}"/>
    <cellStyle name="Normal 33 3 2 2 2 3 7" xfId="45679" xr:uid="{F29A4578-1D40-457C-B6E0-38976A2FDFFD}"/>
    <cellStyle name="Normal 33 3 2 2 2 4" xfId="45680" xr:uid="{333A04C5-6186-4477-9636-E25A2A1B9D59}"/>
    <cellStyle name="Normal 33 3 2 2 2 4 2" xfId="45681" xr:uid="{F443EB9D-B728-4D86-99D7-F755A1462FA9}"/>
    <cellStyle name="Normal 33 3 2 2 2 4 2 2" xfId="45682" xr:uid="{2FCB730E-E4BB-4098-8C07-96DEEF0BA2AE}"/>
    <cellStyle name="Normal 33 3 2 2 2 4 2 2 2" xfId="45683" xr:uid="{BD86FAE4-F362-46CE-A418-C52025435D82}"/>
    <cellStyle name="Normal 33 3 2 2 2 4 2 2 2 2" xfId="45684" xr:uid="{FD27A819-62D9-4DEE-814A-0A042A504A15}"/>
    <cellStyle name="Normal 33 3 2 2 2 4 2 2 3" xfId="45685" xr:uid="{8080F1FC-C680-4DAD-8864-599D3E8DB0D4}"/>
    <cellStyle name="Normal 33 3 2 2 2 4 2 3" xfId="45686" xr:uid="{717F2C0F-99E0-49A8-B6D7-F5DAE9BD4F41}"/>
    <cellStyle name="Normal 33 3 2 2 2 4 2 3 2" xfId="45687" xr:uid="{973E4F52-1999-48FD-BF15-E9C1492AE6E9}"/>
    <cellStyle name="Normal 33 3 2 2 2 4 2 4" xfId="45688" xr:uid="{BCE7BB77-72A1-46EF-BBC1-5747A2A758A5}"/>
    <cellStyle name="Normal 33 3 2 2 2 4 3" xfId="45689" xr:uid="{1D81EF34-F117-4D93-8C26-380297E1C241}"/>
    <cellStyle name="Normal 33 3 2 2 2 4 3 2" xfId="45690" xr:uid="{2D0642BB-8BE0-4C88-B51D-F7F9B154B1A0}"/>
    <cellStyle name="Normal 33 3 2 2 2 4 3 2 2" xfId="45691" xr:uid="{54755744-70A3-483C-A45B-4EA87169254D}"/>
    <cellStyle name="Normal 33 3 2 2 2 4 3 3" xfId="45692" xr:uid="{448A0B47-7D39-4C30-AE39-957065EC2456}"/>
    <cellStyle name="Normal 33 3 2 2 2 4 4" xfId="45693" xr:uid="{9364ACEF-8983-4A7F-ABDE-FECF6848074B}"/>
    <cellStyle name="Normal 33 3 2 2 2 4 4 2" xfId="45694" xr:uid="{F69B2F8C-14A3-45F3-9226-9A889C4F1A89}"/>
    <cellStyle name="Normal 33 3 2 2 2 4 5" xfId="45695" xr:uid="{9A895B35-AC41-4795-B47E-9FE7E50654CE}"/>
    <cellStyle name="Normal 33 3 2 2 2 5" xfId="45696" xr:uid="{8DF1BD28-0E7B-4E51-A8AD-140A242A8E27}"/>
    <cellStyle name="Normal 33 3 2 2 2 5 2" xfId="45697" xr:uid="{5531B089-8E75-4E1E-92D3-FE27EE97099D}"/>
    <cellStyle name="Normal 33 3 2 2 2 5 2 2" xfId="45698" xr:uid="{E950E031-59D5-4268-89CB-ECC31C9A96CD}"/>
    <cellStyle name="Normal 33 3 2 2 2 5 2 2 2" xfId="39591" xr:uid="{10DAADAC-C49F-415F-B36F-706D04B26173}"/>
    <cellStyle name="Normal 33 3 2 2 2 5 2 3" xfId="45699" xr:uid="{DF27C428-10B5-483A-93C4-64408710602C}"/>
    <cellStyle name="Normal 33 3 2 2 2 5 3" xfId="45700" xr:uid="{25E1DB71-30F0-4A6F-B241-9DD02FA7C02A}"/>
    <cellStyle name="Normal 33 3 2 2 2 5 3 2" xfId="45701" xr:uid="{E8351A38-A90B-4F40-9F02-556095940374}"/>
    <cellStyle name="Normal 33 3 2 2 2 5 4" xfId="45702" xr:uid="{ECAC10A4-7260-4BB0-9B1A-F7046BB91DD2}"/>
    <cellStyle name="Normal 33 3 2 2 2 6" xfId="45703" xr:uid="{06225918-1168-477E-86C8-048445513099}"/>
    <cellStyle name="Normal 33 3 2 2 2 6 2" xfId="45704" xr:uid="{C56C4347-3223-4419-928A-A8F1D9F808AF}"/>
    <cellStyle name="Normal 33 3 2 2 2 6 2 2" xfId="45705" xr:uid="{FCFA5B76-8E02-457C-8BB3-A2129C48F0E4}"/>
    <cellStyle name="Normal 33 3 2 2 2 6 3" xfId="45706" xr:uid="{607FED81-25E7-4E70-8E8D-A24EF62CB41A}"/>
    <cellStyle name="Normal 33 3 2 2 2 7" xfId="45707" xr:uid="{22546CF1-13CC-47FC-80D9-BE89A632CE33}"/>
    <cellStyle name="Normal 33 3 2 2 2 7 2" xfId="45708" xr:uid="{F8E6C379-3F7E-47EC-B689-20B6F7A892DE}"/>
    <cellStyle name="Normal 33 3 2 2 2 8" xfId="45709" xr:uid="{9B4E8BE6-7151-446D-917B-637E140DD9CD}"/>
    <cellStyle name="Normal 33 3 2 2 2 9" xfId="45710" xr:uid="{27E82E95-1D01-432C-A24B-9C6A1921A9AD}"/>
    <cellStyle name="Normal 33 3 2 2 3" xfId="45713" xr:uid="{59001004-5EA9-429D-BAE0-84E04644B10A}"/>
    <cellStyle name="Normal 33 3 2 2 3 2" xfId="45716" xr:uid="{CDEDCC16-601D-40B5-9983-189E0523F65D}"/>
    <cellStyle name="Normal 33 3 2 2 3 2 2" xfId="45718" xr:uid="{D6C579A5-F4AC-4138-9BED-8A8AD9496B9B}"/>
    <cellStyle name="Normal 33 3 2 2 3 2 2 2" xfId="45720" xr:uid="{EFF2541E-5C13-47F8-8E4A-294CCAD7DF0F}"/>
    <cellStyle name="Normal 33 3 2 2 3 2 2 2 2" xfId="45721" xr:uid="{3F1BEEE0-6F77-414A-A0C7-08217AE17B78}"/>
    <cellStyle name="Normal 33 3 2 2 3 2 2 2 2 2" xfId="45722" xr:uid="{0A811B4E-FB33-4862-A566-50C22D4673E8}"/>
    <cellStyle name="Normal 33 3 2 2 3 2 2 2 2 2 2" xfId="45723" xr:uid="{46574DAC-039E-4AB1-A336-3622DF712048}"/>
    <cellStyle name="Normal 33 3 2 2 3 2 2 2 2 3" xfId="45724" xr:uid="{C6DE176E-40A0-4302-BC96-BFD0BD3458B2}"/>
    <cellStyle name="Normal 33 3 2 2 3 2 2 2 3" xfId="45725" xr:uid="{ED0FA94C-D931-4C34-9735-62E58C9643F8}"/>
    <cellStyle name="Normal 33 3 2 2 3 2 2 2 3 2" xfId="45726" xr:uid="{D892F2ED-98F3-4C70-A239-F8715C77AA55}"/>
    <cellStyle name="Normal 33 3 2 2 3 2 2 2 4" xfId="43909" xr:uid="{4B97B37C-1350-41EC-8D1B-2AA313211334}"/>
    <cellStyle name="Normal 33 3 2 2 3 2 2 3" xfId="45727" xr:uid="{F55B1FC6-92F5-4D05-B540-72B81E7BF177}"/>
    <cellStyle name="Normal 33 3 2 2 3 2 2 3 2" xfId="45728" xr:uid="{7B38A37A-E46B-42C1-9006-DBEB5C498027}"/>
    <cellStyle name="Normal 33 3 2 2 3 2 2 3 2 2" xfId="45729" xr:uid="{487F8C1B-612D-4BF1-93B9-A5D6100A9468}"/>
    <cellStyle name="Normal 33 3 2 2 3 2 2 3 3" xfId="45730" xr:uid="{04922B7A-1948-4C2E-AB39-DD1759AC65B4}"/>
    <cellStyle name="Normal 33 3 2 2 3 2 2 4" xfId="30141" xr:uid="{7C7199F6-7E83-4125-89DC-1BCEDA8FCCBD}"/>
    <cellStyle name="Normal 33 3 2 2 3 2 2 4 2" xfId="30143" xr:uid="{F7F59F9A-54AB-46E1-B54E-EFD792831949}"/>
    <cellStyle name="Normal 33 3 2 2 3 2 2 5" xfId="30145" xr:uid="{56454393-6CD7-4C1C-B6C5-E25D4138CDB2}"/>
    <cellStyle name="Normal 33 3 2 2 3 2 3" xfId="45732" xr:uid="{29EBDE95-EEAE-44F6-A323-4590DFFB179F}"/>
    <cellStyle name="Normal 33 3 2 2 3 2 3 2" xfId="45733" xr:uid="{7E7D67F5-5B78-48E2-BD14-1D29E28E4C88}"/>
    <cellStyle name="Normal 33 3 2 2 3 2 3 2 2" xfId="45734" xr:uid="{A1469BA3-BB8F-498A-8EE4-D62B5C54BA58}"/>
    <cellStyle name="Normal 33 3 2 2 3 2 3 2 2 2" xfId="45735" xr:uid="{0DAD3A56-6E73-44C7-8733-919BAFB72E9D}"/>
    <cellStyle name="Normal 33 3 2 2 3 2 3 2 3" xfId="45736" xr:uid="{E92B2F99-7EFD-414D-990D-970542FAE54C}"/>
    <cellStyle name="Normal 33 3 2 2 3 2 3 3" xfId="45737" xr:uid="{267AFB93-5232-40F8-AA34-89BF0533FA26}"/>
    <cellStyle name="Normal 33 3 2 2 3 2 3 3 2" xfId="45738" xr:uid="{1F01E4FC-3528-43C9-A70C-3BAA5EE2A5C5}"/>
    <cellStyle name="Normal 33 3 2 2 3 2 3 4" xfId="30148" xr:uid="{D0F9451D-26E1-45EC-B759-827128967730}"/>
    <cellStyle name="Normal 33 3 2 2 3 2 4" xfId="45739" xr:uid="{19BAA717-2934-4AE8-88C5-BBB0964B6A46}"/>
    <cellStyle name="Normal 33 3 2 2 3 2 4 2" xfId="45740" xr:uid="{79296327-6EC9-44F8-AC53-3698C35FDE23}"/>
    <cellStyle name="Normal 33 3 2 2 3 2 4 2 2" xfId="45741" xr:uid="{D05D5E9F-7AE1-4241-9EB1-25CA226267A5}"/>
    <cellStyle name="Normal 33 3 2 2 3 2 4 3" xfId="45742" xr:uid="{660FCC30-2660-4BD1-8490-70FC382EABB1}"/>
    <cellStyle name="Normal 33 3 2 2 3 2 5" xfId="45743" xr:uid="{D5773E40-4088-4AF2-ADD7-5FD57490912E}"/>
    <cellStyle name="Normal 33 3 2 2 3 2 5 2" xfId="45744" xr:uid="{70C5752E-DEC8-4FA6-B9A0-F50E935F6EDB}"/>
    <cellStyle name="Normal 33 3 2 2 3 2 6" xfId="45745" xr:uid="{A89D3E52-D6D6-41FD-BA7C-B6C735C30E78}"/>
    <cellStyle name="Normal 33 3 2 2 3 2 7" xfId="45746" xr:uid="{85E6F52F-9437-4820-B048-8AAE74C4EFBC}"/>
    <cellStyle name="Normal 33 3 2 2 3 3" xfId="45748" xr:uid="{3D1DC81A-3EF1-404F-ABAF-E85034A4F3C1}"/>
    <cellStyle name="Normal 33 3 2 2 3 3 2" xfId="45750" xr:uid="{9D834DEB-627D-44B9-B1AD-D62981718C4C}"/>
    <cellStyle name="Normal 33 3 2 2 3 3 2 2" xfId="45751" xr:uid="{06183B18-0456-4AB8-A8E6-4C7140D987CD}"/>
    <cellStyle name="Normal 33 3 2 2 3 3 2 2 2" xfId="45752" xr:uid="{556B8DA1-C790-4139-885A-B07C3584957E}"/>
    <cellStyle name="Normal 33 3 2 2 3 3 2 2 2 2" xfId="45753" xr:uid="{15830482-E2C6-4E6A-97CF-D1B7DE29AF4B}"/>
    <cellStyle name="Normal 33 3 2 2 3 3 2 2 3" xfId="45754" xr:uid="{50F3722A-20AB-479C-9396-850C28545266}"/>
    <cellStyle name="Normal 33 3 2 2 3 3 2 3" xfId="45755" xr:uid="{C40C36FF-9BF5-4B5E-8968-F59475C25A48}"/>
    <cellStyle name="Normal 33 3 2 2 3 3 2 3 2" xfId="45756" xr:uid="{037F3AEF-FD8D-469D-AC94-48CDDCF96B13}"/>
    <cellStyle name="Normal 33 3 2 2 3 3 2 4" xfId="10257" xr:uid="{1F57C6E7-DB73-4CC7-90C0-8DAC08A1E1A1}"/>
    <cellStyle name="Normal 33 3 2 2 3 3 3" xfId="45757" xr:uid="{0F5EBBFD-0848-40D1-9570-5F7229806A2F}"/>
    <cellStyle name="Normal 33 3 2 2 3 3 3 2" xfId="45758" xr:uid="{999B7987-4626-475B-B410-6853F64AE763}"/>
    <cellStyle name="Normal 33 3 2 2 3 3 3 2 2" xfId="45759" xr:uid="{E2D67BCF-D6F3-4577-B434-CE73584EEF6F}"/>
    <cellStyle name="Normal 33 3 2 2 3 3 3 3" xfId="45760" xr:uid="{4AF13028-5B78-47D7-B815-944AE250D5FC}"/>
    <cellStyle name="Normal 33 3 2 2 3 3 4" xfId="45761" xr:uid="{45C1EF27-7D3F-4B39-A9F7-6A31D5653ABC}"/>
    <cellStyle name="Normal 33 3 2 2 3 3 4 2" xfId="45762" xr:uid="{9F174629-8C5F-45A2-AD20-F38AACA8E809}"/>
    <cellStyle name="Normal 33 3 2 2 3 3 5" xfId="45763" xr:uid="{ECEA6E8A-D221-433D-AB8E-4EE70729C7EF}"/>
    <cellStyle name="Normal 33 3 2 2 3 4" xfId="45765" xr:uid="{A553FDA9-05A8-44F4-88F7-021B77FCE156}"/>
    <cellStyle name="Normal 33 3 2 2 3 4 2" xfId="45766" xr:uid="{16298069-2BA1-4875-8769-1D24F9F89F14}"/>
    <cellStyle name="Normal 33 3 2 2 3 4 2 2" xfId="45767" xr:uid="{D707191F-466D-4C40-BA24-118AAF5ED849}"/>
    <cellStyle name="Normal 33 3 2 2 3 4 2 2 2" xfId="45768" xr:uid="{DF533D38-EEBF-4AFF-ACE6-A58AF2550C6C}"/>
    <cellStyle name="Normal 33 3 2 2 3 4 2 3" xfId="45769" xr:uid="{EE99082D-4B08-47EC-8B3A-D64D390DF4E4}"/>
    <cellStyle name="Normal 33 3 2 2 3 4 3" xfId="45770" xr:uid="{F4878B5D-9866-4BFB-8816-258703D0DAD9}"/>
    <cellStyle name="Normal 33 3 2 2 3 4 3 2" xfId="45771" xr:uid="{17383EDD-DAB6-40E9-A7B9-313AC230B01B}"/>
    <cellStyle name="Normal 33 3 2 2 3 4 4" xfId="45772" xr:uid="{28D2174B-E3E7-46E9-B3AC-5B6E71F450F2}"/>
    <cellStyle name="Normal 33 3 2 2 3 5" xfId="45773" xr:uid="{4FAA74A5-284F-41F1-8941-BD41BDF0DE01}"/>
    <cellStyle name="Normal 33 3 2 2 3 5 2" xfId="45774" xr:uid="{76E95DCD-191C-4B38-B99E-9A02F661E99A}"/>
    <cellStyle name="Normal 33 3 2 2 3 5 2 2" xfId="45775" xr:uid="{15CC2F12-5F9D-4A3C-88A0-4A9E20DFE15D}"/>
    <cellStyle name="Normal 33 3 2 2 3 5 3" xfId="45776" xr:uid="{6915B1AD-3A93-46E2-867A-9818652F36FC}"/>
    <cellStyle name="Normal 33 3 2 2 3 6" xfId="45777" xr:uid="{3870B925-D343-44E6-AB7C-E52EED1C29DE}"/>
    <cellStyle name="Normal 33 3 2 2 3 6 2" xfId="45778" xr:uid="{020C09CC-5B79-44AC-A559-421C3D99295C}"/>
    <cellStyle name="Normal 33 3 2 2 3 7" xfId="45779" xr:uid="{ECFC64F6-6A9C-429C-9683-0F9A3916F991}"/>
    <cellStyle name="Normal 33 3 2 2 3 8" xfId="45780" xr:uid="{7563C40B-52F1-4511-8E4A-5126858F9781}"/>
    <cellStyle name="Normal 33 3 2 2 4" xfId="45783" xr:uid="{28F72BDF-8806-4F05-8A12-9FAB46E3D67E}"/>
    <cellStyle name="Normal 33 3 2 2 4 2" xfId="45785" xr:uid="{F7762490-AF49-44A9-BB43-DC8D683F8C47}"/>
    <cellStyle name="Normal 33 3 2 2 4 2 2" xfId="45787" xr:uid="{63CD31F7-D41A-4E66-A3F1-97F99290610E}"/>
    <cellStyle name="Normal 33 3 2 2 4 2 2 2" xfId="45788" xr:uid="{29486558-7478-4A89-ADD8-A6248C0D049C}"/>
    <cellStyle name="Normal 33 3 2 2 4 2 2 2 2" xfId="45789" xr:uid="{EBEF3099-6503-4F58-90D6-1303A4DF3614}"/>
    <cellStyle name="Normal 33 3 2 2 4 2 2 2 2 2" xfId="45790" xr:uid="{DA8CFAAA-A0DC-4CCD-9EB4-DE26C440D398}"/>
    <cellStyle name="Normal 33 3 2 2 4 2 2 2 3" xfId="45791" xr:uid="{D4768AC1-8D3B-4099-A23C-0712D047FFE0}"/>
    <cellStyle name="Normal 33 3 2 2 4 2 2 3" xfId="45792" xr:uid="{8215DEDD-18EA-4511-AB00-F89C0B0E5276}"/>
    <cellStyle name="Normal 33 3 2 2 4 2 2 3 2" xfId="45793" xr:uid="{7E7847AA-E2A6-414A-942F-2EFCD30BC3B8}"/>
    <cellStyle name="Normal 33 3 2 2 4 2 2 4" xfId="25380" xr:uid="{57962EAF-30E5-407C-BEE8-7E80BB081F89}"/>
    <cellStyle name="Normal 33 3 2 2 4 2 3" xfId="23767" xr:uid="{38231729-17AD-42E0-9C48-02CF9EFBBE8C}"/>
    <cellStyle name="Normal 33 3 2 2 4 2 3 2" xfId="23769" xr:uid="{662A26D8-5D82-4B9F-AC94-5B468D3E1CBE}"/>
    <cellStyle name="Normal 33 3 2 2 4 2 3 2 2" xfId="45794" xr:uid="{C7C77420-DF1A-4978-8A6C-9FB025C9D013}"/>
    <cellStyle name="Normal 33 3 2 2 4 2 3 3" xfId="45795" xr:uid="{06C6B67D-65FD-4805-8BF4-78A698978F9A}"/>
    <cellStyle name="Normal 33 3 2 2 4 2 4" xfId="23771" xr:uid="{8124B031-1952-4EE6-BDE1-499C5AE1BC3B}"/>
    <cellStyle name="Normal 33 3 2 2 4 2 4 2" xfId="45796" xr:uid="{0D7F84A5-4A75-4E71-AFFD-C9B6C8B06FFD}"/>
    <cellStyle name="Normal 33 3 2 2 4 2 5" xfId="45797" xr:uid="{B6CD2ADA-C653-4627-BE3A-C42EFF670CF9}"/>
    <cellStyle name="Normal 33 3 2 2 4 3" xfId="45799" xr:uid="{8B3E48E2-AA6D-46A4-A7E7-8DEEFA16850A}"/>
    <cellStyle name="Normal 33 3 2 2 4 3 2" xfId="45800" xr:uid="{FC625E4F-C4F4-4498-8D53-50397562D7E0}"/>
    <cellStyle name="Normal 33 3 2 2 4 3 2 2" xfId="45801" xr:uid="{91FE8D5E-C3FB-41E7-B5D7-2F27EF6DE322}"/>
    <cellStyle name="Normal 33 3 2 2 4 3 2 2 2" xfId="45802" xr:uid="{1B27A890-E624-4516-A331-69C4CFAF0CCC}"/>
    <cellStyle name="Normal 33 3 2 2 4 3 2 3" xfId="45803" xr:uid="{EA0F05D7-E64B-477B-AF06-BEACE8E13211}"/>
    <cellStyle name="Normal 33 3 2 2 4 3 3" xfId="7361" xr:uid="{DDF4C57E-E24A-436A-84DF-9F83549E7126}"/>
    <cellStyle name="Normal 33 3 2 2 4 3 3 2" xfId="45804" xr:uid="{993CC562-6D96-4A41-8424-0948724B26DF}"/>
    <cellStyle name="Normal 33 3 2 2 4 3 4" xfId="45805" xr:uid="{46132AAA-AAFE-4278-8679-430B3D874626}"/>
    <cellStyle name="Normal 33 3 2 2 4 4" xfId="45806" xr:uid="{C7020FC9-B927-4392-9A2F-07B2BF3463E3}"/>
    <cellStyle name="Normal 33 3 2 2 4 4 2" xfId="45807" xr:uid="{B20C4DE7-D15B-43C1-A7FC-8CB4905F121C}"/>
    <cellStyle name="Normal 33 3 2 2 4 4 2 2" xfId="45808" xr:uid="{223A8CD2-5E38-4DD1-B54D-A798D42A6EBD}"/>
    <cellStyle name="Normal 33 3 2 2 4 4 3" xfId="45809" xr:uid="{50DC59DF-316E-40F7-9DB2-CC68FEB7EC83}"/>
    <cellStyle name="Normal 33 3 2 2 4 5" xfId="45810" xr:uid="{7AC04954-3276-4ABE-838A-484BE1A880DC}"/>
    <cellStyle name="Normal 33 3 2 2 4 5 2" xfId="45811" xr:uid="{BD3ABC9C-2E60-4228-A75F-1FA48915D139}"/>
    <cellStyle name="Normal 33 3 2 2 4 6" xfId="45812" xr:uid="{2923951E-A0CD-470B-A4E8-23C6A0F9E670}"/>
    <cellStyle name="Normal 33 3 2 2 4 7" xfId="45813" xr:uid="{89F522A1-783D-45CA-9443-9FD4AD90A6D5}"/>
    <cellStyle name="Normal 33 3 2 2 5" xfId="45815" xr:uid="{B7882D18-F2AF-4508-97FD-519F7C5E7A6B}"/>
    <cellStyle name="Normal 33 3 2 2 5 2" xfId="45817" xr:uid="{C031EE64-2A30-44C1-A105-7BC4BE547B04}"/>
    <cellStyle name="Normal 33 3 2 2 5 2 2" xfId="45818" xr:uid="{3E611F80-7BDC-4E56-9D80-FD741CC90C45}"/>
    <cellStyle name="Normal 33 3 2 2 5 2 2 2" xfId="45819" xr:uid="{C8871469-5CBF-4CA5-8ECF-59C9951A8711}"/>
    <cellStyle name="Normal 33 3 2 2 5 2 2 2 2" xfId="45820" xr:uid="{98ADD72B-F4BA-4053-87CF-430988300FFF}"/>
    <cellStyle name="Normal 33 3 2 2 5 2 2 3" xfId="45821" xr:uid="{7E2954A4-5E9B-407D-B2F1-70746B51B76E}"/>
    <cellStyle name="Normal 33 3 2 2 5 2 3" xfId="23933" xr:uid="{B209DE78-740C-4DBF-8E14-6CBF1320C13D}"/>
    <cellStyle name="Normal 33 3 2 2 5 2 3 2" xfId="45822" xr:uid="{150705AD-9E2F-4562-98CE-8213BD2A76CC}"/>
    <cellStyle name="Normal 33 3 2 2 5 2 4" xfId="45823" xr:uid="{49B28770-99A0-4D9A-B060-AE5946FDE2F4}"/>
    <cellStyle name="Normal 33 3 2 2 5 3" xfId="45824" xr:uid="{A1B7B365-10D8-45F7-8769-FE61FA405497}"/>
    <cellStyle name="Normal 33 3 2 2 5 3 2" xfId="45825" xr:uid="{2E0A529B-05A9-4EA3-89BF-7D614F48CB95}"/>
    <cellStyle name="Normal 33 3 2 2 5 3 2 2" xfId="45826" xr:uid="{EA945316-4E3C-41A5-9840-5347EF35CE47}"/>
    <cellStyle name="Normal 33 3 2 2 5 3 3" xfId="45827" xr:uid="{39222A47-C2A5-4F2A-807C-1B015690AF75}"/>
    <cellStyle name="Normal 33 3 2 2 5 4" xfId="45828" xr:uid="{322528B7-3F16-48D8-8284-E18D7A976FE1}"/>
    <cellStyle name="Normal 33 3 2 2 5 4 2" xfId="45829" xr:uid="{50E3AE03-07F1-498C-8197-923B298AE2DA}"/>
    <cellStyle name="Normal 33 3 2 2 5 5" xfId="45830" xr:uid="{CD58C381-DD03-47E6-BA26-52D15BBEE832}"/>
    <cellStyle name="Normal 33 3 2 2 6" xfId="45832" xr:uid="{78B17C9B-6BAE-4389-9F5A-E47B172011A8}"/>
    <cellStyle name="Normal 33 3 2 2 6 2" xfId="45833" xr:uid="{08A617C0-90E4-40D2-A88A-4632729A9C15}"/>
    <cellStyle name="Normal 33 3 2 2 6 2 2" xfId="45834" xr:uid="{2B815CDB-88F8-4F3B-8671-4B33B1825FEF}"/>
    <cellStyle name="Normal 33 3 2 2 6 2 2 2" xfId="45835" xr:uid="{D6347B92-745F-4684-8273-4AF3412E1EAF}"/>
    <cellStyle name="Normal 33 3 2 2 6 2 3" xfId="45836" xr:uid="{90FF4F52-221B-4A34-867F-9DC1A4CE39F4}"/>
    <cellStyle name="Normal 33 3 2 2 6 3" xfId="45837" xr:uid="{5799649B-28F4-4B18-9F60-39A08E84CFDB}"/>
    <cellStyle name="Normal 33 3 2 2 6 3 2" xfId="45838" xr:uid="{D35D4895-8744-492D-8E60-E96B55E4B5F3}"/>
    <cellStyle name="Normal 33 3 2 2 6 4" xfId="45839" xr:uid="{A06F6441-74CE-402D-837D-74CBFD407B4C}"/>
    <cellStyle name="Normal 33 3 2 2 7" xfId="45840" xr:uid="{ECAA1967-DC2A-4451-95E5-21CFC15A3F6B}"/>
    <cellStyle name="Normal 33 3 2 2 7 2" xfId="45841" xr:uid="{87383B73-8C14-435F-9F35-1EAFB83F2619}"/>
    <cellStyle name="Normal 33 3 2 2 7 2 2" xfId="45842" xr:uid="{451E0A54-A0DD-44CC-8A59-B3CDECDA1C9F}"/>
    <cellStyle name="Normal 33 3 2 2 7 3" xfId="45843" xr:uid="{00BC298A-0ABB-45A5-9470-F3E1B719F645}"/>
    <cellStyle name="Normal 33 3 2 2 8" xfId="45844" xr:uid="{466674BD-C0FF-45FE-B779-0CCD64A77881}"/>
    <cellStyle name="Normal 33 3 2 2 8 2" xfId="45845" xr:uid="{F31E4D76-A274-485F-ADDE-24076CF46C28}"/>
    <cellStyle name="Normal 33 3 2 2 9" xfId="45846" xr:uid="{052E41FE-41B9-4F63-BDD8-FA776F4EE3A5}"/>
    <cellStyle name="Normal 33 3 2 3" xfId="45847" xr:uid="{BF80C665-87C6-4D61-A2F8-948028AB1C16}"/>
    <cellStyle name="Normal 33 3 2 3 2" xfId="45848" xr:uid="{44A9E271-5EAE-4DB4-A74E-2C29B8F96F42}"/>
    <cellStyle name="Normal 33 3 2 3 2 2" xfId="45849" xr:uid="{9CEA1F3F-07AE-4BFC-9819-23656E7C32B9}"/>
    <cellStyle name="Normal 33 3 2 3 2 2 2" xfId="45850" xr:uid="{31FA0A2F-4363-426D-A10E-DBDF18398005}"/>
    <cellStyle name="Normal 33 3 2 3 2 2 2 2" xfId="45851" xr:uid="{B39556E8-8F58-49EB-98BD-917E1E793D8C}"/>
    <cellStyle name="Normal 33 3 2 3 2 2 2 2 2" xfId="45852" xr:uid="{D705BB76-0F81-40D6-9298-9F177C6E3E23}"/>
    <cellStyle name="Normal 33 3 2 3 2 2 2 2 2 2" xfId="45853" xr:uid="{02701D95-3B83-4D57-8948-C781D2717941}"/>
    <cellStyle name="Normal 33 3 2 3 2 2 2 2 2 2 2" xfId="45854" xr:uid="{7FB9328F-30B3-4043-92AE-9C41749C54F7}"/>
    <cellStyle name="Normal 33 3 2 3 2 2 2 2 2 3" xfId="45855" xr:uid="{5A640520-C8BC-4DF9-A590-D09FC546E424}"/>
    <cellStyle name="Normal 33 3 2 3 2 2 2 2 3" xfId="45856" xr:uid="{B13B8F75-E4CA-479C-83F4-C054CDA78201}"/>
    <cellStyle name="Normal 33 3 2 3 2 2 2 2 3 2" xfId="45857" xr:uid="{0C2D4B95-FB49-42FC-AB57-A0D7F716619A}"/>
    <cellStyle name="Normal 33 3 2 3 2 2 2 2 4" xfId="44175" xr:uid="{A4F1DFA4-BAEA-45F0-9AB3-0BBCE20A9462}"/>
    <cellStyle name="Normal 33 3 2 3 2 2 2 3" xfId="45858" xr:uid="{F31DD6A3-9333-422B-B189-67DB5E0BD4C5}"/>
    <cellStyle name="Normal 33 3 2 3 2 2 2 3 2" xfId="45859" xr:uid="{DFCF50A8-5C5B-4D66-9FFD-07DEAE114320}"/>
    <cellStyle name="Normal 33 3 2 3 2 2 2 3 2 2" xfId="45860" xr:uid="{C80AF7E4-4C57-44BB-9B76-AB491C179038}"/>
    <cellStyle name="Normal 33 3 2 3 2 2 2 3 3" xfId="45861" xr:uid="{87CD2044-4FEF-490F-AD80-F4D01A4B05E2}"/>
    <cellStyle name="Normal 33 3 2 3 2 2 2 4" xfId="45862" xr:uid="{0226F38C-0856-4111-95A2-7AC0AA2B9287}"/>
    <cellStyle name="Normal 33 3 2 3 2 2 2 4 2" xfId="45863" xr:uid="{F3BF1E4F-E3A5-4950-86E4-4E8279888BBE}"/>
    <cellStyle name="Normal 33 3 2 3 2 2 2 5" xfId="45864" xr:uid="{A877495D-B312-40AE-9967-53E7FF4C3747}"/>
    <cellStyle name="Normal 33 3 2 3 2 2 3" xfId="45865" xr:uid="{6492886A-115F-4E52-892A-57B1984FD7D2}"/>
    <cellStyle name="Normal 33 3 2 3 2 2 3 2" xfId="45866" xr:uid="{7283F3C1-B5B2-4AEE-8B50-1BC7C69578FE}"/>
    <cellStyle name="Normal 33 3 2 3 2 2 3 2 2" xfId="45867" xr:uid="{513630A8-F350-489C-A8BC-04FAA4191B0A}"/>
    <cellStyle name="Normal 33 3 2 3 2 2 3 2 2 2" xfId="45868" xr:uid="{89D535E4-B2AB-45B2-971B-080B3A505B1C}"/>
    <cellStyle name="Normal 33 3 2 3 2 2 3 2 3" xfId="20418" xr:uid="{630979ED-F010-47A5-84D6-90EC3076B254}"/>
    <cellStyle name="Normal 33 3 2 3 2 2 3 3" xfId="45869" xr:uid="{C6551EB1-0206-4063-BD4F-A34E2A7A3FFF}"/>
    <cellStyle name="Normal 33 3 2 3 2 2 3 3 2" xfId="45870" xr:uid="{98BCAB6E-FE19-40DC-A7D6-65928454E512}"/>
    <cellStyle name="Normal 33 3 2 3 2 2 3 4" xfId="45871" xr:uid="{EDD57DFF-69F7-4634-84E0-FE33D19A2C5E}"/>
    <cellStyle name="Normal 33 3 2 3 2 2 4" xfId="45872" xr:uid="{8E7B65DE-B434-4C2F-A525-79EE6DE8BB37}"/>
    <cellStyle name="Normal 33 3 2 3 2 2 4 2" xfId="45873" xr:uid="{307E9B09-F3E2-4942-9C67-95E9C178F816}"/>
    <cellStyle name="Normal 33 3 2 3 2 2 4 2 2" xfId="45874" xr:uid="{2F090AF2-F1EA-408E-A477-CA20AA7B122C}"/>
    <cellStyle name="Normal 33 3 2 3 2 2 4 3" xfId="45875" xr:uid="{9706DBAF-29D0-46D3-A4C1-3A63B8D97D99}"/>
    <cellStyle name="Normal 33 3 2 3 2 2 5" xfId="45876" xr:uid="{227088F1-048D-4F0D-B22F-9DB42F4F9CE9}"/>
    <cellStyle name="Normal 33 3 2 3 2 2 5 2" xfId="45877" xr:uid="{FA10F551-0C3C-43DA-B620-4DE150632C08}"/>
    <cellStyle name="Normal 33 3 2 3 2 2 6" xfId="45878" xr:uid="{19477255-F66A-4D5A-ACFF-823C6A8AA8C1}"/>
    <cellStyle name="Normal 33 3 2 3 2 2 7" xfId="45879" xr:uid="{37479AE8-39EC-43AE-84CD-B55B4A3BEAD8}"/>
    <cellStyle name="Normal 33 3 2 3 2 3" xfId="45880" xr:uid="{E188A67A-005A-4310-9A70-D4C61F9126C5}"/>
    <cellStyle name="Normal 33 3 2 3 2 3 2" xfId="45881" xr:uid="{99A362E5-EA36-44D6-8BD1-417490CE7B47}"/>
    <cellStyle name="Normal 33 3 2 3 2 3 2 2" xfId="45882" xr:uid="{55040449-AB86-4C90-A390-33DA614E82AC}"/>
    <cellStyle name="Normal 33 3 2 3 2 3 2 2 2" xfId="45883" xr:uid="{A91DD401-3C06-4378-B06A-952745E9B83F}"/>
    <cellStyle name="Normal 33 3 2 3 2 3 2 2 2 2" xfId="45884" xr:uid="{3D2FCB36-AF25-458D-85D2-CCF0A58E3F45}"/>
    <cellStyle name="Normal 33 3 2 3 2 3 2 2 3" xfId="45885" xr:uid="{97219B23-C3AC-4D5F-8145-8689CBD47A28}"/>
    <cellStyle name="Normal 33 3 2 3 2 3 2 3" xfId="45886" xr:uid="{46D14E40-BFCB-4D8D-87AB-FD7DC9158885}"/>
    <cellStyle name="Normal 33 3 2 3 2 3 2 3 2" xfId="45887" xr:uid="{AFB47864-0002-49BD-A986-8BC8DF439F29}"/>
    <cellStyle name="Normal 33 3 2 3 2 3 2 4" xfId="45888" xr:uid="{291ED1A4-6BB6-4A07-9FBE-E7A0755C7754}"/>
    <cellStyle name="Normal 33 3 2 3 2 3 3" xfId="45889" xr:uid="{6D58BB12-F7C5-40C5-964D-F7F28744ABA1}"/>
    <cellStyle name="Normal 33 3 2 3 2 3 3 2" xfId="45890" xr:uid="{DB1642C2-DDAC-42EF-BE47-6FDEF018A6BE}"/>
    <cellStyle name="Normal 33 3 2 3 2 3 3 2 2" xfId="45891" xr:uid="{42A03D44-7626-43E5-85BE-BEA1371F1F92}"/>
    <cellStyle name="Normal 33 3 2 3 2 3 3 3" xfId="45892" xr:uid="{FD17224D-B729-4DB1-B230-CE1E76F6731A}"/>
    <cellStyle name="Normal 33 3 2 3 2 3 4" xfId="45893" xr:uid="{9D788EFB-6C9B-4163-9D95-31B3A2B6CECE}"/>
    <cellStyle name="Normal 33 3 2 3 2 3 4 2" xfId="45894" xr:uid="{1CE59C8C-0FFB-475B-BF1F-FB7CF02D4094}"/>
    <cellStyle name="Normal 33 3 2 3 2 3 5" xfId="45895" xr:uid="{147139E6-E44D-4ADA-99EC-D3EF72A50627}"/>
    <cellStyle name="Normal 33 3 2 3 2 4" xfId="45896" xr:uid="{B0CE9CD6-8999-4295-BBDC-C0B79B573CE3}"/>
    <cellStyle name="Normal 33 3 2 3 2 4 2" xfId="45897" xr:uid="{EE1BD05D-E9B0-45A1-AF52-5A9258710B2C}"/>
    <cellStyle name="Normal 33 3 2 3 2 4 2 2" xfId="45898" xr:uid="{9DA6B2C0-1583-4E77-BA56-4432D32C8857}"/>
    <cellStyle name="Normal 33 3 2 3 2 4 2 2 2" xfId="45899" xr:uid="{23C49006-604B-4DB7-950B-283C4C56771A}"/>
    <cellStyle name="Normal 33 3 2 3 2 4 2 3" xfId="45900" xr:uid="{1B7DF86D-7068-426F-A4CE-B8F2E05CA6CC}"/>
    <cellStyle name="Normal 33 3 2 3 2 4 3" xfId="45901" xr:uid="{295ADCDA-DDDC-4494-A378-EC11D5D75886}"/>
    <cellStyle name="Normal 33 3 2 3 2 4 3 2" xfId="45902" xr:uid="{4AB7F35B-A27C-4118-934A-13528589E609}"/>
    <cellStyle name="Normal 33 3 2 3 2 4 4" xfId="45903" xr:uid="{752868AB-C246-4D34-8004-3BF929637F30}"/>
    <cellStyle name="Normal 33 3 2 3 2 5" xfId="45904" xr:uid="{CA7499DA-F548-4262-8242-D1F8F2DC3F93}"/>
    <cellStyle name="Normal 33 3 2 3 2 5 2" xfId="45905" xr:uid="{439AA363-A0E9-4CB9-894B-589AD41BE830}"/>
    <cellStyle name="Normal 33 3 2 3 2 5 2 2" xfId="45906" xr:uid="{1683A61F-81A9-401C-AE51-BEFD39C9F29F}"/>
    <cellStyle name="Normal 33 3 2 3 2 5 3" xfId="45907" xr:uid="{109036FB-62AA-4870-B51E-5D95DE0EBBFB}"/>
    <cellStyle name="Normal 33 3 2 3 2 6" xfId="45908" xr:uid="{74D13EFD-8C43-4380-9949-023C8974D543}"/>
    <cellStyle name="Normal 33 3 2 3 2 6 2" xfId="45909" xr:uid="{62E6EE08-1ACC-4509-BA39-1D12E6AF1585}"/>
    <cellStyle name="Normal 33 3 2 3 2 7" xfId="45910" xr:uid="{001B7AE5-1505-48E5-AF17-E12D43521DDA}"/>
    <cellStyle name="Normal 33 3 2 3 2 8" xfId="45911" xr:uid="{3027DC21-4DF9-4069-9BA4-B0AA2BB1D31D}"/>
    <cellStyle name="Normal 33 3 2 3 3" xfId="45914" xr:uid="{C4B5C000-F6DD-48B0-B09B-BF2F8648CC00}"/>
    <cellStyle name="Normal 33 3 2 3 3 2" xfId="45916" xr:uid="{8E4D5FEA-D490-40CF-8E9B-B7D04392F021}"/>
    <cellStyle name="Normal 33 3 2 3 3 2 2" xfId="45918" xr:uid="{DAD49433-5DFF-436D-B369-F5BE90BDF29D}"/>
    <cellStyle name="Normal 33 3 2 3 3 2 2 2" xfId="45919" xr:uid="{F8951E52-40D9-4295-8CE3-A91C5C6A92CB}"/>
    <cellStyle name="Normal 33 3 2 3 3 2 2 2 2" xfId="45920" xr:uid="{DE3252CF-FF60-443A-A801-555B8E38F67A}"/>
    <cellStyle name="Normal 33 3 2 3 3 2 2 2 2 2" xfId="45921" xr:uid="{26144DCB-D4DC-4C9F-82C0-ECE3181E4AA9}"/>
    <cellStyle name="Normal 33 3 2 3 3 2 2 2 3" xfId="45922" xr:uid="{CCC168AF-4979-4296-9449-FEC4F627C63C}"/>
    <cellStyle name="Normal 33 3 2 3 3 2 2 3" xfId="45923" xr:uid="{7DE72DAB-E776-4BBA-9213-E9AAC6A24CEF}"/>
    <cellStyle name="Normal 33 3 2 3 3 2 2 3 2" xfId="45924" xr:uid="{9FC87653-ACAA-4A5D-BEB6-C572F58F63AE}"/>
    <cellStyle name="Normal 33 3 2 3 3 2 2 4" xfId="30270" xr:uid="{A02AA975-5522-45E8-9F93-B69FDF917FF6}"/>
    <cellStyle name="Normal 33 3 2 3 3 2 3" xfId="45925" xr:uid="{A3B43F70-1E3C-4C70-9365-A1E93D0EE001}"/>
    <cellStyle name="Normal 33 3 2 3 3 2 3 2" xfId="45926" xr:uid="{649A9BC4-02F3-457E-A83A-8127D1CF8325}"/>
    <cellStyle name="Normal 33 3 2 3 3 2 3 2 2" xfId="45927" xr:uid="{2629F94A-FB6F-4B66-8890-44E9C4869870}"/>
    <cellStyle name="Normal 33 3 2 3 3 2 3 3" xfId="45928" xr:uid="{1D9D03AB-B782-4AC4-A175-5E6F646D267B}"/>
    <cellStyle name="Normal 33 3 2 3 3 2 4" xfId="45929" xr:uid="{16E6E4E3-3833-4141-906D-2897F37689CD}"/>
    <cellStyle name="Normal 33 3 2 3 3 2 4 2" xfId="45930" xr:uid="{26BF5FE1-F69C-4538-8585-3E56FCA1DC4E}"/>
    <cellStyle name="Normal 33 3 2 3 3 2 5" xfId="45931" xr:uid="{C4DD8547-2AB7-4F62-87CC-BF64A138551A}"/>
    <cellStyle name="Normal 33 3 2 3 3 3" xfId="45933" xr:uid="{0EC06D6E-C506-4990-8F84-E6782EA96B97}"/>
    <cellStyle name="Normal 33 3 2 3 3 3 2" xfId="45934" xr:uid="{E36E4CE9-ABFF-4389-9D3C-E17AFCD2332C}"/>
    <cellStyle name="Normal 33 3 2 3 3 3 2 2" xfId="19666" xr:uid="{E9D6C7D7-CBCE-4AA8-9422-661097FCEA7C}"/>
    <cellStyle name="Normal 33 3 2 3 3 3 2 2 2" xfId="45935" xr:uid="{4DF7EAC1-1AF1-4A64-A047-043F5C67B2FF}"/>
    <cellStyle name="Normal 33 3 2 3 3 3 2 3" xfId="45936" xr:uid="{905A7D86-BED5-4169-888C-CD71E6E24925}"/>
    <cellStyle name="Normal 33 3 2 3 3 3 3" xfId="45937" xr:uid="{AD15EFBF-4BB3-4EB2-B34C-2088BA2EE3D6}"/>
    <cellStyle name="Normal 33 3 2 3 3 3 3 2" xfId="45938" xr:uid="{05A3292E-3714-445D-B759-9255F91E5ADA}"/>
    <cellStyle name="Normal 33 3 2 3 3 3 4" xfId="45939" xr:uid="{501DCE9E-D887-4089-BF50-455FE34FD806}"/>
    <cellStyle name="Normal 33 3 2 3 3 4" xfId="45940" xr:uid="{1D0D986E-6CC1-4106-A429-8904BB8E20EF}"/>
    <cellStyle name="Normal 33 3 2 3 3 4 2" xfId="35439" xr:uid="{CF349219-9AA1-45EC-AFF3-482F49D2B473}"/>
    <cellStyle name="Normal 33 3 2 3 3 4 2 2" xfId="35441" xr:uid="{E0B1EAE4-66FA-4C4E-85F1-848688165E9D}"/>
    <cellStyle name="Normal 33 3 2 3 3 4 3" xfId="35444" xr:uid="{38103FFA-2918-4A82-A27E-C79F49FE33D0}"/>
    <cellStyle name="Normal 33 3 2 3 3 5" xfId="45941" xr:uid="{3330C224-7C23-43C2-AED5-D3C0A19DE68A}"/>
    <cellStyle name="Normal 33 3 2 3 3 5 2" xfId="35455" xr:uid="{5A37B39F-4554-4054-9900-2DB9D9AC6738}"/>
    <cellStyle name="Normal 33 3 2 3 3 6" xfId="45942" xr:uid="{BBE327C1-62EC-4550-BDF3-27E7330FBC31}"/>
    <cellStyle name="Normal 33 3 2 3 3 7" xfId="45943" xr:uid="{7D019F58-C1FC-489E-AEDC-1474CEB84F73}"/>
    <cellStyle name="Normal 33 3 2 3 4" xfId="45945" xr:uid="{10FB1901-CFF3-4B83-AF28-B2224234536F}"/>
    <cellStyle name="Normal 33 3 2 3 4 2" xfId="45947" xr:uid="{36862144-F492-4BCC-854B-47E9F4FC875D}"/>
    <cellStyle name="Normal 33 3 2 3 4 2 2" xfId="45948" xr:uid="{B8A88FDC-3ED9-4451-84F9-A4327F8B5B2C}"/>
    <cellStyle name="Normal 33 3 2 3 4 2 2 2" xfId="45949" xr:uid="{EA61A563-7D5C-4842-B306-45C696ACD4E7}"/>
    <cellStyle name="Normal 33 3 2 3 4 2 2 2 2" xfId="45950" xr:uid="{6AD6AB8F-7CA3-43CD-B367-2EC758BD3547}"/>
    <cellStyle name="Normal 33 3 2 3 4 2 2 3" xfId="45951" xr:uid="{0B4EC2F4-A0FF-4963-87ED-5E9CDAADB15C}"/>
    <cellStyle name="Normal 33 3 2 3 4 2 3" xfId="24239" xr:uid="{1E45C770-475C-4D72-AC2D-B587526B905F}"/>
    <cellStyle name="Normal 33 3 2 3 4 2 3 2" xfId="45952" xr:uid="{69E37BA9-5382-4D05-8A1A-A2FCF83B12C6}"/>
    <cellStyle name="Normal 33 3 2 3 4 2 4" xfId="45953" xr:uid="{5C954D67-E149-42AB-848F-96C5E29632EF}"/>
    <cellStyle name="Normal 33 3 2 3 4 3" xfId="45954" xr:uid="{9B976BB3-C46E-4A38-8028-B4B46C8477F9}"/>
    <cellStyle name="Normal 33 3 2 3 4 3 2" xfId="45955" xr:uid="{79C634ED-A8BC-46DB-B435-E1D3B0AB48F8}"/>
    <cellStyle name="Normal 33 3 2 3 4 3 2 2" xfId="45956" xr:uid="{2C2EF166-82DC-4679-BFED-0A50D82B811A}"/>
    <cellStyle name="Normal 33 3 2 3 4 3 3" xfId="45957" xr:uid="{02672146-1F46-474D-B99D-6B716E553348}"/>
    <cellStyle name="Normal 33 3 2 3 4 4" xfId="45958" xr:uid="{846BAADF-6B7B-4BE9-9AB0-EDD173A3A2E4}"/>
    <cellStyle name="Normal 33 3 2 3 4 4 2" xfId="33012" xr:uid="{FC42381A-5072-438C-A516-1F1287BCA280}"/>
    <cellStyle name="Normal 33 3 2 3 4 5" xfId="45959" xr:uid="{45203465-C840-4E71-AAD4-144E5EB22B7D}"/>
    <cellStyle name="Normal 33 3 2 3 5" xfId="45961" xr:uid="{3F1BF24D-5C86-4545-B2F3-0786521F87D8}"/>
    <cellStyle name="Normal 33 3 2 3 5 2" xfId="45962" xr:uid="{746370A9-7CC5-475D-ADC1-97F04CEE9A30}"/>
    <cellStyle name="Normal 33 3 2 3 5 2 2" xfId="45963" xr:uid="{25143072-C3A1-4CFE-A1E2-1EE7679B66C9}"/>
    <cellStyle name="Normal 33 3 2 3 5 2 2 2" xfId="45964" xr:uid="{8BC88D96-FBBB-4C46-A3CA-F9EBBAA4B8A5}"/>
    <cellStyle name="Normal 33 3 2 3 5 2 3" xfId="45965" xr:uid="{3D9CC99E-7196-4A98-9CAF-B362069F6E12}"/>
    <cellStyle name="Normal 33 3 2 3 5 3" xfId="45966" xr:uid="{18D4D294-C3A3-48AE-8B95-6DF8086228CB}"/>
    <cellStyle name="Normal 33 3 2 3 5 3 2" xfId="45967" xr:uid="{5B056B78-8B18-4DFC-B205-59F3C48CA129}"/>
    <cellStyle name="Normal 33 3 2 3 5 4" xfId="35769" xr:uid="{D6A7E374-754C-469F-B6D0-E51FFBB99F8F}"/>
    <cellStyle name="Normal 33 3 2 3 6" xfId="45968" xr:uid="{9A0D58E4-6A4D-4DB5-BD35-3CC9496E2A0F}"/>
    <cellStyle name="Normal 33 3 2 3 6 2" xfId="45969" xr:uid="{2FC73FCE-1CA2-416D-8B76-3EB0F87365BC}"/>
    <cellStyle name="Normal 33 3 2 3 6 2 2" xfId="45970" xr:uid="{88BEDB5D-2AE6-4678-84AF-53933EAA5667}"/>
    <cellStyle name="Normal 33 3 2 3 6 3" xfId="45971" xr:uid="{48D07CDA-73EB-4B24-AE0E-722C20A3FEDB}"/>
    <cellStyle name="Normal 33 3 2 3 7" xfId="45972" xr:uid="{5A588F50-72A0-49F5-A157-96042684FDBB}"/>
    <cellStyle name="Normal 33 3 2 3 7 2" xfId="45973" xr:uid="{1C65537C-AC94-4D1D-8E15-4FAF19D73A01}"/>
    <cellStyle name="Normal 33 3 2 3 8" xfId="45974" xr:uid="{309DFF12-4D8A-4417-A73A-49D3431D7ADF}"/>
    <cellStyle name="Normal 33 3 2 3 9" xfId="45975" xr:uid="{8524DBA6-2F8A-4236-A30B-340E6DAEB641}"/>
    <cellStyle name="Normal 33 3 2 4" xfId="45976" xr:uid="{18942341-E3D5-4D82-8C23-A2EF65739524}"/>
    <cellStyle name="Normal 33 3 2 4 2" xfId="45977" xr:uid="{14DB9A35-0966-4CC2-8834-9F33933D5994}"/>
    <cellStyle name="Normal 33 3 2 4 2 2" xfId="45978" xr:uid="{D344DC96-09A4-4C2B-B3EF-15BF7DD239DB}"/>
    <cellStyle name="Normal 33 3 2 4 2 2 2" xfId="45979" xr:uid="{2B2BEC58-9F98-4304-94E7-AFCCF95FA486}"/>
    <cellStyle name="Normal 33 3 2 4 2 2 2 2" xfId="45980" xr:uid="{E3F9125F-DF7D-4A80-9CF7-1DD2E5040D14}"/>
    <cellStyle name="Normal 33 3 2 4 2 2 2 2 2" xfId="45981" xr:uid="{9F01D1A7-4482-4F92-9379-916906A052A7}"/>
    <cellStyle name="Normal 33 3 2 4 2 2 2 2 2 2" xfId="45982" xr:uid="{9806C92D-4C32-45C0-B0AA-3D21D6DA4E5B}"/>
    <cellStyle name="Normal 33 3 2 4 2 2 2 2 3" xfId="45983" xr:uid="{21F0D4D6-35AB-46E2-B9FE-2012FD08C93C}"/>
    <cellStyle name="Normal 33 3 2 4 2 2 2 3" xfId="45984" xr:uid="{63B8649F-5323-470E-8B74-7EEE910D2BB2}"/>
    <cellStyle name="Normal 33 3 2 4 2 2 2 3 2" xfId="45985" xr:uid="{2CBFDDBB-F18E-430D-97B3-73FB6CB76789}"/>
    <cellStyle name="Normal 33 3 2 4 2 2 2 4" xfId="45986" xr:uid="{1487FD8D-22EA-47FD-81B9-F33C04CFCC4B}"/>
    <cellStyle name="Normal 33 3 2 4 2 2 3" xfId="45987" xr:uid="{CC1EFCCC-ADE6-4554-AB9C-68F47EDCFF8B}"/>
    <cellStyle name="Normal 33 3 2 4 2 2 3 2" xfId="45988" xr:uid="{5C8A71C4-E7AA-4A67-82B0-95632C6DD94B}"/>
    <cellStyle name="Normal 33 3 2 4 2 2 3 2 2" xfId="45989" xr:uid="{70D74B36-F436-4ABD-BE4E-9296E0CCB917}"/>
    <cellStyle name="Normal 33 3 2 4 2 2 3 3" xfId="45990" xr:uid="{64AB821D-E578-452F-BBFE-9B5E69F25A08}"/>
    <cellStyle name="Normal 33 3 2 4 2 2 4" xfId="45991" xr:uid="{F1844550-9B23-4058-A8F4-B5EFEE0C5411}"/>
    <cellStyle name="Normal 33 3 2 4 2 2 4 2" xfId="45992" xr:uid="{378107E7-301F-4732-B9F1-8992544F2CAA}"/>
    <cellStyle name="Normal 33 3 2 4 2 2 5" xfId="45993" xr:uid="{30464D35-A291-4676-96A1-1DE59BA4838D}"/>
    <cellStyle name="Normal 33 3 2 4 2 3" xfId="10764" xr:uid="{B8905409-2792-4D04-8535-541BCC6B1FC1}"/>
    <cellStyle name="Normal 33 3 2 4 2 3 2" xfId="45994" xr:uid="{4DCCEEE8-75B4-4533-AE2A-553DFA2A297C}"/>
    <cellStyle name="Normal 33 3 2 4 2 3 2 2" xfId="45995" xr:uid="{59875251-D798-488C-8A6E-DEB90A811066}"/>
    <cellStyle name="Normal 33 3 2 4 2 3 2 2 2" xfId="45996" xr:uid="{E631DFCF-3557-4F36-950F-FCFF1EEFB06F}"/>
    <cellStyle name="Normal 33 3 2 4 2 3 2 3" xfId="45997" xr:uid="{50BF9597-F976-4715-A405-B6AC5DAC935B}"/>
    <cellStyle name="Normal 33 3 2 4 2 3 3" xfId="45998" xr:uid="{20EB1D11-A229-4099-8CA4-34B071C8E84A}"/>
    <cellStyle name="Normal 33 3 2 4 2 3 3 2" xfId="45999" xr:uid="{6A9338AD-3DA9-406B-AE93-705838403E74}"/>
    <cellStyle name="Normal 33 3 2 4 2 3 4" xfId="46000" xr:uid="{16207789-3D97-4BA2-A7FA-B53C438CC956}"/>
    <cellStyle name="Normal 33 3 2 4 2 4" xfId="46001" xr:uid="{B8D1E8A4-3471-4C6B-A57B-228B4C04A2FB}"/>
    <cellStyle name="Normal 33 3 2 4 2 4 2" xfId="46002" xr:uid="{F5BE97C8-83B9-407F-B224-F0ECED685282}"/>
    <cellStyle name="Normal 33 3 2 4 2 4 2 2" xfId="46003" xr:uid="{4CCF5939-3AA7-4AF2-9D7D-E68375E370E9}"/>
    <cellStyle name="Normal 33 3 2 4 2 4 3" xfId="46004" xr:uid="{8E95D268-8652-4320-B0AA-BD600EB4DFD3}"/>
    <cellStyle name="Normal 33 3 2 4 2 5" xfId="46005" xr:uid="{FA680A36-1DB0-45F1-A7CB-7753E40F2FFE}"/>
    <cellStyle name="Normal 33 3 2 4 2 5 2" xfId="46006" xr:uid="{071E7AB7-AC76-4B04-A729-D72FD0B104D0}"/>
    <cellStyle name="Normal 33 3 2 4 2 6" xfId="19488" xr:uid="{0E6E56BA-5DE3-4B81-8835-7DFC15CC8E95}"/>
    <cellStyle name="Normal 33 3 2 4 2 7" xfId="19492" xr:uid="{518588E1-FD94-4FC6-99B4-54F9A33AEA74}"/>
    <cellStyle name="Normal 33 3 2 4 3" xfId="46008" xr:uid="{1F2C5FE2-2575-49A2-930C-E5CC1224B15F}"/>
    <cellStyle name="Normal 33 3 2 4 3 2" xfId="46010" xr:uid="{4AC0672B-8D7F-47C9-97DA-BA4B5D51EC59}"/>
    <cellStyle name="Normal 33 3 2 4 3 2 2" xfId="46011" xr:uid="{19A7E434-6CCB-4B82-9792-5B2A579D9B5D}"/>
    <cellStyle name="Normal 33 3 2 4 3 2 2 2" xfId="46012" xr:uid="{F85C5A91-3BCE-48F7-890F-BC5414D500DF}"/>
    <cellStyle name="Normal 33 3 2 4 3 2 2 2 2" xfId="46013" xr:uid="{13E322FD-3EEF-4762-9C9C-A16F8B751398}"/>
    <cellStyle name="Normal 33 3 2 4 3 2 2 3" xfId="46014" xr:uid="{E3A20B3C-936A-47AE-AE86-620E3B8AC075}"/>
    <cellStyle name="Normal 33 3 2 4 3 2 3" xfId="46015" xr:uid="{F81DAE2E-CEB2-4265-885C-5F804714269C}"/>
    <cellStyle name="Normal 33 3 2 4 3 2 3 2" xfId="46016" xr:uid="{74A5C935-81F6-42C0-B225-FF79037FC877}"/>
    <cellStyle name="Normal 33 3 2 4 3 2 4" xfId="46017" xr:uid="{DDACEE30-71F0-4028-ABB6-FBDA10949186}"/>
    <cellStyle name="Normal 33 3 2 4 3 3" xfId="46018" xr:uid="{FD2FA8DC-3670-439A-8C25-ECAE40958E2D}"/>
    <cellStyle name="Normal 33 3 2 4 3 3 2" xfId="46019" xr:uid="{20180401-454C-4012-B1F3-86BFE375C1E4}"/>
    <cellStyle name="Normal 33 3 2 4 3 3 2 2" xfId="46020" xr:uid="{6C320B2A-3CD0-4B11-8AAF-3CEAFDE34D6B}"/>
    <cellStyle name="Normal 33 3 2 4 3 3 3" xfId="46021" xr:uid="{F4BBFB4A-F4FB-4AA2-AC6A-4801CC7E3E38}"/>
    <cellStyle name="Normal 33 3 2 4 3 4" xfId="46022" xr:uid="{48E6EE7B-63D3-449D-9C7C-F2252E09A0EF}"/>
    <cellStyle name="Normal 33 3 2 4 3 4 2" xfId="46023" xr:uid="{3E7D2AAB-54F8-496B-A409-53492836BADF}"/>
    <cellStyle name="Normal 33 3 2 4 3 5" xfId="46024" xr:uid="{13D19833-5D91-4850-8942-18804A711F47}"/>
    <cellStyle name="Normal 33 3 2 4 4" xfId="46026" xr:uid="{A789D34A-5F8A-4368-9218-2632497157B1}"/>
    <cellStyle name="Normal 33 3 2 4 4 2" xfId="46027" xr:uid="{8BE3B56C-9977-4521-BF5F-A64EA69D0DFB}"/>
    <cellStyle name="Normal 33 3 2 4 4 2 2" xfId="46028" xr:uid="{F5FCEA8C-B2ED-41D4-A699-C961CD195553}"/>
    <cellStyle name="Normal 33 3 2 4 4 2 2 2" xfId="34986" xr:uid="{8A088761-B991-481A-ABFE-AE4C167B9103}"/>
    <cellStyle name="Normal 33 3 2 4 4 2 3" xfId="46029" xr:uid="{0392BA39-D447-42AE-87F3-839FE5E2729C}"/>
    <cellStyle name="Normal 33 3 2 4 4 3" xfId="46030" xr:uid="{7C4C43CD-4A20-426C-AC1F-AA1D38D56F8B}"/>
    <cellStyle name="Normal 33 3 2 4 4 3 2" xfId="956" xr:uid="{0264E7E3-CC2E-451B-8616-A3ADBFAA9E6D}"/>
    <cellStyle name="Normal 33 3 2 4 4 4" xfId="46031" xr:uid="{77D63396-849C-4D32-9E6E-07A5A8773678}"/>
    <cellStyle name="Normal 33 3 2 4 5" xfId="46032" xr:uid="{D42111AF-D9F2-4869-AA68-D7D48C70D34B}"/>
    <cellStyle name="Normal 33 3 2 4 5 2" xfId="19722" xr:uid="{7ECD808A-EECA-4DF8-9136-C8A7671C5501}"/>
    <cellStyle name="Normal 33 3 2 4 5 2 2" xfId="46033" xr:uid="{AA217EE9-E973-4AE3-9D1D-C85DB0E60A5E}"/>
    <cellStyle name="Normal 33 3 2 4 5 3" xfId="19726" xr:uid="{BC5C5BF4-FE25-4A73-BDA4-467FB26ADEBB}"/>
    <cellStyle name="Normal 33 3 2 4 6" xfId="46034" xr:uid="{0F14FE80-3C1C-4E0E-85B6-70CABCBA2EFD}"/>
    <cellStyle name="Normal 33 3 2 4 6 2" xfId="19799" xr:uid="{0468B085-CF53-4165-80CB-87383E0C4D6C}"/>
    <cellStyle name="Normal 33 3 2 4 7" xfId="46035" xr:uid="{07020B80-C2E0-4E7F-BA8B-46D49363CE3A}"/>
    <cellStyle name="Normal 33 3 2 4 8" xfId="46036" xr:uid="{29032A08-1477-43E2-8319-A8A54B91C031}"/>
    <cellStyle name="Normal 33 3 2 5" xfId="46037" xr:uid="{BE36C1D3-D974-46DD-BFBA-6DB2A57404BA}"/>
    <cellStyle name="Normal 33 3 2 5 2" xfId="46038" xr:uid="{084BCBBA-CDC8-4CC2-A926-1BB8B3AF6018}"/>
    <cellStyle name="Normal 33 3 2 5 2 2" xfId="46039" xr:uid="{D8C34BF7-A6DF-411E-B528-D31B5B985A9E}"/>
    <cellStyle name="Normal 33 3 2 5 2 2 2" xfId="46040" xr:uid="{066ADC2F-CA4C-41A7-B6F1-25804CEAC6F9}"/>
    <cellStyle name="Normal 33 3 2 5 2 2 2 2" xfId="46041" xr:uid="{307DB8D2-6925-4ED7-A729-F3D03430C397}"/>
    <cellStyle name="Normal 33 3 2 5 2 2 2 2 2" xfId="46042" xr:uid="{1D95DCB0-F997-4D77-9A88-F5C79E1145B7}"/>
    <cellStyle name="Normal 33 3 2 5 2 2 2 3" xfId="46043" xr:uid="{739CCE31-15BF-4229-802C-5AE1A8EBAEF0}"/>
    <cellStyle name="Normal 33 3 2 5 2 2 3" xfId="46044" xr:uid="{79FEC375-CCE6-431E-86F0-4F06D4790B9F}"/>
    <cellStyle name="Normal 33 3 2 5 2 2 3 2" xfId="46045" xr:uid="{90ABEC10-EEE1-4F1A-9781-FEDC21D4112C}"/>
    <cellStyle name="Normal 33 3 2 5 2 2 4" xfId="46046" xr:uid="{D8B18B21-5C9E-4066-81F4-E959535D9DB3}"/>
    <cellStyle name="Normal 33 3 2 5 2 3" xfId="46047" xr:uid="{333ADF6C-D202-4465-AE07-A8AD45E2BF43}"/>
    <cellStyle name="Normal 33 3 2 5 2 3 2" xfId="46048" xr:uid="{F8FE9B7F-6756-4393-9387-F1C0EB8F5986}"/>
    <cellStyle name="Normal 33 3 2 5 2 3 2 2" xfId="46049" xr:uid="{17D755B5-E775-42CA-9D93-43EC95AA0101}"/>
    <cellStyle name="Normal 33 3 2 5 2 3 3" xfId="46050" xr:uid="{8A2F1238-BE5B-44CB-B44A-92BB7A9E3AED}"/>
    <cellStyle name="Normal 33 3 2 5 2 4" xfId="20235" xr:uid="{4C9E2893-2A54-478B-9EC8-4D023834A241}"/>
    <cellStyle name="Normal 33 3 2 5 2 4 2" xfId="20237" xr:uid="{7CAA45CB-8C22-46F6-8A97-5956BB7F6D21}"/>
    <cellStyle name="Normal 33 3 2 5 2 5" xfId="20240" xr:uid="{79BE0C61-1FAF-44A8-BFD0-93B52F72520B}"/>
    <cellStyle name="Normal 33 3 2 5 3" xfId="46052" xr:uid="{E1F38B48-713E-4E7E-AAB7-1634E6BCAB1D}"/>
    <cellStyle name="Normal 33 3 2 5 3 2" xfId="46053" xr:uid="{935107D2-795C-437D-8302-DC8B11A94A20}"/>
    <cellStyle name="Normal 33 3 2 5 3 2 2" xfId="46054" xr:uid="{D6822608-88B9-4289-929C-19D78ADF10B7}"/>
    <cellStyle name="Normal 33 3 2 5 3 2 2 2" xfId="46055" xr:uid="{43BE1E28-1F63-4BDA-8599-1CDF31CDC53A}"/>
    <cellStyle name="Normal 33 3 2 5 3 2 3" xfId="46056" xr:uid="{231B77E3-5DB3-4E79-86C1-8F87BCE7AC0B}"/>
    <cellStyle name="Normal 33 3 2 5 3 3" xfId="46057" xr:uid="{332B0F5F-59EE-428B-BE75-8E87E838CEF2}"/>
    <cellStyle name="Normal 33 3 2 5 3 3 2" xfId="46058" xr:uid="{393DBEAF-F637-43C8-8F09-639C0E44909B}"/>
    <cellStyle name="Normal 33 3 2 5 3 4" xfId="20244" xr:uid="{D1396FAF-9EB6-4319-ADA9-6F44B24C30A9}"/>
    <cellStyle name="Normal 33 3 2 5 4" xfId="46059" xr:uid="{ECD1931F-AEC0-45D7-B786-72760828FECF}"/>
    <cellStyle name="Normal 33 3 2 5 4 2" xfId="46060" xr:uid="{3076085F-298E-4026-9E91-28C048E2C14A}"/>
    <cellStyle name="Normal 33 3 2 5 4 2 2" xfId="46061" xr:uid="{9141A41D-76E0-44AC-AD81-642ACC34AC1B}"/>
    <cellStyle name="Normal 33 3 2 5 4 3" xfId="46062" xr:uid="{6560E1AF-A408-4AA7-ADAA-A3EE7C185E53}"/>
    <cellStyle name="Normal 33 3 2 5 5" xfId="46063" xr:uid="{144178CB-1B50-4FC6-941B-7F45D5231F46}"/>
    <cellStyle name="Normal 33 3 2 5 5 2" xfId="46064" xr:uid="{0864FEDD-591A-41DD-AC05-D9764D753430}"/>
    <cellStyle name="Normal 33 3 2 5 6" xfId="46066" xr:uid="{AB6B9C10-5224-42D7-9A05-34D8162461F9}"/>
    <cellStyle name="Normal 33 3 2 5 7" xfId="46068" xr:uid="{6322823A-2067-4C0E-A68E-D66913AEEFAF}"/>
    <cellStyle name="Normal 33 3 2 6" xfId="46069" xr:uid="{73C201E8-3A4B-4C91-AB14-CE4084D5CCA3}"/>
    <cellStyle name="Normal 33 3 2 6 2" xfId="46070" xr:uid="{8925E33B-0A7D-45D5-9504-53A15F16BD56}"/>
    <cellStyle name="Normal 33 3 2 6 2 2" xfId="46071" xr:uid="{B0444824-F457-4FA2-AA32-CDC0EA01DC63}"/>
    <cellStyle name="Normal 33 3 2 6 2 2 2" xfId="46072" xr:uid="{00ABE27D-F869-4095-A618-26B4AD84484F}"/>
    <cellStyle name="Normal 33 3 2 6 2 2 2 2" xfId="46073" xr:uid="{35FAE32F-CD19-47AC-B332-39130D13EFFE}"/>
    <cellStyle name="Normal 33 3 2 6 2 2 3" xfId="46074" xr:uid="{5C2F977B-2411-4C55-AF66-88E5D803D648}"/>
    <cellStyle name="Normal 33 3 2 6 2 3" xfId="46075" xr:uid="{033848B7-9AF6-4298-A727-0BF5478ECDA8}"/>
    <cellStyle name="Normal 33 3 2 6 2 3 2" xfId="46076" xr:uid="{F2250655-CD25-4C87-80E7-6DBFE18A0E97}"/>
    <cellStyle name="Normal 33 3 2 6 2 4" xfId="20251" xr:uid="{E8369112-935A-47F1-A8C8-4BB307BF38B8}"/>
    <cellStyle name="Normal 33 3 2 6 3" xfId="46077" xr:uid="{0E524F48-300B-4444-B88B-B5EB7177C330}"/>
    <cellStyle name="Normal 33 3 2 6 3 2" xfId="46078" xr:uid="{A1659E1B-827E-4C02-95FD-794ABA57E6FD}"/>
    <cellStyle name="Normal 33 3 2 6 3 2 2" xfId="46079" xr:uid="{47792966-9F00-4C1A-A95F-E866C3F3C5CF}"/>
    <cellStyle name="Normal 33 3 2 6 3 3" xfId="46080" xr:uid="{3A4FDDF4-EB43-424D-B02F-6F2065514A0A}"/>
    <cellStyle name="Normal 33 3 2 6 4" xfId="46081" xr:uid="{93B1B560-0CF7-49B5-AB67-7C5454571378}"/>
    <cellStyle name="Normal 33 3 2 6 4 2" xfId="46082" xr:uid="{5A26F711-269D-4901-BC1F-93F6480CD65B}"/>
    <cellStyle name="Normal 33 3 2 6 5" xfId="46083" xr:uid="{060642F5-386C-4A9C-B2C0-828A169A9CBE}"/>
    <cellStyle name="Normal 33 3 2 7" xfId="46084" xr:uid="{6ABC0CAA-813B-465F-AEEF-D13B6DDA1B59}"/>
    <cellStyle name="Normal 33 3 2 7 2" xfId="46085" xr:uid="{4D555D82-D62B-4984-A572-51E6DA40CE34}"/>
    <cellStyle name="Normal 33 3 2 7 2 2" xfId="46086" xr:uid="{8ECC2879-7A50-4D73-AB56-95A6C66D8628}"/>
    <cellStyle name="Normal 33 3 2 7 2 2 2" xfId="46087" xr:uid="{9F09844F-F0DB-4476-9E0D-01A1B2633F36}"/>
    <cellStyle name="Normal 33 3 2 7 2 3" xfId="46088" xr:uid="{30091A82-9816-49F0-94BF-862CD7CAF188}"/>
    <cellStyle name="Normal 33 3 2 7 3" xfId="46089" xr:uid="{012914F9-3142-40CF-9B24-69ED41289E3A}"/>
    <cellStyle name="Normal 33 3 2 7 3 2" xfId="46090" xr:uid="{F93E2328-5A3D-4100-B020-AB043BAF1A63}"/>
    <cellStyle name="Normal 33 3 2 7 4" xfId="46091" xr:uid="{BE3EA003-BC31-49A8-9ED8-7C4E935F7108}"/>
    <cellStyle name="Normal 33 3 2 8" xfId="46092" xr:uid="{055AC8C1-78F5-4615-A513-737E56467EC0}"/>
    <cellStyle name="Normal 33 3 2 8 2" xfId="46093" xr:uid="{B5FA6385-52BE-4A89-8B5C-425BDB1638FF}"/>
    <cellStyle name="Normal 33 3 2 8 2 2" xfId="46094" xr:uid="{024E1069-ABE2-4988-8BA5-FF03583B2124}"/>
    <cellStyle name="Normal 33 3 2 8 3" xfId="46095" xr:uid="{B2D51974-809A-41E0-815B-D181AF8992CF}"/>
    <cellStyle name="Normal 33 3 2 9" xfId="46096" xr:uid="{47152216-AF4E-403D-A1D5-296B75646A19}"/>
    <cellStyle name="Normal 33 3 2 9 2" xfId="46097" xr:uid="{8ECB3702-51F2-4390-B2CD-7C86A7FB4886}"/>
    <cellStyle name="Normal 33 3 3" xfId="46098" xr:uid="{91E6B7FE-D52F-4D0C-9DB7-3B75DCACCCD4}"/>
    <cellStyle name="Normal 33 3 3 10" xfId="46099" xr:uid="{2228331F-04BF-4382-A242-9D7699E48300}"/>
    <cellStyle name="Normal 33 3 3 2" xfId="46100" xr:uid="{18F82C0D-81CB-4476-A707-30682CC949F7}"/>
    <cellStyle name="Normal 33 3 3 2 2" xfId="46101" xr:uid="{DA4AE541-8FE3-44E5-95A9-E1EC64BA875B}"/>
    <cellStyle name="Normal 33 3 3 2 2 2" xfId="46103" xr:uid="{6A304089-C587-49E3-BDCB-F1DA689A4936}"/>
    <cellStyle name="Normal 33 3 3 2 2 2 2" xfId="46105" xr:uid="{586AB4C2-5979-4E6F-A446-B4052EB56FC1}"/>
    <cellStyle name="Normal 33 3 3 2 2 2 2 2" xfId="46107" xr:uid="{0AEBFD99-CBEB-4CF3-BCAE-A4B357FE8245}"/>
    <cellStyle name="Normal 33 3 3 2 2 2 2 2 2" xfId="46109" xr:uid="{615F6E43-D625-4EDE-A341-427B188A7A30}"/>
    <cellStyle name="Normal 33 3 3 2 2 2 2 2 2 2" xfId="46111" xr:uid="{5EC16E45-BB04-4C96-98BA-AA52E9DE506F}"/>
    <cellStyle name="Normal 33 3 3 2 2 2 2 2 2 2 2" xfId="46113" xr:uid="{F2063823-6176-4724-9095-BE646544969E}"/>
    <cellStyle name="Normal 33 3 3 2 2 2 2 2 2 3" xfId="46115" xr:uid="{E05FA75A-C3C5-42F2-A425-29E4DFDB7D30}"/>
    <cellStyle name="Normal 33 3 3 2 2 2 2 2 3" xfId="46117" xr:uid="{4B7CA86F-8CDC-4C12-A3FD-BBB5EDA4AA53}"/>
    <cellStyle name="Normal 33 3 3 2 2 2 2 2 3 2" xfId="46119" xr:uid="{C7250E35-F613-4D13-92EB-BFA342359910}"/>
    <cellStyle name="Normal 33 3 3 2 2 2 2 2 4" xfId="44647" xr:uid="{A41672DB-D1D5-4BA8-8F84-F2E0B1C84F74}"/>
    <cellStyle name="Normal 33 3 3 2 2 2 2 3" xfId="690" xr:uid="{323BEC38-D7C3-41F6-B939-E91FB64128E1}"/>
    <cellStyle name="Normal 33 3 3 2 2 2 2 3 2" xfId="46121" xr:uid="{D466D579-0ABD-4115-B94B-E17E90E2B3E4}"/>
    <cellStyle name="Normal 33 3 3 2 2 2 2 3 2 2" xfId="46123" xr:uid="{3F27989C-77E7-44F3-91DC-9451D6BE2293}"/>
    <cellStyle name="Normal 33 3 3 2 2 2 2 3 3" xfId="46125" xr:uid="{46EBCD8B-5A66-46A4-99F2-F9295863D4A7}"/>
    <cellStyle name="Normal 33 3 3 2 2 2 2 4" xfId="1424" xr:uid="{274FE0CD-AEB5-42FE-A18F-2EF47ADDC11E}"/>
    <cellStyle name="Normal 33 3 3 2 2 2 2 4 2" xfId="46127" xr:uid="{D5E8BFCC-C975-4307-8A75-065548D3B719}"/>
    <cellStyle name="Normal 33 3 3 2 2 2 2 5" xfId="1324" xr:uid="{9989407D-7478-48F9-98F8-AA87B51DC14A}"/>
    <cellStyle name="Normal 33 3 3 2 2 2 3" xfId="46129" xr:uid="{690D7341-F5BC-4BD3-8D5B-FEF770AD6203}"/>
    <cellStyle name="Normal 33 3 3 2 2 2 3 2" xfId="18356" xr:uid="{F95EBAB1-15CC-4E83-A8C1-3086B05224EB}"/>
    <cellStyle name="Normal 33 3 3 2 2 2 3 2 2" xfId="46131" xr:uid="{4CF10632-5619-474F-B10C-2B41A421C190}"/>
    <cellStyle name="Normal 33 3 3 2 2 2 3 2 2 2" xfId="46133" xr:uid="{B143A593-66B1-40D6-9674-291CE437EC70}"/>
    <cellStyle name="Normal 33 3 3 2 2 2 3 2 3" xfId="46135" xr:uid="{68D76D2D-2138-43A3-BB6D-10A8B514696B}"/>
    <cellStyle name="Normal 33 3 3 2 2 2 3 3" xfId="18360" xr:uid="{80E1C7EA-7D9A-47DC-A671-4AED6DBE13D6}"/>
    <cellStyle name="Normal 33 3 3 2 2 2 3 3 2" xfId="46137" xr:uid="{453D5765-2CAB-442A-BA22-6436D38F2C4F}"/>
    <cellStyle name="Normal 33 3 3 2 2 2 3 4" xfId="18365" xr:uid="{39CE3202-74F1-42F5-B3E0-E745968F28BB}"/>
    <cellStyle name="Normal 33 3 3 2 2 2 4" xfId="46139" xr:uid="{BD38737F-68FC-4914-A61A-592F47AE6600}"/>
    <cellStyle name="Normal 33 3 3 2 2 2 4 2" xfId="18429" xr:uid="{5ADC47DE-14BA-46B6-AF54-12564374B524}"/>
    <cellStyle name="Normal 33 3 3 2 2 2 4 2 2" xfId="46141" xr:uid="{104004F6-C6AB-48E3-9133-514589DEAFA5}"/>
    <cellStyle name="Normal 33 3 3 2 2 2 4 3" xfId="46143" xr:uid="{D3AAC92E-FB21-4F1F-96EC-63F47245279F}"/>
    <cellStyle name="Normal 33 3 3 2 2 2 5" xfId="46145" xr:uid="{B8AA31D4-A1D2-4EF9-9B6C-8722CA1DD2EE}"/>
    <cellStyle name="Normal 33 3 3 2 2 2 5 2" xfId="46147" xr:uid="{F0751F2D-0B14-4ADE-B834-2B9B9109DAB4}"/>
    <cellStyle name="Normal 33 3 3 2 2 2 6" xfId="46149" xr:uid="{569C2806-B3C3-40AD-A12D-E240EC2FC14A}"/>
    <cellStyle name="Normal 33 3 3 2 2 2 7" xfId="3599" xr:uid="{07DD3B88-3257-40CC-80E0-9370E04D9D0B}"/>
    <cellStyle name="Normal 33 3 3 2 2 3" xfId="46151" xr:uid="{986CFB7A-AA0A-4FAA-922C-E5F41BCD0A0B}"/>
    <cellStyle name="Normal 33 3 3 2 2 3 2" xfId="46153" xr:uid="{F6AC1F98-ED8C-46D6-951F-8C0ACD29E664}"/>
    <cellStyle name="Normal 33 3 3 2 2 3 2 2" xfId="46155" xr:uid="{AC7978F1-AD72-49C7-A31A-992A892295C3}"/>
    <cellStyle name="Normal 33 3 3 2 2 3 2 2 2" xfId="46157" xr:uid="{3558BAD2-2D3A-4D21-8741-067214943AFF}"/>
    <cellStyle name="Normal 33 3 3 2 2 3 2 2 2 2" xfId="46159" xr:uid="{DEFD0CC0-3746-46A7-89B4-5F6288050BA2}"/>
    <cellStyle name="Normal 33 3 3 2 2 3 2 2 3" xfId="46161" xr:uid="{0A1B2021-72BA-4A5D-AEC5-F355AEEF23D5}"/>
    <cellStyle name="Normal 33 3 3 2 2 3 2 3" xfId="1512" xr:uid="{BC7C07C0-6BD9-4780-8107-97CC0A4C3757}"/>
    <cellStyle name="Normal 33 3 3 2 2 3 2 3 2" xfId="46163" xr:uid="{CACD7F4B-83F8-4660-A38E-C149085FDA7B}"/>
    <cellStyle name="Normal 33 3 3 2 2 3 2 4" xfId="1516" xr:uid="{24658FA9-CA89-4750-B8F3-2F705EE88B43}"/>
    <cellStyle name="Normal 33 3 3 2 2 3 3" xfId="46165" xr:uid="{92B368B8-49D5-4463-84C2-7E3055CDCFFB}"/>
    <cellStyle name="Normal 33 3 3 2 2 3 3 2" xfId="4771" xr:uid="{8D5E58BB-E609-4DE2-A67F-DCF57DDAFA5C}"/>
    <cellStyle name="Normal 33 3 3 2 2 3 3 2 2" xfId="46167" xr:uid="{9698BD0F-5D3D-4124-B09C-2F901D8B7508}"/>
    <cellStyle name="Normal 33 3 3 2 2 3 3 3" xfId="4795" xr:uid="{57DA59CA-6055-4058-82DE-B7E1018CB37D}"/>
    <cellStyle name="Normal 33 3 3 2 2 3 4" xfId="46169" xr:uid="{94C27326-A1EC-45C7-A614-68BCFBD618B8}"/>
    <cellStyle name="Normal 33 3 3 2 2 3 4 2" xfId="4830" xr:uid="{CBA452C9-023C-4D13-A0EE-179F2DD70267}"/>
    <cellStyle name="Normal 33 3 3 2 2 3 5" xfId="46171" xr:uid="{2C19413B-0FF3-442A-BAC4-DCA38B726EEA}"/>
    <cellStyle name="Normal 33 3 3 2 2 4" xfId="46173" xr:uid="{EEDC4D7F-12D7-420C-919F-4B06E02C2351}"/>
    <cellStyle name="Normal 33 3 3 2 2 4 2" xfId="46175" xr:uid="{CB81C7B0-EA9C-4CC0-9D54-E1DA8CA5AFA4}"/>
    <cellStyle name="Normal 33 3 3 2 2 4 2 2" xfId="46177" xr:uid="{353084B6-A1BA-4FC5-8F9D-D84FB99CA409}"/>
    <cellStyle name="Normal 33 3 3 2 2 4 2 2 2" xfId="46179" xr:uid="{2139DCD0-10F6-43DE-AF3E-45DF125825B4}"/>
    <cellStyle name="Normal 33 3 3 2 2 4 2 3" xfId="46181" xr:uid="{DC8BAF63-0E14-4E0C-BE46-0A0182F07CF8}"/>
    <cellStyle name="Normal 33 3 3 2 2 4 3" xfId="46183" xr:uid="{E95746D2-13DC-45A3-9DD1-7994ED649FF4}"/>
    <cellStyle name="Normal 33 3 3 2 2 4 3 2" xfId="46185" xr:uid="{4D8D7824-4CAC-4147-9519-55F69D7E4E19}"/>
    <cellStyle name="Normal 33 3 3 2 2 4 4" xfId="46187" xr:uid="{5B8A84D3-03C7-44E5-80A6-0DB15DABB302}"/>
    <cellStyle name="Normal 33 3 3 2 2 5" xfId="46189" xr:uid="{2BB9F4CF-908E-4D67-A429-F034DE17278A}"/>
    <cellStyle name="Normal 33 3 3 2 2 5 2" xfId="46191" xr:uid="{B83B56AD-F740-4D03-A79F-DF4752E6AACA}"/>
    <cellStyle name="Normal 33 3 3 2 2 5 2 2" xfId="46193" xr:uid="{87084D97-4B18-439D-8613-EF2EA4191034}"/>
    <cellStyle name="Normal 33 3 3 2 2 5 3" xfId="46195" xr:uid="{FAD2B79F-ED7C-46DC-AA3B-5FA9B15139AB}"/>
    <cellStyle name="Normal 33 3 3 2 2 6" xfId="46197" xr:uid="{CBFCF94C-2CC1-4175-891F-F56EAD7867CD}"/>
    <cellStyle name="Normal 33 3 3 2 2 6 2" xfId="46199" xr:uid="{133E8CB7-930A-40D9-8729-F6C44682B35D}"/>
    <cellStyle name="Normal 33 3 3 2 2 7" xfId="46200" xr:uid="{2FBB6F7B-48EC-487A-BE3B-62840EC28B97}"/>
    <cellStyle name="Normal 33 3 3 2 2 8" xfId="46201" xr:uid="{7911DD3B-9629-46F3-A16A-97A4807B9E73}"/>
    <cellStyle name="Normal 33 3 3 2 3" xfId="46204" xr:uid="{DE5DCBDD-EAB5-46AA-8019-D826913B1592}"/>
    <cellStyle name="Normal 33 3 3 2 3 2" xfId="46207" xr:uid="{927E4F9E-C877-4AEB-8CEE-79B9CB02CCF7}"/>
    <cellStyle name="Normal 33 3 3 2 3 2 2" xfId="46210" xr:uid="{06DB1865-4E88-47D9-8668-6E94651BA205}"/>
    <cellStyle name="Normal 33 3 3 2 3 2 2 2" xfId="46212" xr:uid="{00D8ED8F-526D-4120-B691-E2C3223EB952}"/>
    <cellStyle name="Normal 33 3 3 2 3 2 2 2 2" xfId="46214" xr:uid="{019435F4-73B5-48B2-9392-0C3732066D46}"/>
    <cellStyle name="Normal 33 3 3 2 3 2 2 2 2 2" xfId="46216" xr:uid="{0D0273E5-A9ED-4FAC-B6BA-F8BC309A1AD5}"/>
    <cellStyle name="Normal 33 3 3 2 3 2 2 2 3" xfId="46218" xr:uid="{F53E2E35-2D4A-43CF-8528-DDCA1BD37CF1}"/>
    <cellStyle name="Normal 33 3 3 2 3 2 2 3" xfId="46220" xr:uid="{79525D6D-8C05-4605-8DCE-FF777826C804}"/>
    <cellStyle name="Normal 33 3 3 2 3 2 2 3 2" xfId="46222" xr:uid="{00CC270F-9DDB-484E-BDC5-CCBE6A3FD4EB}"/>
    <cellStyle name="Normal 33 3 3 2 3 2 2 4" xfId="28442" xr:uid="{49A8A753-6C6F-4889-B54C-147709137069}"/>
    <cellStyle name="Normal 33 3 3 2 3 2 3" xfId="46224" xr:uid="{1F1FEBA6-E5E1-4EAD-9F2D-C4FBF57E97F1}"/>
    <cellStyle name="Normal 33 3 3 2 3 2 3 2" xfId="46226" xr:uid="{2EBD1A35-F2EA-4370-AFDA-491FFCD2F0DB}"/>
    <cellStyle name="Normal 33 3 3 2 3 2 3 2 2" xfId="46228" xr:uid="{F6600F09-6EAC-439C-BFE2-9494F85DC2E7}"/>
    <cellStyle name="Normal 33 3 3 2 3 2 3 3" xfId="46230" xr:uid="{11BCEADF-B9E7-4E63-A79A-439F89E02910}"/>
    <cellStyle name="Normal 33 3 3 2 3 2 4" xfId="46232" xr:uid="{F802A421-4322-4914-836B-952D10B7B3FF}"/>
    <cellStyle name="Normal 33 3 3 2 3 2 4 2" xfId="45132" xr:uid="{CB4665A7-5386-4428-8382-83196F60D4B1}"/>
    <cellStyle name="Normal 33 3 3 2 3 2 5" xfId="46234" xr:uid="{1402BE46-08CD-4EBF-B33C-4E526C1BB69F}"/>
    <cellStyle name="Normal 33 3 3 2 3 3" xfId="46237" xr:uid="{6B104304-E2EC-492B-B421-C378BE66344B}"/>
    <cellStyle name="Normal 33 3 3 2 3 3 2" xfId="46239" xr:uid="{B3E603AC-E445-4D86-A4EF-0A66E4540C5A}"/>
    <cellStyle name="Normal 33 3 3 2 3 3 2 2" xfId="46241" xr:uid="{0016A3CC-A794-489F-8516-5E68B2F7F333}"/>
    <cellStyle name="Normal 33 3 3 2 3 3 2 2 2" xfId="46243" xr:uid="{49CF662C-6DC9-4325-9D34-827CE2C5BF9B}"/>
    <cellStyle name="Normal 33 3 3 2 3 3 2 3" xfId="46245" xr:uid="{35CEF5A0-1DCC-42B3-8930-70A7413C7209}"/>
    <cellStyle name="Normal 33 3 3 2 3 3 3" xfId="46247" xr:uid="{B34F73D0-1004-468E-B6A9-E3CCCC5D9873}"/>
    <cellStyle name="Normal 33 3 3 2 3 3 3 2" xfId="46249" xr:uid="{9782E2A2-D275-47E8-B239-0E59B31C5A3F}"/>
    <cellStyle name="Normal 33 3 3 2 3 3 4" xfId="46251" xr:uid="{74A10272-9F63-4240-91A8-06A962AAB66E}"/>
    <cellStyle name="Normal 33 3 3 2 3 4" xfId="46253" xr:uid="{AB356E43-DACA-4AB0-A05D-1488BBA878DC}"/>
    <cellStyle name="Normal 33 3 3 2 3 4 2" xfId="46255" xr:uid="{DB99F4DE-0329-47D5-AD4B-95DEDB84604B}"/>
    <cellStyle name="Normal 33 3 3 2 3 4 2 2" xfId="46257" xr:uid="{9AAE8B2C-F194-4407-A5DB-389C4B6E46DF}"/>
    <cellStyle name="Normal 33 3 3 2 3 4 3" xfId="46259" xr:uid="{E65BF10B-A448-4A60-BD5B-C6BB3EC4CD4F}"/>
    <cellStyle name="Normal 33 3 3 2 3 5" xfId="46261" xr:uid="{084B99A8-55EA-4C78-983A-40435142C400}"/>
    <cellStyle name="Normal 33 3 3 2 3 5 2" xfId="46263" xr:uid="{2AAF51C5-FC2B-4316-B41B-84637F67DD0A}"/>
    <cellStyle name="Normal 33 3 3 2 3 6" xfId="46265" xr:uid="{DF987D3F-4098-4EEE-B2F4-5079D2DEBBEB}"/>
    <cellStyle name="Normal 33 3 3 2 3 7" xfId="46266" xr:uid="{273B4DB2-74B1-480B-AAE9-E6C58C7E36CF}"/>
    <cellStyle name="Normal 33 3 3 2 4" xfId="46268" xr:uid="{E615EF42-9A59-4B4D-A093-AE72ADD01FEE}"/>
    <cellStyle name="Normal 33 3 3 2 4 2" xfId="46272" xr:uid="{D8894BD6-98E7-4E55-919D-F01912B427DD}"/>
    <cellStyle name="Normal 33 3 3 2 4 2 2" xfId="46275" xr:uid="{9878F792-6B1A-411B-B8CD-4956598CA56C}"/>
    <cellStyle name="Normal 33 3 3 2 4 2 2 2" xfId="46278" xr:uid="{CE3F204C-B326-4958-8C55-958E3837EBDD}"/>
    <cellStyle name="Normal 33 3 3 2 4 2 2 2 2" xfId="46281" xr:uid="{7414AE4A-9580-4EF2-A1FB-506932F6E8FB}"/>
    <cellStyle name="Normal 33 3 3 2 4 2 2 3" xfId="46284" xr:uid="{C788A58F-B7A7-4664-8769-15BAA1FA2158}"/>
    <cellStyle name="Normal 33 3 3 2 4 2 3" xfId="46287" xr:uid="{181C9BFB-6801-4F93-BC38-48C33385171E}"/>
    <cellStyle name="Normal 33 3 3 2 4 2 3 2" xfId="46290" xr:uid="{8630271A-9187-40F7-A1BD-16619FE91689}"/>
    <cellStyle name="Normal 33 3 3 2 4 2 4" xfId="46293" xr:uid="{2A7AB2D3-F37C-42A5-89F4-ED7DFD9F721A}"/>
    <cellStyle name="Normal 33 3 3 2 4 3" xfId="46296" xr:uid="{8CC97CAC-E8D1-4CC4-AB32-6FB3588F3AAD}"/>
    <cellStyle name="Normal 33 3 3 2 4 3 2" xfId="46299" xr:uid="{5B94B7D4-F30F-44B7-AD2B-637BB453F2A9}"/>
    <cellStyle name="Normal 33 3 3 2 4 3 2 2" xfId="46302" xr:uid="{ACED1710-E68D-4546-B0B3-88FA0FDFDAEB}"/>
    <cellStyle name="Normal 33 3 3 2 4 3 3" xfId="46305" xr:uid="{CF3D5C47-5B2B-43BE-B910-1081178D5481}"/>
    <cellStyle name="Normal 33 3 3 2 4 4" xfId="46308" xr:uid="{329E3CF6-EA0D-4F11-910E-DA021380C4D6}"/>
    <cellStyle name="Normal 33 3 3 2 4 4 2" xfId="46311" xr:uid="{0AD5EE98-E234-4D4F-B1E4-321519BCCF06}"/>
    <cellStyle name="Normal 33 3 3 2 4 5" xfId="46314" xr:uid="{E688FFE2-B365-4A26-AE93-2FE61A442862}"/>
    <cellStyle name="Normal 33 3 3 2 5" xfId="46316" xr:uid="{835AE3D6-1648-4FC2-947C-B025A91C37A9}"/>
    <cellStyle name="Normal 33 3 3 2 5 2" xfId="46317" xr:uid="{B69714E0-3060-41BF-91BA-26F2F7219D54}"/>
    <cellStyle name="Normal 33 3 3 2 5 2 2" xfId="46318" xr:uid="{02DF12B4-F05E-44CF-85CA-1DE8CBE4275A}"/>
    <cellStyle name="Normal 33 3 3 2 5 2 2 2" xfId="23470" xr:uid="{A2249884-8DF6-453A-B58C-A28B4A0E6C34}"/>
    <cellStyle name="Normal 33 3 3 2 5 2 3" xfId="46319" xr:uid="{EA2538EB-8A58-4CED-8D5C-96AA8E36ACCB}"/>
    <cellStyle name="Normal 33 3 3 2 5 3" xfId="46320" xr:uid="{06036E28-55C7-4FEA-9855-12549C31B722}"/>
    <cellStyle name="Normal 33 3 3 2 5 3 2" xfId="46321" xr:uid="{68D3E138-471A-48E9-A249-3ADCD03C83FE}"/>
    <cellStyle name="Normal 33 3 3 2 5 4" xfId="46322" xr:uid="{89C9F8DD-0720-440E-BCA9-166677124E4F}"/>
    <cellStyle name="Normal 33 3 3 2 6" xfId="46323" xr:uid="{C4A02F61-976F-4C7E-8D1C-14E73E78670D}"/>
    <cellStyle name="Normal 33 3 3 2 6 2" xfId="46326" xr:uid="{D55CDFD3-AC80-4577-A173-3E560905ACE1}"/>
    <cellStyle name="Normal 33 3 3 2 6 2 2" xfId="46331" xr:uid="{8667F805-850F-4739-9643-7AB7BEAE53E9}"/>
    <cellStyle name="Normal 33 3 3 2 6 3" xfId="46334" xr:uid="{8258850A-93E0-4FEF-9874-7A77557DB53B}"/>
    <cellStyle name="Normal 33 3 3 2 7" xfId="46335" xr:uid="{CBF75852-4532-4E1D-B709-A64BD80BC8A6}"/>
    <cellStyle name="Normal 33 3 3 2 7 2" xfId="46338" xr:uid="{37E9038C-4A9C-45F3-A499-969688FB56F6}"/>
    <cellStyle name="Normal 33 3 3 2 8" xfId="46339" xr:uid="{6B8B2441-B62B-413C-92F0-561B768510D6}"/>
    <cellStyle name="Normal 33 3 3 2 9" xfId="46340" xr:uid="{4A3878AA-181A-4296-BBCC-F05BE3554591}"/>
    <cellStyle name="Normal 33 3 3 3" xfId="46341" xr:uid="{E04BF022-8B58-438B-A134-EA0DFD213B92}"/>
    <cellStyle name="Normal 33 3 3 3 2" xfId="46342" xr:uid="{8A17AC41-346D-42DA-9198-69FEC4D3E8CC}"/>
    <cellStyle name="Normal 33 3 3 3 2 2" xfId="46343" xr:uid="{51DEA817-17AC-4C4C-840D-F20DE34BCE4F}"/>
    <cellStyle name="Normal 33 3 3 3 2 2 2" xfId="46344" xr:uid="{CE29430F-26EA-4021-BC5B-547B222E39C4}"/>
    <cellStyle name="Normal 33 3 3 3 2 2 2 2" xfId="26704" xr:uid="{AD3B6E33-31BB-4404-A478-D92920A683A6}"/>
    <cellStyle name="Normal 33 3 3 3 2 2 2 2 2" xfId="26707" xr:uid="{D3689042-BF02-4AB5-880F-9CBAAEBDF72A}"/>
    <cellStyle name="Normal 33 3 3 3 2 2 2 2 2 2" xfId="46345" xr:uid="{2BC302CA-7FFE-486E-8B50-ABC656699F99}"/>
    <cellStyle name="Normal 33 3 3 3 2 2 2 2 3" xfId="46346" xr:uid="{D6DA53C3-3BFD-4ADA-A594-7FF075DCAFE5}"/>
    <cellStyle name="Normal 33 3 3 3 2 2 2 3" xfId="46347" xr:uid="{816B4675-B692-43C3-A0E6-9441AB2E71CA}"/>
    <cellStyle name="Normal 33 3 3 3 2 2 2 3 2" xfId="46348" xr:uid="{7EADD4D8-E2E5-42BE-ACB6-FB3ED4562ED2}"/>
    <cellStyle name="Normal 33 3 3 3 2 2 2 4" xfId="46349" xr:uid="{C9C76153-FFF0-4186-9965-3DB5E4DC5D2B}"/>
    <cellStyle name="Normal 33 3 3 3 2 2 3" xfId="46350" xr:uid="{07612FA9-0D70-46E9-ABDF-34DA419E7B8F}"/>
    <cellStyle name="Normal 33 3 3 3 2 2 3 2" xfId="26976" xr:uid="{71C9CDC1-EC31-4658-916C-6F7C2B3F1066}"/>
    <cellStyle name="Normal 33 3 3 3 2 2 3 2 2" xfId="46351" xr:uid="{74E4234D-B06C-4D55-977E-30F731611D3A}"/>
    <cellStyle name="Normal 33 3 3 3 2 2 3 3" xfId="46352" xr:uid="{2D6FC513-78CB-4ED7-A06D-71FBD23DA2FF}"/>
    <cellStyle name="Normal 33 3 3 3 2 2 4" xfId="46353" xr:uid="{C4C9EDAA-1A85-42A2-8045-2C41578C91F9}"/>
    <cellStyle name="Normal 33 3 3 3 2 2 4 2" xfId="27117" xr:uid="{97D58D77-DBC5-4E70-AA46-5BDA49FF1A37}"/>
    <cellStyle name="Normal 33 3 3 3 2 2 5" xfId="46354" xr:uid="{73647B58-786F-48E3-BEFA-3C95D022DB6E}"/>
    <cellStyle name="Normal 33 3 3 3 2 3" xfId="46355" xr:uid="{A1DC4D71-FEB4-43B1-973D-B76873CC98B5}"/>
    <cellStyle name="Normal 33 3 3 3 2 3 2" xfId="46356" xr:uid="{1D83726B-B95A-4930-8CCD-4D5DE71B41C0}"/>
    <cellStyle name="Normal 33 3 3 3 2 3 2 2" xfId="27710" xr:uid="{34EBB246-856D-4A4C-9AC2-36ACA5B23B2E}"/>
    <cellStyle name="Normal 33 3 3 3 2 3 2 2 2" xfId="46357" xr:uid="{F88B7C77-536B-449C-8E2D-799849B65B12}"/>
    <cellStyle name="Normal 33 3 3 3 2 3 2 3" xfId="46358" xr:uid="{CF9B38F1-2E10-469C-BB9A-669AD12BD797}"/>
    <cellStyle name="Normal 33 3 3 3 2 3 3" xfId="46359" xr:uid="{8E0DCC67-DF65-4F9A-8E0A-E24C7A0ED220}"/>
    <cellStyle name="Normal 33 3 3 3 2 3 3 2" xfId="5660" xr:uid="{4BAFA4BA-A2C1-464C-92C5-E45E6813F316}"/>
    <cellStyle name="Normal 33 3 3 3 2 3 4" xfId="46360" xr:uid="{0ADD860C-32A8-46CE-AA4F-636C3A96D4E3}"/>
    <cellStyle name="Normal 33 3 3 3 2 4" xfId="46361" xr:uid="{900B4D09-AD2B-409F-8BE1-2031445B53AD}"/>
    <cellStyle name="Normal 33 3 3 3 2 4 2" xfId="46362" xr:uid="{F18B817D-8D0F-483B-873A-B9A1DC734042}"/>
    <cellStyle name="Normal 33 3 3 3 2 4 2 2" xfId="28137" xr:uid="{01EE1078-16E6-4239-9907-15B395FC468C}"/>
    <cellStyle name="Normal 33 3 3 3 2 4 3" xfId="46363" xr:uid="{BD8AE431-6C8B-430E-9D31-218108E3830B}"/>
    <cellStyle name="Normal 33 3 3 3 2 5" xfId="46364" xr:uid="{EB3BC783-BA3B-4363-8AC2-2EFE072636AC}"/>
    <cellStyle name="Normal 33 3 3 3 2 5 2" xfId="46365" xr:uid="{8223E202-D6CF-4C4D-BFE8-8AF899FDABEB}"/>
    <cellStyle name="Normal 33 3 3 3 2 6" xfId="46366" xr:uid="{A3F174BE-BEB5-423A-A55A-12464AFD6C19}"/>
    <cellStyle name="Normal 33 3 3 3 2 7" xfId="46367" xr:uid="{8F3D0227-F121-417F-80B1-275A67E15B54}"/>
    <cellStyle name="Normal 33 3 3 3 3" xfId="46369" xr:uid="{873D327F-02E0-4F93-8537-8A63C14BEAF5}"/>
    <cellStyle name="Normal 33 3 3 3 3 2" xfId="46371" xr:uid="{4C2B9A5A-F157-4416-A56C-2CA9A9FAA867}"/>
    <cellStyle name="Normal 33 3 3 3 3 2 2" xfId="25971" xr:uid="{EA044998-9211-4BC8-A576-BF1E5756F846}"/>
    <cellStyle name="Normal 33 3 3 3 3 2 2 2" xfId="25974" xr:uid="{55AC5337-2BC9-4909-A28F-24C7BF25A2DA}"/>
    <cellStyle name="Normal 33 3 3 3 3 2 2 2 2" xfId="46372" xr:uid="{3BC03BB7-89B5-43EF-B7D5-D766141AEF79}"/>
    <cellStyle name="Normal 33 3 3 3 3 2 2 3" xfId="25977" xr:uid="{47806243-6DAD-4A89-A6DB-C1733EAA1986}"/>
    <cellStyle name="Normal 33 3 3 3 3 2 3" xfId="25980" xr:uid="{D5C8139B-B83A-4D66-81F5-7E4A666134C8}"/>
    <cellStyle name="Normal 33 3 3 3 3 2 3 2" xfId="25984" xr:uid="{F0614FFF-531E-4025-A27F-9B7993894C08}"/>
    <cellStyle name="Normal 33 3 3 3 3 2 4" xfId="25989" xr:uid="{666DC9EC-1F2A-42B1-9585-5EDA22A8F767}"/>
    <cellStyle name="Normal 33 3 3 3 3 3" xfId="46373" xr:uid="{3AED5CE1-32DE-4C62-8D07-4C58897AF9E2}"/>
    <cellStyle name="Normal 33 3 3 3 3 3 2" xfId="46374" xr:uid="{9DC16BDE-AB69-4863-9F96-2FAF643D7720}"/>
    <cellStyle name="Normal 33 3 3 3 3 3 2 2" xfId="46375" xr:uid="{45EC7BC1-7747-4673-8FE1-88B68CA00B25}"/>
    <cellStyle name="Normal 33 3 3 3 3 3 3" xfId="46376" xr:uid="{C9F10F35-F0E4-4707-89E1-BDD8D421AEC2}"/>
    <cellStyle name="Normal 33 3 3 3 3 4" xfId="46377" xr:uid="{C07A9975-E7A7-49D6-B552-02EC882C3B32}"/>
    <cellStyle name="Normal 33 3 3 3 3 4 2" xfId="46378" xr:uid="{B807CCB2-54B9-472E-8023-CDC6289BE738}"/>
    <cellStyle name="Normal 33 3 3 3 3 5" xfId="46379" xr:uid="{076273A1-1109-4D80-BC8C-FA81B80919BD}"/>
    <cellStyle name="Normal 33 3 3 3 4" xfId="27916" xr:uid="{F6157546-2DF8-47C1-B93E-CD3368C45836}"/>
    <cellStyle name="Normal 33 3 3 3 4 2" xfId="46380" xr:uid="{6F5E10DE-AE3E-43F2-9C45-E6B0245A6496}"/>
    <cellStyle name="Normal 33 3 3 3 4 2 2" xfId="46381" xr:uid="{609A5DF0-6368-4875-AC6B-7241CD910C06}"/>
    <cellStyle name="Normal 33 3 3 3 4 2 2 2" xfId="46382" xr:uid="{1FE8E4AB-1C4A-4AA8-BA66-E4C2E07E5AEE}"/>
    <cellStyle name="Normal 33 3 3 3 4 2 3" xfId="46383" xr:uid="{06D5C485-C060-46F2-A461-FD11FA641D84}"/>
    <cellStyle name="Normal 33 3 3 3 4 3" xfId="46384" xr:uid="{C7336192-2981-4D34-A5AC-7E09A703B001}"/>
    <cellStyle name="Normal 33 3 3 3 4 3 2" xfId="46385" xr:uid="{E6FF55A6-9F60-48B7-BEC4-3C5B8827C842}"/>
    <cellStyle name="Normal 33 3 3 3 4 4" xfId="46386" xr:uid="{B63F61C8-89AB-4921-A173-81152B60C67C}"/>
    <cellStyle name="Normal 33 3 3 3 5" xfId="46387" xr:uid="{C87C9A31-2BA3-456D-B709-03816BE094ED}"/>
    <cellStyle name="Normal 33 3 3 3 5 2" xfId="46388" xr:uid="{74B901EA-ED1C-4D27-9945-1D7DE58F392C}"/>
    <cellStyle name="Normal 33 3 3 3 5 2 2" xfId="46389" xr:uid="{2E5201F4-147C-47E0-B7DB-151B2C51E161}"/>
    <cellStyle name="Normal 33 3 3 3 5 3" xfId="46390" xr:uid="{9A6AD9B7-CB7C-42F4-95B8-0772DBAE4F54}"/>
    <cellStyle name="Normal 33 3 3 3 6" xfId="46391" xr:uid="{5949F728-7484-48ED-B976-F793A78AB8A4}"/>
    <cellStyle name="Normal 33 3 3 3 6 2" xfId="46392" xr:uid="{0A53E2C7-AAC4-44A2-B2B0-7CEDE2EEE05F}"/>
    <cellStyle name="Normal 33 3 3 3 7" xfId="46393" xr:uid="{2FBCBBFF-F90D-463D-A4F6-BD0B326541C3}"/>
    <cellStyle name="Normal 33 3 3 3 8" xfId="46394" xr:uid="{01969FEC-684F-4E9B-8091-87866EE41F6E}"/>
    <cellStyle name="Normal 33 3 3 4" xfId="46395" xr:uid="{D65F9F51-EFD3-4B5C-A8B4-514963695E81}"/>
    <cellStyle name="Normal 33 3 3 4 2" xfId="46396" xr:uid="{9DE6560C-9467-428E-A0EE-04AE818148EB}"/>
    <cellStyle name="Normal 33 3 3 4 2 2" xfId="46397" xr:uid="{834BE7FA-D68D-438C-9DD0-0DC9FEB66269}"/>
    <cellStyle name="Normal 33 3 3 4 2 2 2" xfId="46399" xr:uid="{33C24DE4-7EEB-4296-A301-E1480BF36FC9}"/>
    <cellStyle name="Normal 33 3 3 4 2 2 2 2" xfId="46401" xr:uid="{AE9D8234-749E-4D51-B64F-9E13E05FC2D8}"/>
    <cellStyle name="Normal 33 3 3 4 2 2 2 2 2" xfId="46402" xr:uid="{1DD2259A-A64F-437E-8483-72AC46CCB8BB}"/>
    <cellStyle name="Normal 33 3 3 4 2 2 2 3" xfId="46403" xr:uid="{0C43ADD8-C488-49E9-BBD5-7E0638D45FA5}"/>
    <cellStyle name="Normal 33 3 3 4 2 2 3" xfId="46405" xr:uid="{8D831BCD-44DB-42D4-B0B3-C334496FF65D}"/>
    <cellStyle name="Normal 33 3 3 4 2 2 3 2" xfId="46406" xr:uid="{693BC599-EDE2-4700-9A48-AFEA6C9A4BC0}"/>
    <cellStyle name="Normal 33 3 3 4 2 2 4" xfId="46407" xr:uid="{CE501720-9EF1-42CA-A354-2B257C714036}"/>
    <cellStyle name="Normal 33 3 3 4 2 3" xfId="46408" xr:uid="{A95BC365-B4EB-4B9B-9ACF-F0A46E507AF5}"/>
    <cellStyle name="Normal 33 3 3 4 2 3 2" xfId="46410" xr:uid="{86F09730-643E-4932-B4C0-B8616546C40C}"/>
    <cellStyle name="Normal 33 3 3 4 2 3 2 2" xfId="46411" xr:uid="{D391FD49-1BB4-490B-A98B-B663A8F60AB6}"/>
    <cellStyle name="Normal 33 3 3 4 2 3 3" xfId="46412" xr:uid="{0A6BC107-B6F4-4AF3-9715-6A0C0F773F8E}"/>
    <cellStyle name="Normal 33 3 3 4 2 4" xfId="46413" xr:uid="{D125803C-A96A-4997-82C7-CE71E5F3BCB3}"/>
    <cellStyle name="Normal 33 3 3 4 2 4 2" xfId="46414" xr:uid="{C2F2241C-04F8-46A2-A70B-602C25A76C2B}"/>
    <cellStyle name="Normal 33 3 3 4 2 5" xfId="46415" xr:uid="{FEA3F061-80C5-4A41-898B-25DA0AE7FA80}"/>
    <cellStyle name="Normal 33 3 3 4 3" xfId="46417" xr:uid="{BE9474B4-CB0D-4CEC-BCE5-A9F06F27675C}"/>
    <cellStyle name="Normal 33 3 3 4 3 2" xfId="46418" xr:uid="{5E1687EC-EDEB-4445-A472-FB618FF6D891}"/>
    <cellStyle name="Normal 33 3 3 4 3 2 2" xfId="25020" xr:uid="{BD6F630D-4EED-4EE1-8554-307E1141DF18}"/>
    <cellStyle name="Normal 33 3 3 4 3 2 2 2" xfId="46419" xr:uid="{E9277682-8772-4846-8A94-7505D626E90C}"/>
    <cellStyle name="Normal 33 3 3 4 3 2 3" xfId="25023" xr:uid="{28E7D05A-6222-471C-98A3-3D9644738122}"/>
    <cellStyle name="Normal 33 3 3 4 3 3" xfId="46420" xr:uid="{EAD59256-2FE0-4782-BF90-EA3CE07DD493}"/>
    <cellStyle name="Normal 33 3 3 4 3 3 2" xfId="46421" xr:uid="{7193670A-AB25-4AEF-A42A-AB8BDAF7C725}"/>
    <cellStyle name="Normal 33 3 3 4 3 4" xfId="46422" xr:uid="{E4800C2B-81DD-44AC-A185-41AE8AC2CE54}"/>
    <cellStyle name="Normal 33 3 3 4 4" xfId="46423" xr:uid="{4F2E51C6-DE80-487A-A404-93E0155F4376}"/>
    <cellStyle name="Normal 33 3 3 4 4 2" xfId="46424" xr:uid="{B79E1D64-8C1E-4A20-AE22-701929FFF92C}"/>
    <cellStyle name="Normal 33 3 3 4 4 2 2" xfId="46425" xr:uid="{14891600-8DCC-4712-A832-E544305E4FCD}"/>
    <cellStyle name="Normal 33 3 3 4 4 3" xfId="46426" xr:uid="{98A7E6A2-824E-4830-A70F-FEC1E69226CE}"/>
    <cellStyle name="Normal 33 3 3 4 5" xfId="46427" xr:uid="{0E76A1EC-6768-4EFD-A4CF-DA81216B80F4}"/>
    <cellStyle name="Normal 33 3 3 4 5 2" xfId="46428" xr:uid="{975522DD-6D35-4D17-87CA-54DAC59EFEEC}"/>
    <cellStyle name="Normal 33 3 3 4 6" xfId="46429" xr:uid="{928C5CF8-60FA-4580-A8D5-BA9657939DE8}"/>
    <cellStyle name="Normal 33 3 3 4 7" xfId="46430" xr:uid="{EF5B5369-349E-40DA-BA32-5AC383908D73}"/>
    <cellStyle name="Normal 33 3 3 5" xfId="43473" xr:uid="{19316F7D-76AF-4B43-A6B5-ECF4E281E6AF}"/>
    <cellStyle name="Normal 33 3 3 5 2" xfId="43475" xr:uid="{898115E0-0779-4380-B88B-141E9BE830FE}"/>
    <cellStyle name="Normal 33 3 3 5 2 2" xfId="46433" xr:uid="{1BDFE089-F69D-4F08-B5EF-98215BB760A7}"/>
    <cellStyle name="Normal 33 3 3 5 2 2 2" xfId="46437" xr:uid="{739F2EAF-6065-4517-B5E9-49B43EA88795}"/>
    <cellStyle name="Normal 33 3 3 5 2 2 2 2" xfId="46441" xr:uid="{08AC836D-563B-4248-9B37-64E4CA2A6E24}"/>
    <cellStyle name="Normal 33 3 3 5 2 2 3" xfId="46445" xr:uid="{337D7ED9-9AAE-43D1-9350-1FE5D8A28221}"/>
    <cellStyle name="Normal 33 3 3 5 2 3" xfId="46447" xr:uid="{1F2DFEA8-948A-4507-AF9E-7DBDCE856909}"/>
    <cellStyle name="Normal 33 3 3 5 2 3 2" xfId="46450" xr:uid="{3B68143F-BE29-44FA-A759-3923A2B329FC}"/>
    <cellStyle name="Normal 33 3 3 5 2 4" xfId="20259" xr:uid="{04DD90D8-1DA8-4063-9B45-CE18D46178EC}"/>
    <cellStyle name="Normal 33 3 3 5 3" xfId="46451" xr:uid="{E2C07FF0-89DB-46AC-B844-2D03BD88E050}"/>
    <cellStyle name="Normal 33 3 3 5 3 2" xfId="46452" xr:uid="{FAAED0E5-19A7-4985-80A4-05DE5669D1D9}"/>
    <cellStyle name="Normal 33 3 3 5 3 2 2" xfId="46454" xr:uid="{93635E14-E5A2-4FE0-A42E-0637F082CAD4}"/>
    <cellStyle name="Normal 33 3 3 5 3 3" xfId="46455" xr:uid="{5A7C08C1-FA20-4464-9E9F-859ED97FB815}"/>
    <cellStyle name="Normal 33 3 3 5 4" xfId="46456" xr:uid="{105440A2-0B9A-4AE9-A8A2-947D51EAF262}"/>
    <cellStyle name="Normal 33 3 3 5 4 2" xfId="46457" xr:uid="{284E2960-CC9E-4239-A365-48E50CA0D988}"/>
    <cellStyle name="Normal 33 3 3 5 5" xfId="46458" xr:uid="{8B25E8FB-0E44-45F1-A6E7-37396EE18403}"/>
    <cellStyle name="Normal 33 3 3 6" xfId="43477" xr:uid="{D728A44C-4CED-4648-947B-F2DE348E9C64}"/>
    <cellStyle name="Normal 33 3 3 6 2" xfId="46459" xr:uid="{126B7908-B6C0-43DB-AE70-77D0F226315A}"/>
    <cellStyle name="Normal 33 3 3 6 2 2" xfId="46460" xr:uid="{AB92AB29-5433-483E-A1C7-3291BDF191B3}"/>
    <cellStyle name="Normal 33 3 3 6 2 2 2" xfId="46462" xr:uid="{0B6EBF32-4381-4EA6-A3FB-F76F59CAB060}"/>
    <cellStyle name="Normal 33 3 3 6 2 3" xfId="46463" xr:uid="{05BCEAF2-FC1A-4467-836E-505D58C73924}"/>
    <cellStyle name="Normal 33 3 3 6 3" xfId="46464" xr:uid="{96FC7C82-5F16-442D-AFE6-8D7320DB38CA}"/>
    <cellStyle name="Normal 33 3 3 6 3 2" xfId="46465" xr:uid="{D7590FC7-417B-4E14-9820-EC9D398B2244}"/>
    <cellStyle name="Normal 33 3 3 6 4" xfId="21790" xr:uid="{0DADF946-B8CC-4A9A-96BC-BDBEEA82EC90}"/>
    <cellStyle name="Normal 33 3 3 7" xfId="46466" xr:uid="{8CB7EDFB-D84E-472A-B8C4-9C4B19E5AF89}"/>
    <cellStyle name="Normal 33 3 3 7 2" xfId="46467" xr:uid="{EFFB808D-A4A7-4DD6-A407-BE719BA02413}"/>
    <cellStyle name="Normal 33 3 3 7 2 2" xfId="46468" xr:uid="{639AB779-6E59-4521-9A95-452C839108C6}"/>
    <cellStyle name="Normal 33 3 3 7 3" xfId="46469" xr:uid="{5EEA265A-D5AF-4B96-95E6-AB21630BCCDE}"/>
    <cellStyle name="Normal 33 3 3 8" xfId="46470" xr:uid="{5124453E-D9E4-4871-99BB-52756F55A56C}"/>
    <cellStyle name="Normal 33 3 3 8 2" xfId="46471" xr:uid="{F7FB6979-BB88-4178-84FD-D85953872FB2}"/>
    <cellStyle name="Normal 33 3 3 9" xfId="46472" xr:uid="{C535408C-DAC2-47E8-AC91-E88883ABDE28}"/>
    <cellStyle name="Normal 33 3 4" xfId="46473" xr:uid="{5412684F-B238-4EBD-85A1-4ADD1415693F}"/>
    <cellStyle name="Normal 33 3 4 2" xfId="46474" xr:uid="{599FC6E8-B43E-4059-B00A-6090A9AB05FD}"/>
    <cellStyle name="Normal 33 3 4 2 2" xfId="46475" xr:uid="{191FF070-86E4-4DCA-ACE0-5FC951204135}"/>
    <cellStyle name="Normal 33 3 4 2 2 2" xfId="46476" xr:uid="{13963D18-A3D3-4D67-A8D2-B560F0A4A31B}"/>
    <cellStyle name="Normal 33 3 4 2 2 2 2" xfId="46477" xr:uid="{5403BEE8-0D39-44DB-92B5-128F5044264D}"/>
    <cellStyle name="Normal 33 3 4 2 2 2 2 2" xfId="46478" xr:uid="{75AFA021-9E03-4735-BEA6-BA98583B5B8C}"/>
    <cellStyle name="Normal 33 3 4 2 2 2 2 2 2" xfId="46479" xr:uid="{98C89A9A-4788-4DCC-A607-BD80FE600D83}"/>
    <cellStyle name="Normal 33 3 4 2 2 2 2 2 2 2" xfId="46480" xr:uid="{A4A019D5-FD48-4C19-B928-06193A4F4C20}"/>
    <cellStyle name="Normal 33 3 4 2 2 2 2 2 3" xfId="46481" xr:uid="{A5FC798E-3BA9-4193-925C-A03333E09820}"/>
    <cellStyle name="Normal 33 3 4 2 2 2 2 3" xfId="36845" xr:uid="{C5669127-B577-4339-A159-5C733009C3C7}"/>
    <cellStyle name="Normal 33 3 4 2 2 2 2 3 2" xfId="46482" xr:uid="{9F96B047-CD8F-445C-957E-49DFEDBAB6A1}"/>
    <cellStyle name="Normal 33 3 4 2 2 2 2 4" xfId="46483" xr:uid="{A6F6287B-85C0-4F0D-B007-D5F8984EFAC7}"/>
    <cellStyle name="Normal 33 3 4 2 2 2 3" xfId="46484" xr:uid="{D8E3619D-0B90-488B-9ED9-77435BD62CDC}"/>
    <cellStyle name="Normal 33 3 4 2 2 2 3 2" xfId="46485" xr:uid="{4EC2B9AD-DDD1-4FE7-8A07-10DAA2A72B37}"/>
    <cellStyle name="Normal 33 3 4 2 2 2 3 2 2" xfId="46486" xr:uid="{8222F950-6A3A-40A5-9AAB-40EFE997F904}"/>
    <cellStyle name="Normal 33 3 4 2 2 2 3 3" xfId="46487" xr:uid="{50E9519B-1F3D-4860-803F-47AACFF7EFDB}"/>
    <cellStyle name="Normal 33 3 4 2 2 2 4" xfId="46488" xr:uid="{8726E96E-86F5-4E81-8FC5-8DA1B281A4E9}"/>
    <cellStyle name="Normal 33 3 4 2 2 2 4 2" xfId="46489" xr:uid="{B5117CC9-8F61-488C-AB16-4D31372495FC}"/>
    <cellStyle name="Normal 33 3 4 2 2 2 5" xfId="46490" xr:uid="{8754936B-DAAE-4A8B-B9D8-5E0C8A481AF4}"/>
    <cellStyle name="Normal 33 3 4 2 2 3" xfId="46491" xr:uid="{DE6D7F00-8E22-40AE-B526-B68DB066DEC1}"/>
    <cellStyle name="Normal 33 3 4 2 2 3 2" xfId="46492" xr:uid="{941097C8-3B89-4CFF-AE8B-1B951C29D108}"/>
    <cellStyle name="Normal 33 3 4 2 2 3 2 2" xfId="46493" xr:uid="{AABB4EE8-F965-41DB-B1A3-F36B13E428BE}"/>
    <cellStyle name="Normal 33 3 4 2 2 3 2 2 2" xfId="46494" xr:uid="{998A7178-EDB9-4713-8B8E-FC793FEAFE1D}"/>
    <cellStyle name="Normal 33 3 4 2 2 3 2 3" xfId="46495" xr:uid="{68162051-2123-47BA-ABC7-0BD592F68B32}"/>
    <cellStyle name="Normal 33 3 4 2 2 3 3" xfId="46496" xr:uid="{21699A8E-68A7-4973-948D-2BF9BB0F3220}"/>
    <cellStyle name="Normal 33 3 4 2 2 3 3 2" xfId="46497" xr:uid="{091F2564-E799-45EF-82AC-39649676E57E}"/>
    <cellStyle name="Normal 33 3 4 2 2 3 4" xfId="46498" xr:uid="{71101E6F-ACE9-4CBE-91E3-1B699723E59D}"/>
    <cellStyle name="Normal 33 3 4 2 2 4" xfId="46499" xr:uid="{F7B60431-931E-42E6-B07F-E3C957991F0E}"/>
    <cellStyle name="Normal 33 3 4 2 2 4 2" xfId="46500" xr:uid="{CF175701-5EA3-4642-A07B-27318660F7D0}"/>
    <cellStyle name="Normal 33 3 4 2 2 4 2 2" xfId="46501" xr:uid="{C0CC5203-6048-4023-AADC-0EED0F682F15}"/>
    <cellStyle name="Normal 33 3 4 2 2 4 3" xfId="46502" xr:uid="{09D55873-EF86-41BB-B18A-B4996FCDF107}"/>
    <cellStyle name="Normal 33 3 4 2 2 5" xfId="46503" xr:uid="{BD1879F2-7518-4B86-B38C-10CC3FD19FCB}"/>
    <cellStyle name="Normal 33 3 4 2 2 5 2" xfId="46504" xr:uid="{A3C8D77B-E00F-4BF2-9679-89ED444227E3}"/>
    <cellStyle name="Normal 33 3 4 2 2 6" xfId="46505" xr:uid="{A57D48EF-A94E-406E-B2F5-B82F0D309456}"/>
    <cellStyle name="Normal 33 3 4 2 2 7" xfId="46506" xr:uid="{44CFCF75-DAF9-43F4-8123-1993D5A8E65D}"/>
    <cellStyle name="Normal 33 3 4 2 3" xfId="46508" xr:uid="{268C56BB-3714-4DBC-8B76-2A573EEFCD1A}"/>
    <cellStyle name="Normal 33 3 4 2 3 2" xfId="46510" xr:uid="{508E630F-B876-4E92-91B9-5D39F53A261B}"/>
    <cellStyle name="Normal 33 3 4 2 3 2 2" xfId="46511" xr:uid="{DFD23EB2-86B0-40F4-8CEB-A04FE40181BE}"/>
    <cellStyle name="Normal 33 3 4 2 3 2 2 2" xfId="46512" xr:uid="{105C1E1E-0CE1-4A1D-AC6A-8CA2849A3D77}"/>
    <cellStyle name="Normal 33 3 4 2 3 2 2 2 2" xfId="46513" xr:uid="{271CA66F-2978-4FA8-89CB-D81E48E43F51}"/>
    <cellStyle name="Normal 33 3 4 2 3 2 2 3" xfId="46514" xr:uid="{95D60259-4793-48C6-AE99-8B2CE8DBCD26}"/>
    <cellStyle name="Normal 33 3 4 2 3 2 3" xfId="46515" xr:uid="{24BC118D-3F8E-4C01-AEFD-0FF5863E2BD0}"/>
    <cellStyle name="Normal 33 3 4 2 3 2 3 2" xfId="46516" xr:uid="{2DC2A574-13A9-4826-A8B1-7857EE20F55B}"/>
    <cellStyle name="Normal 33 3 4 2 3 2 4" xfId="46517" xr:uid="{495FC939-F078-427E-A5E3-EB1E6FB2632C}"/>
    <cellStyle name="Normal 33 3 4 2 3 3" xfId="46518" xr:uid="{7F3E0DC5-100D-45D8-98AE-274A0AEE5E3E}"/>
    <cellStyle name="Normal 33 3 4 2 3 3 2" xfId="46519" xr:uid="{E7B37423-F260-4407-91EE-E7E16A0CB9A4}"/>
    <cellStyle name="Normal 33 3 4 2 3 3 2 2" xfId="46520" xr:uid="{657404E8-E789-4922-ABE1-897EC24FE4C8}"/>
    <cellStyle name="Normal 33 3 4 2 3 3 3" xfId="46521" xr:uid="{C3F3C276-1E66-4047-BE43-DEC58E9B2B69}"/>
    <cellStyle name="Normal 33 3 4 2 3 4" xfId="46522" xr:uid="{BAF6D3AD-8762-414F-9DC5-50351B36A44E}"/>
    <cellStyle name="Normal 33 3 4 2 3 4 2" xfId="46523" xr:uid="{9C3C2721-8E00-4F86-8264-16F76F8291BA}"/>
    <cellStyle name="Normal 33 3 4 2 3 5" xfId="46524" xr:uid="{C8D80DA0-8938-4426-B47E-D85D3BC0EF0A}"/>
    <cellStyle name="Normal 33 3 4 2 4" xfId="46526" xr:uid="{3DC2F31A-C661-4C60-BADE-BDE0828A069A}"/>
    <cellStyle name="Normal 33 3 4 2 4 2" xfId="46527" xr:uid="{DFBE918B-979E-4796-98E7-4DD6E3D745B8}"/>
    <cellStyle name="Normal 33 3 4 2 4 2 2" xfId="46528" xr:uid="{8E5A22B4-B25D-4204-A68F-75B06A59771F}"/>
    <cellStyle name="Normal 33 3 4 2 4 2 2 2" xfId="46529" xr:uid="{32BB1433-E8F6-4EA7-B575-559DC2A15FB8}"/>
    <cellStyle name="Normal 33 3 4 2 4 2 3" xfId="46530" xr:uid="{8FC66DA8-0079-4DA5-A73F-0735A13D4605}"/>
    <cellStyle name="Normal 33 3 4 2 4 3" xfId="46531" xr:uid="{6F169C42-37C1-4217-B930-F0510B24623B}"/>
    <cellStyle name="Normal 33 3 4 2 4 3 2" xfId="46532" xr:uid="{5CAEAD76-FB64-4111-AD2E-34035CCCC67E}"/>
    <cellStyle name="Normal 33 3 4 2 4 4" xfId="46533" xr:uid="{DACFC7D1-5D7D-4189-9E78-828161379A53}"/>
    <cellStyle name="Normal 33 3 4 2 5" xfId="46534" xr:uid="{4641AC7E-4C4C-4B22-BC20-349246BD94EE}"/>
    <cellStyle name="Normal 33 3 4 2 5 2" xfId="46535" xr:uid="{786D34DB-FFB0-4F14-ABA6-1EA5D5E1E5DB}"/>
    <cellStyle name="Normal 33 3 4 2 5 2 2" xfId="46536" xr:uid="{82E200CF-173F-49CA-866F-415E9FE31412}"/>
    <cellStyle name="Normal 33 3 4 2 5 3" xfId="46537" xr:uid="{8DE3FDC0-6D09-4BC8-BE2C-40DA85A6C67A}"/>
    <cellStyle name="Normal 33 3 4 2 6" xfId="46538" xr:uid="{5DD44D0A-5805-4447-85DB-3BD48FA388D4}"/>
    <cellStyle name="Normal 33 3 4 2 6 2" xfId="46539" xr:uid="{A36865AE-9FC2-4685-A497-D6C600647090}"/>
    <cellStyle name="Normal 33 3 4 2 7" xfId="46540" xr:uid="{9855032D-BF05-4E38-AB08-9D8EF28BB8B4}"/>
    <cellStyle name="Normal 33 3 4 2 8" xfId="46541" xr:uid="{9C3884AA-DBCE-4D32-8E06-6E626CAED551}"/>
    <cellStyle name="Normal 33 3 4 3" xfId="46542" xr:uid="{22D71D0A-371E-4688-A19F-D8A51D0BFBEF}"/>
    <cellStyle name="Normal 33 3 4 3 2" xfId="46543" xr:uid="{ADE9C01A-8127-47A3-A852-4F21F8848912}"/>
    <cellStyle name="Normal 33 3 4 3 2 2" xfId="46544" xr:uid="{0912FA5E-4451-4CBE-A5AD-7951FCA4E9A0}"/>
    <cellStyle name="Normal 33 3 4 3 2 2 2" xfId="46545" xr:uid="{3DA33E90-C638-463D-BDE8-E1FC3631651F}"/>
    <cellStyle name="Normal 33 3 4 3 2 2 2 2" xfId="46546" xr:uid="{6BCC168D-9271-42A2-9451-2D5385137F6D}"/>
    <cellStyle name="Normal 33 3 4 3 2 2 2 2 2" xfId="46547" xr:uid="{E506A397-5A0F-4757-96F4-FD56AF573D29}"/>
    <cellStyle name="Normal 33 3 4 3 2 2 2 3" xfId="46548" xr:uid="{632FE96F-70A7-4FCF-922C-93B6C1B116DB}"/>
    <cellStyle name="Normal 33 3 4 3 2 2 3" xfId="46549" xr:uid="{6EB53DD8-9CD2-476F-BBEB-0DED247BCA44}"/>
    <cellStyle name="Normal 33 3 4 3 2 2 3 2" xfId="46550" xr:uid="{2399DFEC-35CA-4394-A26A-F3B4FC04D742}"/>
    <cellStyle name="Normal 33 3 4 3 2 2 4" xfId="46551" xr:uid="{62E6236D-7FE9-4C85-AE48-A4E0EAE8CAA8}"/>
    <cellStyle name="Normal 33 3 4 3 2 3" xfId="46552" xr:uid="{E3D5BC77-FCC9-492B-9658-E6EC3C3D7095}"/>
    <cellStyle name="Normal 33 3 4 3 2 3 2" xfId="46553" xr:uid="{B358AC59-E498-4E7D-B458-B94A8812B2F8}"/>
    <cellStyle name="Normal 33 3 4 3 2 3 2 2" xfId="46554" xr:uid="{89E38968-AE36-49BB-9E1B-17E46CDF533D}"/>
    <cellStyle name="Normal 33 3 4 3 2 3 3" xfId="46555" xr:uid="{F35B291C-C819-44A4-9CA5-CB9F955F79E1}"/>
    <cellStyle name="Normal 33 3 4 3 2 4" xfId="46556" xr:uid="{AE921799-25E5-4E99-80B5-483E4C42C1B8}"/>
    <cellStyle name="Normal 33 3 4 3 2 4 2" xfId="46557" xr:uid="{F09D54C2-EE13-44B2-AB51-A02045DF5996}"/>
    <cellStyle name="Normal 33 3 4 3 2 5" xfId="46558" xr:uid="{0917B9EC-1F37-4F50-BF38-D132228315C5}"/>
    <cellStyle name="Normal 33 3 4 3 3" xfId="46560" xr:uid="{A1F7651D-7C1F-4798-8294-09EAF5B8CB87}"/>
    <cellStyle name="Normal 33 3 4 3 3 2" xfId="46561" xr:uid="{B497D1FA-BC9B-4103-92B0-AF1CA34A2C3D}"/>
    <cellStyle name="Normal 33 3 4 3 3 2 2" xfId="46562" xr:uid="{947390AC-8AFC-457E-98E9-C71598F016D0}"/>
    <cellStyle name="Normal 33 3 4 3 3 2 2 2" xfId="46563" xr:uid="{E1F2A54D-0B8C-4451-88BE-70362F5916F9}"/>
    <cellStyle name="Normal 33 3 4 3 3 2 3" xfId="46564" xr:uid="{C7399EAF-07A5-49E3-936A-651ACF98E754}"/>
    <cellStyle name="Normal 33 3 4 3 3 3" xfId="46565" xr:uid="{934D7599-2DD2-42D0-A709-2F4DFA263CF7}"/>
    <cellStyle name="Normal 33 3 4 3 3 3 2" xfId="46566" xr:uid="{B053BC7D-50BB-4525-B7E5-7DEA061A259A}"/>
    <cellStyle name="Normal 33 3 4 3 3 4" xfId="46567" xr:uid="{8DC9E364-785C-4C71-A0A2-3542F06CA617}"/>
    <cellStyle name="Normal 33 3 4 3 4" xfId="46568" xr:uid="{0586F4C6-5F9A-4C54-B3E8-3FD224AE9EEA}"/>
    <cellStyle name="Normal 33 3 4 3 4 2" xfId="46569" xr:uid="{6A2AE613-1FC1-4F30-A36F-FE87B6FDFC01}"/>
    <cellStyle name="Normal 33 3 4 3 4 2 2" xfId="46570" xr:uid="{5EFA0D9C-FC9C-4EB8-BC89-A93D37690A66}"/>
    <cellStyle name="Normal 33 3 4 3 4 3" xfId="46571" xr:uid="{63DFDC2C-36E2-4635-9C2B-10357B21E5EB}"/>
    <cellStyle name="Normal 33 3 4 3 5" xfId="46572" xr:uid="{9F269AF6-4191-4ED0-9B45-7D1716D0DB6A}"/>
    <cellStyle name="Normal 33 3 4 3 5 2" xfId="46573" xr:uid="{2CCDC9C3-EB12-4209-893E-6D78D8233ADB}"/>
    <cellStyle name="Normal 33 3 4 3 6" xfId="46575" xr:uid="{3A588EF9-3DDB-4E14-BF17-91261B033DD9}"/>
    <cellStyle name="Normal 33 3 4 3 7" xfId="46577" xr:uid="{4334E474-4F59-4582-90CF-4FE67FD8AAF2}"/>
    <cellStyle name="Normal 33 3 4 4" xfId="46578" xr:uid="{75595457-733E-44A0-A80D-91F36F9399C2}"/>
    <cellStyle name="Normal 33 3 4 4 2" xfId="46579" xr:uid="{B8AC6CE1-4FDB-4F6F-818A-781B6437B1C6}"/>
    <cellStyle name="Normal 33 3 4 4 2 2" xfId="46580" xr:uid="{E00522B8-FB45-4730-8450-4DCE80D03BB8}"/>
    <cellStyle name="Normal 33 3 4 4 2 2 2" xfId="46582" xr:uid="{70FC7975-5D06-4A74-8AE3-8AE904FE56B8}"/>
    <cellStyle name="Normal 33 3 4 4 2 2 2 2" xfId="46583" xr:uid="{52D49891-C4BE-44C4-BA8E-66156814BCFF}"/>
    <cellStyle name="Normal 33 3 4 4 2 2 3" xfId="46584" xr:uid="{BFD7C2BC-1702-405F-AE0F-D7BE6A3AA5FC}"/>
    <cellStyle name="Normal 33 3 4 4 2 3" xfId="46585" xr:uid="{93492C19-2ACC-417C-BFE6-D70EC503E3CD}"/>
    <cellStyle name="Normal 33 3 4 4 2 3 2" xfId="46586" xr:uid="{53DAF14C-DA6D-429F-968D-330D498E496E}"/>
    <cellStyle name="Normal 33 3 4 4 2 4" xfId="46587" xr:uid="{B1E206D7-5A83-41FE-ABE6-A9C13F5E87AD}"/>
    <cellStyle name="Normal 33 3 4 4 3" xfId="46588" xr:uid="{8136A480-1ABA-41A5-8496-4D572E42C05C}"/>
    <cellStyle name="Normal 33 3 4 4 3 2" xfId="46589" xr:uid="{08217ED6-3DD2-4330-9A19-14654ACC0317}"/>
    <cellStyle name="Normal 33 3 4 4 3 2 2" xfId="46590" xr:uid="{DFDC5ACD-8FA9-4DDD-958E-5F5D713EDB22}"/>
    <cellStyle name="Normal 33 3 4 4 3 3" xfId="46591" xr:uid="{753BA055-702C-4993-9A6E-3B304BF9EFF4}"/>
    <cellStyle name="Normal 33 3 4 4 4" xfId="46592" xr:uid="{E2F45D0D-0DEA-456E-9856-DECFF8B21855}"/>
    <cellStyle name="Normal 33 3 4 4 4 2" xfId="46593" xr:uid="{E17EBA5A-06F4-4AB2-9C4F-522B4E7FC664}"/>
    <cellStyle name="Normal 33 3 4 4 5" xfId="46594" xr:uid="{9AD2BE1C-B069-41AC-8AEE-09F2DAB10AB9}"/>
    <cellStyle name="Normal 33 3 4 5" xfId="43480" xr:uid="{A01528BD-C633-43A8-9AE2-B5A238AB75CB}"/>
    <cellStyle name="Normal 33 3 4 5 2" xfId="43482" xr:uid="{898B8895-1819-44F1-88F7-F46577E04EF4}"/>
    <cellStyle name="Normal 33 3 4 5 2 2" xfId="46595" xr:uid="{62CDB451-19E6-44C4-AC77-DBF873F66C2A}"/>
    <cellStyle name="Normal 33 3 4 5 2 2 2" xfId="46596" xr:uid="{58D592A5-3531-4C92-8342-97484880D6C9}"/>
    <cellStyle name="Normal 33 3 4 5 2 3" xfId="46597" xr:uid="{E6E5AD7F-3F6B-44FC-8A22-3415B8B96259}"/>
    <cellStyle name="Normal 33 3 4 5 3" xfId="46598" xr:uid="{1A435187-B3E5-4F67-969E-EF444F3F6861}"/>
    <cellStyle name="Normal 33 3 4 5 3 2" xfId="40847" xr:uid="{52755074-1FEF-41AE-9AFA-36079EB1B4D6}"/>
    <cellStyle name="Normal 33 3 4 5 4" xfId="46599" xr:uid="{464FDFEE-25AE-42E2-95E3-0609204A9F4F}"/>
    <cellStyle name="Normal 33 3 4 6" xfId="43484" xr:uid="{795E52B2-0191-4B2C-B788-E7988ACC5880}"/>
    <cellStyle name="Normal 33 3 4 6 2" xfId="46600" xr:uid="{160AED75-1DE9-4555-8D84-DA99ACC92BCC}"/>
    <cellStyle name="Normal 33 3 4 6 2 2" xfId="46601" xr:uid="{07A6E49E-1222-40C8-80D6-850784C54AC1}"/>
    <cellStyle name="Normal 33 3 4 6 3" xfId="46602" xr:uid="{8DDEBEF0-AD96-4C7A-8667-5C19DB130601}"/>
    <cellStyle name="Normal 33 3 4 7" xfId="46603" xr:uid="{EAFECFF0-6379-4051-B5E7-ABF61C1C0AF1}"/>
    <cellStyle name="Normal 33 3 4 7 2" xfId="46604" xr:uid="{F550906C-76EA-4F13-A3FF-DCE98ECB5603}"/>
    <cellStyle name="Normal 33 3 4 8" xfId="46605" xr:uid="{3393F639-4535-4AED-B6D1-BF1504D22CA7}"/>
    <cellStyle name="Normal 33 3 4 9" xfId="46606" xr:uid="{19CC65DC-A447-458E-9CAE-EE35BC26EE3C}"/>
    <cellStyle name="Normal 33 3 5" xfId="46607" xr:uid="{C25CE8AA-5586-463D-B4B7-EAD72AA6D834}"/>
    <cellStyle name="Normal 33 3 5 2" xfId="46608" xr:uid="{F379D253-F2D6-451C-9239-F6C77C634020}"/>
    <cellStyle name="Normal 33 3 5 2 2" xfId="46609" xr:uid="{98DDB0CA-50CD-4F9B-B1D8-2C7E2039F7A0}"/>
    <cellStyle name="Normal 33 3 5 2 2 2" xfId="46610" xr:uid="{CA9F2977-D14C-4C15-8AFE-7C2E0DD1655B}"/>
    <cellStyle name="Normal 33 3 5 2 2 2 2" xfId="46611" xr:uid="{45F5D053-D755-4B1D-87CA-F8D40EFA3D98}"/>
    <cellStyle name="Normal 33 3 5 2 2 2 2 2" xfId="46612" xr:uid="{1F2D7B4C-5CDE-4BB2-8AF6-609BEEF413D6}"/>
    <cellStyle name="Normal 33 3 5 2 2 2 2 2 2" xfId="46613" xr:uid="{E6CD4153-7001-4FED-9C52-9430D6852D2C}"/>
    <cellStyle name="Normal 33 3 5 2 2 2 2 3" xfId="27895" xr:uid="{67EFEB57-28B3-4398-8288-360C97918B71}"/>
    <cellStyle name="Normal 33 3 5 2 2 2 3" xfId="46614" xr:uid="{9438424B-199A-4D95-9911-3FEB111C8838}"/>
    <cellStyle name="Normal 33 3 5 2 2 2 3 2" xfId="46615" xr:uid="{A1D4B42D-84BA-472F-8AC8-C9D4B64CDBB8}"/>
    <cellStyle name="Normal 33 3 5 2 2 2 4" xfId="46616" xr:uid="{4AEC8631-66BA-4D93-A576-0315BB865B69}"/>
    <cellStyle name="Normal 33 3 5 2 2 3" xfId="46617" xr:uid="{BD885D09-257E-4946-A168-56E353E44586}"/>
    <cellStyle name="Normal 33 3 5 2 2 3 2" xfId="46618" xr:uid="{CBC8B12C-1D58-4175-AE6E-ACD453BCBDC9}"/>
    <cellStyle name="Normal 33 3 5 2 2 3 2 2" xfId="46619" xr:uid="{24528BC2-2080-49D1-9E3A-6B7E6E44CE1D}"/>
    <cellStyle name="Normal 33 3 5 2 2 3 3" xfId="46620" xr:uid="{958DE35A-B2AF-4049-831F-53ADFB082444}"/>
    <cellStyle name="Normal 33 3 5 2 2 4" xfId="46621" xr:uid="{419C3FB1-79C4-45DF-ACB7-B846FDEA361D}"/>
    <cellStyle name="Normal 33 3 5 2 2 4 2" xfId="46622" xr:uid="{5B4F20DF-C938-481A-90CC-A3D783CCCD72}"/>
    <cellStyle name="Normal 33 3 5 2 2 5" xfId="46623" xr:uid="{2927D739-E744-4AAF-AE09-1A49B09BBDCB}"/>
    <cellStyle name="Normal 33 3 5 2 3" xfId="46625" xr:uid="{DBB9761C-76F7-4BC6-B97E-FD40AE98C549}"/>
    <cellStyle name="Normal 33 3 5 2 3 2" xfId="46626" xr:uid="{B27D47A8-CB8E-4243-BB8F-14943CF12A03}"/>
    <cellStyle name="Normal 33 3 5 2 3 2 2" xfId="46627" xr:uid="{2A2AB304-0AA8-46F7-8DA0-B91FDA7CFDF3}"/>
    <cellStyle name="Normal 33 3 5 2 3 2 2 2" xfId="46628" xr:uid="{42313616-99B0-4712-93E8-4AB3BB059380}"/>
    <cellStyle name="Normal 33 3 5 2 3 2 3" xfId="46629" xr:uid="{2E314FF9-5170-4525-B594-531C40CB35E8}"/>
    <cellStyle name="Normal 33 3 5 2 3 3" xfId="46630" xr:uid="{69629415-FBBA-4091-8078-EDBEAC5DD4B4}"/>
    <cellStyle name="Normal 33 3 5 2 3 3 2" xfId="46631" xr:uid="{38947E81-473D-4B0D-A773-84828D6EBEBD}"/>
    <cellStyle name="Normal 33 3 5 2 3 4" xfId="46632" xr:uid="{23C30208-EA02-4533-A8AC-1C0FCF13F7D6}"/>
    <cellStyle name="Normal 33 3 5 2 4" xfId="46633" xr:uid="{986AA0D8-177D-4507-B58B-4058D47F49D7}"/>
    <cellStyle name="Normal 33 3 5 2 4 2" xfId="46634" xr:uid="{D7D80BD3-0CF6-4438-95D6-5ACC307FE1CA}"/>
    <cellStyle name="Normal 33 3 5 2 4 2 2" xfId="46635" xr:uid="{4A1BAC99-ED57-4BAF-B651-6E0607E40A11}"/>
    <cellStyle name="Normal 33 3 5 2 4 3" xfId="46636" xr:uid="{D4760801-FCBD-4344-B065-0512981BE8A7}"/>
    <cellStyle name="Normal 33 3 5 2 5" xfId="46637" xr:uid="{340B77C0-BD30-46B5-8F18-0A6C84B78435}"/>
    <cellStyle name="Normal 33 3 5 2 5 2" xfId="46638" xr:uid="{1AC8AAD1-2616-47E6-A92A-508F044628F5}"/>
    <cellStyle name="Normal 33 3 5 2 6" xfId="46639" xr:uid="{FAC31B52-7B82-49C5-B750-90CA853CE8AB}"/>
    <cellStyle name="Normal 33 3 5 2 7" xfId="46640" xr:uid="{CB288F7D-8FBF-49F4-865E-6CE3733C06EB}"/>
    <cellStyle name="Normal 33 3 5 3" xfId="46641" xr:uid="{BDFDFA2F-2478-483F-91F9-190BF8B1C0AE}"/>
    <cellStyle name="Normal 33 3 5 3 2" xfId="46642" xr:uid="{13F656A4-16B3-4010-9AFD-834C50A10AA4}"/>
    <cellStyle name="Normal 33 3 5 3 2 2" xfId="46643" xr:uid="{82BDB371-DE29-405D-B1AF-C2878682A53E}"/>
    <cellStyle name="Normal 33 3 5 3 2 2 2" xfId="46644" xr:uid="{ADB480AD-20AC-455F-A7EB-C41FBFC789A7}"/>
    <cellStyle name="Normal 33 3 5 3 2 2 2 2" xfId="46646" xr:uid="{3354727B-0877-4A29-9803-ECED5B8A331B}"/>
    <cellStyle name="Normal 33 3 5 3 2 2 3" xfId="46647" xr:uid="{98E4C6A7-4672-4011-8CA7-577BB742D8BC}"/>
    <cellStyle name="Normal 33 3 5 3 2 3" xfId="46648" xr:uid="{FA657758-B17F-4BAB-A6BD-EEB4D9530E6B}"/>
    <cellStyle name="Normal 33 3 5 3 2 3 2" xfId="46649" xr:uid="{D08C9CF0-0286-4439-BE22-E737751653EB}"/>
    <cellStyle name="Normal 33 3 5 3 2 4" xfId="46650" xr:uid="{E15D5AF6-0C85-43EC-8E67-232CBBCAF710}"/>
    <cellStyle name="Normal 33 3 5 3 3" xfId="46651" xr:uid="{77014D63-866E-42B8-8E0D-6A87380665D0}"/>
    <cellStyle name="Normal 33 3 5 3 3 2" xfId="46652" xr:uid="{A3E7E493-23D0-45FD-B9B1-3912FCABD250}"/>
    <cellStyle name="Normal 33 3 5 3 3 2 2" xfId="46653" xr:uid="{DEA20240-0E7A-4447-B011-A29CFC90D487}"/>
    <cellStyle name="Normal 33 3 5 3 3 3" xfId="46654" xr:uid="{78F57ED0-B632-4FA2-BC21-33AA20F16CD9}"/>
    <cellStyle name="Normal 33 3 5 3 4" xfId="46655" xr:uid="{130365D4-B41C-44E9-8D4E-D77943518F35}"/>
    <cellStyle name="Normal 33 3 5 3 4 2" xfId="46656" xr:uid="{F2AA8678-88FC-4817-8A9A-310CD2FDF7FC}"/>
    <cellStyle name="Normal 33 3 5 3 5" xfId="46657" xr:uid="{E05E785E-2B43-4646-A2AE-FA2C4858CD5E}"/>
    <cellStyle name="Normal 33 3 5 4" xfId="46658" xr:uid="{ED131838-1427-49FF-B025-DB79D57B8ABD}"/>
    <cellStyle name="Normal 33 3 5 4 2" xfId="46659" xr:uid="{206CB665-834E-4663-888B-F39733F39A02}"/>
    <cellStyle name="Normal 33 3 5 4 2 2" xfId="46660" xr:uid="{ED946D58-F81C-468B-8CD6-23C20137FB33}"/>
    <cellStyle name="Normal 33 3 5 4 2 2 2" xfId="46661" xr:uid="{32AE0CEF-1D15-4556-98BB-5B7A2740E6AB}"/>
    <cellStyle name="Normal 33 3 5 4 2 3" xfId="46662" xr:uid="{1A03DFA2-3FB6-4E76-824B-AD6E1016D0F0}"/>
    <cellStyle name="Normal 33 3 5 4 3" xfId="46663" xr:uid="{E99F50DD-013B-4562-9779-B523C8438F62}"/>
    <cellStyle name="Normal 33 3 5 4 3 2" xfId="46664" xr:uid="{5A890FB4-90ED-43C5-8D6D-11F60D9DD952}"/>
    <cellStyle name="Normal 33 3 5 4 4" xfId="46665" xr:uid="{BB2FBC81-DB71-4362-B2F6-F8C92735FE84}"/>
    <cellStyle name="Normal 33 3 5 5" xfId="43487" xr:uid="{7658EC97-D63F-4E69-ABE5-7CC5D0B8A667}"/>
    <cellStyle name="Normal 33 3 5 5 2" xfId="46666" xr:uid="{3C9A0CEE-1D8C-417F-89B7-8F3CDB2715E8}"/>
    <cellStyle name="Normal 33 3 5 5 2 2" xfId="46667" xr:uid="{3C7EAD11-25E3-4348-AAD1-BE4E61841B53}"/>
    <cellStyle name="Normal 33 3 5 5 3" xfId="10537" xr:uid="{6DB78445-7568-4FE1-B8E6-38296CFAF9D8}"/>
    <cellStyle name="Normal 33 3 5 6" xfId="46668" xr:uid="{5B338C9E-FFAF-4341-89AC-12DF0EF46986}"/>
    <cellStyle name="Normal 33 3 5 6 2" xfId="46669" xr:uid="{21B1C932-9D76-40EB-9A04-1A67873006C3}"/>
    <cellStyle name="Normal 33 3 5 7" xfId="46670" xr:uid="{2B70B33A-A20A-4D8C-8E6A-36D2FDFF9BE7}"/>
    <cellStyle name="Normal 33 3 5 8" xfId="46671" xr:uid="{90FF3736-C0C6-40DD-A78F-BF68613BF2AD}"/>
    <cellStyle name="Normal 33 3 6" xfId="46672" xr:uid="{E834D0ED-99E1-477C-A358-80C68D63BDCE}"/>
    <cellStyle name="Normal 33 3 6 2" xfId="46673" xr:uid="{7BBDB7A4-88C4-43B7-9128-A0BD3C93332A}"/>
    <cellStyle name="Normal 33 3 6 2 2" xfId="46674" xr:uid="{12B90186-AC2A-45A5-B031-5A406C54390F}"/>
    <cellStyle name="Normal 33 3 6 2 2 2" xfId="46675" xr:uid="{D8116271-341A-4C08-8094-DAB9E12D27A6}"/>
    <cellStyle name="Normal 33 3 6 2 2 2 2" xfId="46676" xr:uid="{F1F81FF1-DBE8-4460-B4BE-430504DB5F33}"/>
    <cellStyle name="Normal 33 3 6 2 2 2 2 2" xfId="46677" xr:uid="{AC21BFE5-4D46-4116-B8C3-49ED85D081BD}"/>
    <cellStyle name="Normal 33 3 6 2 2 2 3" xfId="46678" xr:uid="{0B268C08-013E-4B86-8850-47429BB8A173}"/>
    <cellStyle name="Normal 33 3 6 2 2 3" xfId="46679" xr:uid="{3976B735-8230-46DA-BE5B-E343F1AC5EC1}"/>
    <cellStyle name="Normal 33 3 6 2 2 3 2" xfId="46680" xr:uid="{4CC13789-E83A-4FA9-A0D3-AE83F6C4F428}"/>
    <cellStyle name="Normal 33 3 6 2 2 4" xfId="46681" xr:uid="{574E1AF9-1819-4B4F-9F81-531065EAA61D}"/>
    <cellStyle name="Normal 33 3 6 2 3" xfId="46682" xr:uid="{A452983F-D09F-4DAD-9403-AF97AA8CCA82}"/>
    <cellStyle name="Normal 33 3 6 2 3 2" xfId="46683" xr:uid="{8E0AE0B9-E673-4280-B044-1859DCFA9399}"/>
    <cellStyle name="Normal 33 3 6 2 3 2 2" xfId="46684" xr:uid="{48881D79-7786-419E-9D1C-E8B50D0B070E}"/>
    <cellStyle name="Normal 33 3 6 2 3 3" xfId="46685" xr:uid="{4438FBBE-EBB5-4E70-B17C-45846812932A}"/>
    <cellStyle name="Normal 33 3 6 2 4" xfId="46686" xr:uid="{1050C9AC-EDA1-4037-AC72-8A1613435E9A}"/>
    <cellStyle name="Normal 33 3 6 2 4 2" xfId="46687" xr:uid="{FE5F3373-BE44-4D3A-8162-26E3B058426B}"/>
    <cellStyle name="Normal 33 3 6 2 5" xfId="46688" xr:uid="{7B15E164-AB5B-40A4-B480-058C1E115E81}"/>
    <cellStyle name="Normal 33 3 6 3" xfId="46689" xr:uid="{3FA11FD7-77B4-4694-8C45-6D252A769EB4}"/>
    <cellStyle name="Normal 33 3 6 3 2" xfId="46690" xr:uid="{63444E8E-C215-4C32-B0C4-CCEF15693DAE}"/>
    <cellStyle name="Normal 33 3 6 3 2 2" xfId="46691" xr:uid="{56148806-14AD-42E2-9B6E-E08C03A7FC42}"/>
    <cellStyle name="Normal 33 3 6 3 2 2 2" xfId="46692" xr:uid="{A336DABF-63AA-4A30-9340-17D2C9450AC5}"/>
    <cellStyle name="Normal 33 3 6 3 2 3" xfId="46693" xr:uid="{AD9EE77D-465F-44BE-A672-61B365E0030E}"/>
    <cellStyle name="Normal 33 3 6 3 3" xfId="46694" xr:uid="{6118E11E-2568-436D-8373-78C37A80124D}"/>
    <cellStyle name="Normal 33 3 6 3 3 2" xfId="46695" xr:uid="{6E9090AD-2A47-4530-93EB-4A7ED78F2F2B}"/>
    <cellStyle name="Normal 33 3 6 3 4" xfId="46696" xr:uid="{79FBA8FC-BBE4-46AC-BF7C-3B49DB8F7969}"/>
    <cellStyle name="Normal 33 3 6 4" xfId="46697" xr:uid="{96292ADE-F99B-48E6-ACDE-29A82BA05CF4}"/>
    <cellStyle name="Normal 33 3 6 4 2" xfId="46698" xr:uid="{873B8D6A-7E99-4674-BD02-67CE33ACA81C}"/>
    <cellStyle name="Normal 33 3 6 4 2 2" xfId="46699" xr:uid="{9083AD74-86B3-4697-A3B9-9E514E0115A2}"/>
    <cellStyle name="Normal 33 3 6 4 3" xfId="46700" xr:uid="{B89E8B4C-675F-4F03-98EB-45B77DB59B48}"/>
    <cellStyle name="Normal 33 3 6 5" xfId="46701" xr:uid="{A209C653-94F1-40B4-B040-46E9A79816CB}"/>
    <cellStyle name="Normal 33 3 6 5 2" xfId="46702" xr:uid="{65F24C6C-BE8E-4C3E-AA07-EC1C26F3762F}"/>
    <cellStyle name="Normal 33 3 6 6" xfId="46703" xr:uid="{2079CDFD-C103-47C3-912A-9438091B348A}"/>
    <cellStyle name="Normal 33 3 6 7" xfId="46704" xr:uid="{B3597F01-CD94-4B0A-BF1C-510E490918D0}"/>
    <cellStyle name="Normal 33 3 7" xfId="46705" xr:uid="{E3976017-98B9-4FA1-A0C3-E4DCE59AD0E9}"/>
    <cellStyle name="Normal 33 3 7 2" xfId="46706" xr:uid="{5A359CFC-0B0B-447D-BA28-41CF6AAAFDEE}"/>
    <cellStyle name="Normal 33 3 7 2 2" xfId="46707" xr:uid="{2C1D8C4B-F78A-4001-BF6E-DE30A8E25E91}"/>
    <cellStyle name="Normal 33 3 7 2 2 2" xfId="46708" xr:uid="{976D1DA6-4376-4295-B55C-F11856B724BE}"/>
    <cellStyle name="Normal 33 3 7 2 2 2 2" xfId="46709" xr:uid="{636B70CC-5F4D-47DC-84CB-C130968428E5}"/>
    <cellStyle name="Normal 33 3 7 2 2 3" xfId="46710" xr:uid="{237DE732-5027-4EE0-89F1-6EE155BAF23F}"/>
    <cellStyle name="Normal 33 3 7 2 3" xfId="46711" xr:uid="{607A920C-D325-438F-8346-AF4866391A76}"/>
    <cellStyle name="Normal 33 3 7 2 3 2" xfId="46712" xr:uid="{F1FB07AA-B5A9-40C1-9818-F73D9B63BE41}"/>
    <cellStyle name="Normal 33 3 7 2 4" xfId="46713" xr:uid="{907A1BD8-D5BA-4E3A-95E6-6C85E57D4F47}"/>
    <cellStyle name="Normal 33 3 7 3" xfId="46714" xr:uid="{6444C607-309F-4E11-81BE-04DFB34F2186}"/>
    <cellStyle name="Normal 33 3 7 3 2" xfId="46715" xr:uid="{5362A619-C1F2-447F-82CF-B5585C7B99EB}"/>
    <cellStyle name="Normal 33 3 7 3 2 2" xfId="46716" xr:uid="{B4645723-F3FF-44CB-89B5-9053DF62F375}"/>
    <cellStyle name="Normal 33 3 7 3 3" xfId="46717" xr:uid="{89C96A7D-4244-4FB3-9FB8-6C5B6DC187ED}"/>
    <cellStyle name="Normal 33 3 7 4" xfId="46718" xr:uid="{8E33E011-DAB9-4102-965E-B847145276F8}"/>
    <cellStyle name="Normal 33 3 7 4 2" xfId="46719" xr:uid="{229D0275-072A-4CF8-8EED-202F5598F3A2}"/>
    <cellStyle name="Normal 33 3 7 5" xfId="46720" xr:uid="{E203383F-33D3-4753-B4C1-B65077777515}"/>
    <cellStyle name="Normal 33 3 8" xfId="46721" xr:uid="{1C14104E-EB56-4154-A889-BABA44D26F0E}"/>
    <cellStyle name="Normal 33 3 8 2" xfId="46722" xr:uid="{4C926D3E-0394-43C4-BCBF-F3871075F01A}"/>
    <cellStyle name="Normal 33 3 8 2 2" xfId="46723" xr:uid="{07974BAA-982B-4846-8E13-557EC7231E5F}"/>
    <cellStyle name="Normal 33 3 8 2 2 2" xfId="46724" xr:uid="{9F68DCD0-53C5-4F02-9DD0-FF2723D069D2}"/>
    <cellStyle name="Normal 33 3 8 2 3" xfId="46725" xr:uid="{E97759D8-CC75-44C8-8EFC-FB4DCC1A236B}"/>
    <cellStyle name="Normal 33 3 8 3" xfId="46726" xr:uid="{A585C4B7-A37C-4678-B47C-CBE8294120A7}"/>
    <cellStyle name="Normal 33 3 8 3 2" xfId="46727" xr:uid="{21B6B095-082A-4119-A425-A78FEB854371}"/>
    <cellStyle name="Normal 33 3 8 4" xfId="46728" xr:uid="{491FCFF1-057A-4A14-B684-AB647DA7EFFB}"/>
    <cellStyle name="Normal 33 3 9" xfId="46729" xr:uid="{FAF58773-4982-4FE0-AA08-E4B6B278CB00}"/>
    <cellStyle name="Normal 33 3 9 2" xfId="46730" xr:uid="{FB83E10D-3634-4EFC-B6CB-87980F4140D7}"/>
    <cellStyle name="Normal 33 3 9 2 2" xfId="46731" xr:uid="{661212C8-28C3-4654-9E10-9FB67E0E2810}"/>
    <cellStyle name="Normal 33 3 9 3" xfId="46732" xr:uid="{F1E78C25-F191-49B9-91B8-6AF1688D6A34}"/>
    <cellStyle name="Normal 33 4" xfId="26571" xr:uid="{3DCCA400-2092-4FD0-9388-9C22512AB3D0}"/>
    <cellStyle name="Normal 33 4 10" xfId="46733" xr:uid="{27147218-B35C-4DCC-80C7-B01046AAADE7}"/>
    <cellStyle name="Normal 33 4 11" xfId="46734" xr:uid="{11FCC9C2-F3C6-4AAF-AD41-06201148902C}"/>
    <cellStyle name="Normal 33 4 2" xfId="46735" xr:uid="{5C9AD62F-1CC7-442B-B568-5D14B10A32DE}"/>
    <cellStyle name="Normal 33 4 2 10" xfId="46736" xr:uid="{420C694C-FCC9-4A7C-8EDB-4BF3D10DE6B9}"/>
    <cellStyle name="Normal 33 4 2 2" xfId="46737" xr:uid="{609E92CC-0D3F-4399-AC20-A77ACBFAFB97}"/>
    <cellStyle name="Normal 33 4 2 2 2" xfId="13436" xr:uid="{54541847-2622-44F3-BD86-0083ADF2A9C7}"/>
    <cellStyle name="Normal 33 4 2 2 2 2" xfId="46738" xr:uid="{130B7D7F-9BF8-48CA-B8FF-33D5664A5FE4}"/>
    <cellStyle name="Normal 33 4 2 2 2 2 2" xfId="46739" xr:uid="{C2D91F61-C1E8-4C71-881B-E22F8525471D}"/>
    <cellStyle name="Normal 33 4 2 2 2 2 2 2" xfId="46740" xr:uid="{D0F150AD-1E38-4D0C-A6A5-BB966A54582A}"/>
    <cellStyle name="Normal 33 4 2 2 2 2 2 2 2" xfId="46741" xr:uid="{3A9B30F3-B699-450C-A804-A9B66D6D3043}"/>
    <cellStyle name="Normal 33 4 2 2 2 2 2 2 2 2" xfId="46742" xr:uid="{24B6CE96-1901-491A-9B11-374734557855}"/>
    <cellStyle name="Normal 33 4 2 2 2 2 2 2 2 2 2" xfId="46743" xr:uid="{5FC7915E-11EF-48E5-928E-95C0FEF2FDC9}"/>
    <cellStyle name="Normal 33 4 2 2 2 2 2 2 2 3" xfId="46744" xr:uid="{371A3E95-CA6C-4D88-B9DE-53C7C46FD0D5}"/>
    <cellStyle name="Normal 33 4 2 2 2 2 2 2 3" xfId="46745" xr:uid="{13EC59C1-B1F6-49E9-9C15-FADE2E9598BB}"/>
    <cellStyle name="Normal 33 4 2 2 2 2 2 2 3 2" xfId="46746" xr:uid="{81B4D5F5-AE30-4B9C-B0AC-A3835ADCA922}"/>
    <cellStyle name="Normal 33 4 2 2 2 2 2 2 4" xfId="45673" xr:uid="{76E88B8C-46D1-43D9-BBE8-0EF328AB1F3A}"/>
    <cellStyle name="Normal 33 4 2 2 2 2 2 3" xfId="1491" xr:uid="{1C3E03C6-B7D2-4D44-8176-7F85A844ED57}"/>
    <cellStyle name="Normal 33 4 2 2 2 2 2 3 2" xfId="1925" xr:uid="{0E91DA5B-52DB-4DA6-9CF0-1ABAFB62EE74}"/>
    <cellStyle name="Normal 33 4 2 2 2 2 2 3 2 2" xfId="3298" xr:uid="{BCB1EB2E-DC15-408A-81A0-3850FAA94E02}"/>
    <cellStyle name="Normal 33 4 2 2 2 2 2 3 3" xfId="3862" xr:uid="{18FD5DD9-98F5-4F4F-976B-37A39FF8C600}"/>
    <cellStyle name="Normal 33 4 2 2 2 2 2 4" xfId="1501" xr:uid="{DE4521C4-7C85-422B-A9F5-C95C78094077}"/>
    <cellStyle name="Normal 33 4 2 2 2 2 2 4 2" xfId="3871" xr:uid="{6D65C197-7FDA-4995-81CA-9E9D8C712FA1}"/>
    <cellStyle name="Normal 33 4 2 2 2 2 2 5" xfId="3593" xr:uid="{4BE3C77F-31D6-4726-9FE2-7A33C2D444E7}"/>
    <cellStyle name="Normal 33 4 2 2 2 2 3" xfId="46747" xr:uid="{B47A68B5-0EDE-47C7-A360-5500B29F70E5}"/>
    <cellStyle name="Normal 33 4 2 2 2 2 3 2" xfId="46748" xr:uid="{B58A41E6-D6DB-4F31-A1FD-5316AF02F2DB}"/>
    <cellStyle name="Normal 33 4 2 2 2 2 3 2 2" xfId="46749" xr:uid="{6D766C4C-C5B9-4A44-A46D-2564A11077BA}"/>
    <cellStyle name="Normal 33 4 2 2 2 2 3 2 2 2" xfId="46750" xr:uid="{C7FE173E-8E69-4D0E-B316-FDF70CDFEC63}"/>
    <cellStyle name="Normal 33 4 2 2 2 2 3 2 3" xfId="46751" xr:uid="{CFDB9BB5-5022-48D3-98C9-DFDE009FBFFA}"/>
    <cellStyle name="Normal 33 4 2 2 2 2 3 3" xfId="416" xr:uid="{1D294004-4C79-44FE-ACCC-ABCB88E9F177}"/>
    <cellStyle name="Normal 33 4 2 2 2 2 3 3 2" xfId="3885" xr:uid="{A94C39C6-186E-45E6-9287-E28610C52B8C}"/>
    <cellStyle name="Normal 33 4 2 2 2 2 3 4" xfId="434" xr:uid="{47F57D5B-2051-4356-95E5-53C1318FC688}"/>
    <cellStyle name="Normal 33 4 2 2 2 2 4" xfId="46752" xr:uid="{C2FC124A-A0A8-44BB-8A97-D4BC1B16D56E}"/>
    <cellStyle name="Normal 33 4 2 2 2 2 4 2" xfId="46753" xr:uid="{EDBD02C3-E13E-49FB-9FA5-78AC11DFDF7F}"/>
    <cellStyle name="Normal 33 4 2 2 2 2 4 2 2" xfId="46754" xr:uid="{778DEDC4-B0EA-42D3-AC7F-E5F659DB1F77}"/>
    <cellStyle name="Normal 33 4 2 2 2 2 4 3" xfId="1553" xr:uid="{5FF23E70-4F0F-4D28-9733-954E2119712D}"/>
    <cellStyle name="Normal 33 4 2 2 2 2 5" xfId="46755" xr:uid="{9B8A1100-A1C7-471C-A054-89D2836FA42C}"/>
    <cellStyle name="Normal 33 4 2 2 2 2 5 2" xfId="46756" xr:uid="{A0EAF329-0AE1-4B96-9CA8-67208F46DE36}"/>
    <cellStyle name="Normal 33 4 2 2 2 2 6" xfId="46757" xr:uid="{FA306721-AF1B-4F95-947F-903870C78F27}"/>
    <cellStyle name="Normal 33 4 2 2 2 2 7" xfId="46758" xr:uid="{05EAD9A7-B6C6-42EE-8272-8F9C600A8939}"/>
    <cellStyle name="Normal 33 4 2 2 2 3" xfId="46759" xr:uid="{05EAA96E-685B-4211-AC19-360A31D2BC7E}"/>
    <cellStyle name="Normal 33 4 2 2 2 3 2" xfId="46760" xr:uid="{D6E3792B-39AD-414C-B4E0-54211C1D357A}"/>
    <cellStyle name="Normal 33 4 2 2 2 3 2 2" xfId="46761" xr:uid="{76E7DDC4-3840-4B4B-A88C-70141012836B}"/>
    <cellStyle name="Normal 33 4 2 2 2 3 2 2 2" xfId="46762" xr:uid="{20712879-59F2-493D-AB3A-19AF900B23E3}"/>
    <cellStyle name="Normal 33 4 2 2 2 3 2 2 2 2" xfId="46763" xr:uid="{DA747E06-43A2-40A6-9E03-F3E0EFB130D8}"/>
    <cellStyle name="Normal 33 4 2 2 2 3 2 2 3" xfId="46764" xr:uid="{9C8D9B6B-673B-44F4-BEBD-503860527FEF}"/>
    <cellStyle name="Normal 33 4 2 2 2 3 2 3" xfId="3971" xr:uid="{AF5807EF-C6F1-4BF5-ACFE-CFFD77EDF569}"/>
    <cellStyle name="Normal 33 4 2 2 2 3 2 3 2" xfId="3978" xr:uid="{7A8AB5D9-D342-4DF1-BAD0-109CE2FD9027}"/>
    <cellStyle name="Normal 33 4 2 2 2 3 2 4" xfId="3983" xr:uid="{BB5DEB02-3E54-48AD-805B-8E7C3189AF51}"/>
    <cellStyle name="Normal 33 4 2 2 2 3 3" xfId="46765" xr:uid="{C427C25C-D56E-444A-8C4D-C81554D21881}"/>
    <cellStyle name="Normal 33 4 2 2 2 3 3 2" xfId="46766" xr:uid="{BA1DB64A-5E89-42B7-B0D2-11E5AA97C258}"/>
    <cellStyle name="Normal 33 4 2 2 2 3 3 2 2" xfId="46767" xr:uid="{14660408-EC64-40FE-9709-127112ACE2F9}"/>
    <cellStyle name="Normal 33 4 2 2 2 3 3 3" xfId="3991" xr:uid="{5976C0C0-9802-4293-BDB6-6D7B5F943A94}"/>
    <cellStyle name="Normal 33 4 2 2 2 3 4" xfId="46768" xr:uid="{9C0F1F29-16AD-408E-AF4A-31B4B1D8EEAB}"/>
    <cellStyle name="Normal 33 4 2 2 2 3 4 2" xfId="46769" xr:uid="{5F8EDB6B-EF33-4F84-8814-34F365127596}"/>
    <cellStyle name="Normal 33 4 2 2 2 3 5" xfId="46770" xr:uid="{0EB5769B-CF0E-40C7-A31B-FED49AC4503F}"/>
    <cellStyle name="Normal 33 4 2 2 2 4" xfId="46771" xr:uid="{42BF2ABA-1051-4582-AB60-5C821A3034CD}"/>
    <cellStyle name="Normal 33 4 2 2 2 4 2" xfId="46772" xr:uid="{35931A3C-2160-468B-B892-68CAD81E7D71}"/>
    <cellStyle name="Normal 33 4 2 2 2 4 2 2" xfId="46773" xr:uid="{0F7F0063-00FF-4D9E-A3C1-756CA34EB53D}"/>
    <cellStyle name="Normal 33 4 2 2 2 4 2 2 2" xfId="39898" xr:uid="{3A28F77E-0A58-4159-8569-11A47B4A42AB}"/>
    <cellStyle name="Normal 33 4 2 2 2 4 2 3" xfId="4025" xr:uid="{5D36C5C4-2C0D-4E60-AECC-9120B649A829}"/>
    <cellStyle name="Normal 33 4 2 2 2 4 3" xfId="46774" xr:uid="{AC5F8BB1-16C7-402A-8258-2E21B7279183}"/>
    <cellStyle name="Normal 33 4 2 2 2 4 3 2" xfId="46775" xr:uid="{C5287EB0-D31C-4A71-BF52-4FD3DA743627}"/>
    <cellStyle name="Normal 33 4 2 2 2 4 4" xfId="46776" xr:uid="{C60FAB7A-F656-4FC9-B444-E12F8F2B2450}"/>
    <cellStyle name="Normal 33 4 2 2 2 5" xfId="46777" xr:uid="{5702A5EF-092D-4A10-9221-A857F879EA9A}"/>
    <cellStyle name="Normal 33 4 2 2 2 5 2" xfId="46778" xr:uid="{3D8AD381-FBA0-4A69-A8D7-118C9E8FB1CF}"/>
    <cellStyle name="Normal 33 4 2 2 2 5 2 2" xfId="46779" xr:uid="{EFF240DA-8868-4630-B224-A041F5E6027B}"/>
    <cellStyle name="Normal 33 4 2 2 2 5 3" xfId="46780" xr:uid="{C9CB9154-B3D4-4A97-BF27-4638896C7B52}"/>
    <cellStyle name="Normal 33 4 2 2 2 6" xfId="46781" xr:uid="{A3DF4429-B6E0-4BB6-A3C5-9DB30496FA1A}"/>
    <cellStyle name="Normal 33 4 2 2 2 6 2" xfId="46782" xr:uid="{7BB2C5E2-286F-4FF2-9B9F-A769377FB73D}"/>
    <cellStyle name="Normal 33 4 2 2 2 7" xfId="46783" xr:uid="{D533265F-CC91-4444-A4DE-E5126D754BCD}"/>
    <cellStyle name="Normal 33 4 2 2 2 8" xfId="46784" xr:uid="{A28D69FF-8A42-4E8F-BF78-8C5E211E438A}"/>
    <cellStyle name="Normal 33 4 2 2 3" xfId="13446" xr:uid="{1C2699B1-6C9D-479A-963D-A3B05F1D1830}"/>
    <cellStyle name="Normal 33 4 2 2 3 2" xfId="46785" xr:uid="{DC4486C6-4AB6-4F8B-886E-B65EDEF34729}"/>
    <cellStyle name="Normal 33 4 2 2 3 2 2" xfId="46786" xr:uid="{2F358134-B0F9-4C04-9402-974827E56A92}"/>
    <cellStyle name="Normal 33 4 2 2 3 2 2 2" xfId="46787" xr:uid="{E64A6CDE-BEC0-4746-9CD8-984D0407B24F}"/>
    <cellStyle name="Normal 33 4 2 2 3 2 2 2 2" xfId="46788" xr:uid="{F388BE77-128D-4D13-A040-CAD96B2A8A1F}"/>
    <cellStyle name="Normal 33 4 2 2 3 2 2 2 2 2" xfId="46789" xr:uid="{EF1EE42C-A727-414D-AB53-2065A4224212}"/>
    <cellStyle name="Normal 33 4 2 2 3 2 2 2 3" xfId="46790" xr:uid="{F11BB491-36CA-43D3-9AC0-1EA145C11822}"/>
    <cellStyle name="Normal 33 4 2 2 3 2 2 3" xfId="9379" xr:uid="{67FE6F89-E7C9-4A07-9D5D-63F7DB162AAD}"/>
    <cellStyle name="Normal 33 4 2 2 3 2 2 3 2" xfId="4148" xr:uid="{97438288-8B99-412D-BA8E-B92EB396596C}"/>
    <cellStyle name="Normal 33 4 2 2 3 2 2 4" xfId="9383" xr:uid="{9710FFF5-7CB1-4C5D-9D0D-73B43A6FEBE1}"/>
    <cellStyle name="Normal 33 4 2 2 3 2 3" xfId="46791" xr:uid="{4527C091-9D57-4881-A193-ACB924E6432B}"/>
    <cellStyle name="Normal 33 4 2 2 3 2 3 2" xfId="46792" xr:uid="{0ED74A86-7733-4D2D-B9E2-F35842176098}"/>
    <cellStyle name="Normal 33 4 2 2 3 2 3 2 2" xfId="46793" xr:uid="{1AB646C8-1F19-4B6A-9984-E4C74E7D5EFB}"/>
    <cellStyle name="Normal 33 4 2 2 3 2 3 3" xfId="9388" xr:uid="{7B4D0F7E-543B-4916-A51B-86CF29FFD335}"/>
    <cellStyle name="Normal 33 4 2 2 3 2 4" xfId="46794" xr:uid="{5DA802F5-B58A-485C-AAE7-CAF68B58C18D}"/>
    <cellStyle name="Normal 33 4 2 2 3 2 4 2" xfId="46795" xr:uid="{EBCCDCD1-6B7A-4FA0-919E-0BBA4B11053C}"/>
    <cellStyle name="Normal 33 4 2 2 3 2 5" xfId="46796" xr:uid="{14F6C73C-716F-4B6D-824D-95D1C0B7106D}"/>
    <cellStyle name="Normal 33 4 2 2 3 3" xfId="46797" xr:uid="{EB5FFD63-4CE9-4B57-BEC2-66FFC52A8AFE}"/>
    <cellStyle name="Normal 33 4 2 2 3 3 2" xfId="46798" xr:uid="{5D6599A9-7375-456A-984B-A53BCCADAFB9}"/>
    <cellStyle name="Normal 33 4 2 2 3 3 2 2" xfId="46799" xr:uid="{62AEF74C-E3B0-4F54-91A2-71D6FDFFF618}"/>
    <cellStyle name="Normal 33 4 2 2 3 3 2 2 2" xfId="46800" xr:uid="{E40D0045-0744-45DA-B444-AE8BDFFC47D4}"/>
    <cellStyle name="Normal 33 4 2 2 3 3 2 3" xfId="9397" xr:uid="{AB32562B-1F63-41EE-87CE-7C4119663222}"/>
    <cellStyle name="Normal 33 4 2 2 3 3 3" xfId="46801" xr:uid="{ECE6F675-830E-4CDD-9047-A20C4D571EF0}"/>
    <cellStyle name="Normal 33 4 2 2 3 3 3 2" xfId="46802" xr:uid="{BB423FD1-4F0D-4127-86E1-19C28B6673D4}"/>
    <cellStyle name="Normal 33 4 2 2 3 3 4" xfId="46803" xr:uid="{192D7BEB-F7E5-4E8B-A0E7-8E8F446CB053}"/>
    <cellStyle name="Normal 33 4 2 2 3 4" xfId="46804" xr:uid="{7EEFCEE1-3420-4FB4-B5CD-BCAFD093316E}"/>
    <cellStyle name="Normal 33 4 2 2 3 4 2" xfId="46805" xr:uid="{CA19BB27-2FC3-43C9-ADDD-FE58E2CEE5A3}"/>
    <cellStyle name="Normal 33 4 2 2 3 4 2 2" xfId="46806" xr:uid="{4CB39FA6-58AB-47B1-90B1-17CD9AD5A155}"/>
    <cellStyle name="Normal 33 4 2 2 3 4 3" xfId="46807" xr:uid="{C190CDE1-0895-4081-8341-7E7F6983E881}"/>
    <cellStyle name="Normal 33 4 2 2 3 5" xfId="46808" xr:uid="{E1364B07-624A-46F2-A97B-2B0689440800}"/>
    <cellStyle name="Normal 33 4 2 2 3 5 2" xfId="46809" xr:uid="{1E1B99CF-B428-42D8-A6F8-FD27945926BF}"/>
    <cellStyle name="Normal 33 4 2 2 3 6" xfId="46810" xr:uid="{4F50F941-FFD9-497B-B7FE-06F05A41871B}"/>
    <cellStyle name="Normal 33 4 2 2 3 7" xfId="46811" xr:uid="{01C84160-2ECC-4FCA-8B3C-5C6380FE9C01}"/>
    <cellStyle name="Normal 33 4 2 2 4" xfId="46812" xr:uid="{7E5940BA-6616-4830-8077-D498E28D345C}"/>
    <cellStyle name="Normal 33 4 2 2 4 2" xfId="46813" xr:uid="{A51A5CCC-2250-4B37-A429-6803CDB54B88}"/>
    <cellStyle name="Normal 33 4 2 2 4 2 2" xfId="46814" xr:uid="{3C656318-30DA-4A30-8E61-90224FA5D0BA}"/>
    <cellStyle name="Normal 33 4 2 2 4 2 2 2" xfId="46815" xr:uid="{6E082242-9E94-444D-B576-3D6E52663904}"/>
    <cellStyle name="Normal 33 4 2 2 4 2 2 2 2" xfId="46816" xr:uid="{DC2868BC-4825-4847-86D7-758521B87037}"/>
    <cellStyle name="Normal 33 4 2 2 4 2 2 3" xfId="9920" xr:uid="{9A088C2F-EBEB-4266-B7E2-E2FDC1A04B9F}"/>
    <cellStyle name="Normal 33 4 2 2 4 2 3" xfId="46817" xr:uid="{6AF0C37C-3277-422C-B9B7-CCE15B711A83}"/>
    <cellStyle name="Normal 33 4 2 2 4 2 3 2" xfId="46818" xr:uid="{E6C5EF91-D8CB-4721-8A41-24DC79837D09}"/>
    <cellStyle name="Normal 33 4 2 2 4 2 4" xfId="46819" xr:uid="{B0E1A355-4EF8-4D93-A4A5-14C429FAE784}"/>
    <cellStyle name="Normal 33 4 2 2 4 3" xfId="46820" xr:uid="{3B437811-543B-4C3A-A73A-0FF0FC34B7A3}"/>
    <cellStyle name="Normal 33 4 2 2 4 3 2" xfId="46821" xr:uid="{2510C911-ABF0-4180-A997-CD60D0F6BC14}"/>
    <cellStyle name="Normal 33 4 2 2 4 3 2 2" xfId="46822" xr:uid="{14AD6AAD-BC21-418B-B1BF-A4733795B869}"/>
    <cellStyle name="Normal 33 4 2 2 4 3 3" xfId="46823" xr:uid="{3641415D-41BF-4B84-A6A2-B4ED8B9A6FDD}"/>
    <cellStyle name="Normal 33 4 2 2 4 4" xfId="46824" xr:uid="{03570A0E-20F8-49D3-A6E4-E423290F6C04}"/>
    <cellStyle name="Normal 33 4 2 2 4 4 2" xfId="46825" xr:uid="{80A1B38C-92E4-47B7-9E2C-E8FFFA15D941}"/>
    <cellStyle name="Normal 33 4 2 2 4 5" xfId="46826" xr:uid="{8A0C9422-5D3C-4593-A6AB-659A8BC4B031}"/>
    <cellStyle name="Normal 33 4 2 2 5" xfId="46827" xr:uid="{5DA80519-54C6-4D48-8F4C-D3CEDDBC0B1E}"/>
    <cellStyle name="Normal 33 4 2 2 5 2" xfId="46828" xr:uid="{6D2E5662-3BA3-4C71-98C3-B79C3ECD7EDD}"/>
    <cellStyle name="Normal 33 4 2 2 5 2 2" xfId="46829" xr:uid="{E269228B-92F3-4355-ABC4-44868A8BB983}"/>
    <cellStyle name="Normal 33 4 2 2 5 2 2 2" xfId="46830" xr:uid="{56E27C7F-1305-491B-BF2C-849FE07BB704}"/>
    <cellStyle name="Normal 33 4 2 2 5 2 3" xfId="46831" xr:uid="{AA577891-CC72-48A8-A970-679495FD823D}"/>
    <cellStyle name="Normal 33 4 2 2 5 3" xfId="46832" xr:uid="{F0865B96-48CA-4FE8-8F83-BAF48F4D00F8}"/>
    <cellStyle name="Normal 33 4 2 2 5 3 2" xfId="46833" xr:uid="{63686947-6557-40C4-B33D-F651A3A8888D}"/>
    <cellStyle name="Normal 33 4 2 2 5 4" xfId="46834" xr:uid="{D9E79D9A-3D1C-42C5-A8FE-267C4CD883B9}"/>
    <cellStyle name="Normal 33 4 2 2 6" xfId="46836" xr:uid="{BD176DA0-C84B-42CE-AE59-9BDF41CF0C62}"/>
    <cellStyle name="Normal 33 4 2 2 6 2" xfId="46837" xr:uid="{1FB01459-5C27-43A2-B18B-E64DB67C03B5}"/>
    <cellStyle name="Normal 33 4 2 2 6 2 2" xfId="46838" xr:uid="{18C11E6B-5EFB-47F4-942A-2D08D3A29AD2}"/>
    <cellStyle name="Normal 33 4 2 2 6 3" xfId="46839" xr:uid="{2280280E-20A6-435E-A03A-8D54DE820891}"/>
    <cellStyle name="Normal 33 4 2 2 7" xfId="46840" xr:uid="{5475041F-48D7-4D1C-B53B-8E004391F2BE}"/>
    <cellStyle name="Normal 33 4 2 2 7 2" xfId="46841" xr:uid="{4D89F768-ADEF-4B22-83D0-EA44FA33E7A8}"/>
    <cellStyle name="Normal 33 4 2 2 8" xfId="46842" xr:uid="{085420DC-5A4F-43D3-A8CE-BDDFEF910B52}"/>
    <cellStyle name="Normal 33 4 2 2 9" xfId="46843" xr:uid="{174797B3-68F7-4177-A340-192E4121D103}"/>
    <cellStyle name="Normal 33 4 2 3" xfId="46844" xr:uid="{B7291E0E-7CF6-48F1-841D-0612F9F92760}"/>
    <cellStyle name="Normal 33 4 2 3 2" xfId="46845" xr:uid="{78C95A4A-4FE5-48D3-8600-FDFC7691E97A}"/>
    <cellStyle name="Normal 33 4 2 3 2 2" xfId="46846" xr:uid="{6CCDA21E-C2EC-4CEC-8BB5-1229DF22C8D1}"/>
    <cellStyle name="Normal 33 4 2 3 2 2 2" xfId="46847" xr:uid="{E5508CE5-7DF8-4710-A5F6-22B4862048B8}"/>
    <cellStyle name="Normal 33 4 2 3 2 2 2 2" xfId="46848" xr:uid="{7F456A6A-3118-468A-8EB9-208F626135CE}"/>
    <cellStyle name="Normal 33 4 2 3 2 2 2 2 2" xfId="46849" xr:uid="{DDE7E3B1-7FAF-4036-8649-342A5D02893D}"/>
    <cellStyle name="Normal 33 4 2 3 2 2 2 2 2 2" xfId="46850" xr:uid="{925FFDED-EA91-4106-8BD4-5E87DC1FACFA}"/>
    <cellStyle name="Normal 33 4 2 3 2 2 2 2 3" xfId="46851" xr:uid="{1EEA48D5-6949-4ABB-A0EB-D77BDFFDEBBB}"/>
    <cellStyle name="Normal 33 4 2 3 2 2 2 3" xfId="12077" xr:uid="{19EAB5BC-1D32-435B-88C7-69BADDDFE13A}"/>
    <cellStyle name="Normal 33 4 2 3 2 2 2 3 2" xfId="12081" xr:uid="{7C858C6F-41DD-4F75-97C5-8A64C8CA85A8}"/>
    <cellStyle name="Normal 33 4 2 3 2 2 2 4" xfId="12088" xr:uid="{B581A406-19F6-4C3F-AAC0-B4D23B27CB57}"/>
    <cellStyle name="Normal 33 4 2 3 2 2 3" xfId="46852" xr:uid="{9CD7A697-FA0A-4BF9-80A0-AB85DCEF041F}"/>
    <cellStyle name="Normal 33 4 2 3 2 2 3 2" xfId="46853" xr:uid="{44FFF0C0-91FB-4D30-AC88-499C9CFE11B2}"/>
    <cellStyle name="Normal 33 4 2 3 2 2 3 2 2" xfId="46854" xr:uid="{510E0CB5-9816-457C-AEFA-6CE6373631F8}"/>
    <cellStyle name="Normal 33 4 2 3 2 2 3 3" xfId="12095" xr:uid="{BA71F979-A007-4D4F-A727-2DD41D101B85}"/>
    <cellStyle name="Normal 33 4 2 3 2 2 4" xfId="46855" xr:uid="{ED089501-0535-4DD3-AA20-E89F250089C1}"/>
    <cellStyle name="Normal 33 4 2 3 2 2 4 2" xfId="46856" xr:uid="{C1F851C2-AAE3-4D72-9C8B-1F418659FC21}"/>
    <cellStyle name="Normal 33 4 2 3 2 2 5" xfId="46857" xr:uid="{0EF6A7A0-906A-4D3A-8F8F-4F68062A8604}"/>
    <cellStyle name="Normal 33 4 2 3 2 3" xfId="46858" xr:uid="{5C689D9C-0B9D-487F-B407-223C67B68FE4}"/>
    <cellStyle name="Normal 33 4 2 3 2 3 2" xfId="46859" xr:uid="{53B3BB3C-83FD-4EDA-912C-789F6EFF1C74}"/>
    <cellStyle name="Normal 33 4 2 3 2 3 2 2" xfId="46860" xr:uid="{5722887C-14E5-4856-A93B-DC8DA1883796}"/>
    <cellStyle name="Normal 33 4 2 3 2 3 2 2 2" xfId="46861" xr:uid="{7A0FFE4D-1C1E-4A3C-828B-72C06CE1EC76}"/>
    <cellStyle name="Normal 33 4 2 3 2 3 2 3" xfId="5170" xr:uid="{3C350A7C-FEE2-4CE3-B7CA-A632D210DCFF}"/>
    <cellStyle name="Normal 33 4 2 3 2 3 3" xfId="46862" xr:uid="{75EB9B46-EE97-41FB-BBAF-35E104F50F7F}"/>
    <cellStyle name="Normal 33 4 2 3 2 3 3 2" xfId="46863" xr:uid="{C87639DA-C201-4AB3-8287-F1EAE278F94A}"/>
    <cellStyle name="Normal 33 4 2 3 2 3 4" xfId="46864" xr:uid="{C251E41D-A218-4A51-9718-1C8E4E2DCCA3}"/>
    <cellStyle name="Normal 33 4 2 3 2 4" xfId="46865" xr:uid="{05F306B8-A3B5-4BF8-ADBC-FCF32DD389FB}"/>
    <cellStyle name="Normal 33 4 2 3 2 4 2" xfId="46866" xr:uid="{190A67ED-8D7B-4692-AEEC-61E642AF9A59}"/>
    <cellStyle name="Normal 33 4 2 3 2 4 2 2" xfId="46867" xr:uid="{579176D8-C32E-46D7-B30B-7163EC3140A0}"/>
    <cellStyle name="Normal 33 4 2 3 2 4 3" xfId="46868" xr:uid="{8A2722C1-42B5-48A3-94AD-77379851F930}"/>
    <cellStyle name="Normal 33 4 2 3 2 5" xfId="46869" xr:uid="{43255203-C436-4E39-AF1F-1C6298A1DC62}"/>
    <cellStyle name="Normal 33 4 2 3 2 5 2" xfId="46872" xr:uid="{44889281-471C-4F23-8D9B-580349D623FC}"/>
    <cellStyle name="Normal 33 4 2 3 2 6" xfId="46873" xr:uid="{6B26E290-D84E-4EE8-B3A0-DBB0ECCE02EF}"/>
    <cellStyle name="Normal 33 4 2 3 2 7" xfId="46874" xr:uid="{99DAEF57-BB61-48F3-8A13-0B825F88ACAE}"/>
    <cellStyle name="Normal 33 4 2 3 3" xfId="46875" xr:uid="{FBC0FC42-7F7A-4D23-933B-EAEAC685EB68}"/>
    <cellStyle name="Normal 33 4 2 3 3 2" xfId="46876" xr:uid="{06212075-BA80-4FAB-8EB1-4C5CEF98CBE5}"/>
    <cellStyle name="Normal 33 4 2 3 3 2 2" xfId="46877" xr:uid="{202AE514-685F-486A-A119-712D43F71FE8}"/>
    <cellStyle name="Normal 33 4 2 3 3 2 2 2" xfId="46878" xr:uid="{25FBA619-41B8-4D36-B9A9-EDE53580F589}"/>
    <cellStyle name="Normal 33 4 2 3 3 2 2 2 2" xfId="46879" xr:uid="{544662EE-6D97-48B4-8B0C-B26901920670}"/>
    <cellStyle name="Normal 33 4 2 3 3 2 2 3" xfId="12930" xr:uid="{FCDDE1BE-ED0C-48C8-9459-3518BC2F01B2}"/>
    <cellStyle name="Normal 33 4 2 3 3 2 3" xfId="40012" xr:uid="{9EAA5CE7-1A66-4BC0-A77E-AED652E1B7B2}"/>
    <cellStyle name="Normal 33 4 2 3 3 2 3 2" xfId="46880" xr:uid="{78764151-D705-4281-A89B-434397CD0F3E}"/>
    <cellStyle name="Normal 33 4 2 3 3 2 4" xfId="46881" xr:uid="{1789DFD3-C0FB-4DCB-A4C9-F8ACE69DFF6B}"/>
    <cellStyle name="Normal 33 4 2 3 3 3" xfId="46882" xr:uid="{48A67B03-2CAD-4571-94D4-F31422C7D526}"/>
    <cellStyle name="Normal 33 4 2 3 3 3 2" xfId="46883" xr:uid="{93085E37-72D1-4AA8-97C6-76226651F077}"/>
    <cellStyle name="Normal 33 4 2 3 3 3 2 2" xfId="46884" xr:uid="{B6763A79-2DC8-4802-B523-CA5EE1EA62E8}"/>
    <cellStyle name="Normal 33 4 2 3 3 3 3" xfId="46885" xr:uid="{18D51501-D467-4CE2-8790-1F37B51BCC39}"/>
    <cellStyle name="Normal 33 4 2 3 3 4" xfId="46886" xr:uid="{12DF4213-9194-4372-8060-42289E513421}"/>
    <cellStyle name="Normal 33 4 2 3 3 4 2" xfId="46887" xr:uid="{0365778F-6365-4149-9BB7-751D0E768F78}"/>
    <cellStyle name="Normal 33 4 2 3 3 5" xfId="46888" xr:uid="{4E982EE3-B913-4244-820D-2BF64C37C88B}"/>
    <cellStyle name="Normal 33 4 2 3 4" xfId="46889" xr:uid="{70545A0C-4CFA-4095-9392-388E3F8ABB67}"/>
    <cellStyle name="Normal 33 4 2 3 4 2" xfId="46890" xr:uid="{EF047363-0A8A-44BB-AAF5-E7F1CBE5A84A}"/>
    <cellStyle name="Normal 33 4 2 3 4 2 2" xfId="46891" xr:uid="{CF45823E-EA28-4456-8A46-3540A52EBF70}"/>
    <cellStyle name="Normal 33 4 2 3 4 2 2 2" xfId="46892" xr:uid="{B4A53EF9-6E50-49E1-9A11-82AF2E4C71FD}"/>
    <cellStyle name="Normal 33 4 2 3 4 2 3" xfId="46893" xr:uid="{F291EB0F-AA77-4E87-8E23-8BD88656AF60}"/>
    <cellStyle name="Normal 33 4 2 3 4 3" xfId="46894" xr:uid="{144F12C1-0E53-4E69-AA10-4CD1E435BF03}"/>
    <cellStyle name="Normal 33 4 2 3 4 3 2" xfId="46895" xr:uid="{62B394B3-BB96-4BEB-838E-95E1A575D93D}"/>
    <cellStyle name="Normal 33 4 2 3 4 4" xfId="46896" xr:uid="{A304A432-B74B-42E9-A38E-FA81F6CDC677}"/>
    <cellStyle name="Normal 33 4 2 3 5" xfId="46897" xr:uid="{4ED87DB9-6786-4E4E-9C0F-12F40BCCD990}"/>
    <cellStyle name="Normal 33 4 2 3 5 2" xfId="46898" xr:uid="{14896C74-0BEE-4F58-A3EE-6FF771861B27}"/>
    <cellStyle name="Normal 33 4 2 3 5 2 2" xfId="46899" xr:uid="{94B583B5-64FA-4CF7-A1E9-0608686CE6C3}"/>
    <cellStyle name="Normal 33 4 2 3 5 3" xfId="46900" xr:uid="{38447B0A-297B-4165-A76D-A14747ED4E02}"/>
    <cellStyle name="Normal 33 4 2 3 6" xfId="46901" xr:uid="{0690BB2E-DAEC-4094-8B3C-9FCC070485AD}"/>
    <cellStyle name="Normal 33 4 2 3 6 2" xfId="46902" xr:uid="{FC035A82-687E-4783-803A-BBA7DE930BEA}"/>
    <cellStyle name="Normal 33 4 2 3 7" xfId="46903" xr:uid="{C52980FC-4737-4E46-8BDA-E76DE7AA86CA}"/>
    <cellStyle name="Normal 33 4 2 3 8" xfId="46904" xr:uid="{6F25A7E2-6D3D-48DD-B908-99233A680B28}"/>
    <cellStyle name="Normal 33 4 2 4" xfId="46905" xr:uid="{7CD56360-6E20-47FE-A8AC-51BDE85F5660}"/>
    <cellStyle name="Normal 33 4 2 4 2" xfId="46906" xr:uid="{67202D3E-23AC-4087-B7EB-8634D2B2061B}"/>
    <cellStyle name="Normal 33 4 2 4 2 2" xfId="46907" xr:uid="{3C1C72D6-276F-4AFA-A76E-AD9BE25FA61C}"/>
    <cellStyle name="Normal 33 4 2 4 2 2 2" xfId="46908" xr:uid="{ECCBF551-0459-4E7B-B2AB-511006F75CEA}"/>
    <cellStyle name="Normal 33 4 2 4 2 2 2 2" xfId="46909" xr:uid="{B2A42E8B-758A-459C-9B5B-AEC39F6CD56F}"/>
    <cellStyle name="Normal 33 4 2 4 2 2 2 2 2" xfId="46910" xr:uid="{C91E077B-7527-4EF5-B07B-05167C63626F}"/>
    <cellStyle name="Normal 33 4 2 4 2 2 2 3" xfId="14857" xr:uid="{FFBBF4FD-C852-42C6-8341-05524F7EC61B}"/>
    <cellStyle name="Normal 33 4 2 4 2 2 3" xfId="46911" xr:uid="{791F16FC-7C53-448A-9EA2-4D9F03293E97}"/>
    <cellStyle name="Normal 33 4 2 4 2 2 3 2" xfId="43455" xr:uid="{F143BB3C-A694-4131-8935-6D433681BF1D}"/>
    <cellStyle name="Normal 33 4 2 4 2 2 4" xfId="46912" xr:uid="{17624803-745D-4E05-B0F9-723F6C8ED40D}"/>
    <cellStyle name="Normal 33 4 2 4 2 3" xfId="46913" xr:uid="{8E6BDC29-C955-4B07-AD4B-05E9AD39FAAF}"/>
    <cellStyle name="Normal 33 4 2 4 2 3 2" xfId="46914" xr:uid="{49B8114D-C567-4E4A-84C1-817AF1AC7514}"/>
    <cellStyle name="Normal 33 4 2 4 2 3 2 2" xfId="46915" xr:uid="{1013341E-A0FE-44DC-931F-37F8A0C3588C}"/>
    <cellStyle name="Normal 33 4 2 4 2 3 3" xfId="46916" xr:uid="{632F090C-0000-4A2E-A72A-1FEBB085503B}"/>
    <cellStyle name="Normal 33 4 2 4 2 4" xfId="46917" xr:uid="{4ED54F91-D961-4CDC-8404-BACAA316172A}"/>
    <cellStyle name="Normal 33 4 2 4 2 4 2" xfId="46918" xr:uid="{22FB291F-B409-41E5-ABFA-A11B1B2F03BF}"/>
    <cellStyle name="Normal 33 4 2 4 2 5" xfId="46919" xr:uid="{A35AF338-D344-4691-8437-AD98A9F7766B}"/>
    <cellStyle name="Normal 33 4 2 4 3" xfId="46920" xr:uid="{228DA4BE-E9BE-49D9-8830-3042F1E356EC}"/>
    <cellStyle name="Normal 33 4 2 4 3 2" xfId="46921" xr:uid="{67D433C3-D182-479C-8C4B-7076D8909B6B}"/>
    <cellStyle name="Normal 33 4 2 4 3 2 2" xfId="46922" xr:uid="{5B6E1DAF-529B-42F9-BDC3-FC43C4CEB671}"/>
    <cellStyle name="Normal 33 4 2 4 3 2 2 2" xfId="46923" xr:uid="{F9B768D0-1800-47F4-8A00-FE065E3CE43B}"/>
    <cellStyle name="Normal 33 4 2 4 3 2 3" xfId="46924" xr:uid="{77D7BA89-7477-485A-AC2C-F1266C6FE3C0}"/>
    <cellStyle name="Normal 33 4 2 4 3 3" xfId="46925" xr:uid="{FC2F92C3-0C9C-46AF-9F42-2C1F6BE3C51F}"/>
    <cellStyle name="Normal 33 4 2 4 3 3 2" xfId="46926" xr:uid="{742E91A4-5B33-43B5-B5F8-5A8ECFEB6DAD}"/>
    <cellStyle name="Normal 33 4 2 4 3 4" xfId="46927" xr:uid="{BE8FD5C8-474F-47B8-A27E-BE0FFC651732}"/>
    <cellStyle name="Normal 33 4 2 4 4" xfId="46928" xr:uid="{BBAD6897-EBB4-4301-816B-6B88AC16BDC2}"/>
    <cellStyle name="Normal 33 4 2 4 4 2" xfId="46929" xr:uid="{4200ACE2-B724-4390-944F-DE4FF6E6F440}"/>
    <cellStyle name="Normal 33 4 2 4 4 2 2" xfId="46930" xr:uid="{130CF8E1-905D-41A0-90AD-0CCD2B2A6128}"/>
    <cellStyle name="Normal 33 4 2 4 4 3" xfId="46931" xr:uid="{5DFA34F5-0F06-46A7-BFAA-17B72232439A}"/>
    <cellStyle name="Normal 33 4 2 4 5" xfId="46932" xr:uid="{6B5EDFC6-5D49-462C-BCAB-1F39BFBCC6D6}"/>
    <cellStyle name="Normal 33 4 2 4 5 2" xfId="46933" xr:uid="{1D901561-7794-4483-8119-AF190783930E}"/>
    <cellStyle name="Normal 33 4 2 4 6" xfId="46934" xr:uid="{36A58A27-A7EE-48E7-804D-26DA20DF59D9}"/>
    <cellStyle name="Normal 33 4 2 4 7" xfId="46935" xr:uid="{C5491789-4D41-43A6-9965-A02F8ACD5493}"/>
    <cellStyle name="Normal 33 4 2 5" xfId="46936" xr:uid="{5E7A9852-4CC3-48FC-9D0D-D0C8EC8C80B1}"/>
    <cellStyle name="Normal 33 4 2 5 2" xfId="46937" xr:uid="{5CEBF1EE-5A3B-4824-B86B-F6E799EB9F78}"/>
    <cellStyle name="Normal 33 4 2 5 2 2" xfId="46938" xr:uid="{8DC5990D-167E-4A72-8F57-54F9B15E7026}"/>
    <cellStyle name="Normal 33 4 2 5 2 2 2" xfId="46939" xr:uid="{D5B848F8-50EB-4DEB-BC50-D356D4879BC7}"/>
    <cellStyle name="Normal 33 4 2 5 2 2 2 2" xfId="46940" xr:uid="{C77EBB7E-74BD-4BCD-B44C-A33062E4F1AD}"/>
    <cellStyle name="Normal 33 4 2 5 2 2 3" xfId="46941" xr:uid="{ED55EAC3-7D71-4563-905F-7F9021A78693}"/>
    <cellStyle name="Normal 33 4 2 5 2 3" xfId="46942" xr:uid="{811D9D48-D0B4-4159-A17E-E36B0572ADFA}"/>
    <cellStyle name="Normal 33 4 2 5 2 3 2" xfId="46943" xr:uid="{1FAA4031-FB6F-4D11-AA7A-8F842B5BCE56}"/>
    <cellStyle name="Normal 33 4 2 5 2 4" xfId="20631" xr:uid="{5494C8FC-581B-41C9-AACB-7C1E3E8F10F6}"/>
    <cellStyle name="Normal 33 4 2 5 3" xfId="46944" xr:uid="{A0F3B27D-31B1-4B05-AD62-68E443402AD0}"/>
    <cellStyle name="Normal 33 4 2 5 3 2" xfId="46945" xr:uid="{4C0B8E76-DF04-43B7-9B5A-EA24C0BB001C}"/>
    <cellStyle name="Normal 33 4 2 5 3 2 2" xfId="46946" xr:uid="{362EBDA9-969B-4788-84D0-09FD555FF756}"/>
    <cellStyle name="Normal 33 4 2 5 3 3" xfId="46947" xr:uid="{EE62031F-2358-4269-9215-07641E46989D}"/>
    <cellStyle name="Normal 33 4 2 5 4" xfId="46948" xr:uid="{42FE95E0-7CD0-4320-94D0-0859F62F2E1D}"/>
    <cellStyle name="Normal 33 4 2 5 4 2" xfId="46949" xr:uid="{F33BFC6F-018C-4989-ABC1-1E8315EEF859}"/>
    <cellStyle name="Normal 33 4 2 5 5" xfId="46950" xr:uid="{BCF873EC-D514-4C7F-90CB-7F656A108E7B}"/>
    <cellStyle name="Normal 33 4 2 6" xfId="46951" xr:uid="{0FC239DA-F6F8-4B58-9422-62B0A8D332BD}"/>
    <cellStyle name="Normal 33 4 2 6 2" xfId="46952" xr:uid="{1BEA457E-99BF-4873-A50D-40C593B9511A}"/>
    <cellStyle name="Normal 33 4 2 6 2 2" xfId="46953" xr:uid="{1BD729BD-32FE-4946-BBFC-189246CB5B80}"/>
    <cellStyle name="Normal 33 4 2 6 2 2 2" xfId="46954" xr:uid="{398FE0FF-343E-45F7-932B-CF6AD9AC7B75}"/>
    <cellStyle name="Normal 33 4 2 6 2 3" xfId="46955" xr:uid="{9BCFBA77-A527-43A6-BA4E-3F92DA5C55D4}"/>
    <cellStyle name="Normal 33 4 2 6 3" xfId="46956" xr:uid="{78ECD839-0F93-4A3E-8401-6D48D4826F63}"/>
    <cellStyle name="Normal 33 4 2 6 3 2" xfId="46957" xr:uid="{0E26EF40-EDC3-4320-8D1D-52B594B4DEBC}"/>
    <cellStyle name="Normal 33 4 2 6 4" xfId="46958" xr:uid="{8E9D1A35-F830-4509-9109-EC4D9230E548}"/>
    <cellStyle name="Normal 33 4 2 7" xfId="46959" xr:uid="{03652F89-4393-4AFC-B87E-AFB44CB1E4F3}"/>
    <cellStyle name="Normal 33 4 2 7 2" xfId="46960" xr:uid="{2585D1B4-65B5-4DEA-B2AC-9896B2FCB4EA}"/>
    <cellStyle name="Normal 33 4 2 7 2 2" xfId="46961" xr:uid="{223A9401-CAFD-482B-B0DF-DB336EF4E17A}"/>
    <cellStyle name="Normal 33 4 2 7 3" xfId="46962" xr:uid="{12763FE2-31B9-4F58-874B-3ED3C5ACD381}"/>
    <cellStyle name="Normal 33 4 2 8" xfId="46963" xr:uid="{DD931B03-D936-4955-A032-12694483A3BD}"/>
    <cellStyle name="Normal 33 4 2 8 2" xfId="46964" xr:uid="{40AC0413-1544-4F78-8E33-9C5CD17A6A44}"/>
    <cellStyle name="Normal 33 4 2 9" xfId="46965" xr:uid="{37A9F89F-4AFB-4D31-8BB5-34CB46F8B0DC}"/>
    <cellStyle name="Normal 33 4 3" xfId="46966" xr:uid="{E3D846E2-794B-4370-B8CB-9053EDB08509}"/>
    <cellStyle name="Normal 33 4 3 2" xfId="46967" xr:uid="{3118D99A-046D-498D-8482-F907EBFA51DF}"/>
    <cellStyle name="Normal 33 4 3 2 2" xfId="13467" xr:uid="{A45AED07-8C4E-406B-AA96-C2F647E75010}"/>
    <cellStyle name="Normal 33 4 3 2 2 2" xfId="41200" xr:uid="{ED44C4D3-1EA7-4322-BEA7-4900F59C300E}"/>
    <cellStyle name="Normal 33 4 3 2 2 2 2" xfId="41202" xr:uid="{FDF4B3BB-62CF-4226-9CAF-EDB848E2FB7C}"/>
    <cellStyle name="Normal 33 4 3 2 2 2 2 2" xfId="41204" xr:uid="{A68D729E-B8BF-4208-BD27-36DD853592EE}"/>
    <cellStyle name="Normal 33 4 3 2 2 2 2 2 2" xfId="46968" xr:uid="{50817364-CC0A-47F9-A5B8-45AE2E74FFD6}"/>
    <cellStyle name="Normal 33 4 3 2 2 2 2 2 2 2" xfId="46969" xr:uid="{381EA18C-A895-404D-9F27-7F3223C88CFD}"/>
    <cellStyle name="Normal 33 4 3 2 2 2 2 2 3" xfId="46970" xr:uid="{2CD215D3-971F-4E23-9EC5-F9E9E7998D3D}"/>
    <cellStyle name="Normal 33 4 3 2 2 2 2 3" xfId="46971" xr:uid="{4AC810E0-3C26-4F88-8741-74E99B8B2A3C}"/>
    <cellStyle name="Normal 33 4 3 2 2 2 2 3 2" xfId="46972" xr:uid="{DD000430-E4A6-4C62-A070-7777BA027406}"/>
    <cellStyle name="Normal 33 4 3 2 2 2 2 4" xfId="46973" xr:uid="{9101D051-6EEA-466E-9CB1-6718CCB9CD7D}"/>
    <cellStyle name="Normal 33 4 3 2 2 2 3" xfId="41206" xr:uid="{A6A7B3BA-FBEE-46CA-ACE0-E15D39512AFF}"/>
    <cellStyle name="Normal 33 4 3 2 2 2 3 2" xfId="46974" xr:uid="{A00AD521-D99B-46E4-9891-D1253BF4EF1C}"/>
    <cellStyle name="Normal 33 4 3 2 2 2 3 2 2" xfId="46975" xr:uid="{F0B980D5-40E1-4BEA-AE2A-344DBFC2999B}"/>
    <cellStyle name="Normal 33 4 3 2 2 2 3 3" xfId="46976" xr:uid="{AF43A08A-01A8-43FD-9449-A49E83880BB4}"/>
    <cellStyle name="Normal 33 4 3 2 2 2 4" xfId="46977" xr:uid="{B9500A07-9546-461B-A19D-E9CF9B73827E}"/>
    <cellStyle name="Normal 33 4 3 2 2 2 4 2" xfId="46978" xr:uid="{137D2EF3-B1A0-4295-97B0-DE19347FEB5E}"/>
    <cellStyle name="Normal 33 4 3 2 2 2 5" xfId="3406" xr:uid="{1EA9C0DB-E729-4013-8E45-FFBED85C20E7}"/>
    <cellStyle name="Normal 33 4 3 2 2 3" xfId="41208" xr:uid="{08DB258B-6F83-46A0-9AD4-7ACB1EBED03C}"/>
    <cellStyle name="Normal 33 4 3 2 2 3 2" xfId="41210" xr:uid="{4CE22DA8-24DC-4A43-91A0-F72BC93753DF}"/>
    <cellStyle name="Normal 33 4 3 2 2 3 2 2" xfId="41212" xr:uid="{90C06A4D-53F1-479D-87F5-03AF94926BEC}"/>
    <cellStyle name="Normal 33 4 3 2 2 3 2 2 2" xfId="1570" xr:uid="{D4BA7CA6-C528-4490-898F-06D75794F8BE}"/>
    <cellStyle name="Normal 33 4 3 2 2 3 2 3" xfId="46979" xr:uid="{584225DC-3D31-4552-92B5-D5191C0F374A}"/>
    <cellStyle name="Normal 33 4 3 2 2 3 3" xfId="41214" xr:uid="{8BB77D5A-A3BC-4A22-BE6B-0ED41F77BA38}"/>
    <cellStyle name="Normal 33 4 3 2 2 3 3 2" xfId="46980" xr:uid="{D0F64167-C7DA-4FC7-B743-13DF603BF0E4}"/>
    <cellStyle name="Normal 33 4 3 2 2 3 4" xfId="46981" xr:uid="{40A7B5BD-683B-49F8-8AC4-16A627418C59}"/>
    <cellStyle name="Normal 33 4 3 2 2 4" xfId="41216" xr:uid="{3E0157B7-5619-4F18-92FC-964AA84BA2CF}"/>
    <cellStyle name="Normal 33 4 3 2 2 4 2" xfId="41218" xr:uid="{8466C676-206C-4191-9A91-56CF82E12467}"/>
    <cellStyle name="Normal 33 4 3 2 2 4 2 2" xfId="46982" xr:uid="{EF32ED34-B415-4D8C-89A5-3DFC1347FACE}"/>
    <cellStyle name="Normal 33 4 3 2 2 4 3" xfId="46983" xr:uid="{9351D040-38B4-47D2-BCAF-C1A339BDAAB0}"/>
    <cellStyle name="Normal 33 4 3 2 2 5" xfId="41220" xr:uid="{ABC57FF7-704C-43E3-9992-353D856EA4D6}"/>
    <cellStyle name="Normal 33 4 3 2 2 5 2" xfId="46984" xr:uid="{CE0D2F2F-8B5E-49B8-8FC6-645958F8F821}"/>
    <cellStyle name="Normal 33 4 3 2 2 6" xfId="46985" xr:uid="{EDE5F93B-6711-42CD-8792-4350E1407466}"/>
    <cellStyle name="Normal 33 4 3 2 2 7" xfId="46986" xr:uid="{F6B8BAAE-CCC6-4E14-862D-E6100027CE7F}"/>
    <cellStyle name="Normal 33 4 3 2 3" xfId="13475" xr:uid="{517EB9C0-58A4-4384-8EFF-C2213A02BC4F}"/>
    <cellStyle name="Normal 33 4 3 2 3 2" xfId="41232" xr:uid="{9DCA3202-8E1A-4D10-9FFD-1A3C4DF45F55}"/>
    <cellStyle name="Normal 33 4 3 2 3 2 2" xfId="41234" xr:uid="{9D79C9AF-F1F6-4168-BD2A-BD8F527CD544}"/>
    <cellStyle name="Normal 33 4 3 2 3 2 2 2" xfId="46987" xr:uid="{DD810069-1235-45BB-AB83-18FCF97FDE2D}"/>
    <cellStyle name="Normal 33 4 3 2 3 2 2 2 2" xfId="46988" xr:uid="{68374746-5B19-4FAE-A28B-60A04C7503E5}"/>
    <cellStyle name="Normal 33 4 3 2 3 2 2 3" xfId="46989" xr:uid="{1EFACA96-6F0D-4C0B-BCB8-DC6BFF0F2AC6}"/>
    <cellStyle name="Normal 33 4 3 2 3 2 3" xfId="46990" xr:uid="{DF32E45B-BB4B-4BB0-B817-9C5BEBFB051D}"/>
    <cellStyle name="Normal 33 4 3 2 3 2 3 2" xfId="46991" xr:uid="{D652C417-4939-438D-A485-193A502B71C9}"/>
    <cellStyle name="Normal 33 4 3 2 3 2 4" xfId="46992" xr:uid="{1D7AF432-EED2-427A-B050-91C6C1ED3830}"/>
    <cellStyle name="Normal 33 4 3 2 3 3" xfId="41236" xr:uid="{0F12FE76-E493-4720-B5C8-637D54547653}"/>
    <cellStyle name="Normal 33 4 3 2 3 3 2" xfId="46993" xr:uid="{6AC7F0D4-3268-4AD1-8138-73610D5D8063}"/>
    <cellStyle name="Normal 33 4 3 2 3 3 2 2" xfId="46994" xr:uid="{34751039-3D31-4546-BCA0-E403C1B5FC89}"/>
    <cellStyle name="Normal 33 4 3 2 3 3 3" xfId="46995" xr:uid="{508FDD13-8D0C-4D8D-9A00-A8F4CBFF2090}"/>
    <cellStyle name="Normal 33 4 3 2 3 4" xfId="46996" xr:uid="{2CEBE760-AABD-45F2-A90A-F4BE1D964913}"/>
    <cellStyle name="Normal 33 4 3 2 3 4 2" xfId="46997" xr:uid="{E86176EC-3441-4962-B458-F869D15A3F14}"/>
    <cellStyle name="Normal 33 4 3 2 3 5" xfId="46998" xr:uid="{D7008651-CC7A-4E10-B770-3628AA8F2EF7}"/>
    <cellStyle name="Normal 33 4 3 2 4" xfId="41238" xr:uid="{D76A7C04-2887-428C-8A8F-C93FAF44A39F}"/>
    <cellStyle name="Normal 33 4 3 2 4 2" xfId="41240" xr:uid="{B06B10A4-AF3A-4DB1-A4FC-E273713F5C98}"/>
    <cellStyle name="Normal 33 4 3 2 4 2 2" xfId="41242" xr:uid="{35071AD3-E66D-4B8D-85F5-A62DB5FEFDF9}"/>
    <cellStyle name="Normal 33 4 3 2 4 2 2 2" xfId="46999" xr:uid="{B4007369-DA71-4F2A-A521-D1DB1FA2229A}"/>
    <cellStyle name="Normal 33 4 3 2 4 2 3" xfId="47001" xr:uid="{937D0E59-3D70-40DF-8D28-9189D9869595}"/>
    <cellStyle name="Normal 33 4 3 2 4 3" xfId="41244" xr:uid="{5F3F1BBA-6A8A-4469-966F-09488C1F8D0E}"/>
    <cellStyle name="Normal 33 4 3 2 4 3 2" xfId="47002" xr:uid="{882741DC-DE4E-4D88-BAA1-AC6F16F900A1}"/>
    <cellStyle name="Normal 33 4 3 2 4 4" xfId="47003" xr:uid="{AB63370B-14A8-42EE-908D-D54BE4738C66}"/>
    <cellStyle name="Normal 33 4 3 2 5" xfId="41246" xr:uid="{BC137FC7-9FCC-440A-9D07-BE5875E5849A}"/>
    <cellStyle name="Normal 33 4 3 2 5 2" xfId="41248" xr:uid="{44FB8FB9-B781-4FB3-8A6F-544C6259ECED}"/>
    <cellStyle name="Normal 33 4 3 2 5 2 2" xfId="41250" xr:uid="{642A9078-A701-4325-A00A-69A3CC6C334A}"/>
    <cellStyle name="Normal 33 4 3 2 5 3" xfId="41252" xr:uid="{8ECC1F21-E9ED-41AD-9545-76147BB19E3B}"/>
    <cellStyle name="Normal 33 4 3 2 6" xfId="47004" xr:uid="{7CD8F9A4-7E0C-4218-A804-455DECD6ECDA}"/>
    <cellStyle name="Normal 33 4 3 2 6 2" xfId="47005" xr:uid="{163A4106-B6E2-43F4-95A1-86C26392B465}"/>
    <cellStyle name="Normal 33 4 3 2 7" xfId="47006" xr:uid="{FF82AD6E-EE43-48C1-BD26-4EBE21EEF584}"/>
    <cellStyle name="Normal 33 4 3 2 8" xfId="47007" xr:uid="{7922CB24-1134-473F-9744-C2BF4837FC2B}"/>
    <cellStyle name="Normal 33 4 3 3" xfId="47008" xr:uid="{D1AAA49A-F19C-4477-AB32-28DFC1563808}"/>
    <cellStyle name="Normal 33 4 3 3 2" xfId="41342" xr:uid="{DEC76869-38D4-4AFE-8D8D-798A83B6F990}"/>
    <cellStyle name="Normal 33 4 3 3 2 2" xfId="41344" xr:uid="{6155A449-46AC-4537-A94E-98F50D7CF285}"/>
    <cellStyle name="Normal 33 4 3 3 2 2 2" xfId="41346" xr:uid="{AB30CBAF-BD6E-45BB-A997-E4930A6EE40A}"/>
    <cellStyle name="Normal 33 4 3 3 2 2 2 2" xfId="47009" xr:uid="{BC1839B0-126E-4665-9242-296E29E0CA90}"/>
    <cellStyle name="Normal 33 4 3 3 2 2 2 2 2" xfId="47010" xr:uid="{6A4CFBF0-45EF-457F-A263-9DFFCAEE5EAF}"/>
    <cellStyle name="Normal 33 4 3 3 2 2 2 3" xfId="47011" xr:uid="{F54B8CB1-358D-4EF0-8F0F-3A5CB390DEA3}"/>
    <cellStyle name="Normal 33 4 3 3 2 2 3" xfId="47012" xr:uid="{9F13899F-DD3A-4159-8B9B-F249D1DADAF9}"/>
    <cellStyle name="Normal 33 4 3 3 2 2 3 2" xfId="47013" xr:uid="{88702DD0-AC1E-44D7-BCA0-443A36111E5E}"/>
    <cellStyle name="Normal 33 4 3 3 2 2 4" xfId="47014" xr:uid="{0B76089B-4BE8-48DA-A034-84ACFD0CB2A5}"/>
    <cellStyle name="Normal 33 4 3 3 2 3" xfId="41348" xr:uid="{4580F953-2C83-4E3B-BBF0-8945E832A747}"/>
    <cellStyle name="Normal 33 4 3 3 2 3 2" xfId="47015" xr:uid="{3683572D-A93A-45C5-8B55-9EC055599B04}"/>
    <cellStyle name="Normal 33 4 3 3 2 3 2 2" xfId="47016" xr:uid="{BDCAB87F-FC5F-46F1-BA96-62BBFAA9FA41}"/>
    <cellStyle name="Normal 33 4 3 3 2 3 3" xfId="47017" xr:uid="{3DF1B2F1-72A8-434B-83A3-03B26F9E2450}"/>
    <cellStyle name="Normal 33 4 3 3 2 4" xfId="47018" xr:uid="{A1E5055F-0FC0-4DF1-B1EB-E46078B5E864}"/>
    <cellStyle name="Normal 33 4 3 3 2 4 2" xfId="47019" xr:uid="{FC7EBC19-4D20-421D-A79C-E6502ABF86E1}"/>
    <cellStyle name="Normal 33 4 3 3 2 5" xfId="47020" xr:uid="{D5F082F1-F53D-4ED4-BE6A-F27D086CFE85}"/>
    <cellStyle name="Normal 33 4 3 3 3" xfId="41350" xr:uid="{A162F5A3-C7E6-4A4B-990A-AD6CDECA8C7A}"/>
    <cellStyle name="Normal 33 4 3 3 3 2" xfId="41352" xr:uid="{8C3B1C14-68BF-4CB2-9271-1B9004EF8374}"/>
    <cellStyle name="Normal 33 4 3 3 3 2 2" xfId="47021" xr:uid="{541CA200-7308-4A8A-81AA-F3533E531D4F}"/>
    <cellStyle name="Normal 33 4 3 3 3 2 2 2" xfId="47022" xr:uid="{D1FF82E1-1021-44AE-A103-50800B307A45}"/>
    <cellStyle name="Normal 33 4 3 3 3 2 3" xfId="47023" xr:uid="{AFFC5D7F-4E9B-40C5-ABBC-F21718F2D575}"/>
    <cellStyle name="Normal 33 4 3 3 3 3" xfId="47024" xr:uid="{6DEEAC68-1EEC-4E86-A854-F5ADF5914DFC}"/>
    <cellStyle name="Normal 33 4 3 3 3 3 2" xfId="47025" xr:uid="{17C8FCD0-414B-41F1-812C-D90F60EE16D0}"/>
    <cellStyle name="Normal 33 4 3 3 3 4" xfId="47026" xr:uid="{945E18D6-8B59-45D9-AE50-100D8B58666A}"/>
    <cellStyle name="Normal 33 4 3 3 4" xfId="41354" xr:uid="{C8F9CE6E-3A1A-4678-98AA-4702AFAE33A5}"/>
    <cellStyle name="Normal 33 4 3 3 4 2" xfId="47027" xr:uid="{9DA460D0-E1AE-4EAD-9B44-8FA8C4E4EC3D}"/>
    <cellStyle name="Normal 33 4 3 3 4 2 2" xfId="47028" xr:uid="{2676457A-26F9-4AE1-ACC4-74426C16199C}"/>
    <cellStyle name="Normal 33 4 3 3 4 3" xfId="47029" xr:uid="{3533C5D1-C97D-4042-B7B9-1A00329E3733}"/>
    <cellStyle name="Normal 33 4 3 3 5" xfId="47030" xr:uid="{6726B31B-3637-40BF-9A96-1FD0ED14F2F5}"/>
    <cellStyle name="Normal 33 4 3 3 5 2" xfId="47031" xr:uid="{B864B6C3-D612-4D64-919E-1012DE35D114}"/>
    <cellStyle name="Normal 33 4 3 3 6" xfId="47032" xr:uid="{D503B224-5E02-4734-8862-185D7DA6C372}"/>
    <cellStyle name="Normal 33 4 3 3 7" xfId="47033" xr:uid="{F0AED390-BFE6-452B-832A-E37B1C3942C9}"/>
    <cellStyle name="Normal 33 4 3 4" xfId="47034" xr:uid="{D638374E-63F1-46FB-BE0B-A80B34896DFC}"/>
    <cellStyle name="Normal 33 4 3 4 2" xfId="41446" xr:uid="{4A606495-BFCE-494C-9762-4F3B1BFFEA29}"/>
    <cellStyle name="Normal 33 4 3 4 2 2" xfId="41448" xr:uid="{5CB3ACFD-BE38-4180-9A50-58D2FA38CEF4}"/>
    <cellStyle name="Normal 33 4 3 4 2 2 2" xfId="41450" xr:uid="{AB4B0EB7-0FF5-44D8-9B64-F8711CB8E267}"/>
    <cellStyle name="Normal 33 4 3 4 2 2 2 2" xfId="47035" xr:uid="{3539C706-7ACF-4361-BFA9-FEEB9FF035E9}"/>
    <cellStyle name="Normal 33 4 3 4 2 2 3" xfId="47036" xr:uid="{8BBA853C-4188-4A02-9BF2-4FBF0D1203C8}"/>
    <cellStyle name="Normal 33 4 3 4 2 3" xfId="41452" xr:uid="{16790691-9E72-487B-86AA-11A630083B70}"/>
    <cellStyle name="Normal 33 4 3 4 2 3 2" xfId="47037" xr:uid="{090C1749-427D-4F33-97B5-724C1CB76656}"/>
    <cellStyle name="Normal 33 4 3 4 2 4" xfId="47038" xr:uid="{CB2D1B83-5D10-4F83-8731-40C1E3CF5696}"/>
    <cellStyle name="Normal 33 4 3 4 3" xfId="41454" xr:uid="{161226D0-69A6-40A4-B8D3-C9C38289E028}"/>
    <cellStyle name="Normal 33 4 3 4 3 2" xfId="41456" xr:uid="{6EB62530-324E-40F3-9438-1952AE9C1391}"/>
    <cellStyle name="Normal 33 4 3 4 3 2 2" xfId="47039" xr:uid="{D4205CD1-5AF4-4C7B-93A1-99344227EDA2}"/>
    <cellStyle name="Normal 33 4 3 4 3 3" xfId="47040" xr:uid="{79FD3912-B8D1-432D-B28C-3B6CD6D06223}"/>
    <cellStyle name="Normal 33 4 3 4 4" xfId="41458" xr:uid="{42F95D80-05B5-403F-B84E-1E5B82A49851}"/>
    <cellStyle name="Normal 33 4 3 4 4 2" xfId="47041" xr:uid="{3347D8B6-4B80-459E-9E47-9626DD7F9396}"/>
    <cellStyle name="Normal 33 4 3 4 5" xfId="47042" xr:uid="{EC1EFA3E-302F-4238-A2B5-0D59D190BB3F}"/>
    <cellStyle name="Normal 33 4 3 5" xfId="43492" xr:uid="{637DAC6B-54AA-4AC4-9B7A-96EF15CBABBC}"/>
    <cellStyle name="Normal 33 4 3 5 2" xfId="47043" xr:uid="{5B5B385E-3E27-41DA-AA53-B3864D3F7874}"/>
    <cellStyle name="Normal 33 4 3 5 2 2" xfId="47044" xr:uid="{5EF187B5-0E2E-45C4-BB6F-0EE9C4A1B98F}"/>
    <cellStyle name="Normal 33 4 3 5 2 2 2" xfId="47045" xr:uid="{C511AE7A-5BD4-4105-A66C-5879889B580E}"/>
    <cellStyle name="Normal 33 4 3 5 2 3" xfId="47046" xr:uid="{B3ED930F-B9DE-49E4-A877-D9B4E01E9F5B}"/>
    <cellStyle name="Normal 33 4 3 5 3" xfId="47047" xr:uid="{C811CD23-45C7-443E-9688-E01EF397DCD4}"/>
    <cellStyle name="Normal 33 4 3 5 3 2" xfId="47048" xr:uid="{79B0D850-2162-47A8-8209-B3FB4F1A4D60}"/>
    <cellStyle name="Normal 33 4 3 5 4" xfId="47049" xr:uid="{1EDEF58E-010D-4F01-A2E5-52B62DF3A26D}"/>
    <cellStyle name="Normal 33 4 3 6" xfId="47050" xr:uid="{D03B9BBE-06FB-4989-B869-75104675D0C1}"/>
    <cellStyle name="Normal 33 4 3 6 2" xfId="47051" xr:uid="{395316CB-98B6-446F-B017-A23C4430630A}"/>
    <cellStyle name="Normal 33 4 3 6 2 2" xfId="47052" xr:uid="{2DB84550-9606-4940-803A-94AF9F4E364E}"/>
    <cellStyle name="Normal 33 4 3 6 3" xfId="47053" xr:uid="{18FED69E-9FFA-4BC4-81B9-B5C91276BEA6}"/>
    <cellStyle name="Normal 33 4 3 7" xfId="47054" xr:uid="{6B565E4D-569B-43E8-8D92-8178B187089A}"/>
    <cellStyle name="Normal 33 4 3 7 2" xfId="47055" xr:uid="{F70D0BE5-09A3-4DA9-BB7E-FC13B2822EEB}"/>
    <cellStyle name="Normal 33 4 3 8" xfId="47056" xr:uid="{4E580F63-74E7-4AF1-835E-74EB3DB9D1EB}"/>
    <cellStyle name="Normal 33 4 3 9" xfId="47057" xr:uid="{E03BA163-EA84-4FA5-BA43-213A6F0DDE78}"/>
    <cellStyle name="Normal 33 4 4" xfId="47058" xr:uid="{74EF6465-1F27-4D9F-9061-F5635F8D8255}"/>
    <cellStyle name="Normal 33 4 4 2" xfId="47059" xr:uid="{23571E6A-D462-468A-A423-448CCBEAA7F9}"/>
    <cellStyle name="Normal 33 4 4 2 2" xfId="41603" xr:uid="{278CB061-A00E-4B23-9C56-AE9A86F01D7E}"/>
    <cellStyle name="Normal 33 4 4 2 2 2" xfId="41605" xr:uid="{24D4E6AE-CD95-4FE9-B3C6-ACCF366872BA}"/>
    <cellStyle name="Normal 33 4 4 2 2 2 2" xfId="41607" xr:uid="{BD0CEC1F-0991-466C-A922-6910931AC944}"/>
    <cellStyle name="Normal 33 4 4 2 2 2 2 2" xfId="47060" xr:uid="{DC35CE45-7368-49BD-ABA0-984D488DB124}"/>
    <cellStyle name="Normal 33 4 4 2 2 2 2 2 2" xfId="47061" xr:uid="{8F3151BA-141B-4B8F-BB0C-D7FDF484C6B6}"/>
    <cellStyle name="Normal 33 4 4 2 2 2 2 3" xfId="47062" xr:uid="{27168787-B3F8-4C7A-AB7D-91A4A1B33A20}"/>
    <cellStyle name="Normal 33 4 4 2 2 2 3" xfId="47063" xr:uid="{65048281-C930-4147-ADBA-1762E4C67B92}"/>
    <cellStyle name="Normal 33 4 4 2 2 2 3 2" xfId="47064" xr:uid="{9FD47BD4-F2DC-4285-B275-AABC2F6EF59E}"/>
    <cellStyle name="Normal 33 4 4 2 2 2 4" xfId="47065" xr:uid="{C9DAE02F-F5EC-49EA-BC23-9DCE67AB921B}"/>
    <cellStyle name="Normal 33 4 4 2 2 3" xfId="41609" xr:uid="{2D210CBF-7368-42E9-A6DB-D6EE5F027067}"/>
    <cellStyle name="Normal 33 4 4 2 2 3 2" xfId="47066" xr:uid="{6FBA4C55-36DB-4532-82DD-FF00AEDF5282}"/>
    <cellStyle name="Normal 33 4 4 2 2 3 2 2" xfId="47067" xr:uid="{D8017DAC-997D-4EBA-AD62-908A298D5367}"/>
    <cellStyle name="Normal 33 4 4 2 2 3 3" xfId="47068" xr:uid="{32E6ACB9-8949-41C5-8BC3-A0FD32C1D554}"/>
    <cellStyle name="Normal 33 4 4 2 2 4" xfId="47069" xr:uid="{2668CB9E-820C-4193-8644-64B4B1F47905}"/>
    <cellStyle name="Normal 33 4 4 2 2 4 2" xfId="47070" xr:uid="{76F6A2E3-8EEB-436B-8BB0-AD30B7F4396D}"/>
    <cellStyle name="Normal 33 4 4 2 2 5" xfId="47071" xr:uid="{F7467880-BFAA-4E65-88F7-262F5DADE5B4}"/>
    <cellStyle name="Normal 33 4 4 2 3" xfId="41611" xr:uid="{0FBD4781-6EE2-4D19-A6D2-116F3DA62862}"/>
    <cellStyle name="Normal 33 4 4 2 3 2" xfId="41613" xr:uid="{FC4710F0-F7E9-4FF1-853A-ABD770EF22EB}"/>
    <cellStyle name="Normal 33 4 4 2 3 2 2" xfId="47072" xr:uid="{D0CCBBBF-F876-4F05-A2D3-35F963B2CFD6}"/>
    <cellStyle name="Normal 33 4 4 2 3 2 2 2" xfId="47073" xr:uid="{9B4759AE-78E4-4341-B105-82BF4DC7F6D8}"/>
    <cellStyle name="Normal 33 4 4 2 3 2 3" xfId="47074" xr:uid="{45404DEA-4B2E-46D7-BD63-9CFC74B27FD6}"/>
    <cellStyle name="Normal 33 4 4 2 3 3" xfId="47075" xr:uid="{A0B08339-5B54-4981-BB5B-4BA82CEBC433}"/>
    <cellStyle name="Normal 33 4 4 2 3 3 2" xfId="47076" xr:uid="{99600C01-7235-489C-A907-34582048490B}"/>
    <cellStyle name="Normal 33 4 4 2 3 4" xfId="47077" xr:uid="{5563BFC7-7D28-41F7-B1FB-93ECA665C9D0}"/>
    <cellStyle name="Normal 33 4 4 2 4" xfId="41615" xr:uid="{81283454-7143-4191-B2FB-E13BCE273392}"/>
    <cellStyle name="Normal 33 4 4 2 4 2" xfId="47078" xr:uid="{99117339-E166-483F-A558-5607D1646DD5}"/>
    <cellStyle name="Normal 33 4 4 2 4 2 2" xfId="47079" xr:uid="{1EDD0521-E8D9-46B0-AB6F-F82955395E2D}"/>
    <cellStyle name="Normal 33 4 4 2 4 3" xfId="47080" xr:uid="{F89FDCBB-3061-435C-863D-ED4FE9DDCE99}"/>
    <cellStyle name="Normal 33 4 4 2 5" xfId="47081" xr:uid="{A6367CB0-9E5C-4EB0-8604-D73F2173D4CB}"/>
    <cellStyle name="Normal 33 4 4 2 5 2" xfId="47082" xr:uid="{398B667A-2031-4037-BE01-06EC3760495F}"/>
    <cellStyle name="Normal 33 4 4 2 6" xfId="47083" xr:uid="{C91B7020-91EE-499B-87D8-B28AA77970A4}"/>
    <cellStyle name="Normal 33 4 4 2 7" xfId="47084" xr:uid="{076478DD-0DC8-4B63-9670-73A02DD1895D}"/>
    <cellStyle name="Normal 33 4 4 3" xfId="47085" xr:uid="{E6576477-7FA2-4773-9620-1ACAA8FC17C9}"/>
    <cellStyle name="Normal 33 4 4 3 2" xfId="41684" xr:uid="{0C5DD9EF-6B9D-4F52-ACCA-D1EAC4FA7116}"/>
    <cellStyle name="Normal 33 4 4 3 2 2" xfId="41686" xr:uid="{BF5CC26D-EA1C-459D-86CF-DE73B4C22E10}"/>
    <cellStyle name="Normal 33 4 4 3 2 2 2" xfId="41688" xr:uid="{64707146-FA5F-4D6C-A76A-C3BAB0A4E4A0}"/>
    <cellStyle name="Normal 33 4 4 3 2 2 2 2" xfId="47086" xr:uid="{7AFF25FD-2237-48DD-B038-7217D121A32C}"/>
    <cellStyle name="Normal 33 4 4 3 2 2 3" xfId="47087" xr:uid="{A7EEF0F9-266E-4A13-8B83-FBC85377E152}"/>
    <cellStyle name="Normal 33 4 4 3 2 3" xfId="41690" xr:uid="{1AC467C7-A2EC-4236-8271-1C21FB825616}"/>
    <cellStyle name="Normal 33 4 4 3 2 3 2" xfId="47088" xr:uid="{944C8653-CC2E-4773-AC0F-4AAF84AF22ED}"/>
    <cellStyle name="Normal 33 4 4 3 2 4" xfId="47089" xr:uid="{0C9202ED-D610-4848-BC16-0D4C81C3169D}"/>
    <cellStyle name="Normal 33 4 4 3 3" xfId="41692" xr:uid="{B8B35E76-83C2-414C-B7DD-602151619977}"/>
    <cellStyle name="Normal 33 4 4 3 3 2" xfId="41694" xr:uid="{3A0B1AA0-5590-4897-A960-9383F14628A7}"/>
    <cellStyle name="Normal 33 4 4 3 3 2 2" xfId="47090" xr:uid="{A4099716-50B3-4B4F-B35E-32A590EA05D5}"/>
    <cellStyle name="Normal 33 4 4 3 3 3" xfId="47091" xr:uid="{A7FB91B3-B1DE-4163-AFBF-F69241F3DCF7}"/>
    <cellStyle name="Normal 33 4 4 3 4" xfId="41696" xr:uid="{8467DF66-8B2D-423E-BDF5-55B73718164A}"/>
    <cellStyle name="Normal 33 4 4 3 4 2" xfId="47092" xr:uid="{102BC776-1817-4A96-80B2-4EC3B9BAEF31}"/>
    <cellStyle name="Normal 33 4 4 3 5" xfId="47093" xr:uid="{C1053CB4-FA1B-4C28-BB36-D15A037501F1}"/>
    <cellStyle name="Normal 33 4 4 4" xfId="47094" xr:uid="{14646B4F-EDAC-4A3C-A172-6CBB27096487}"/>
    <cellStyle name="Normal 33 4 4 4 2" xfId="47095" xr:uid="{BDDE8A1A-AC2D-41A9-9C81-78F7546299DA}"/>
    <cellStyle name="Normal 33 4 4 4 2 2" xfId="47096" xr:uid="{A825D71B-898D-459F-B2DA-D6ADB4A86DC5}"/>
    <cellStyle name="Normal 33 4 4 4 2 2 2" xfId="47097" xr:uid="{413E84BC-128C-4FF1-9F8A-87B10AEE4537}"/>
    <cellStyle name="Normal 33 4 4 4 2 3" xfId="47098" xr:uid="{8E78C261-EF97-47A5-A1C5-19C49E88F745}"/>
    <cellStyle name="Normal 33 4 4 4 3" xfId="47099" xr:uid="{D5B6CA95-6C56-4CAE-9027-0A3EDDE48FA9}"/>
    <cellStyle name="Normal 33 4 4 4 3 2" xfId="47100" xr:uid="{01C5BE78-B2D3-45E1-B85A-24247C88A9D5}"/>
    <cellStyle name="Normal 33 4 4 4 4" xfId="47101" xr:uid="{B5D55341-3A77-49E6-BC34-118CCA0BCCFB}"/>
    <cellStyle name="Normal 33 4 4 5" xfId="47102" xr:uid="{70728B5D-ECD0-4A76-BCF6-DBE0B1C36758}"/>
    <cellStyle name="Normal 33 4 4 5 2" xfId="47103" xr:uid="{6E34992C-C0E2-4FAE-A056-3F22516B1F21}"/>
    <cellStyle name="Normal 33 4 4 5 2 2" xfId="47104" xr:uid="{294B7E13-E32E-4338-A59D-2B267CF6FCD8}"/>
    <cellStyle name="Normal 33 4 4 5 3" xfId="47105" xr:uid="{594C110A-E844-4535-BC31-FBE0B2D246EB}"/>
    <cellStyle name="Normal 33 4 4 6" xfId="47106" xr:uid="{1BD9B934-A640-430E-B8AC-37D9B2E5C991}"/>
    <cellStyle name="Normal 33 4 4 6 2" xfId="47107" xr:uid="{80592C88-8FD5-472A-A218-854EBA34F8F7}"/>
    <cellStyle name="Normal 33 4 4 7" xfId="47108" xr:uid="{83FBBFFA-F3B9-497C-A1C7-D2BDB024369E}"/>
    <cellStyle name="Normal 33 4 4 8" xfId="47109" xr:uid="{08A10A37-D71C-46BD-8F12-AAD179D80C7E}"/>
    <cellStyle name="Normal 33 4 5" xfId="47110" xr:uid="{F120562C-457A-422F-8B63-E4752F8863C5}"/>
    <cellStyle name="Normal 33 4 5 2" xfId="47111" xr:uid="{7BE8C659-2625-4438-A183-2EC390838699}"/>
    <cellStyle name="Normal 33 4 5 2 2" xfId="47112" xr:uid="{B7EAD706-278B-4B86-B8EF-B485C6189173}"/>
    <cellStyle name="Normal 33 4 5 2 2 2" xfId="47113" xr:uid="{5557D6D6-4454-4A35-B6B6-72F7C4C35CCC}"/>
    <cellStyle name="Normal 33 4 5 2 2 2 2" xfId="47114" xr:uid="{7C9A59BB-814E-4824-AE13-D2660E3C6210}"/>
    <cellStyle name="Normal 33 4 5 2 2 2 2 2" xfId="47115" xr:uid="{BFCBC483-7640-469E-A14B-BB123BC8B35A}"/>
    <cellStyle name="Normal 33 4 5 2 2 2 3" xfId="47116" xr:uid="{843D7DD5-E97B-489D-AEE4-D1F1ECABC71C}"/>
    <cellStyle name="Normal 33 4 5 2 2 3" xfId="47117" xr:uid="{727513E2-FD22-4740-9B45-30675A22FC9F}"/>
    <cellStyle name="Normal 33 4 5 2 2 3 2" xfId="47118" xr:uid="{AC7A75E6-CEED-4F06-8FB1-098CD1795F0B}"/>
    <cellStyle name="Normal 33 4 5 2 2 4" xfId="47119" xr:uid="{8EFD5095-FD9B-4211-BF69-6D8E85F780CF}"/>
    <cellStyle name="Normal 33 4 5 2 3" xfId="47120" xr:uid="{908A3E08-800C-4B36-97B3-0BB3911BFC6D}"/>
    <cellStyle name="Normal 33 4 5 2 3 2" xfId="47121" xr:uid="{4B86BA5C-47BC-4F73-8B95-789F90EA4150}"/>
    <cellStyle name="Normal 33 4 5 2 3 2 2" xfId="47122" xr:uid="{D8CA159F-F91C-4A3D-AA8B-577D83056FF1}"/>
    <cellStyle name="Normal 33 4 5 2 3 3" xfId="47123" xr:uid="{BC3F607A-21D0-49AF-9AF5-4F1DAB1705A2}"/>
    <cellStyle name="Normal 33 4 5 2 4" xfId="47124" xr:uid="{F4396A2C-C7B2-43F4-8557-96266E598E87}"/>
    <cellStyle name="Normal 33 4 5 2 4 2" xfId="47125" xr:uid="{2884855D-5795-4E8A-907A-FB3F483B039E}"/>
    <cellStyle name="Normal 33 4 5 2 5" xfId="47126" xr:uid="{76DB05C5-A9F9-483D-BE19-0FFA8BA8EE34}"/>
    <cellStyle name="Normal 33 4 5 3" xfId="47127" xr:uid="{E3ABD979-E7C3-401C-8B8E-5163CC51D53C}"/>
    <cellStyle name="Normal 33 4 5 3 2" xfId="47128" xr:uid="{23287F03-72D6-434C-8F90-E98F49179BA0}"/>
    <cellStyle name="Normal 33 4 5 3 2 2" xfId="47129" xr:uid="{6419C382-17B4-4742-9287-46DC3E26AA6D}"/>
    <cellStyle name="Normal 33 4 5 3 2 2 2" xfId="47130" xr:uid="{7F952952-8939-4352-B88D-7B49DE3082F1}"/>
    <cellStyle name="Normal 33 4 5 3 2 3" xfId="47131" xr:uid="{C5433D8D-9689-4F46-B55B-7FA76B68FE88}"/>
    <cellStyle name="Normal 33 4 5 3 3" xfId="47132" xr:uid="{8026A824-3067-4DA3-B56D-114AB807601F}"/>
    <cellStyle name="Normal 33 4 5 3 3 2" xfId="47133" xr:uid="{C673A3F6-2FAE-454E-BBCF-EBD0FA5DCA3D}"/>
    <cellStyle name="Normal 33 4 5 3 4" xfId="47134" xr:uid="{89902771-9435-4669-84DD-36B9613A66AC}"/>
    <cellStyle name="Normal 33 4 5 4" xfId="47135" xr:uid="{F73F02D5-6E0D-40B7-9770-14EA0F8796D1}"/>
    <cellStyle name="Normal 33 4 5 4 2" xfId="47136" xr:uid="{6994B975-B7E1-41C8-8FE0-25F0E73756F3}"/>
    <cellStyle name="Normal 33 4 5 4 2 2" xfId="47137" xr:uid="{A93A4AA2-C35C-40F2-A701-8699E86E61DA}"/>
    <cellStyle name="Normal 33 4 5 4 3" xfId="47138" xr:uid="{A59B7B50-9EA9-42D9-856F-6C08A61359C6}"/>
    <cellStyle name="Normal 33 4 5 5" xfId="47139" xr:uid="{6BFE7DBA-743F-4C36-B240-0E7FDCDC687A}"/>
    <cellStyle name="Normal 33 4 5 5 2" xfId="47140" xr:uid="{E75C6A2C-FBAB-4222-9180-602DC8179CCC}"/>
    <cellStyle name="Normal 33 4 5 6" xfId="47141" xr:uid="{8BBE1FDB-6E8E-4D0B-8389-E77DBA9A2F93}"/>
    <cellStyle name="Normal 33 4 5 7" xfId="47142" xr:uid="{07D1793A-5E06-4B8B-A07B-0EEB9C9E8D28}"/>
    <cellStyle name="Normal 33 4 6" xfId="47143" xr:uid="{F9623C7F-6367-4655-A2B3-6382AA073E30}"/>
    <cellStyle name="Normal 33 4 6 2" xfId="47144" xr:uid="{02DA802D-FD1C-4458-B99B-9124AB2D1497}"/>
    <cellStyle name="Normal 33 4 6 2 2" xfId="41796" xr:uid="{2B3B5D60-38A8-455C-876E-AE45262B2AA5}"/>
    <cellStyle name="Normal 33 4 6 2 2 2" xfId="47145" xr:uid="{9F868226-A581-4D07-AC66-820697382359}"/>
    <cellStyle name="Normal 33 4 6 2 2 2 2" xfId="47146" xr:uid="{7200B037-A8E3-4609-AD5E-FB7A2985ADDE}"/>
    <cellStyle name="Normal 33 4 6 2 2 3" xfId="47147" xr:uid="{9520F211-D8A9-475B-8B50-ECF26C9868AC}"/>
    <cellStyle name="Normal 33 4 6 2 3" xfId="47148" xr:uid="{AD3552DB-E8DC-4F2D-902E-ADAEBD2EF7AE}"/>
    <cellStyle name="Normal 33 4 6 2 3 2" xfId="47149" xr:uid="{A9010D75-02BF-4735-AB90-EDC842FF30C4}"/>
    <cellStyle name="Normal 33 4 6 2 4" xfId="47150" xr:uid="{D8C8B59D-88CA-45A5-A441-B1358DDDA3F8}"/>
    <cellStyle name="Normal 33 4 6 3" xfId="47151" xr:uid="{286B308C-4F03-4CD7-B3DB-B2189D0B4DBB}"/>
    <cellStyle name="Normal 33 4 6 3 2" xfId="47152" xr:uid="{2DEBF2D3-347C-48C3-81AA-165AA2D237C8}"/>
    <cellStyle name="Normal 33 4 6 3 2 2" xfId="47153" xr:uid="{8A24E5F0-0BE4-469F-BC53-AE48671DDC67}"/>
    <cellStyle name="Normal 33 4 6 3 3" xfId="47154" xr:uid="{5429308E-6B91-4831-968A-4966D57394EE}"/>
    <cellStyle name="Normal 33 4 6 4" xfId="47155" xr:uid="{99BDAEF1-7203-4DD0-8080-D9D70F275691}"/>
    <cellStyle name="Normal 33 4 6 4 2" xfId="47156" xr:uid="{3C506541-F74E-42D0-BE1E-22265286CB72}"/>
    <cellStyle name="Normal 33 4 6 5" xfId="47157" xr:uid="{D26CC7C1-ACF2-4D22-B153-9BED8FD8B9E8}"/>
    <cellStyle name="Normal 33 4 7" xfId="47158" xr:uid="{EC819B9D-3228-416C-853E-2ACBCDD45B96}"/>
    <cellStyle name="Normal 33 4 7 2" xfId="47159" xr:uid="{7ED3D27E-9EE4-4774-A16B-557AEE1CA7FD}"/>
    <cellStyle name="Normal 33 4 7 2 2" xfId="47160" xr:uid="{8442C90D-5249-41D2-8910-B0FDF830DC6D}"/>
    <cellStyle name="Normal 33 4 7 2 2 2" xfId="47161" xr:uid="{83105B9E-3C1D-4CF6-8FCE-E289EC9D44C6}"/>
    <cellStyle name="Normal 33 4 7 2 3" xfId="47162" xr:uid="{B4A7D5E2-ADF4-41AC-8576-774D8FB7122A}"/>
    <cellStyle name="Normal 33 4 7 3" xfId="47163" xr:uid="{2D71961D-954A-44DE-816A-294C2BFF88ED}"/>
    <cellStyle name="Normal 33 4 7 3 2" xfId="47164" xr:uid="{9DA928F3-8698-4DE4-8FF3-006BFAD8AC27}"/>
    <cellStyle name="Normal 33 4 7 4" xfId="47165" xr:uid="{FE602CE4-086C-41BE-B3B1-A3E5D27C7085}"/>
    <cellStyle name="Normal 33 4 8" xfId="47166" xr:uid="{C53C8526-DC5D-4767-8E4C-B8872D237621}"/>
    <cellStyle name="Normal 33 4 8 2" xfId="47167" xr:uid="{CC4511C6-CC81-4377-A05A-A757946C5915}"/>
    <cellStyle name="Normal 33 4 8 2 2" xfId="47168" xr:uid="{24A0EAD6-4751-4C34-8E41-8E42ED43F765}"/>
    <cellStyle name="Normal 33 4 8 3" xfId="47169" xr:uid="{8BEFEA6F-5FFA-42A0-ADD1-84C91BA495F8}"/>
    <cellStyle name="Normal 33 4 9" xfId="47170" xr:uid="{49F659D8-889A-4EF8-8744-C527FC163CD6}"/>
    <cellStyle name="Normal 33 4 9 2" xfId="47171" xr:uid="{7DC0A0C9-AC15-4CB2-A239-B8A66EE2CC74}"/>
    <cellStyle name="Normal 33 5" xfId="26576" xr:uid="{1CAA311E-293A-4E2B-9F20-EBED5A8D3426}"/>
    <cellStyle name="Normal 33 5 10" xfId="47172" xr:uid="{2946A0CD-1AFD-4F54-BAF9-3E93281AD344}"/>
    <cellStyle name="Normal 33 5 11" xfId="47173" xr:uid="{F9C0245F-45D5-4882-BAE0-4B4E61C694A5}"/>
    <cellStyle name="Normal 33 5 2" xfId="47174" xr:uid="{E69BCFD9-C2FF-4758-975E-1BFCAEE04B49}"/>
    <cellStyle name="Normal 33 5 2 10" xfId="47175" xr:uid="{7BF3D3F4-D991-4538-A0F5-785CC066DE82}"/>
    <cellStyle name="Normal 33 5 2 2" xfId="47176" xr:uid="{6C822A43-C96F-43D1-84E8-F14493DDBCB8}"/>
    <cellStyle name="Normal 33 5 2 2 2" xfId="47177" xr:uid="{9FBE7901-2114-4D86-B0AC-3C78AF95B8DF}"/>
    <cellStyle name="Normal 33 5 2 2 2 2" xfId="47178" xr:uid="{1D2EAF8F-28BB-4548-A69E-EF7380FC169F}"/>
    <cellStyle name="Normal 33 5 2 2 2 2 2" xfId="47179" xr:uid="{19F77AFA-6FE1-4791-A458-1E19E8417FF1}"/>
    <cellStyle name="Normal 33 5 2 2 2 2 2 2" xfId="47180" xr:uid="{C191576A-6D9F-40F7-AFDD-87ACEB00B45E}"/>
    <cellStyle name="Normal 33 5 2 2 2 2 2 2 2" xfId="47181" xr:uid="{FEE44855-6026-4C3C-8ED8-81459B2C34EA}"/>
    <cellStyle name="Normal 33 5 2 2 2 2 2 2 2 2" xfId="47182" xr:uid="{A4E156FB-9AA7-409E-A2E8-4F09EF53BD47}"/>
    <cellStyle name="Normal 33 5 2 2 2 2 2 2 2 2 2" xfId="47183" xr:uid="{07F64923-12D3-46D9-A220-46011E1F14D2}"/>
    <cellStyle name="Normal 33 5 2 2 2 2 2 2 2 3" xfId="47184" xr:uid="{D9D532FD-8B5E-46AF-A75C-51DCEA0AFC7B}"/>
    <cellStyle name="Normal 33 5 2 2 2 2 2 2 3" xfId="47185" xr:uid="{413CDD3C-A3F8-46AD-9783-C7EB21B41C58}"/>
    <cellStyle name="Normal 33 5 2 2 2 2 2 2 3 2" xfId="47186" xr:uid="{515AC3FD-A8FF-4307-91C0-02A0B8E44D70}"/>
    <cellStyle name="Normal 33 5 2 2 2 2 2 2 4" xfId="47187" xr:uid="{0B16C09E-EE9F-43A3-808A-5F2B645EB584}"/>
    <cellStyle name="Normal 33 5 2 2 2 2 2 3" xfId="47188" xr:uid="{F0453275-DE20-429D-B379-CFDFEE875829}"/>
    <cellStyle name="Normal 33 5 2 2 2 2 2 3 2" xfId="47189" xr:uid="{AEBC80B5-32AA-4EC0-AA39-819BF7A4A62B}"/>
    <cellStyle name="Normal 33 5 2 2 2 2 2 3 2 2" xfId="47190" xr:uid="{D0811200-D616-49F8-A432-66873507344F}"/>
    <cellStyle name="Normal 33 5 2 2 2 2 2 3 3" xfId="47191" xr:uid="{FDD0CAC2-482A-4E45-91B6-2EDF2B264713}"/>
    <cellStyle name="Normal 33 5 2 2 2 2 2 4" xfId="47192" xr:uid="{F523C671-100F-44D3-A793-136D6336E40D}"/>
    <cellStyle name="Normal 33 5 2 2 2 2 2 4 2" xfId="47193" xr:uid="{1EA02A6E-71D3-41C1-8DD4-D02E3753A6E2}"/>
    <cellStyle name="Normal 33 5 2 2 2 2 2 5" xfId="47194" xr:uid="{E075ECCE-C2BF-46B5-9ECE-5008B9B2626C}"/>
    <cellStyle name="Normal 33 5 2 2 2 2 3" xfId="47195" xr:uid="{7750ACA3-59D1-4026-A96F-218A29BCA82E}"/>
    <cellStyle name="Normal 33 5 2 2 2 2 3 2" xfId="47196" xr:uid="{C4669F4A-84A0-4789-8A24-E0853C32CE98}"/>
    <cellStyle name="Normal 33 5 2 2 2 2 3 2 2" xfId="47197" xr:uid="{99687472-E4FA-403A-B430-724A48157D0B}"/>
    <cellStyle name="Normal 33 5 2 2 2 2 3 2 2 2" xfId="47198" xr:uid="{DD8E3AB3-A8E4-4107-B3C0-F5ACCCED8C9B}"/>
    <cellStyle name="Normal 33 5 2 2 2 2 3 2 3" xfId="47199" xr:uid="{CB645EBB-4E52-4496-AD66-878B9C25EF0E}"/>
    <cellStyle name="Normal 33 5 2 2 2 2 3 3" xfId="47200" xr:uid="{2EE443BB-2C36-4A45-BBAC-C1B8EEC24456}"/>
    <cellStyle name="Normal 33 5 2 2 2 2 3 3 2" xfId="47201" xr:uid="{39AC8594-7F5D-4470-98A7-DF4E0CE121D2}"/>
    <cellStyle name="Normal 33 5 2 2 2 2 3 4" xfId="47202" xr:uid="{ABF3E0B0-DA75-41F7-B4E0-8D4CD282F27F}"/>
    <cellStyle name="Normal 33 5 2 2 2 2 4" xfId="47203" xr:uid="{9EABFA71-CA6A-4AC5-96C6-40A79B8806C7}"/>
    <cellStyle name="Normal 33 5 2 2 2 2 4 2" xfId="47204" xr:uid="{6704D862-32BE-42D6-BF8B-7BFE4A29B49B}"/>
    <cellStyle name="Normal 33 5 2 2 2 2 4 2 2" xfId="47205" xr:uid="{F45CAC37-5304-427F-9BF4-19EE4E3C8D0A}"/>
    <cellStyle name="Normal 33 5 2 2 2 2 4 3" xfId="47206" xr:uid="{42517555-1D0E-41AF-AD23-B2DB47E8116C}"/>
    <cellStyle name="Normal 33 5 2 2 2 2 5" xfId="47207" xr:uid="{2A57AFFA-4C99-453F-B16A-C3A78882A543}"/>
    <cellStyle name="Normal 33 5 2 2 2 2 5 2" xfId="47208" xr:uid="{DC45B7E5-7225-4669-A94D-97BE75C4367D}"/>
    <cellStyle name="Normal 33 5 2 2 2 2 6" xfId="47209" xr:uid="{A9DAE2AA-C2C9-409E-BF4E-192382B2F206}"/>
    <cellStyle name="Normal 33 5 2 2 2 2 7" xfId="47210" xr:uid="{AFD359AE-1727-4AD0-88DA-34614917ECB7}"/>
    <cellStyle name="Normal 33 5 2 2 2 3" xfId="47211" xr:uid="{3C1E9237-8C42-4039-B5BE-EAFBF93D6A23}"/>
    <cellStyle name="Normal 33 5 2 2 2 3 2" xfId="47212" xr:uid="{87EAA9F5-8B67-45AB-94B7-A17A6613E164}"/>
    <cellStyle name="Normal 33 5 2 2 2 3 2 2" xfId="40150" xr:uid="{F07B699F-8526-4C58-AAC2-9003A2213409}"/>
    <cellStyle name="Normal 33 5 2 2 2 3 2 2 2" xfId="40152" xr:uid="{7E447E23-DBB9-482F-B1CD-9BE04D8593A8}"/>
    <cellStyle name="Normal 33 5 2 2 2 3 2 2 2 2" xfId="40154" xr:uid="{EDBE5D90-5471-4FAC-A153-1D2DFCA7C107}"/>
    <cellStyle name="Normal 33 5 2 2 2 3 2 2 3" xfId="40159" xr:uid="{6C578F91-61DB-42D5-9236-A6BD860EA86D}"/>
    <cellStyle name="Normal 33 5 2 2 2 3 2 3" xfId="40167" xr:uid="{0AAED389-D27F-439B-A81F-D7001C30DFB1}"/>
    <cellStyle name="Normal 33 5 2 2 2 3 2 3 2" xfId="40169" xr:uid="{FB985A7B-4C33-4C21-AB58-388EA9F8A2BF}"/>
    <cellStyle name="Normal 33 5 2 2 2 3 2 4" xfId="40177" xr:uid="{6A5B045D-DAB0-4A2A-8931-A7D8B93D180D}"/>
    <cellStyle name="Normal 33 5 2 2 2 3 3" xfId="47213" xr:uid="{0FCF9E58-D268-4CC4-BA2D-2E37D0AAA7C5}"/>
    <cellStyle name="Normal 33 5 2 2 2 3 3 2" xfId="40206" xr:uid="{1321F56F-1742-43CE-B16B-C60EAFA6E540}"/>
    <cellStyle name="Normal 33 5 2 2 2 3 3 2 2" xfId="40210" xr:uid="{4B6AB889-92DC-4BC9-8E57-B350E4EC7215}"/>
    <cellStyle name="Normal 33 5 2 2 2 3 3 3" xfId="40224" xr:uid="{89136B8B-A280-4476-B6FC-8C85B45E8BD9}"/>
    <cellStyle name="Normal 33 5 2 2 2 3 4" xfId="47214" xr:uid="{6175BBA5-8F08-4441-9734-FF9B22339D5E}"/>
    <cellStyle name="Normal 33 5 2 2 2 3 4 2" xfId="40838" xr:uid="{5F3D9856-2F98-44B9-94B2-4C9487957F88}"/>
    <cellStyle name="Normal 33 5 2 2 2 3 5" xfId="47215" xr:uid="{76B1278C-3554-45B2-926E-8A9B60E3A8F1}"/>
    <cellStyle name="Normal 33 5 2 2 2 4" xfId="47216" xr:uid="{DA3D76BE-0601-4117-926D-CFBAF99E689B}"/>
    <cellStyle name="Normal 33 5 2 2 2 4 2" xfId="43746" xr:uid="{4F73D057-6A01-4656-816A-2BC155D4ED3A}"/>
    <cellStyle name="Normal 33 5 2 2 2 4 2 2" xfId="43749" xr:uid="{0B879A0A-1459-4C9C-8C8F-FCE4C5266612}"/>
    <cellStyle name="Normal 33 5 2 2 2 4 2 2 2" xfId="43752" xr:uid="{E0F9B600-7676-4A0C-B2AE-4F457DBFCFAA}"/>
    <cellStyle name="Normal 33 5 2 2 2 4 2 3" xfId="43756" xr:uid="{9A36F831-6847-4A37-BE65-E598C17FA146}"/>
    <cellStyle name="Normal 33 5 2 2 2 4 3" xfId="43758" xr:uid="{E18AD81B-CACD-4597-B35F-1E59CCF7AFBE}"/>
    <cellStyle name="Normal 33 5 2 2 2 4 3 2" xfId="43761" xr:uid="{A73CE9BC-B497-4CFA-8869-A524FE959456}"/>
    <cellStyle name="Normal 33 5 2 2 2 4 4" xfId="43763" xr:uid="{10B80F72-19D4-4291-B475-DB0D14C6A837}"/>
    <cellStyle name="Normal 33 5 2 2 2 5" xfId="47217" xr:uid="{5C7F2B24-AB0F-4234-A756-A3E84D7EBE45}"/>
    <cellStyle name="Normal 33 5 2 2 2 5 2" xfId="43767" xr:uid="{3DF8CAC5-5CAC-4848-B53C-A525CFDB3917}"/>
    <cellStyle name="Normal 33 5 2 2 2 5 2 2" xfId="43257" xr:uid="{83B19A70-5C20-4A10-9A73-43BBAEF04265}"/>
    <cellStyle name="Normal 33 5 2 2 2 5 3" xfId="43769" xr:uid="{25897E7B-721C-422D-9DC8-8FC6F896AC1A}"/>
    <cellStyle name="Normal 33 5 2 2 2 6" xfId="47218" xr:uid="{8279C541-16F5-4A5C-981C-DFD8C8F04A65}"/>
    <cellStyle name="Normal 33 5 2 2 2 6 2" xfId="43773" xr:uid="{6FDEC225-AF9B-4ACA-8880-FD525CEC3813}"/>
    <cellStyle name="Normal 33 5 2 2 2 7" xfId="47219" xr:uid="{7AAEF61E-B320-4230-B2D1-F33DC793C02F}"/>
    <cellStyle name="Normal 33 5 2 2 2 8" xfId="47220" xr:uid="{D21F59BA-0C60-46BD-8C30-CF0CA79DE964}"/>
    <cellStyle name="Normal 33 5 2 2 3" xfId="47223" xr:uid="{E43A8A14-C862-42B1-8FBA-30861E1D5EC9}"/>
    <cellStyle name="Normal 33 5 2 2 3 2" xfId="47225" xr:uid="{819E3C3A-869F-41DA-8CFD-F5EC6B1345C3}"/>
    <cellStyle name="Normal 33 5 2 2 3 2 2" xfId="47227" xr:uid="{F2462D63-C3B3-4D1F-A96D-57D12645AC1B}"/>
    <cellStyle name="Normal 33 5 2 2 3 2 2 2" xfId="47228" xr:uid="{03512A4B-F154-48DF-A2D0-AF41A5ED7E2F}"/>
    <cellStyle name="Normal 33 5 2 2 3 2 2 2 2" xfId="47229" xr:uid="{1E1DDB39-61EE-48BB-A66A-AAD5F94C13F2}"/>
    <cellStyle name="Normal 33 5 2 2 3 2 2 2 2 2" xfId="47230" xr:uid="{3BAD3BD7-58C1-4295-A89B-F693C38F9D12}"/>
    <cellStyle name="Normal 33 5 2 2 3 2 2 2 3" xfId="47231" xr:uid="{CCAB7F1F-A6BA-4494-A0DA-C387E6BF9D8A}"/>
    <cellStyle name="Normal 33 5 2 2 3 2 2 3" xfId="47232" xr:uid="{40C00A85-4BA6-4D26-9299-FF08C3AC4822}"/>
    <cellStyle name="Normal 33 5 2 2 3 2 2 3 2" xfId="47233" xr:uid="{AEE013C9-80FC-4BD4-B98C-B8492B2958F3}"/>
    <cellStyle name="Normal 33 5 2 2 3 2 2 4" xfId="47234" xr:uid="{C45F99DA-F44E-455A-B32D-794516845DF9}"/>
    <cellStyle name="Normal 33 5 2 2 3 2 3" xfId="47235" xr:uid="{3EEB40F9-3130-410F-929B-F5C6231230D1}"/>
    <cellStyle name="Normal 33 5 2 2 3 2 3 2" xfId="47236" xr:uid="{231EAF56-876F-4413-85C2-C3A9C6309150}"/>
    <cellStyle name="Normal 33 5 2 2 3 2 3 2 2" xfId="47237" xr:uid="{E0A5999E-AAB2-4845-B125-4C57CA59A4CC}"/>
    <cellStyle name="Normal 33 5 2 2 3 2 3 3" xfId="47238" xr:uid="{063A87AD-A1D2-4AA2-843C-A547937E5355}"/>
    <cellStyle name="Normal 33 5 2 2 3 2 4" xfId="47239" xr:uid="{DC7A051F-D8D8-4797-BD3F-7009D90BA627}"/>
    <cellStyle name="Normal 33 5 2 2 3 2 4 2" xfId="47240" xr:uid="{D9A00873-AD74-405A-9B23-D3B6A8D373D6}"/>
    <cellStyle name="Normal 33 5 2 2 3 2 5" xfId="47241" xr:uid="{19A68DAF-0D9C-40CF-A593-DD697922C79D}"/>
    <cellStyle name="Normal 33 5 2 2 3 3" xfId="47243" xr:uid="{CC29867A-531A-4E76-A525-F2A699722702}"/>
    <cellStyle name="Normal 33 5 2 2 3 3 2" xfId="47244" xr:uid="{DD8AAB8A-BEB2-488D-A20F-0A9C44EF04A3}"/>
    <cellStyle name="Normal 33 5 2 2 3 3 2 2" xfId="47245" xr:uid="{2135D8A4-C08E-4FB5-A619-218EE3467348}"/>
    <cellStyle name="Normal 33 5 2 2 3 3 2 2 2" xfId="47246" xr:uid="{912D644A-28D3-42B7-8466-378C0BABD0DD}"/>
    <cellStyle name="Normal 33 5 2 2 3 3 2 3" xfId="47247" xr:uid="{14D45DA3-AB28-4C9B-96A5-D4D4034482E5}"/>
    <cellStyle name="Normal 33 5 2 2 3 3 3" xfId="47248" xr:uid="{5D472D3D-4F54-454C-82DE-1D86DE37B0CF}"/>
    <cellStyle name="Normal 33 5 2 2 3 3 3 2" xfId="47249" xr:uid="{F21BB7C7-E781-4C2D-923F-0AA1A573FD10}"/>
    <cellStyle name="Normal 33 5 2 2 3 3 4" xfId="47250" xr:uid="{F6655A41-6AED-4A37-BBA6-B1888E7CA3B3}"/>
    <cellStyle name="Normal 33 5 2 2 3 4" xfId="47251" xr:uid="{B1013B54-14A8-40F5-84CD-1C567B886CE9}"/>
    <cellStyle name="Normal 33 5 2 2 3 4 2" xfId="43786" xr:uid="{1AB8FFBC-BFF0-4644-85EE-003585018FB0}"/>
    <cellStyle name="Normal 33 5 2 2 3 4 2 2" xfId="43788" xr:uid="{FE2092C3-9970-4725-B504-0EDD16503597}"/>
    <cellStyle name="Normal 33 5 2 2 3 4 3" xfId="43790" xr:uid="{632A482A-5CCA-4AB3-9F10-A90440F7688F}"/>
    <cellStyle name="Normal 33 5 2 2 3 5" xfId="47252" xr:uid="{D5AB9DE2-C632-42E0-B001-18D97247057F}"/>
    <cellStyle name="Normal 33 5 2 2 3 5 2" xfId="43795" xr:uid="{90BE0398-2F16-44AB-8D06-50BC8F7727D6}"/>
    <cellStyle name="Normal 33 5 2 2 3 6" xfId="47253" xr:uid="{726A1D17-81FD-4EA1-BA7B-830641A1A5AA}"/>
    <cellStyle name="Normal 33 5 2 2 3 7" xfId="47254" xr:uid="{FAA882DE-7AE9-459E-BD58-A23A090557F3}"/>
    <cellStyle name="Normal 33 5 2 2 4" xfId="47257" xr:uid="{C400FDE9-CC7E-4B7E-8BAD-21371B44633C}"/>
    <cellStyle name="Normal 33 5 2 2 4 2" xfId="47260" xr:uid="{92FCA041-8BC2-4197-99ED-756B9EACEDA8}"/>
    <cellStyle name="Normal 33 5 2 2 4 2 2" xfId="47261" xr:uid="{BDBA70BE-39DA-4543-A84B-D2B2A9D2BA01}"/>
    <cellStyle name="Normal 33 5 2 2 4 2 2 2" xfId="47262" xr:uid="{80BA94E2-05CC-4075-ADBD-24451C26DB5F}"/>
    <cellStyle name="Normal 33 5 2 2 4 2 2 2 2" xfId="47263" xr:uid="{B3FB1E4F-AD01-41AF-B90E-D02ABF549B99}"/>
    <cellStyle name="Normal 33 5 2 2 4 2 2 3" xfId="47264" xr:uid="{C4C8A2D0-DB1D-4676-9360-A3D256794717}"/>
    <cellStyle name="Normal 33 5 2 2 4 2 3" xfId="47265" xr:uid="{9FE26165-6AD8-4BDB-A418-432DE8890C0C}"/>
    <cellStyle name="Normal 33 5 2 2 4 2 3 2" xfId="47266" xr:uid="{66F00A78-8887-4042-9EA9-E8CAA158357B}"/>
    <cellStyle name="Normal 33 5 2 2 4 2 4" xfId="47267" xr:uid="{3224F7D0-56C2-4A06-A221-52F57995DBB2}"/>
    <cellStyle name="Normal 33 5 2 2 4 3" xfId="47268" xr:uid="{AEC4B05F-DB8E-49FD-BAA7-91B942EF2FDE}"/>
    <cellStyle name="Normal 33 5 2 2 4 3 2" xfId="47269" xr:uid="{63EE3607-DC16-4933-BD51-9888B90E3D27}"/>
    <cellStyle name="Normal 33 5 2 2 4 3 2 2" xfId="47270" xr:uid="{81B3E1F3-81C0-4959-A917-4C3B2D133921}"/>
    <cellStyle name="Normal 33 5 2 2 4 3 3" xfId="47271" xr:uid="{FC5CAB22-491F-4908-86EA-6898B36205B0}"/>
    <cellStyle name="Normal 33 5 2 2 4 4" xfId="47272" xr:uid="{EAEFFF85-1885-4C85-8276-8FF19960B5D5}"/>
    <cellStyle name="Normal 33 5 2 2 4 4 2" xfId="43801" xr:uid="{68FA1A70-C09A-402C-BA4C-977729F27056}"/>
    <cellStyle name="Normal 33 5 2 2 4 5" xfId="47273" xr:uid="{9B5C2DBC-46D7-46D3-A441-4EE5CFA55C04}"/>
    <cellStyle name="Normal 33 5 2 2 5" xfId="47276" xr:uid="{17B32055-E31F-4970-89BC-F51034C13396}"/>
    <cellStyle name="Normal 33 5 2 2 5 2" xfId="47277" xr:uid="{20B88E3B-8C7A-409E-BD04-9897BC4E5FC5}"/>
    <cellStyle name="Normal 33 5 2 2 5 2 2" xfId="47278" xr:uid="{E752E92B-BF6D-42C7-9FCE-65B99070A7D1}"/>
    <cellStyle name="Normal 33 5 2 2 5 2 2 2" xfId="47279" xr:uid="{36CB37A6-A897-48E9-872A-7D5E895568B1}"/>
    <cellStyle name="Normal 33 5 2 2 5 2 3" xfId="47280" xr:uid="{3FFF3E8E-3373-488A-BAEC-0F40314AD176}"/>
    <cellStyle name="Normal 33 5 2 2 5 3" xfId="47281" xr:uid="{3EF6CEB8-A101-4735-971F-B96BD5603E02}"/>
    <cellStyle name="Normal 33 5 2 2 5 3 2" xfId="47282" xr:uid="{3F8E5426-9026-4B51-9C01-B22BB16296BE}"/>
    <cellStyle name="Normal 33 5 2 2 5 4" xfId="47283" xr:uid="{4E489F42-EC2A-4E8B-8574-3A10CD077C66}"/>
    <cellStyle name="Normal 33 5 2 2 6" xfId="47284" xr:uid="{BA96C26E-A6BE-4DF6-B39E-AA3D72A46134}"/>
    <cellStyle name="Normal 33 5 2 2 6 2" xfId="47285" xr:uid="{0F466C2B-FBB4-4745-8D4C-6BC47204A817}"/>
    <cellStyle name="Normal 33 5 2 2 6 2 2" xfId="38333" xr:uid="{08C80AD9-E915-400B-BE53-9FA1837B03A5}"/>
    <cellStyle name="Normal 33 5 2 2 6 3" xfId="47286" xr:uid="{B4164F4B-8061-455A-B72A-D251A09E1F54}"/>
    <cellStyle name="Normal 33 5 2 2 7" xfId="47287" xr:uid="{9F812A9B-47E0-45F7-8020-E049DDAFEA2C}"/>
    <cellStyle name="Normal 33 5 2 2 7 2" xfId="47288" xr:uid="{282E7F81-7FCE-4A10-9C56-690FC85E7B00}"/>
    <cellStyle name="Normal 33 5 2 2 8" xfId="47289" xr:uid="{8DD5EA97-E4F8-4E87-8CE2-29B7B230B1C6}"/>
    <cellStyle name="Normal 33 5 2 2 9" xfId="47290" xr:uid="{61BF030B-8846-4486-8DC2-9072054F9F57}"/>
    <cellStyle name="Normal 33 5 2 3" xfId="47291" xr:uid="{67BA8F37-5BAF-4AA4-9B19-961E4E54EEE9}"/>
    <cellStyle name="Normal 33 5 2 3 2" xfId="47292" xr:uid="{FF95B5D0-5ACC-4DD7-A195-B9C5B4CAC770}"/>
    <cellStyle name="Normal 33 5 2 3 2 2" xfId="47293" xr:uid="{C9F599AB-115D-411F-8564-7211BFF2B8BF}"/>
    <cellStyle name="Normal 33 5 2 3 2 2 2" xfId="47294" xr:uid="{D57765C9-699A-4E98-8A1A-FBD17AC7C936}"/>
    <cellStyle name="Normal 33 5 2 3 2 2 2 2" xfId="47295" xr:uid="{7A034DD5-273A-4393-81E1-838FAD0019D4}"/>
    <cellStyle name="Normal 33 5 2 3 2 2 2 2 2" xfId="47296" xr:uid="{E398C5A5-3BEA-4F82-8F94-946D91212057}"/>
    <cellStyle name="Normal 33 5 2 3 2 2 2 2 2 2" xfId="47297" xr:uid="{5C6D2CF4-CE74-4768-B5E6-5414B3CF4A47}"/>
    <cellStyle name="Normal 33 5 2 3 2 2 2 2 3" xfId="47298" xr:uid="{5E4262A8-3A33-495D-BB55-EFDD569D10DC}"/>
    <cellStyle name="Normal 33 5 2 3 2 2 2 3" xfId="47299" xr:uid="{562ADD0A-3D76-4441-8953-02512D037AAA}"/>
    <cellStyle name="Normal 33 5 2 3 2 2 2 3 2" xfId="47300" xr:uid="{BF8C80D9-C107-4CA6-ADC3-3CD63FC7ECCC}"/>
    <cellStyle name="Normal 33 5 2 3 2 2 2 4" xfId="47301" xr:uid="{DCCACA37-B296-4ABA-8355-A57353C84A04}"/>
    <cellStyle name="Normal 33 5 2 3 2 2 3" xfId="47302" xr:uid="{1F4B9C17-8EAA-427C-9D7C-8A97890DC326}"/>
    <cellStyle name="Normal 33 5 2 3 2 2 3 2" xfId="47303" xr:uid="{AB1EB560-D178-4360-9D39-E069A1E65D64}"/>
    <cellStyle name="Normal 33 5 2 3 2 2 3 2 2" xfId="47304" xr:uid="{A48F8CE8-709A-4573-878F-2C5B0A8432D9}"/>
    <cellStyle name="Normal 33 5 2 3 2 2 3 3" xfId="47305" xr:uid="{7B393686-8260-4D84-A419-30E1BD16E649}"/>
    <cellStyle name="Normal 33 5 2 3 2 2 4" xfId="47306" xr:uid="{3C24B41E-3A50-464D-ABF7-07DEFE226B23}"/>
    <cellStyle name="Normal 33 5 2 3 2 2 4 2" xfId="47307" xr:uid="{4F271E6C-1393-4AF6-AE82-59F8073C60E9}"/>
    <cellStyle name="Normal 33 5 2 3 2 2 5" xfId="47308" xr:uid="{E3E44357-3701-4054-8636-CC56C628ABCA}"/>
    <cellStyle name="Normal 33 5 2 3 2 3" xfId="47309" xr:uid="{A5CA507F-D37D-434D-9265-407F441A0245}"/>
    <cellStyle name="Normal 33 5 2 3 2 3 2" xfId="47310" xr:uid="{CD5815C3-1C0C-4CE5-AB8F-64EE279D73A1}"/>
    <cellStyle name="Normal 33 5 2 3 2 3 2 2" xfId="47311" xr:uid="{7233B2BC-C863-4EC8-98CB-460A0C5F0B19}"/>
    <cellStyle name="Normal 33 5 2 3 2 3 2 2 2" xfId="47312" xr:uid="{208843CE-C7BA-47A1-A215-9FED9A58009F}"/>
    <cellStyle name="Normal 33 5 2 3 2 3 2 3" xfId="47313" xr:uid="{7948D3CD-4201-41A4-9F25-A11A947D8695}"/>
    <cellStyle name="Normal 33 5 2 3 2 3 3" xfId="47314" xr:uid="{79792E2E-5458-4A6A-8CD1-070E21D2EDAB}"/>
    <cellStyle name="Normal 33 5 2 3 2 3 3 2" xfId="47315" xr:uid="{BB6A2D9A-D5B7-4F82-B408-7EAD952DA22B}"/>
    <cellStyle name="Normal 33 5 2 3 2 3 4" xfId="47316" xr:uid="{60B0C93D-277A-421F-A3EA-0B6A7CEB2769}"/>
    <cellStyle name="Normal 33 5 2 3 2 4" xfId="47317" xr:uid="{F1C7B303-8843-420D-998D-5AA19A1F19F1}"/>
    <cellStyle name="Normal 33 5 2 3 2 4 2" xfId="43924" xr:uid="{F49683A1-307C-457D-9408-9E2CF70FC1BE}"/>
    <cellStyle name="Normal 33 5 2 3 2 4 2 2" xfId="43926" xr:uid="{DFCF6E84-D49D-45B8-BE9F-4F8F968F6881}"/>
    <cellStyle name="Normal 33 5 2 3 2 4 3" xfId="43928" xr:uid="{B120B773-44AF-4778-9BA8-4E16CDB36077}"/>
    <cellStyle name="Normal 33 5 2 3 2 5" xfId="47318" xr:uid="{2716C8F4-4264-4228-A737-6761BC141CD9}"/>
    <cellStyle name="Normal 33 5 2 3 2 5 2" xfId="43933" xr:uid="{F530A34E-003C-4551-BD36-F4C9321F5502}"/>
    <cellStyle name="Normal 33 5 2 3 2 6" xfId="47319" xr:uid="{73588F2E-E3C3-4CA4-9FB4-2EA600405D1D}"/>
    <cellStyle name="Normal 33 5 2 3 2 7" xfId="29492" xr:uid="{3631873D-487F-4772-A78C-CCC8A4118802}"/>
    <cellStyle name="Normal 33 5 2 3 3" xfId="47321" xr:uid="{3F953FA8-D602-4FE6-9E32-559F2417AE31}"/>
    <cellStyle name="Normal 33 5 2 3 3 2" xfId="47323" xr:uid="{55C2A06D-2CC3-42BF-833E-934B24F5265C}"/>
    <cellStyle name="Normal 33 5 2 3 3 2 2" xfId="47324" xr:uid="{83FAA455-4C6F-4FE6-9D01-0BF5A973012E}"/>
    <cellStyle name="Normal 33 5 2 3 3 2 2 2" xfId="47325" xr:uid="{2B401A2F-9EED-4654-BA3E-E8ECA04DCD24}"/>
    <cellStyle name="Normal 33 5 2 3 3 2 2 2 2" xfId="47326" xr:uid="{91F5DE0A-C254-4A98-A6EC-EC59EBA7E84F}"/>
    <cellStyle name="Normal 33 5 2 3 3 2 2 3" xfId="47327" xr:uid="{BC0A5AF0-C17C-423C-8986-9BB135DD6F92}"/>
    <cellStyle name="Normal 33 5 2 3 3 2 3" xfId="47329" xr:uid="{3CF4D276-A78E-4298-9C3D-0DB9330E1DB9}"/>
    <cellStyle name="Normal 33 5 2 3 3 2 3 2" xfId="47330" xr:uid="{B7D61824-C193-47AE-B6B9-ED7EA426BD99}"/>
    <cellStyle name="Normal 33 5 2 3 3 2 4" xfId="47331" xr:uid="{5866DFD9-4C2C-459F-BAED-6AD12FABEDDC}"/>
    <cellStyle name="Normal 33 5 2 3 3 3" xfId="47332" xr:uid="{56831E16-A48B-43B2-BFE8-E9BF06826680}"/>
    <cellStyle name="Normal 33 5 2 3 3 3 2" xfId="47333" xr:uid="{1F25434F-8A58-4D62-BF52-C8C6EC417930}"/>
    <cellStyle name="Normal 33 5 2 3 3 3 2 2" xfId="47334" xr:uid="{AF89298D-A253-4E24-B1A0-4564FC50CAEE}"/>
    <cellStyle name="Normal 33 5 2 3 3 3 3" xfId="47335" xr:uid="{CC769CDB-33CD-4CD4-ADBE-8378A0BE430F}"/>
    <cellStyle name="Normal 33 5 2 3 3 4" xfId="47336" xr:uid="{A61844A4-2E51-4BAC-9040-17BB4C1AA4FB}"/>
    <cellStyle name="Normal 33 5 2 3 3 4 2" xfId="3087" xr:uid="{D2317FF3-DD7B-46BB-8C53-D1951239C938}"/>
    <cellStyle name="Normal 33 5 2 3 3 5" xfId="47337" xr:uid="{4FD1ED04-4926-4938-A329-4FC610F38DD1}"/>
    <cellStyle name="Normal 33 5 2 3 4" xfId="47340" xr:uid="{B7B027F6-18E9-47B7-B979-87DAE11120FB}"/>
    <cellStyle name="Normal 33 5 2 3 4 2" xfId="47341" xr:uid="{FF804A1D-6969-4EC1-AE0E-3BEF2276CC10}"/>
    <cellStyle name="Normal 33 5 2 3 4 2 2" xfId="47342" xr:uid="{20FEC209-FE72-4538-8063-600E72A5FE72}"/>
    <cellStyle name="Normal 33 5 2 3 4 2 2 2" xfId="19121" xr:uid="{3B781D03-4F38-4C62-9A3A-F10136977F78}"/>
    <cellStyle name="Normal 33 5 2 3 4 2 3" xfId="47343" xr:uid="{D832B299-29A1-4142-986F-024E27A87326}"/>
    <cellStyle name="Normal 33 5 2 3 4 3" xfId="47344" xr:uid="{60CDAD66-6165-46C6-9B74-73B771F34E28}"/>
    <cellStyle name="Normal 33 5 2 3 4 3 2" xfId="47345" xr:uid="{FE99EF25-3219-4611-BFFA-0F05D66925F4}"/>
    <cellStyle name="Normal 33 5 2 3 4 4" xfId="47346" xr:uid="{781FF884-E165-4CC3-A0AB-60E8AB86FBF0}"/>
    <cellStyle name="Normal 33 5 2 3 5" xfId="47347" xr:uid="{FFFCCF28-A338-4AE2-8218-0EECEC6FE801}"/>
    <cellStyle name="Normal 33 5 2 3 5 2" xfId="47348" xr:uid="{71F70D52-C932-4C56-B6A6-B3E750DF722F}"/>
    <cellStyle name="Normal 33 5 2 3 5 2 2" xfId="47349" xr:uid="{99AA8B20-C8CD-4DC2-A3C4-C51D4739C96E}"/>
    <cellStyle name="Normal 33 5 2 3 5 3" xfId="47350" xr:uid="{7F5CC0C9-FAAE-4251-80A4-958F400C1EF4}"/>
    <cellStyle name="Normal 33 5 2 3 6" xfId="47351" xr:uid="{B89C9629-A666-426E-A5E6-B05DE66B4983}"/>
    <cellStyle name="Normal 33 5 2 3 6 2" xfId="47352" xr:uid="{2523E21C-568C-4C90-ADFD-FFE04AFF76B0}"/>
    <cellStyle name="Normal 33 5 2 3 7" xfId="47353" xr:uid="{1F0A7060-EC40-459D-9CC2-8E13DAEC5322}"/>
    <cellStyle name="Normal 33 5 2 3 8" xfId="47354" xr:uid="{CFEB800B-E093-47BF-81B4-DE8C60E3F92E}"/>
    <cellStyle name="Normal 33 5 2 4" xfId="47355" xr:uid="{D26FF414-3C4F-4E4B-B986-393B3CC3B403}"/>
    <cellStyle name="Normal 33 5 2 4 2" xfId="47356" xr:uid="{AA7DAE43-0BF3-4C61-8087-354692FF4BB7}"/>
    <cellStyle name="Normal 33 5 2 4 2 2" xfId="47357" xr:uid="{AAC2DB68-9DBD-42F3-9A87-C8605047B906}"/>
    <cellStyle name="Normal 33 5 2 4 2 2 2" xfId="47358" xr:uid="{864F73F2-CB90-4463-B581-7F98EEA6C226}"/>
    <cellStyle name="Normal 33 5 2 4 2 2 2 2" xfId="47359" xr:uid="{BB819774-CB11-4D08-A7A6-99A07B546BA1}"/>
    <cellStyle name="Normal 33 5 2 4 2 2 2 2 2" xfId="47360" xr:uid="{930FAD29-ECE9-467B-9A01-4C05DEF96DB0}"/>
    <cellStyle name="Normal 33 5 2 4 2 2 2 3" xfId="47361" xr:uid="{B1FA3490-5D63-492D-9877-3F6B253BA8CF}"/>
    <cellStyle name="Normal 33 5 2 4 2 2 3" xfId="47362" xr:uid="{99FACB9F-2A3F-4B8C-812D-FB6290D3600C}"/>
    <cellStyle name="Normal 33 5 2 4 2 2 3 2" xfId="47363" xr:uid="{E8136151-57ED-472F-AA22-371B54A33929}"/>
    <cellStyle name="Normal 33 5 2 4 2 2 4" xfId="47364" xr:uid="{8BFA09A8-E8D2-4EBC-8644-8C4CF92B54B8}"/>
    <cellStyle name="Normal 33 5 2 4 2 3" xfId="47365" xr:uid="{B869F33C-182C-47E2-B1E1-E602C5D2AF39}"/>
    <cellStyle name="Normal 33 5 2 4 2 3 2" xfId="47366" xr:uid="{EB3B42B2-4B09-41A1-A785-358325586E92}"/>
    <cellStyle name="Normal 33 5 2 4 2 3 2 2" xfId="47367" xr:uid="{C60367D3-4E2A-4E3A-A976-6A8ECC034628}"/>
    <cellStyle name="Normal 33 5 2 4 2 3 3" xfId="47368" xr:uid="{DCCAAFB0-8BBE-4ACA-9553-7FAAE7BC9E7B}"/>
    <cellStyle name="Normal 33 5 2 4 2 4" xfId="47369" xr:uid="{945358D6-8FE4-4460-AD53-8D8C8BDFE321}"/>
    <cellStyle name="Normal 33 5 2 4 2 4 2" xfId="44009" xr:uid="{8D49BCCB-09A0-4DC5-86FF-3C7199AA5D05}"/>
    <cellStyle name="Normal 33 5 2 4 2 5" xfId="47370" xr:uid="{C8091418-DC3E-4E38-A6CE-8BA156862918}"/>
    <cellStyle name="Normal 33 5 2 4 3" xfId="47372" xr:uid="{2E3B9AF6-467A-4E80-A421-F74316E81FB2}"/>
    <cellStyle name="Normal 33 5 2 4 3 2" xfId="47373" xr:uid="{AF409E0E-B1E6-4B93-8999-4FC0D9776BEB}"/>
    <cellStyle name="Normal 33 5 2 4 3 2 2" xfId="47374" xr:uid="{4B82EB28-7ED1-4DB8-8159-3C78B2510B35}"/>
    <cellStyle name="Normal 33 5 2 4 3 2 2 2" xfId="47375" xr:uid="{2A9DAA38-DAFC-4D8A-97FF-B148EE519697}"/>
    <cellStyle name="Normal 33 5 2 4 3 2 3" xfId="47376" xr:uid="{EED5A26A-A582-485C-B7AB-0668B39D4CED}"/>
    <cellStyle name="Normal 33 5 2 4 3 3" xfId="47377" xr:uid="{A9598606-D7C1-44C4-945E-77884432AA7B}"/>
    <cellStyle name="Normal 33 5 2 4 3 3 2" xfId="47378" xr:uid="{1D9417DE-C0C5-4038-8DD3-599CB4792E63}"/>
    <cellStyle name="Normal 33 5 2 4 3 4" xfId="47379" xr:uid="{E09A5B0F-6683-4AA2-8F8E-FC5A07A7083E}"/>
    <cellStyle name="Normal 33 5 2 4 4" xfId="47380" xr:uid="{09E7E7BC-34F2-4673-B65C-55F11CB8215B}"/>
    <cellStyle name="Normal 33 5 2 4 4 2" xfId="47381" xr:uid="{3CEDD8D5-E944-4E1C-9A57-824897776EC4}"/>
    <cellStyle name="Normal 33 5 2 4 4 2 2" xfId="47382" xr:uid="{000994A1-CEAC-4CDE-BDCB-B75C09505C09}"/>
    <cellStyle name="Normal 33 5 2 4 4 3" xfId="47383" xr:uid="{E20FE321-736B-419B-8404-A907E0FAA9AE}"/>
    <cellStyle name="Normal 33 5 2 4 5" xfId="47384" xr:uid="{1FBB3992-D8E8-4AEB-B895-5F3482690D8D}"/>
    <cellStyle name="Normal 33 5 2 4 5 2" xfId="47385" xr:uid="{41438DB8-113B-4D77-AA5E-3FCB6F1A2530}"/>
    <cellStyle name="Normal 33 5 2 4 6" xfId="47386" xr:uid="{74E31598-DE8D-49E5-8FAB-2F636E7A27B0}"/>
    <cellStyle name="Normal 33 5 2 4 7" xfId="47387" xr:uid="{936C63A6-D490-4B6A-A2F7-B8319CD33C33}"/>
    <cellStyle name="Normal 33 5 2 5" xfId="47388" xr:uid="{696D3984-98B5-4812-BB31-ED9AD2464B6B}"/>
    <cellStyle name="Normal 33 5 2 5 2" xfId="47389" xr:uid="{25625F71-2C33-4EA3-A9EE-7111762CCE13}"/>
    <cellStyle name="Normal 33 5 2 5 2 2" xfId="47390" xr:uid="{D55491FB-EFF8-4917-BBF5-16F576143576}"/>
    <cellStyle name="Normal 33 5 2 5 2 2 2" xfId="47391" xr:uid="{831B266F-57D0-4683-A6CF-FB998A62BEAC}"/>
    <cellStyle name="Normal 33 5 2 5 2 2 2 2" xfId="47392" xr:uid="{5E7F1BE1-DEA4-4038-A437-4DD823E96827}"/>
    <cellStyle name="Normal 33 5 2 5 2 2 3" xfId="47393" xr:uid="{D1850E92-72D7-49FD-ABFA-EE2BAD00C649}"/>
    <cellStyle name="Normal 33 5 2 5 2 3" xfId="47394" xr:uid="{BCE3A1DE-93FA-4A65-942D-C660C8E9AD23}"/>
    <cellStyle name="Normal 33 5 2 5 2 3 2" xfId="47395" xr:uid="{ECEC62E1-6EE0-41C4-A635-0BE640AA14E7}"/>
    <cellStyle name="Normal 33 5 2 5 2 4" xfId="47396" xr:uid="{F1F570AF-D7E0-467E-9C17-5BA9DF33F193}"/>
    <cellStyle name="Normal 33 5 2 5 3" xfId="47397" xr:uid="{2F9EF66E-06EA-4632-9346-4BE1ABB0C0AA}"/>
    <cellStyle name="Normal 33 5 2 5 3 2" xfId="47398" xr:uid="{CD425944-CFFC-43F3-A793-21E68C82BAEC}"/>
    <cellStyle name="Normal 33 5 2 5 3 2 2" xfId="47399" xr:uid="{34F873AA-0440-442C-9843-8A54332262F0}"/>
    <cellStyle name="Normal 33 5 2 5 3 3" xfId="47400" xr:uid="{6F8AE0D2-055E-45E8-8EDF-23EAA450B440}"/>
    <cellStyle name="Normal 33 5 2 5 4" xfId="47401" xr:uid="{B4D48B56-CBDB-4441-96B2-420B540D1397}"/>
    <cellStyle name="Normal 33 5 2 5 4 2" xfId="47402" xr:uid="{373C6C26-833C-455C-88B7-2F7336A0630F}"/>
    <cellStyle name="Normal 33 5 2 5 5" xfId="47403" xr:uid="{47D51ED5-5E02-405C-AAE2-7AFF3F76DE92}"/>
    <cellStyle name="Normal 33 5 2 6" xfId="47404" xr:uid="{B756D812-331B-412F-B4E8-AEED21B57E3F}"/>
    <cellStyle name="Normal 33 5 2 6 2" xfId="47405" xr:uid="{8FE91F51-C8F1-4C90-99ED-969E9CDB0EE4}"/>
    <cellStyle name="Normal 33 5 2 6 2 2" xfId="47406" xr:uid="{693D2BF6-4DA1-4178-8D55-A4E6793844F4}"/>
    <cellStyle name="Normal 33 5 2 6 2 2 2" xfId="47407" xr:uid="{8CD10DE1-F0A7-4338-8D0E-2A534233B4A6}"/>
    <cellStyle name="Normal 33 5 2 6 2 3" xfId="47408" xr:uid="{493D3737-75AE-4FB3-8B89-120E2D268156}"/>
    <cellStyle name="Normal 33 5 2 6 3" xfId="47409" xr:uid="{52311CD8-61EC-4A70-8CE7-418D7E8DDB07}"/>
    <cellStyle name="Normal 33 5 2 6 3 2" xfId="47410" xr:uid="{8EF595CE-11EB-468F-9809-F4B76855BF82}"/>
    <cellStyle name="Normal 33 5 2 6 4" xfId="47411" xr:uid="{F58618EE-E0DF-4A43-97AD-00F7F0D14D9E}"/>
    <cellStyle name="Normal 33 5 2 7" xfId="47412" xr:uid="{DB08F5AA-021B-4C51-A1A9-BC8917B1918B}"/>
    <cellStyle name="Normal 33 5 2 7 2" xfId="47413" xr:uid="{24267FAC-2F90-4B02-B7EA-3BE5C2B45790}"/>
    <cellStyle name="Normal 33 5 2 7 2 2" xfId="47414" xr:uid="{10C23091-67FC-4484-BB18-C1CFD65B7F7F}"/>
    <cellStyle name="Normal 33 5 2 7 3" xfId="47415" xr:uid="{870E982F-F634-487F-8132-0BCC9C407902}"/>
    <cellStyle name="Normal 33 5 2 8" xfId="47416" xr:uid="{9ACA5463-914F-4169-972D-1CF902BEFAF3}"/>
    <cellStyle name="Normal 33 5 2 8 2" xfId="47417" xr:uid="{F85E9106-4D69-45A3-85C5-41AB4230145E}"/>
    <cellStyle name="Normal 33 5 2 9" xfId="47418" xr:uid="{088EB78E-EADC-400B-85FA-DADDE3C0D8E5}"/>
    <cellStyle name="Normal 33 5 3" xfId="47419" xr:uid="{D8172613-783D-4860-860A-D822A730F5D0}"/>
    <cellStyle name="Normal 33 5 3 2" xfId="47420" xr:uid="{0D022EBF-0AE9-409A-AF0D-B6019296F1DC}"/>
    <cellStyle name="Normal 33 5 3 2 2" xfId="42006" xr:uid="{83BA2B9F-F984-4A9D-8ED2-12FECDF97E66}"/>
    <cellStyle name="Normal 33 5 3 2 2 2" xfId="42008" xr:uid="{1E53E729-7394-417B-81D6-377A015128B1}"/>
    <cellStyle name="Normal 33 5 3 2 2 2 2" xfId="42010" xr:uid="{CD7B5B03-D1C5-4131-9871-5D9864AAE5CC}"/>
    <cellStyle name="Normal 33 5 3 2 2 2 2 2" xfId="47421" xr:uid="{25BF8CA9-C07F-4070-84FF-56EE416390CE}"/>
    <cellStyle name="Normal 33 5 3 2 2 2 2 2 2" xfId="47422" xr:uid="{3C67868F-4AC0-499F-A30E-60F040D6F975}"/>
    <cellStyle name="Normal 33 5 3 2 2 2 2 2 2 2" xfId="47423" xr:uid="{22B7E6E9-7AFC-4FE5-85E9-A51F5470F176}"/>
    <cellStyle name="Normal 33 5 3 2 2 2 2 2 3" xfId="47424" xr:uid="{06C66F47-6D4C-454B-A7CC-00145E2CC627}"/>
    <cellStyle name="Normal 33 5 3 2 2 2 2 3" xfId="47425" xr:uid="{62010197-6FCC-4422-A17B-232787810B22}"/>
    <cellStyle name="Normal 33 5 3 2 2 2 2 3 2" xfId="47426" xr:uid="{D6831118-127C-4E03-9DDB-A9B30931E8DA}"/>
    <cellStyle name="Normal 33 5 3 2 2 2 2 4" xfId="47427" xr:uid="{3A96501F-C24B-409C-AEE3-BAE10671EC0A}"/>
    <cellStyle name="Normal 33 5 3 2 2 2 3" xfId="47428" xr:uid="{774E0350-D35F-4276-85C4-E4DAF9E9BF4D}"/>
    <cellStyle name="Normal 33 5 3 2 2 2 3 2" xfId="47429" xr:uid="{4A189720-7A25-46D6-9553-A5DF5DBF9C5B}"/>
    <cellStyle name="Normal 33 5 3 2 2 2 3 2 2" xfId="47430" xr:uid="{92378512-9D1F-4554-8205-CFC9187BC94F}"/>
    <cellStyle name="Normal 33 5 3 2 2 2 3 3" xfId="47431" xr:uid="{82DF4D36-D89B-41F1-9E95-7A360A8BCC0F}"/>
    <cellStyle name="Normal 33 5 3 2 2 2 4" xfId="47432" xr:uid="{4098D163-9365-43E8-8225-D55FD8758CBB}"/>
    <cellStyle name="Normal 33 5 3 2 2 2 4 2" xfId="47433" xr:uid="{3F2D0058-DC78-4EC5-AAD4-75204402502F}"/>
    <cellStyle name="Normal 33 5 3 2 2 2 5" xfId="47434" xr:uid="{F856BBCB-2F03-4D0A-B74E-88BDA419B2D1}"/>
    <cellStyle name="Normal 33 5 3 2 2 3" xfId="42012" xr:uid="{D68F0BF2-C154-4604-9268-93A30154DC5D}"/>
    <cellStyle name="Normal 33 5 3 2 2 3 2" xfId="47435" xr:uid="{2BEF2A35-F0EE-44A0-BEAC-43A305F0E106}"/>
    <cellStyle name="Normal 33 5 3 2 2 3 2 2" xfId="47436" xr:uid="{D440A6D0-BC55-40D5-80D6-C3999C07FAE8}"/>
    <cellStyle name="Normal 33 5 3 2 2 3 2 2 2" xfId="47437" xr:uid="{6A7A33D8-BA4A-4D06-B9D5-204BEE099B19}"/>
    <cellStyle name="Normal 33 5 3 2 2 3 2 3" xfId="47438" xr:uid="{A745C32F-37DE-4EEF-A98A-7C6264E50652}"/>
    <cellStyle name="Normal 33 5 3 2 2 3 3" xfId="47439" xr:uid="{EE84EB2E-8650-4DFF-B1D8-61DFDCD5901C}"/>
    <cellStyle name="Normal 33 5 3 2 2 3 3 2" xfId="47440" xr:uid="{D50793F4-491F-462E-8F70-5C2BAAF22143}"/>
    <cellStyle name="Normal 33 5 3 2 2 3 4" xfId="47441" xr:uid="{D61A1284-C1C3-484D-841D-7F114FE860EF}"/>
    <cellStyle name="Normal 33 5 3 2 2 4" xfId="47442" xr:uid="{913ABEDD-BB5F-4F82-8011-133FA3C38850}"/>
    <cellStyle name="Normal 33 5 3 2 2 4 2" xfId="44189" xr:uid="{C07648FC-777A-47BD-AB5D-6954AFB86B95}"/>
    <cellStyle name="Normal 33 5 3 2 2 4 2 2" xfId="44191" xr:uid="{8EDAC65E-BE4C-4E46-B6D3-01A51243DD1E}"/>
    <cellStyle name="Normal 33 5 3 2 2 4 3" xfId="44193" xr:uid="{20EEA5C3-6657-4209-87D0-09386EAE2A3B}"/>
    <cellStyle name="Normal 33 5 3 2 2 5" xfId="47443" xr:uid="{F74995AC-C9F2-402F-91D4-88099680037E}"/>
    <cellStyle name="Normal 33 5 3 2 2 5 2" xfId="44198" xr:uid="{74BC73BB-BE07-4EDF-9620-A293FFA32A6D}"/>
    <cellStyle name="Normal 33 5 3 2 2 6" xfId="47444" xr:uid="{9A44C455-A7B7-4DD4-818B-211A67A1FB3B}"/>
    <cellStyle name="Normal 33 5 3 2 2 7" xfId="47445" xr:uid="{7DD73AC6-4E08-4B5E-B5EE-7B62A5F3CD09}"/>
    <cellStyle name="Normal 33 5 3 2 3" xfId="42015" xr:uid="{024F3BFE-BA38-4DB8-A279-07BC6CD90108}"/>
    <cellStyle name="Normal 33 5 3 2 3 2" xfId="42018" xr:uid="{438783F8-CE14-4692-A946-E4E553E11DBA}"/>
    <cellStyle name="Normal 33 5 3 2 3 2 2" xfId="47446" xr:uid="{48354085-929C-4739-BE14-3202FEDF2183}"/>
    <cellStyle name="Normal 33 5 3 2 3 2 2 2" xfId="47447" xr:uid="{1F190D93-3471-40B6-A245-377E2F058836}"/>
    <cellStyle name="Normal 33 5 3 2 3 2 2 2 2" xfId="47448" xr:uid="{3431F87D-9EC6-46D6-B110-AED6AB0D0C86}"/>
    <cellStyle name="Normal 33 5 3 2 3 2 2 3" xfId="47449" xr:uid="{1F89AA09-32A9-45BE-B329-A5C20C4D5E42}"/>
    <cellStyle name="Normal 33 5 3 2 3 2 3" xfId="47450" xr:uid="{133252C8-F6A4-415E-BB1A-FB4CB2DE9E3F}"/>
    <cellStyle name="Normal 33 5 3 2 3 2 3 2" xfId="47451" xr:uid="{A9C0B99A-7F9B-40B0-A857-E4683FABD92D}"/>
    <cellStyle name="Normal 33 5 3 2 3 2 4" xfId="47452" xr:uid="{A2DE9DD3-F386-4C9B-8BC6-2C8297808E48}"/>
    <cellStyle name="Normal 33 5 3 2 3 3" xfId="47453" xr:uid="{747F10CD-E987-410D-A17F-0BBF04D01297}"/>
    <cellStyle name="Normal 33 5 3 2 3 3 2" xfId="47454" xr:uid="{9237D59D-B33F-4B1A-8FD6-BA8A13F7BE22}"/>
    <cellStyle name="Normal 33 5 3 2 3 3 2 2" xfId="47455" xr:uid="{34144132-A08A-4E80-8E3E-E2CD3255005E}"/>
    <cellStyle name="Normal 33 5 3 2 3 3 3" xfId="47456" xr:uid="{BE1A3546-728E-469E-9512-912BF5C77D5B}"/>
    <cellStyle name="Normal 33 5 3 2 3 4" xfId="47457" xr:uid="{BA9708A5-2897-4DCA-B546-D712B9B4A08B}"/>
    <cellStyle name="Normal 33 5 3 2 3 4 2" xfId="44207" xr:uid="{85220332-3957-432E-AC86-B1331D98F62F}"/>
    <cellStyle name="Normal 33 5 3 2 3 5" xfId="47458" xr:uid="{58A71849-41E6-452A-A3C1-48B9A6637318}"/>
    <cellStyle name="Normal 33 5 3 2 4" xfId="42022" xr:uid="{033B395E-1F01-4577-9291-B4BDCA85C7AC}"/>
    <cellStyle name="Normal 33 5 3 2 4 2" xfId="47459" xr:uid="{4D65B6E0-D6EF-4498-8327-624368171B7C}"/>
    <cellStyle name="Normal 33 5 3 2 4 2 2" xfId="47460" xr:uid="{22624490-E765-46BE-BD12-5ABCB1A0F6DD}"/>
    <cellStyle name="Normal 33 5 3 2 4 2 2 2" xfId="47461" xr:uid="{E1E169C7-FF5D-4EB9-9B81-0B47349BCA7C}"/>
    <cellStyle name="Normal 33 5 3 2 4 2 3" xfId="47462" xr:uid="{EF2C0DA1-B656-4FAB-B894-423CE94C9FD8}"/>
    <cellStyle name="Normal 33 5 3 2 4 3" xfId="47463" xr:uid="{FA5364ED-4C35-4901-B7A8-1F498205F17C}"/>
    <cellStyle name="Normal 33 5 3 2 4 3 2" xfId="47464" xr:uid="{563421B9-0A8F-4438-8BF3-CC8F70F99375}"/>
    <cellStyle name="Normal 33 5 3 2 4 4" xfId="47465" xr:uid="{41D22281-464D-445C-A790-9D665165D6F0}"/>
    <cellStyle name="Normal 33 5 3 2 5" xfId="47466" xr:uid="{4D94FFF9-17A6-4B42-8ACF-4257529B7E0A}"/>
    <cellStyle name="Normal 33 5 3 2 5 2" xfId="47467" xr:uid="{49D51025-2793-46C7-87F8-653C28FB5B95}"/>
    <cellStyle name="Normal 33 5 3 2 5 2 2" xfId="47468" xr:uid="{200CD5F5-5EF1-4F3E-81F7-D0F7958DAD2A}"/>
    <cellStyle name="Normal 33 5 3 2 5 3" xfId="47469" xr:uid="{F36AA2A9-8921-484A-92B2-FCB7C7D08738}"/>
    <cellStyle name="Normal 33 5 3 2 6" xfId="47470" xr:uid="{94D702F8-CDF6-47FE-8974-1E1EAE20CB7E}"/>
    <cellStyle name="Normal 33 5 3 2 6 2" xfId="47471" xr:uid="{848FFACE-81B4-4724-83B2-AC5C0D271D4F}"/>
    <cellStyle name="Normal 33 5 3 2 7" xfId="47472" xr:uid="{17097DF6-0849-458E-B91F-5F1027F12403}"/>
    <cellStyle name="Normal 33 5 3 2 8" xfId="47473" xr:uid="{5BBAE1D9-6EFA-4FCE-A513-63FEE24709FB}"/>
    <cellStyle name="Normal 33 5 3 3" xfId="47474" xr:uid="{26DE06C6-BDCE-41BD-AF6A-734004938292}"/>
    <cellStyle name="Normal 33 5 3 3 2" xfId="42110" xr:uid="{3E8B45E6-ED4B-4813-8560-9302A0B0F174}"/>
    <cellStyle name="Normal 33 5 3 3 2 2" xfId="42112" xr:uid="{80B8DF1D-FFAC-4E68-A8EA-913CF11DD1C7}"/>
    <cellStyle name="Normal 33 5 3 3 2 2 2" xfId="42114" xr:uid="{1730144F-9903-4A80-B0D3-22967A49026E}"/>
    <cellStyle name="Normal 33 5 3 3 2 2 2 2" xfId="47475" xr:uid="{36F3F6F4-8DFA-4013-904B-E55334F6FE24}"/>
    <cellStyle name="Normal 33 5 3 3 2 2 2 2 2" xfId="47476" xr:uid="{2B422F3B-2D7D-4859-A25A-8FD02FD1F67C}"/>
    <cellStyle name="Normal 33 5 3 3 2 2 2 3" xfId="47477" xr:uid="{3C77B523-63B8-46AD-A327-BBA54F2365B2}"/>
    <cellStyle name="Normal 33 5 3 3 2 2 3" xfId="47478" xr:uid="{86B41D9F-95BC-47D2-9C8F-093A3359532C}"/>
    <cellStyle name="Normal 33 5 3 3 2 2 3 2" xfId="47479" xr:uid="{B07F084A-EF3F-47BC-915B-C976444842AC}"/>
    <cellStyle name="Normal 33 5 3 3 2 2 4" xfId="47480" xr:uid="{AEE4CC23-190E-4428-9586-D3AF880F5002}"/>
    <cellStyle name="Normal 33 5 3 3 2 3" xfId="42116" xr:uid="{465D32D9-4B00-4E2C-BC2A-3F6B6FBE21ED}"/>
    <cellStyle name="Normal 33 5 3 3 2 3 2" xfId="12325" xr:uid="{F449A7FA-4181-4BB1-ACC6-1E827DEE8D10}"/>
    <cellStyle name="Normal 33 5 3 3 2 3 2 2" xfId="47481" xr:uid="{70C96509-5797-48F7-86EB-D1796EA2EB61}"/>
    <cellStyle name="Normal 33 5 3 3 2 3 3" xfId="3380" xr:uid="{C528CC23-CF3A-45A3-A4BD-67A563A42C9E}"/>
    <cellStyle name="Normal 33 5 3 3 2 4" xfId="47482" xr:uid="{E39B424E-8F5B-494E-B6FB-4615B88136E4}"/>
    <cellStyle name="Normal 33 5 3 3 2 4 2" xfId="44277" xr:uid="{497DE9C3-1E9C-471F-BAC8-EB68721046CA}"/>
    <cellStyle name="Normal 33 5 3 3 2 5" xfId="47483" xr:uid="{889D72C3-069E-4A6B-BF42-9A39E911C77E}"/>
    <cellStyle name="Normal 33 5 3 3 3" xfId="42119" xr:uid="{7B3D962B-258A-4B44-B0F5-A1F70DB47DCE}"/>
    <cellStyle name="Normal 33 5 3 3 3 2" xfId="42121" xr:uid="{293D58A0-56EB-4CF4-B756-7E7E3C5DA42F}"/>
    <cellStyle name="Normal 33 5 3 3 3 2 2" xfId="47484" xr:uid="{A34F5422-5AC9-4548-B1BD-C2FAF019CBDC}"/>
    <cellStyle name="Normal 33 5 3 3 3 2 2 2" xfId="47485" xr:uid="{D6A858B7-E976-4076-AC8E-01AB46A92AC3}"/>
    <cellStyle name="Normal 33 5 3 3 3 2 3" xfId="47486" xr:uid="{F2B82A1F-ACA0-4529-8268-EED9480FC048}"/>
    <cellStyle name="Normal 33 5 3 3 3 3" xfId="47487" xr:uid="{BA01C51F-CBD7-4C52-B351-08150F7D86F1}"/>
    <cellStyle name="Normal 33 5 3 3 3 3 2" xfId="12408" xr:uid="{2961CC28-AB89-4326-8986-1F3D31B4082A}"/>
    <cellStyle name="Normal 33 5 3 3 3 4" xfId="47488" xr:uid="{E34EAD44-A8F2-4B62-93F5-35F05A2D380F}"/>
    <cellStyle name="Normal 33 5 3 3 4" xfId="42123" xr:uid="{83D8ED24-F08D-4F42-96F8-E899F776C33A}"/>
    <cellStyle name="Normal 33 5 3 3 4 2" xfId="47489" xr:uid="{C109F876-C2DE-450B-978D-72927C9383A9}"/>
    <cellStyle name="Normal 33 5 3 3 4 2 2" xfId="47490" xr:uid="{99A9F99F-65D1-421C-A11E-C59B47FB667D}"/>
    <cellStyle name="Normal 33 5 3 3 4 3" xfId="47491" xr:uid="{588180B3-27B1-457E-8E07-CC9D24975A01}"/>
    <cellStyle name="Normal 33 5 3 3 5" xfId="47492" xr:uid="{2364ECD3-F7E4-4E63-8BFC-AE44C1EE5EB4}"/>
    <cellStyle name="Normal 33 5 3 3 5 2" xfId="47493" xr:uid="{26C8F649-349B-4ED6-B1D0-99E42A29049F}"/>
    <cellStyle name="Normal 33 5 3 3 6" xfId="47494" xr:uid="{7196CE52-B1D8-43EA-8DCE-2452EAAD24D7}"/>
    <cellStyle name="Normal 33 5 3 3 7" xfId="47495" xr:uid="{978C6BC0-55CC-4F2C-873C-62E11498ACE5}"/>
    <cellStyle name="Normal 33 5 3 4" xfId="47496" xr:uid="{7BF0A837-0330-4DEF-82A0-4889F66935FD}"/>
    <cellStyle name="Normal 33 5 3 4 2" xfId="47497" xr:uid="{0BB92650-0C7C-498C-ADA1-91CDD067B1CD}"/>
    <cellStyle name="Normal 33 5 3 4 2 2" xfId="47498" xr:uid="{65A9F0CF-3C85-4635-8E13-9E7D61EE5252}"/>
    <cellStyle name="Normal 33 5 3 4 2 2 2" xfId="47499" xr:uid="{34D1F7BC-022C-4283-A74C-E178AF9B4E1C}"/>
    <cellStyle name="Normal 33 5 3 4 2 2 2 2" xfId="47500" xr:uid="{4C145734-ED0B-42BF-BD89-CD0F8737385B}"/>
    <cellStyle name="Normal 33 5 3 4 2 2 3" xfId="47501" xr:uid="{0997AB55-A3FD-48D2-84DB-9001449C7B2C}"/>
    <cellStyle name="Normal 33 5 3 4 2 3" xfId="47502" xr:uid="{52D36CC8-3409-4FA4-B7BB-ADFB3A3BD927}"/>
    <cellStyle name="Normal 33 5 3 4 2 3 2" xfId="47503" xr:uid="{1AB66528-B49E-4964-B731-2E5EF785E849}"/>
    <cellStyle name="Normal 33 5 3 4 2 4" xfId="47504" xr:uid="{EB186A92-5894-4E45-A0F0-8B6FDF49E14C}"/>
    <cellStyle name="Normal 33 5 3 4 3" xfId="47505" xr:uid="{F505CBC8-2684-4233-B3F2-7ECDC4AA6E4C}"/>
    <cellStyle name="Normal 33 5 3 4 3 2" xfId="47506" xr:uid="{6B1A1CF3-F0F3-4039-9D5A-2C6E3D3D97A3}"/>
    <cellStyle name="Normal 33 5 3 4 3 2 2" xfId="47507" xr:uid="{473C0501-2229-46C2-8A6F-CDF58B32D435}"/>
    <cellStyle name="Normal 33 5 3 4 3 3" xfId="47508" xr:uid="{F578D2ED-C2A2-40B8-8B46-DA0DED64A952}"/>
    <cellStyle name="Normal 33 5 3 4 4" xfId="47509" xr:uid="{91901AE8-1CBB-4B20-A83A-87B22D9087C8}"/>
    <cellStyle name="Normal 33 5 3 4 4 2" xfId="47510" xr:uid="{E45D75BF-698C-4274-B5CE-8B7E5E09A625}"/>
    <cellStyle name="Normal 33 5 3 4 5" xfId="47511" xr:uid="{60D22B31-813C-40CD-AE17-38C074915BB8}"/>
    <cellStyle name="Normal 33 5 3 5" xfId="43497" xr:uid="{E53ED862-E1F6-497A-BF2A-2B8D9EDD78F8}"/>
    <cellStyle name="Normal 33 5 3 5 2" xfId="47512" xr:uid="{77F2A78C-C720-4E38-AB35-CD09E1E6DFE1}"/>
    <cellStyle name="Normal 33 5 3 5 2 2" xfId="47513" xr:uid="{851929A9-9874-4A21-9C6D-DBE8D37384DD}"/>
    <cellStyle name="Normal 33 5 3 5 2 2 2" xfId="47514" xr:uid="{980D837F-C672-413C-96F6-15E8A2B66358}"/>
    <cellStyle name="Normal 33 5 3 5 2 3" xfId="47515" xr:uid="{BE35CAEA-641C-4E6A-BC47-01903CD847BA}"/>
    <cellStyle name="Normal 33 5 3 5 3" xfId="47516" xr:uid="{B74D0BDA-09BA-48ED-8EB1-2AB714170866}"/>
    <cellStyle name="Normal 33 5 3 5 3 2" xfId="47517" xr:uid="{FA43EAA4-055C-4B83-B4C6-744BEAAD6D40}"/>
    <cellStyle name="Normal 33 5 3 5 4" xfId="47518" xr:uid="{BCD63826-06A8-496C-9C4D-1893938BFD9D}"/>
    <cellStyle name="Normal 33 5 3 6" xfId="47519" xr:uid="{18A132B8-F2FC-4594-B55F-DA13821EAC22}"/>
    <cellStyle name="Normal 33 5 3 6 2" xfId="47520" xr:uid="{9649ED37-DE5B-4293-A8CF-6E45C7D60CC9}"/>
    <cellStyle name="Normal 33 5 3 6 2 2" xfId="47521" xr:uid="{48690CD6-A538-44F2-B5C1-6899FD2AFE33}"/>
    <cellStyle name="Normal 33 5 3 6 3" xfId="47522" xr:uid="{8BE98706-2CF7-4FB6-A4E5-116F11E6C57F}"/>
    <cellStyle name="Normal 33 5 3 7" xfId="47523" xr:uid="{29F9ECAD-2409-498A-81CA-9014D5D7B2C1}"/>
    <cellStyle name="Normal 33 5 3 7 2" xfId="47524" xr:uid="{9410CCFA-24DC-4C71-ACAC-C05F945466C9}"/>
    <cellStyle name="Normal 33 5 3 8" xfId="47525" xr:uid="{3807C8F8-18B4-4239-A74C-B0241B155722}"/>
    <cellStyle name="Normal 33 5 3 9" xfId="47526" xr:uid="{471F404C-4B02-4405-9873-F4623DA09562}"/>
    <cellStyle name="Normal 33 5 4" xfId="47527" xr:uid="{1131F362-6A21-4283-81C6-F8AD34723E04}"/>
    <cellStyle name="Normal 33 5 4 2" xfId="47528" xr:uid="{EB77F36D-DF41-4DA6-85BD-6C6A19A28741}"/>
    <cellStyle name="Normal 33 5 4 2 2" xfId="47529" xr:uid="{8F4B675F-5FE5-4F5A-9474-4403F7732BA7}"/>
    <cellStyle name="Normal 33 5 4 2 2 2" xfId="47530" xr:uid="{2D310A7D-D56F-4A84-B9DD-E034371062A6}"/>
    <cellStyle name="Normal 33 5 4 2 2 2 2" xfId="47531" xr:uid="{1E729639-CCFB-4F33-9666-F9AC573FBC43}"/>
    <cellStyle name="Normal 33 5 4 2 2 2 2 2" xfId="47532" xr:uid="{5211196E-2E96-41B6-B579-A0E4C944128A}"/>
    <cellStyle name="Normal 33 5 4 2 2 2 2 2 2" xfId="17010" xr:uid="{3F92D22F-07E5-42FE-9FDC-9B91FDBB8F19}"/>
    <cellStyle name="Normal 33 5 4 2 2 2 2 3" xfId="47533" xr:uid="{FDEB3A31-9311-4A25-8145-F78478B3A59C}"/>
    <cellStyle name="Normal 33 5 4 2 2 2 3" xfId="47534" xr:uid="{D87201AC-C341-467A-B8D3-E2AFBC128B44}"/>
    <cellStyle name="Normal 33 5 4 2 2 2 3 2" xfId="47535" xr:uid="{C54BDEBE-DB58-4D80-A4F1-BB4F45F6258B}"/>
    <cellStyle name="Normal 33 5 4 2 2 2 4" xfId="47536" xr:uid="{E7E3E706-1E85-49ED-9469-501F85ACC08F}"/>
    <cellStyle name="Normal 33 5 4 2 2 3" xfId="47537" xr:uid="{1507B346-390B-43BB-96AF-AE87D7A0D8BD}"/>
    <cellStyle name="Normal 33 5 4 2 2 3 2" xfId="47538" xr:uid="{7029126A-6DA8-493C-B7F8-DF3666A1866E}"/>
    <cellStyle name="Normal 33 5 4 2 2 3 2 2" xfId="47539" xr:uid="{6BF8C4D9-39E7-405D-B8F3-2377C4A4D554}"/>
    <cellStyle name="Normal 33 5 4 2 2 3 3" xfId="47540" xr:uid="{D1C04723-7D9F-4F8E-912E-58B7A0D4833B}"/>
    <cellStyle name="Normal 33 5 4 2 2 4" xfId="47541" xr:uid="{D4E3F9AC-857F-4A87-96D6-4AE53DB3C740}"/>
    <cellStyle name="Normal 33 5 4 2 2 4 2" xfId="44406" xr:uid="{856F0D62-0CC3-4C75-85E3-8B8D52CD60DA}"/>
    <cellStyle name="Normal 33 5 4 2 2 5" xfId="47542" xr:uid="{4ECA3936-E998-4EFE-B035-89B553C62CF5}"/>
    <cellStyle name="Normal 33 5 4 2 3" xfId="47546" xr:uid="{A00CAF3A-1E44-4BD8-A7FC-5809A0621936}"/>
    <cellStyle name="Normal 33 5 4 2 3 2" xfId="47547" xr:uid="{A160C3FC-91F6-4CE5-8225-FC850F5226B0}"/>
    <cellStyle name="Normal 33 5 4 2 3 2 2" xfId="47548" xr:uid="{CAE9177D-3FDC-49FD-918F-6694451DA10A}"/>
    <cellStyle name="Normal 33 5 4 2 3 2 2 2" xfId="47549" xr:uid="{A4340CC7-B6ED-4203-848B-262371B67CD1}"/>
    <cellStyle name="Normal 33 5 4 2 3 2 3" xfId="47550" xr:uid="{47DDA5E1-FC6E-4124-B8C8-6B1C2FFD2884}"/>
    <cellStyle name="Normal 33 5 4 2 3 3" xfId="47551" xr:uid="{761B2683-FD23-4420-ACCB-116192C749AE}"/>
    <cellStyle name="Normal 33 5 4 2 3 3 2" xfId="47552" xr:uid="{5C23E605-B652-4EB3-964D-11CE8487179F}"/>
    <cellStyle name="Normal 33 5 4 2 3 4" xfId="47553" xr:uid="{7FFE7511-6340-41FC-8986-3A9687698977}"/>
    <cellStyle name="Normal 33 5 4 2 4" xfId="47554" xr:uid="{1D7E56B4-A26A-4E21-ADBC-A711D65C95F4}"/>
    <cellStyle name="Normal 33 5 4 2 4 2" xfId="47555" xr:uid="{7CCD4B78-C7A0-4AB4-B44B-C3EF32E21A80}"/>
    <cellStyle name="Normal 33 5 4 2 4 2 2" xfId="47556" xr:uid="{99EEC7EA-9718-459A-8CBD-0598F97AFF4A}"/>
    <cellStyle name="Normal 33 5 4 2 4 3" xfId="47557" xr:uid="{59C2A37F-0099-465D-A948-2F32942565BD}"/>
    <cellStyle name="Normal 33 5 4 2 5" xfId="47558" xr:uid="{E34FF81A-0F06-4D20-99E9-4230B71CA83E}"/>
    <cellStyle name="Normal 33 5 4 2 5 2" xfId="47559" xr:uid="{20AE9030-AACA-4479-B773-0864BA0CE170}"/>
    <cellStyle name="Normal 33 5 4 2 6" xfId="47560" xr:uid="{ABFC5608-C6F1-4B22-8096-BD0ED4162E4C}"/>
    <cellStyle name="Normal 33 5 4 2 7" xfId="47561" xr:uid="{E4FAA106-BBFC-4C05-B716-04CB0ACCB2CD}"/>
    <cellStyle name="Normal 33 5 4 3" xfId="47562" xr:uid="{4E789388-82D0-46E6-A500-F53F93FE97CC}"/>
    <cellStyle name="Normal 33 5 4 3 2" xfId="47563" xr:uid="{86DD5C3E-27F9-4483-951F-0BD6BC2CFF1D}"/>
    <cellStyle name="Normal 33 5 4 3 2 2" xfId="47564" xr:uid="{FFB2EC19-D615-4725-B67F-D8B6E38736C4}"/>
    <cellStyle name="Normal 33 5 4 3 2 2 2" xfId="47565" xr:uid="{E9FFDA64-FA8C-499A-994C-25AE5E5A8543}"/>
    <cellStyle name="Normal 33 5 4 3 2 2 2 2" xfId="47566" xr:uid="{BE845621-A22B-41AC-B03E-6B5EF3B56B88}"/>
    <cellStyle name="Normal 33 5 4 3 2 2 3" xfId="47567" xr:uid="{3F86F431-B55D-47A9-B39A-24EA30A8E284}"/>
    <cellStyle name="Normal 33 5 4 3 2 3" xfId="47568" xr:uid="{F2D6742E-76B0-442A-8025-8FD723F4AAFD}"/>
    <cellStyle name="Normal 33 5 4 3 2 3 2" xfId="47569" xr:uid="{A5658186-E105-4E18-8C07-D7ADB4FA0047}"/>
    <cellStyle name="Normal 33 5 4 3 2 4" xfId="47570" xr:uid="{C828BDA2-ECD7-4DC4-9105-097802E54BEE}"/>
    <cellStyle name="Normal 33 5 4 3 3" xfId="47573" xr:uid="{997FB1B6-C2E1-4A21-8153-54A5B90E6E3B}"/>
    <cellStyle name="Normal 33 5 4 3 3 2" xfId="47574" xr:uid="{13CB4013-4883-4655-8EC8-97F34B74D0FC}"/>
    <cellStyle name="Normal 33 5 4 3 3 2 2" xfId="47575" xr:uid="{77289556-BD6B-4FBA-AC18-10FF61DFC758}"/>
    <cellStyle name="Normal 33 5 4 3 3 3" xfId="47576" xr:uid="{B3EEDE48-2CA4-41DB-9C16-BDB8A007E575}"/>
    <cellStyle name="Normal 33 5 4 3 4" xfId="47577" xr:uid="{B0CF9E39-27A8-49F1-8127-F73A586134A4}"/>
    <cellStyle name="Normal 33 5 4 3 4 2" xfId="47578" xr:uid="{4AC1B224-25D0-4670-A34E-9EBF2353DAA6}"/>
    <cellStyle name="Normal 33 5 4 3 5" xfId="47579" xr:uid="{A6BB11FF-E5A7-4B6C-A64A-DD6A57F7DC54}"/>
    <cellStyle name="Normal 33 5 4 4" xfId="47580" xr:uid="{FD937F42-4D62-4917-8360-6DA3F339D19F}"/>
    <cellStyle name="Normal 33 5 4 4 2" xfId="47581" xr:uid="{3467B1F3-D538-4C4F-8AF7-6844F25C1602}"/>
    <cellStyle name="Normal 33 5 4 4 2 2" xfId="47582" xr:uid="{FA7FDD23-A2A0-42E3-B59A-EAED8C2E4F9E}"/>
    <cellStyle name="Normal 33 5 4 4 2 2 2" xfId="47583" xr:uid="{60AADA32-5FD7-4472-948B-76034E0504F1}"/>
    <cellStyle name="Normal 33 5 4 4 2 3" xfId="47584" xr:uid="{5E960E4D-F343-42AA-8496-5F5F89CB6D85}"/>
    <cellStyle name="Normal 33 5 4 4 3" xfId="47587" xr:uid="{A0AC52E1-0D89-4AE9-9B1B-FCBD944A449B}"/>
    <cellStyle name="Normal 33 5 4 4 3 2" xfId="47588" xr:uid="{32CCDB46-1AEC-41BA-970F-CDD1B7591184}"/>
    <cellStyle name="Normal 33 5 4 4 4" xfId="47589" xr:uid="{837C3340-B646-4F73-AAB6-10B9EB34BD37}"/>
    <cellStyle name="Normal 33 5 4 5" xfId="47590" xr:uid="{2B4841ED-63C0-4DED-8406-3BB9A40C4B8F}"/>
    <cellStyle name="Normal 33 5 4 5 2" xfId="47591" xr:uid="{871A4658-46EB-450C-966C-599CF3F743C8}"/>
    <cellStyle name="Normal 33 5 4 5 2 2" xfId="47592" xr:uid="{65A40186-1871-4DE3-AB7E-785CF8F9CE3F}"/>
    <cellStyle name="Normal 33 5 4 5 3" xfId="47595" xr:uid="{C3706F51-1A67-4853-95B3-8226C185988B}"/>
    <cellStyle name="Normal 33 5 4 6" xfId="47596" xr:uid="{0E059013-11D9-4FD5-B72F-4A296ADF749F}"/>
    <cellStyle name="Normal 33 5 4 6 2" xfId="47597" xr:uid="{533A3B73-ADCE-43C3-A254-CD9F28CF4853}"/>
    <cellStyle name="Normal 33 5 4 7" xfId="47598" xr:uid="{8609B403-6C71-40FD-ADA7-6C480A16D466}"/>
    <cellStyle name="Normal 33 5 4 8" xfId="47599" xr:uid="{A7544FA4-CD0B-49ED-8ABB-E6C625E4C537}"/>
    <cellStyle name="Normal 33 5 5" xfId="47600" xr:uid="{3F9210A8-4897-4B5B-AAC2-3EF4B87DCD2D}"/>
    <cellStyle name="Normal 33 5 5 2" xfId="47601" xr:uid="{2B9B1B38-8CEE-4970-B554-3697B953F592}"/>
    <cellStyle name="Normal 33 5 5 2 2" xfId="42147" xr:uid="{22F7E11A-9951-4ACC-9157-8EC54214A635}"/>
    <cellStyle name="Normal 33 5 5 2 2 2" xfId="47602" xr:uid="{103F726A-1B56-41FF-A6D3-2CD395C9C97E}"/>
    <cellStyle name="Normal 33 5 5 2 2 2 2" xfId="47603" xr:uid="{4F2D3092-22E6-493F-842D-76111BD668E2}"/>
    <cellStyle name="Normal 33 5 5 2 2 2 2 2" xfId="47604" xr:uid="{2A306395-75B6-4B20-8E6A-461FC95D7161}"/>
    <cellStyle name="Normal 33 5 5 2 2 2 3" xfId="47605" xr:uid="{134962F9-825B-465E-9797-64622301B552}"/>
    <cellStyle name="Normal 33 5 5 2 2 3" xfId="47606" xr:uid="{C763FD51-A568-4F61-98CE-B7C51DB6AE0B}"/>
    <cellStyle name="Normal 33 5 5 2 2 3 2" xfId="47607" xr:uid="{8E2C5F0F-FC05-4FF1-95CC-FA0B9D83371A}"/>
    <cellStyle name="Normal 33 5 5 2 2 4" xfId="47608" xr:uid="{68246237-4413-451F-9779-971C416975B7}"/>
    <cellStyle name="Normal 33 5 5 2 3" xfId="47609" xr:uid="{968FF361-5CCC-4184-8A91-52BEBE914303}"/>
    <cellStyle name="Normal 33 5 5 2 3 2" xfId="47610" xr:uid="{6165C049-6255-4866-9436-C5FD9D62871B}"/>
    <cellStyle name="Normal 33 5 5 2 3 2 2" xfId="47611" xr:uid="{70132D3D-F7E7-46EF-95DD-BC3553EB1C70}"/>
    <cellStyle name="Normal 33 5 5 2 3 3" xfId="47612" xr:uid="{436AC013-6417-49C9-BFDC-29A28ABA5A57}"/>
    <cellStyle name="Normal 33 5 5 2 4" xfId="47613" xr:uid="{C069EC45-0F02-45E4-9CA5-658F61D0FEA6}"/>
    <cellStyle name="Normal 33 5 5 2 4 2" xfId="47614" xr:uid="{B7B3B053-2A02-4435-ADEE-E3E20C09348C}"/>
    <cellStyle name="Normal 33 5 5 2 5" xfId="47615" xr:uid="{EEE5C916-93F1-4237-85D0-DFC2BF63C713}"/>
    <cellStyle name="Normal 33 5 5 3" xfId="47616" xr:uid="{AF45329E-20CF-4338-B68B-C1F69061AB16}"/>
    <cellStyle name="Normal 33 5 5 3 2" xfId="47617" xr:uid="{14268653-25A8-4F2E-BCB3-C14E32B04513}"/>
    <cellStyle name="Normal 33 5 5 3 2 2" xfId="47618" xr:uid="{096203D5-1098-4FB7-AAAD-DFCEC1338FD5}"/>
    <cellStyle name="Normal 33 5 5 3 2 2 2" xfId="27685" xr:uid="{3681E431-5FE7-47D3-9B25-67D5B60F8B1C}"/>
    <cellStyle name="Normal 33 5 5 3 2 3" xfId="47619" xr:uid="{C0800AAF-EFB7-420E-97D6-EF405720B11A}"/>
    <cellStyle name="Normal 33 5 5 3 3" xfId="47620" xr:uid="{0ECB932C-80FA-4120-9C90-D81D0D43DD71}"/>
    <cellStyle name="Normal 33 5 5 3 3 2" xfId="47621" xr:uid="{530C137E-CEC3-49C2-944B-BA309B763F0D}"/>
    <cellStyle name="Normal 33 5 5 3 4" xfId="47622" xr:uid="{EB2515B0-5098-4769-98C0-1C575ADEBD33}"/>
    <cellStyle name="Normal 33 5 5 4" xfId="47623" xr:uid="{DBAE06F9-D355-45E8-8B55-E54A23EB072A}"/>
    <cellStyle name="Normal 33 5 5 4 2" xfId="47624" xr:uid="{A886E22A-6975-4442-8F63-51516A1BD366}"/>
    <cellStyle name="Normal 33 5 5 4 2 2" xfId="47625" xr:uid="{8B36D14D-CDAE-4D5C-B268-DE8985FEE695}"/>
    <cellStyle name="Normal 33 5 5 4 3" xfId="47626" xr:uid="{B5CEF6D8-F5DD-4BF8-A691-773680CDF5C7}"/>
    <cellStyle name="Normal 33 5 5 5" xfId="47627" xr:uid="{3F1D300E-7226-43EB-AFEE-75CE635321D3}"/>
    <cellStyle name="Normal 33 5 5 5 2" xfId="47628" xr:uid="{00E0C1EB-78CD-4629-A247-ED8FE55D5D34}"/>
    <cellStyle name="Normal 33 5 5 6" xfId="47629" xr:uid="{0BD152E7-C4BA-444F-B1A8-F1DADC0AD47E}"/>
    <cellStyle name="Normal 33 5 5 7" xfId="47630" xr:uid="{9935BC9D-8E4E-42A2-828F-19DA5335A253}"/>
    <cellStyle name="Normal 33 5 6" xfId="47631" xr:uid="{ED9DF767-98E5-4B9A-B6BD-4E149E911CDE}"/>
    <cellStyle name="Normal 33 5 6 2" xfId="47632" xr:uid="{DABBBF90-7A44-4920-8AEF-FBAB77660258}"/>
    <cellStyle name="Normal 33 5 6 2 2" xfId="47633" xr:uid="{FAEE5B88-54E4-4607-B23F-A522DACEC4C3}"/>
    <cellStyle name="Normal 33 5 6 2 2 2" xfId="47634" xr:uid="{4B1B230E-3716-4B67-88EA-70C81CD32378}"/>
    <cellStyle name="Normal 33 5 6 2 2 2 2" xfId="47635" xr:uid="{E2B37682-F05C-4DF2-9340-E582E3244B11}"/>
    <cellStyle name="Normal 33 5 6 2 2 3" xfId="47636" xr:uid="{D9220149-B53F-4596-B8EE-80F3BD51A24A}"/>
    <cellStyle name="Normal 33 5 6 2 3" xfId="47637" xr:uid="{0D74DFFD-DF41-41B6-8356-4CBF7D3E00E1}"/>
    <cellStyle name="Normal 33 5 6 2 3 2" xfId="47638" xr:uid="{A3926175-0520-484F-AB7A-62F147D7BC7A}"/>
    <cellStyle name="Normal 33 5 6 2 4" xfId="47639" xr:uid="{B8088C2C-56D3-4CE0-898A-3303B91DD9BB}"/>
    <cellStyle name="Normal 33 5 6 3" xfId="47640" xr:uid="{08F44772-6A65-4D33-9F66-82021A8F805A}"/>
    <cellStyle name="Normal 33 5 6 3 2" xfId="47641" xr:uid="{0CE34F0D-4BD6-4ACE-B878-BBB5D6729359}"/>
    <cellStyle name="Normal 33 5 6 3 2 2" xfId="47642" xr:uid="{AFFA1F0B-FF4C-42D1-A44C-357B3E626B54}"/>
    <cellStyle name="Normal 33 5 6 3 3" xfId="47643" xr:uid="{8C4025AF-F577-4DDF-8564-8AD474C7EAEF}"/>
    <cellStyle name="Normal 33 5 6 4" xfId="47644" xr:uid="{36CF7E09-2895-4CBA-BD86-85320EE083BE}"/>
    <cellStyle name="Normal 33 5 6 4 2" xfId="47645" xr:uid="{3BB10818-1D83-4D0F-8082-02BC29F3DF2D}"/>
    <cellStyle name="Normal 33 5 6 5" xfId="47646" xr:uid="{9BE0077F-6E73-42FA-BE15-8481F754F9D0}"/>
    <cellStyle name="Normal 33 5 7" xfId="47647" xr:uid="{39586916-C239-4E19-B442-8B50BE492D04}"/>
    <cellStyle name="Normal 33 5 7 2" xfId="47648" xr:uid="{F2E9387E-CDE3-4AE5-9F74-9269B38036DF}"/>
    <cellStyle name="Normal 33 5 7 2 2" xfId="47649" xr:uid="{6B1CC481-B90F-471C-A529-B36024A6F726}"/>
    <cellStyle name="Normal 33 5 7 2 2 2" xfId="47650" xr:uid="{674455D6-337C-45C3-9C83-C3AE5BFD61C5}"/>
    <cellStyle name="Normal 33 5 7 2 3" xfId="47651" xr:uid="{899F2B20-C3C6-4DDA-AD26-AFD6B63B8953}"/>
    <cellStyle name="Normal 33 5 7 3" xfId="47652" xr:uid="{DF4FD452-B9C1-4EF6-9254-586C0C1D72B7}"/>
    <cellStyle name="Normal 33 5 7 3 2" xfId="47653" xr:uid="{9CCD9FD0-561E-4B3F-B81E-ED934A2DFC15}"/>
    <cellStyle name="Normal 33 5 7 4" xfId="47654" xr:uid="{B0B97CC3-F6E6-4CF7-AE06-CE02AAC5B48E}"/>
    <cellStyle name="Normal 33 5 8" xfId="47655" xr:uid="{3FD92C70-849D-49B0-BC66-7F9B8D4781DA}"/>
    <cellStyle name="Normal 33 5 8 2" xfId="47656" xr:uid="{0B1C20A3-48F5-4CAE-B401-D728A4958386}"/>
    <cellStyle name="Normal 33 5 8 2 2" xfId="47657" xr:uid="{F70380C8-8D93-4704-A4AF-5096B78D8E0B}"/>
    <cellStyle name="Normal 33 5 8 3" xfId="47658" xr:uid="{06020318-2AED-4B11-A99D-25A0FED58536}"/>
    <cellStyle name="Normal 33 5 9" xfId="47659" xr:uid="{B508C41B-1EC9-4911-B07C-3BFE45057CA7}"/>
    <cellStyle name="Normal 33 5 9 2" xfId="47660" xr:uid="{030D8AC1-575A-4BC6-9007-7B359E14CF5E}"/>
    <cellStyle name="Normal 33 6" xfId="47663" xr:uid="{8280A264-5F3E-46C5-A5ED-3139CFF2494A}"/>
    <cellStyle name="Normal 33 6 10" xfId="47664" xr:uid="{11B3EA1A-F3AD-43B5-A95C-C93B1EF87573}"/>
    <cellStyle name="Normal 33 6 2" xfId="47665" xr:uid="{0D0E9D39-0D1A-4A78-8083-CC70398F4C64}"/>
    <cellStyle name="Normal 33 6 2 2" xfId="47666" xr:uid="{2F8E2727-9353-497A-9493-DB4B09E2FB71}"/>
    <cellStyle name="Normal 33 6 2 2 2" xfId="47667" xr:uid="{47B1F37E-61A3-4A72-A466-7FBE46FDD4F7}"/>
    <cellStyle name="Normal 33 6 2 2 2 2" xfId="47668" xr:uid="{E6E0B549-2FB7-4F8B-94C4-210788BD3101}"/>
    <cellStyle name="Normal 33 6 2 2 2 2 2" xfId="47669" xr:uid="{33A6BBE9-CC82-43D9-BBF3-2AA9785AAAB1}"/>
    <cellStyle name="Normal 33 6 2 2 2 2 2 2" xfId="47670" xr:uid="{2719AEA5-A4E9-4BBD-8171-11B9262BEA77}"/>
    <cellStyle name="Normal 33 6 2 2 2 2 2 2 2" xfId="47671" xr:uid="{F6A5D79A-70B5-40D7-BE15-255BBA08963B}"/>
    <cellStyle name="Normal 33 6 2 2 2 2 2 2 2 2" xfId="47672" xr:uid="{7B3675E1-1EF5-402C-A151-2872569469F7}"/>
    <cellStyle name="Normal 33 6 2 2 2 2 2 2 3" xfId="47673" xr:uid="{E41D9149-010A-43E3-9462-F36CFD795280}"/>
    <cellStyle name="Normal 33 6 2 2 2 2 2 3" xfId="47674" xr:uid="{F7FB89B9-9569-4B4D-843E-6246051B4909}"/>
    <cellStyle name="Normal 33 6 2 2 2 2 2 3 2" xfId="47675" xr:uid="{B40A7D63-B7B9-4C9D-9E61-F877402BF0DB}"/>
    <cellStyle name="Normal 33 6 2 2 2 2 2 4" xfId="47676" xr:uid="{FD584731-172F-4266-B957-35955A632A53}"/>
    <cellStyle name="Normal 33 6 2 2 2 2 3" xfId="47677" xr:uid="{01AAAAA7-33A8-42E0-8A91-430D013C05D1}"/>
    <cellStyle name="Normal 33 6 2 2 2 2 3 2" xfId="47678" xr:uid="{1CA6BA73-8B5D-4CC7-B69D-A26FFD157B7A}"/>
    <cellStyle name="Normal 33 6 2 2 2 2 3 2 2" xfId="47679" xr:uid="{48C15136-DCBB-44E0-B6F7-7012A2FE1234}"/>
    <cellStyle name="Normal 33 6 2 2 2 2 3 3" xfId="47680" xr:uid="{FA0878E1-4B4E-4C95-ADC0-47ACDC2DB454}"/>
    <cellStyle name="Normal 33 6 2 2 2 2 4" xfId="47681" xr:uid="{5AF3E379-548A-47C2-8955-7F1B66D2E0B9}"/>
    <cellStyle name="Normal 33 6 2 2 2 2 4 2" xfId="47682" xr:uid="{6C58E2FD-EFD4-48C5-932C-2C3BBB6D8B13}"/>
    <cellStyle name="Normal 33 6 2 2 2 2 5" xfId="47683" xr:uid="{00FF8F54-758A-47BB-B205-4D228DC3C9C9}"/>
    <cellStyle name="Normal 33 6 2 2 2 3" xfId="47684" xr:uid="{67408FCC-94AC-4581-80E9-938F3EE22892}"/>
    <cellStyle name="Normal 33 6 2 2 2 3 2" xfId="47685" xr:uid="{77A03CD7-207C-4DFA-B124-007B8EC1424F}"/>
    <cellStyle name="Normal 33 6 2 2 2 3 2 2" xfId="47686" xr:uid="{14524E10-7402-4390-8B22-687D74842CAB}"/>
    <cellStyle name="Normal 33 6 2 2 2 3 2 2 2" xfId="47687" xr:uid="{4D4ACD88-0E75-4DEC-88E3-6D0766957BA9}"/>
    <cellStyle name="Normal 33 6 2 2 2 3 2 3" xfId="47688" xr:uid="{37F64594-4BEA-4670-A2F1-79CEA8AF0038}"/>
    <cellStyle name="Normal 33 6 2 2 2 3 3" xfId="47689" xr:uid="{41BD8CBD-0F3A-4C1D-8461-40D2E842E254}"/>
    <cellStyle name="Normal 33 6 2 2 2 3 3 2" xfId="47690" xr:uid="{C374D757-E8C7-48C0-8A4E-85488977C10B}"/>
    <cellStyle name="Normal 33 6 2 2 2 3 4" xfId="47691" xr:uid="{8F65CA83-0577-4C08-A0AE-34BDB5EF0C4F}"/>
    <cellStyle name="Normal 33 6 2 2 2 4" xfId="47692" xr:uid="{0E46AE98-D9EC-4604-9F53-A8A49C692D16}"/>
    <cellStyle name="Normal 33 6 2 2 2 4 2" xfId="44659" xr:uid="{63B01730-5BD8-45FB-99CC-88D17CBC54CD}"/>
    <cellStyle name="Normal 33 6 2 2 2 4 2 2" xfId="44661" xr:uid="{8E6747A3-C46C-4BEB-8761-417ED38A87A1}"/>
    <cellStyle name="Normal 33 6 2 2 2 4 3" xfId="44663" xr:uid="{ADBD201F-0632-474C-8026-541929039459}"/>
    <cellStyle name="Normal 33 6 2 2 2 5" xfId="47693" xr:uid="{BA65AFB9-D7D2-4473-B1DD-32CC5B4DD28E}"/>
    <cellStyle name="Normal 33 6 2 2 2 5 2" xfId="44668" xr:uid="{44C31FD3-75C9-4BBE-9247-1D4B806B3DB7}"/>
    <cellStyle name="Normal 33 6 2 2 2 6" xfId="47694" xr:uid="{FDF83338-22B1-4CEA-8BBE-149CAF57C265}"/>
    <cellStyle name="Normal 33 6 2 2 2 7" xfId="47695" xr:uid="{2D4DDAFC-68C6-47A7-BC45-ECBC0038C258}"/>
    <cellStyle name="Normal 33 6 2 2 3" xfId="47696" xr:uid="{05455666-9C0D-4B27-BA75-F848468E8C03}"/>
    <cellStyle name="Normal 33 6 2 2 3 2" xfId="47697" xr:uid="{E733837B-5E71-4934-B19F-DB38E8879101}"/>
    <cellStyle name="Normal 33 6 2 2 3 2 2" xfId="36389" xr:uid="{3DA73DE1-6AB5-4A97-85F8-BFB6EEDD0A84}"/>
    <cellStyle name="Normal 33 6 2 2 3 2 2 2" xfId="47698" xr:uid="{BB0C3CCB-98FF-4CF9-9D79-3A39F902F002}"/>
    <cellStyle name="Normal 33 6 2 2 3 2 2 2 2" xfId="47699" xr:uid="{D22EB7B3-5325-4C47-91A9-672870333D4C}"/>
    <cellStyle name="Normal 33 6 2 2 3 2 2 3" xfId="47700" xr:uid="{66B8EECA-0C36-4C81-8571-84F1BABDB474}"/>
    <cellStyle name="Normal 33 6 2 2 3 2 3" xfId="47701" xr:uid="{28BCC183-CEB2-4CC1-A796-B24F0FAA17CB}"/>
    <cellStyle name="Normal 33 6 2 2 3 2 3 2" xfId="47702" xr:uid="{77C7F314-886E-445D-A56F-52464F7EC8D1}"/>
    <cellStyle name="Normal 33 6 2 2 3 2 4" xfId="47703" xr:uid="{5BC87A83-3929-4B2D-A8AE-CD5A4F7DCB26}"/>
    <cellStyle name="Normal 33 6 2 2 3 3" xfId="47704" xr:uid="{D4D51E17-740C-4088-B86F-CD078DE553BD}"/>
    <cellStyle name="Normal 33 6 2 2 3 3 2" xfId="47705" xr:uid="{BED415B6-EFD7-43B7-ABD7-580B74DD051D}"/>
    <cellStyle name="Normal 33 6 2 2 3 3 2 2" xfId="47706" xr:uid="{9BD99CEB-CDF0-465E-8ABF-96B0514E5ACE}"/>
    <cellStyle name="Normal 33 6 2 2 3 3 3" xfId="47707" xr:uid="{25DDD09B-7A6C-4830-84B9-97E90DF8A97B}"/>
    <cellStyle name="Normal 33 6 2 2 3 4" xfId="47708" xr:uid="{6563F247-73FA-4BA7-B972-1A3ECA7A5325}"/>
    <cellStyle name="Normal 33 6 2 2 3 4 2" xfId="44676" xr:uid="{443FF539-AA66-4B1F-B7A5-60FE6EAD224E}"/>
    <cellStyle name="Normal 33 6 2 2 3 5" xfId="45623" xr:uid="{B49618EB-C449-4E60-B649-9AC334684858}"/>
    <cellStyle name="Normal 33 6 2 2 4" xfId="47710" xr:uid="{62DFCC09-D9D0-4021-94CB-0B877E8095FD}"/>
    <cellStyle name="Normal 33 6 2 2 4 2" xfId="47711" xr:uid="{61D7BB06-2511-4A11-8F94-13FBD30D2EEF}"/>
    <cellStyle name="Normal 33 6 2 2 4 2 2" xfId="47712" xr:uid="{4904F206-CC5B-47AE-BBC3-03C723113D22}"/>
    <cellStyle name="Normal 33 6 2 2 4 2 2 2" xfId="47713" xr:uid="{6A52ACCE-7042-4055-9FA5-4E6113009CAD}"/>
    <cellStyle name="Normal 33 6 2 2 4 2 3" xfId="47714" xr:uid="{AD482FDB-D56A-4645-BB2B-6D186378D904}"/>
    <cellStyle name="Normal 33 6 2 2 4 3" xfId="47715" xr:uid="{23412C9B-5C73-4023-968C-DBF567638108}"/>
    <cellStyle name="Normal 33 6 2 2 4 3 2" xfId="47716" xr:uid="{C904226B-FE95-46D9-B615-1CC01240665D}"/>
    <cellStyle name="Normal 33 6 2 2 4 4" xfId="47717" xr:uid="{ADE8FD63-900B-4FAE-92B6-21D8A6D8A61E}"/>
    <cellStyle name="Normal 33 6 2 2 5" xfId="47718" xr:uid="{A74A10F5-C1FF-4595-97AF-2FE9CFBB100F}"/>
    <cellStyle name="Normal 33 6 2 2 5 2" xfId="18762" xr:uid="{1986E847-2525-4520-833D-D3AB5A2CCFF9}"/>
    <cellStyle name="Normal 33 6 2 2 5 2 2" xfId="47719" xr:uid="{03E4CF99-BE25-4B14-A0C4-F52CC1732953}"/>
    <cellStyle name="Normal 33 6 2 2 5 3" xfId="18780" xr:uid="{43CA031B-4BD6-4FF1-BB3C-FA32A67F116B}"/>
    <cellStyle name="Normal 33 6 2 2 6" xfId="47720" xr:uid="{BA02AABF-00B2-40CC-9195-8886D0158EEA}"/>
    <cellStyle name="Normal 33 6 2 2 6 2" xfId="18843" xr:uid="{9490EB41-D6E5-4E53-B514-1CD439C389B0}"/>
    <cellStyle name="Normal 33 6 2 2 7" xfId="47721" xr:uid="{576F3143-89F3-468E-978A-681A6D7767EE}"/>
    <cellStyle name="Normal 33 6 2 2 8" xfId="47722" xr:uid="{95703F63-4356-4C60-87AE-5BC03FC00F9C}"/>
    <cellStyle name="Normal 33 6 2 3" xfId="47723" xr:uid="{6405F1F4-80CB-4857-8559-77A2AC082286}"/>
    <cellStyle name="Normal 33 6 2 3 2" xfId="47724" xr:uid="{AE9E100C-41F3-46A2-B38A-1852B272C05F}"/>
    <cellStyle name="Normal 33 6 2 3 2 2" xfId="47725" xr:uid="{F7B26594-16A4-4727-83D2-672801A1BD4F}"/>
    <cellStyle name="Normal 33 6 2 3 2 2 2" xfId="47726" xr:uid="{DCAAA8C6-0739-4009-9F21-2F31829A1C97}"/>
    <cellStyle name="Normal 33 6 2 3 2 2 2 2" xfId="47727" xr:uid="{1F111C66-5471-4547-9BBC-F51F66A992EF}"/>
    <cellStyle name="Normal 33 6 2 3 2 2 2 2 2" xfId="47728" xr:uid="{CCBCA5C5-130A-4F75-9FE7-14B5822AB5AE}"/>
    <cellStyle name="Normal 33 6 2 3 2 2 2 3" xfId="47729" xr:uid="{6EF78C2C-72E2-4CA1-892C-E4778264B9E5}"/>
    <cellStyle name="Normal 33 6 2 3 2 2 3" xfId="47730" xr:uid="{D3E31A8E-F29D-48CE-8BB4-AC05507D02DB}"/>
    <cellStyle name="Normal 33 6 2 3 2 2 3 2" xfId="47731" xr:uid="{2CC75498-4A55-4B91-B0EC-5AC6F4C2E77F}"/>
    <cellStyle name="Normal 33 6 2 3 2 2 4" xfId="47732" xr:uid="{D7378DA3-FD35-4090-AFAD-0133C836CCC0}"/>
    <cellStyle name="Normal 33 6 2 3 2 3" xfId="13527" xr:uid="{1B8E7AEC-72CF-48F8-9B0C-54A24C023996}"/>
    <cellStyle name="Normal 33 6 2 3 2 3 2" xfId="47733" xr:uid="{0328D35A-C2A2-4F35-A868-25ADCA0FF38E}"/>
    <cellStyle name="Normal 33 6 2 3 2 3 2 2" xfId="47734" xr:uid="{0B16E810-D0A8-437A-91DF-D8FD309C5CE7}"/>
    <cellStyle name="Normal 33 6 2 3 2 3 3" xfId="47735" xr:uid="{109AD664-D01C-4DF7-823D-F8768B44FAC0}"/>
    <cellStyle name="Normal 33 6 2 3 2 4" xfId="47736" xr:uid="{AD2C9BBC-1B61-4D34-AEFF-C06DBE7BCB24}"/>
    <cellStyle name="Normal 33 6 2 3 2 4 2" xfId="44746" xr:uid="{16ABCB7F-B092-4DF5-A311-1770C19BE51E}"/>
    <cellStyle name="Normal 33 6 2 3 2 5" xfId="47737" xr:uid="{603883F1-A1AF-469A-9EB2-C2B25EF97230}"/>
    <cellStyle name="Normal 33 6 2 3 3" xfId="47738" xr:uid="{D707FFAA-61F6-4B67-9C15-B7DD3FEAB782}"/>
    <cellStyle name="Normal 33 6 2 3 3 2" xfId="47739" xr:uid="{874B2B35-88F6-4568-845F-27B2FFC8C3E5}"/>
    <cellStyle name="Normal 33 6 2 3 3 2 2" xfId="47740" xr:uid="{E5527D24-1848-4FA5-A715-A801E0E6CCEA}"/>
    <cellStyle name="Normal 33 6 2 3 3 2 2 2" xfId="47741" xr:uid="{47442E9E-08C6-4B9D-964E-B7CE776C9B28}"/>
    <cellStyle name="Normal 33 6 2 3 3 2 3" xfId="47742" xr:uid="{8533129F-FB15-4D69-BBFD-B9BE1E269669}"/>
    <cellStyle name="Normal 33 6 2 3 3 3" xfId="47743" xr:uid="{24C69518-C482-437A-8550-B489968CFF21}"/>
    <cellStyle name="Normal 33 6 2 3 3 3 2" xfId="47744" xr:uid="{D3A1727E-B812-4BCA-A1D1-FF43A76E5B14}"/>
    <cellStyle name="Normal 33 6 2 3 3 4" xfId="47745" xr:uid="{BE31269B-D6A6-4C53-98C1-149F4E5C2824}"/>
    <cellStyle name="Normal 33 6 2 3 4" xfId="47746" xr:uid="{EB5099C7-5AC3-47D8-B349-51971E6895DA}"/>
    <cellStyle name="Normal 33 6 2 3 4 2" xfId="47747" xr:uid="{BD7D8045-3F23-4948-B6B3-0C2BCC8A790D}"/>
    <cellStyle name="Normal 33 6 2 3 4 2 2" xfId="47748" xr:uid="{225CD6E7-ABBA-401E-BE88-E4435729B83B}"/>
    <cellStyle name="Normal 33 6 2 3 4 3" xfId="47749" xr:uid="{ECF87333-C0E8-41DA-A777-F2653BC52135}"/>
    <cellStyle name="Normal 33 6 2 3 5" xfId="47750" xr:uid="{BEF651E7-8314-407F-8B49-69AB0E0128A7}"/>
    <cellStyle name="Normal 33 6 2 3 5 2" xfId="47751" xr:uid="{545E93BC-D496-4E9C-9211-3ED8B89934F4}"/>
    <cellStyle name="Normal 33 6 2 3 6" xfId="47752" xr:uid="{3C6DF56C-06CC-451A-A9AC-CCD9658C42E5}"/>
    <cellStyle name="Normal 33 6 2 3 7" xfId="47753" xr:uid="{6226A8C9-F18E-4BC1-A121-7CDDC764E612}"/>
    <cellStyle name="Normal 33 6 2 4" xfId="47754" xr:uid="{28D574CD-83BA-41BD-9261-8FA5D5796775}"/>
    <cellStyle name="Normal 33 6 2 4 2" xfId="47755" xr:uid="{3BD10166-ED70-40EF-AC7B-F2ECECAD6AB9}"/>
    <cellStyle name="Normal 33 6 2 4 2 2" xfId="47756" xr:uid="{5A74F587-8D8C-4C24-B238-60F6276D65B2}"/>
    <cellStyle name="Normal 33 6 2 4 2 2 2" xfId="47757" xr:uid="{14CCBBB7-ED0E-49AF-BE88-A3A2EAAEBD8A}"/>
    <cellStyle name="Normal 33 6 2 4 2 2 2 2" xfId="47758" xr:uid="{82318F25-D350-49EE-ACDB-CA36645BC002}"/>
    <cellStyle name="Normal 33 6 2 4 2 2 3" xfId="47759" xr:uid="{9DD28865-1ACA-4285-AEBE-B35AD6976B10}"/>
    <cellStyle name="Normal 33 6 2 4 2 3" xfId="47760" xr:uid="{1D5EC118-AF14-4E36-9652-3D66B8A1772A}"/>
    <cellStyle name="Normal 33 6 2 4 2 3 2" xfId="47761" xr:uid="{E0BE25C8-02C6-4C90-A88B-A67A2E5C9DA4}"/>
    <cellStyle name="Normal 33 6 2 4 2 4" xfId="47762" xr:uid="{D922645E-AAE3-4584-A12B-21F166D235C3}"/>
    <cellStyle name="Normal 33 6 2 4 3" xfId="47763" xr:uid="{A5173D2D-7713-46DE-9852-258A7E0EC177}"/>
    <cellStyle name="Normal 33 6 2 4 3 2" xfId="47764" xr:uid="{9137B506-2DBF-4E4A-B44B-E634D64EC55A}"/>
    <cellStyle name="Normal 33 6 2 4 3 2 2" xfId="47765" xr:uid="{7D52B48B-54F9-453A-B2CB-C7DDC61BC129}"/>
    <cellStyle name="Normal 33 6 2 4 3 3" xfId="47766" xr:uid="{24F0BD7F-52A1-40E0-B740-DC88F1EA99F6}"/>
    <cellStyle name="Normal 33 6 2 4 4" xfId="47767" xr:uid="{ACEA674F-18EA-4477-AA71-94F06A5276F0}"/>
    <cellStyle name="Normal 33 6 2 4 4 2" xfId="47768" xr:uid="{BF3CF35C-ED21-4ECD-B63A-0095B111FBDB}"/>
    <cellStyle name="Normal 33 6 2 4 5" xfId="47769" xr:uid="{C4161F4C-4688-432B-85CE-4C2F0244F163}"/>
    <cellStyle name="Normal 33 6 2 5" xfId="47770" xr:uid="{57F88526-DDF0-4931-AABE-E323877D5647}"/>
    <cellStyle name="Normal 33 6 2 5 2" xfId="47771" xr:uid="{E2F91F8B-D114-4CCF-82C3-5F8E96229DFA}"/>
    <cellStyle name="Normal 33 6 2 5 2 2" xfId="47772" xr:uid="{03F50617-7E08-41D7-B09C-4F81BD966867}"/>
    <cellStyle name="Normal 33 6 2 5 2 2 2" xfId="47773" xr:uid="{8E25564D-0A4F-4138-9E31-C19CADDD2653}"/>
    <cellStyle name="Normal 33 6 2 5 2 3" xfId="47774" xr:uid="{109C9135-881F-4DA0-B765-85321C5A1C96}"/>
    <cellStyle name="Normal 33 6 2 5 3" xfId="47775" xr:uid="{C3D457BF-1644-4B66-AD54-4F61F5E31CDD}"/>
    <cellStyle name="Normal 33 6 2 5 3 2" xfId="47776" xr:uid="{A327D1FA-960C-4906-B388-9751ACC84FEF}"/>
    <cellStyle name="Normal 33 6 2 5 4" xfId="47777" xr:uid="{7AB7CBEA-8875-4BC9-BAEA-6B3B2BDA3CC7}"/>
    <cellStyle name="Normal 33 6 2 6" xfId="47779" xr:uid="{8A86854F-5EDF-4A61-8119-420D3F8C3922}"/>
    <cellStyle name="Normal 33 6 2 6 2" xfId="47781" xr:uid="{B5701201-AA19-469B-9389-E7C2415B8379}"/>
    <cellStyle name="Normal 33 6 2 6 2 2" xfId="47783" xr:uid="{F50C73B5-0609-4819-B957-BA0C4DC43675}"/>
    <cellStyle name="Normal 33 6 2 6 3" xfId="47785" xr:uid="{33989ED9-A85C-46C4-8BC8-E31C5058F95F}"/>
    <cellStyle name="Normal 33 6 2 7" xfId="47787" xr:uid="{6381BFF7-883B-4549-9A99-5D19F040E888}"/>
    <cellStyle name="Normal 33 6 2 7 2" xfId="47789" xr:uid="{9197DE62-F5B0-462C-A1E9-B2F7C277DA04}"/>
    <cellStyle name="Normal 33 6 2 8" xfId="47791" xr:uid="{A94BF9A2-FF4C-49FE-95F3-60F8E93DEA7E}"/>
    <cellStyle name="Normal 33 6 2 9" xfId="47793" xr:uid="{0094BEF2-383F-4AB7-A073-14BCD315993C}"/>
    <cellStyle name="Normal 33 6 3" xfId="47794" xr:uid="{62E92CB0-D225-4449-B5CE-E7900D7EE54A}"/>
    <cellStyle name="Normal 33 6 3 2" xfId="47795" xr:uid="{C5274860-5838-4213-9351-307967FABD41}"/>
    <cellStyle name="Normal 33 6 3 2 2" xfId="42249" xr:uid="{0C603663-0123-4E46-ADD2-1B39E3F8B40B}"/>
    <cellStyle name="Normal 33 6 3 2 2 2" xfId="47796" xr:uid="{027D92C0-D29A-44C5-A7CF-9F32BFE03911}"/>
    <cellStyle name="Normal 33 6 3 2 2 2 2" xfId="47797" xr:uid="{F35B4344-BE80-456B-A030-E558B599765C}"/>
    <cellStyle name="Normal 33 6 3 2 2 2 2 2" xfId="47798" xr:uid="{6A584251-CAD2-4649-8EA9-BCC7511B964F}"/>
    <cellStyle name="Normal 33 6 3 2 2 2 2 2 2" xfId="47799" xr:uid="{814F863B-C766-4584-A572-C348D1612BEB}"/>
    <cellStyle name="Normal 33 6 3 2 2 2 2 3" xfId="47800" xr:uid="{15DA6255-AC07-4B92-873C-AFD3D50F0B67}"/>
    <cellStyle name="Normal 33 6 3 2 2 2 3" xfId="47801" xr:uid="{DBE91DEC-699E-45CF-BA83-9CDC89F9D14E}"/>
    <cellStyle name="Normal 33 6 3 2 2 2 3 2" xfId="47802" xr:uid="{3A31FEE1-8E92-4591-BE83-9C46C2C14D30}"/>
    <cellStyle name="Normal 33 6 3 2 2 2 4" xfId="47803" xr:uid="{8F9F8445-62FF-4963-B99F-970C2EFFA707}"/>
    <cellStyle name="Normal 33 6 3 2 2 3" xfId="47804" xr:uid="{F48FA51B-6F28-46DF-8384-E1CEAB7B9C8B}"/>
    <cellStyle name="Normal 33 6 3 2 2 3 2" xfId="47805" xr:uid="{7F39F1E1-5243-4127-A0BD-66ADC8BB20B0}"/>
    <cellStyle name="Normal 33 6 3 2 2 3 2 2" xfId="47806" xr:uid="{CC4286EB-2A82-4C38-A9A6-EA155D5C1CE0}"/>
    <cellStyle name="Normal 33 6 3 2 2 3 3" xfId="47807" xr:uid="{0AA9B021-B4B8-421F-AF0E-28197D4241CC}"/>
    <cellStyle name="Normal 33 6 3 2 2 4" xfId="47808" xr:uid="{255CAFC4-66D4-4E8F-8026-2DCAF8A245F4}"/>
    <cellStyle name="Normal 33 6 3 2 2 4 2" xfId="44875" xr:uid="{0CC1E5E5-470D-4A3A-A899-373E689DF1C7}"/>
    <cellStyle name="Normal 33 6 3 2 2 5" xfId="47809" xr:uid="{06D6E04C-0008-4B36-AEDA-4537B71FC7D2}"/>
    <cellStyle name="Normal 33 6 3 2 3" xfId="47810" xr:uid="{CC00CEEF-745E-402A-BC6F-0F1141DB3E6F}"/>
    <cellStyle name="Normal 33 6 3 2 3 2" xfId="47811" xr:uid="{2F152C3A-5FFB-46A6-91E6-E04A5B6CEBBA}"/>
    <cellStyle name="Normal 33 6 3 2 3 2 2" xfId="33439" xr:uid="{B7575AA8-5F6B-4245-931A-8DB581B3B919}"/>
    <cellStyle name="Normal 33 6 3 2 3 2 2 2" xfId="47812" xr:uid="{098C4712-B48F-4527-BE87-3F6D2E40F7D3}"/>
    <cellStyle name="Normal 33 6 3 2 3 2 3" xfId="47813" xr:uid="{13C45FBC-54EE-4854-A0BB-B424320BCC62}"/>
    <cellStyle name="Normal 33 6 3 2 3 3" xfId="47814" xr:uid="{A5F126D9-9741-47D3-ADCB-2A3B532D1757}"/>
    <cellStyle name="Normal 33 6 3 2 3 3 2" xfId="47815" xr:uid="{78943CC3-324E-4977-AB20-F9FD95C6FB39}"/>
    <cellStyle name="Normal 33 6 3 2 3 4" xfId="47816" xr:uid="{4E7836C0-EA51-4BBE-8C44-E1738D2B5D9D}"/>
    <cellStyle name="Normal 33 6 3 2 4" xfId="47817" xr:uid="{745C1634-A070-45DB-AF9F-16B7E8821E05}"/>
    <cellStyle name="Normal 33 6 3 2 4 2" xfId="47818" xr:uid="{93CEB7A8-C3D5-46F8-8577-7D1F6B4100F4}"/>
    <cellStyle name="Normal 33 6 3 2 4 2 2" xfId="29200" xr:uid="{A52A9034-D79A-4926-8064-8E259DF072B6}"/>
    <cellStyle name="Normal 33 6 3 2 4 3" xfId="47819" xr:uid="{C5418EEA-F3C5-4B6D-BEA1-FAF246E1C06A}"/>
    <cellStyle name="Normal 33 6 3 2 5" xfId="47820" xr:uid="{573F6450-CD5C-4C8F-A3AD-4F0EB1431CE5}"/>
    <cellStyle name="Normal 33 6 3 2 5 2" xfId="47821" xr:uid="{21815EC9-8F8A-49C0-A005-51C4CBD8CAB8}"/>
    <cellStyle name="Normal 33 6 3 2 6" xfId="47822" xr:uid="{68AB6B3F-A945-4738-AE62-443E6EF3693A}"/>
    <cellStyle name="Normal 33 6 3 2 7" xfId="47823" xr:uid="{A7F1A110-8F43-4623-A4F2-EA98A0B49E9C}"/>
    <cellStyle name="Normal 33 6 3 3" xfId="47824" xr:uid="{DCC11535-0A89-4C94-9856-6402DC449C6D}"/>
    <cellStyle name="Normal 33 6 3 3 2" xfId="47825" xr:uid="{E3FD6D3D-EBDD-49F0-B0D9-0A71CEBAFC59}"/>
    <cellStyle name="Normal 33 6 3 3 2 2" xfId="47826" xr:uid="{A009242C-B530-47D6-8C5E-86892A3EF532}"/>
    <cellStyle name="Normal 33 6 3 3 2 2 2" xfId="47827" xr:uid="{A4E605A4-A700-4E88-92F2-189C07774341}"/>
    <cellStyle name="Normal 33 6 3 3 2 2 2 2" xfId="47828" xr:uid="{93BACAE0-66DE-44AE-8095-B556C823C644}"/>
    <cellStyle name="Normal 33 6 3 3 2 2 3" xfId="47829" xr:uid="{1A4439B9-F3A1-499E-8B37-B9AF7A3D13CF}"/>
    <cellStyle name="Normal 33 6 3 3 2 3" xfId="47830" xr:uid="{13B0B29B-217D-4E22-B760-F09DFD890663}"/>
    <cellStyle name="Normal 33 6 3 3 2 3 2" xfId="47831" xr:uid="{4998547E-B160-4A2F-BAEA-212F8C964BD7}"/>
    <cellStyle name="Normal 33 6 3 3 2 4" xfId="47832" xr:uid="{D99FDCD4-9F53-443A-A360-D93D656FD569}"/>
    <cellStyle name="Normal 33 6 3 3 3" xfId="47833" xr:uid="{59C09080-823E-4B1A-A193-A7AEF6F56AE8}"/>
    <cellStyle name="Normal 33 6 3 3 3 2" xfId="47834" xr:uid="{54FE4E80-44B7-41A3-9D35-55143440B57D}"/>
    <cellStyle name="Normal 33 6 3 3 3 2 2" xfId="47835" xr:uid="{6545CDBD-0BE7-4155-942B-674402785B3D}"/>
    <cellStyle name="Normal 33 6 3 3 3 3" xfId="47836" xr:uid="{A8DED701-3D3A-4C1F-BBE9-162137D2A0BA}"/>
    <cellStyle name="Normal 33 6 3 3 4" xfId="47837" xr:uid="{D6F50EA8-9791-435F-9E3E-C0D6823E4FC7}"/>
    <cellStyle name="Normal 33 6 3 3 4 2" xfId="47838" xr:uid="{DC7F25BE-E967-481A-8630-636BE5B39E57}"/>
    <cellStyle name="Normal 33 6 3 3 5" xfId="47839" xr:uid="{B47F14DD-C035-43D7-8A6A-D57AF444A313}"/>
    <cellStyle name="Normal 33 6 3 4" xfId="47840" xr:uid="{64754915-24F5-4AF4-9BF2-0344C91A3D6C}"/>
    <cellStyle name="Normal 33 6 3 4 2" xfId="47841" xr:uid="{9E771067-F4BB-4E6D-A1FA-20DC79F4246B}"/>
    <cellStyle name="Normal 33 6 3 4 2 2" xfId="47842" xr:uid="{6A89FA46-72E6-43E1-9C68-389783C54EE6}"/>
    <cellStyle name="Normal 33 6 3 4 2 2 2" xfId="47843" xr:uid="{07944D66-C6CB-424C-8076-E7117A4C357E}"/>
    <cellStyle name="Normal 33 6 3 4 2 3" xfId="47844" xr:uid="{90B6BDF8-FF77-4334-8C02-35BC95F958F7}"/>
    <cellStyle name="Normal 33 6 3 4 3" xfId="47845" xr:uid="{A7DF1181-15A5-4D0C-AC7D-59A7246FE506}"/>
    <cellStyle name="Normal 33 6 3 4 3 2" xfId="47846" xr:uid="{13842D35-1C9A-4474-A964-78BB90ABCAFE}"/>
    <cellStyle name="Normal 33 6 3 4 4" xfId="47847" xr:uid="{FF9333B1-6340-4116-84C8-E831FCFD9E0F}"/>
    <cellStyle name="Normal 33 6 3 5" xfId="47848" xr:uid="{C662B3FC-A991-41D5-A968-7ABD1EDEC174}"/>
    <cellStyle name="Normal 33 6 3 5 2" xfId="47849" xr:uid="{D478B027-3377-4F11-AEFC-8E8D2120AB03}"/>
    <cellStyle name="Normal 33 6 3 5 2 2" xfId="47850" xr:uid="{B10FD9CA-FD48-44D2-86F7-3E0F2A78D8AD}"/>
    <cellStyle name="Normal 33 6 3 5 3" xfId="47851" xr:uid="{E08E1961-F8EF-4296-945B-3A7EC09A8601}"/>
    <cellStyle name="Normal 33 6 3 6" xfId="47853" xr:uid="{20F2E78B-F9C0-4345-924E-9DA263C98B87}"/>
    <cellStyle name="Normal 33 6 3 6 2" xfId="47855" xr:uid="{B3663A00-9256-45F1-A20C-181B9A395D80}"/>
    <cellStyle name="Normal 33 6 3 7" xfId="47857" xr:uid="{EA9E7A15-4BE7-4F17-A8DE-398302321F81}"/>
    <cellStyle name="Normal 33 6 3 8" xfId="47859" xr:uid="{B5C268AA-D1F3-4A25-85DB-375E9916E73D}"/>
    <cellStyle name="Normal 33 6 4" xfId="47861" xr:uid="{2ADA132F-5DDD-4DBC-BB36-97EBAF2F8568}"/>
    <cellStyle name="Normal 33 6 4 2" xfId="47863" xr:uid="{CE16B10B-A738-42DA-BF49-DA70DF00E83F}"/>
    <cellStyle name="Normal 33 6 4 2 2" xfId="47865" xr:uid="{26E0B5E7-5514-480B-80C7-44B01B99BBFF}"/>
    <cellStyle name="Normal 33 6 4 2 2 2" xfId="47866" xr:uid="{B0BB1890-81D5-4810-BABF-6BA740B6663C}"/>
    <cellStyle name="Normal 33 6 4 2 2 2 2" xfId="47867" xr:uid="{A515E6E0-D8F1-41EB-8881-09983B855CB7}"/>
    <cellStyle name="Normal 33 6 4 2 2 2 2 2" xfId="47868" xr:uid="{940DC52B-28D8-43D5-91BB-7874D93959F1}"/>
    <cellStyle name="Normal 33 6 4 2 2 2 3" xfId="47869" xr:uid="{770E9609-DEBF-4048-BDDE-77410808DCB1}"/>
    <cellStyle name="Normal 33 6 4 2 2 3" xfId="47870" xr:uid="{B4C4D842-5F97-46CD-BF8B-0B286732A1F7}"/>
    <cellStyle name="Normal 33 6 4 2 2 3 2" xfId="47871" xr:uid="{C05B9C98-A795-43F5-8023-EE40118D89AF}"/>
    <cellStyle name="Normal 33 6 4 2 2 4" xfId="47872" xr:uid="{648583A6-27B5-4657-934A-DF1DA28E371A}"/>
    <cellStyle name="Normal 33 6 4 2 3" xfId="47873" xr:uid="{5DCCF8B1-8E86-45D7-B0B9-922F97F6F760}"/>
    <cellStyle name="Normal 33 6 4 2 3 2" xfId="47874" xr:uid="{8A504401-C86F-42AE-9EB2-325B7C33ED23}"/>
    <cellStyle name="Normal 33 6 4 2 3 2 2" xfId="47875" xr:uid="{41959436-E55B-448C-A870-9D8B86F33718}"/>
    <cellStyle name="Normal 33 6 4 2 3 3" xfId="47876" xr:uid="{565A0BC9-C44D-40B0-B050-043B0527CE82}"/>
    <cellStyle name="Normal 33 6 4 2 4" xfId="47877" xr:uid="{D724869B-9E08-4469-837E-B7B7A4CB721D}"/>
    <cellStyle name="Normal 33 6 4 2 4 2" xfId="47878" xr:uid="{4F1D0CE2-EB5B-41D3-9F2D-C3C567909CCD}"/>
    <cellStyle name="Normal 33 6 4 2 5" xfId="47879" xr:uid="{3234B591-FB2D-4770-BA23-64BCA0B668A6}"/>
    <cellStyle name="Normal 33 6 4 3" xfId="47881" xr:uid="{CD348341-38DC-43B2-BE86-E2C1ECBFBA22}"/>
    <cellStyle name="Normal 33 6 4 3 2" xfId="47882" xr:uid="{A490AFD9-FE89-4854-BE58-58F5A8886376}"/>
    <cellStyle name="Normal 33 6 4 3 2 2" xfId="47883" xr:uid="{E9C3592D-AC8A-422A-9402-D10DFE815E40}"/>
    <cellStyle name="Normal 33 6 4 3 2 2 2" xfId="47884" xr:uid="{3AA9421A-35C3-4277-BEB1-ACF37FBDE35B}"/>
    <cellStyle name="Normal 33 6 4 3 2 3" xfId="47885" xr:uid="{26C03CC3-1941-4C93-A48E-9AA73370D305}"/>
    <cellStyle name="Normal 33 6 4 3 3" xfId="47886" xr:uid="{470E728A-6463-40FD-924B-3DDDA3822ED9}"/>
    <cellStyle name="Normal 33 6 4 3 3 2" xfId="47887" xr:uid="{501202E2-53E9-47B6-90CC-39E6748D4FB1}"/>
    <cellStyle name="Normal 33 6 4 3 4" xfId="47888" xr:uid="{17DAA60E-4C29-4125-99AB-194FA37CD9D5}"/>
    <cellStyle name="Normal 33 6 4 4" xfId="47889" xr:uid="{17EF8B65-0664-4AA5-81DB-ED3FC1DA3B35}"/>
    <cellStyle name="Normal 33 6 4 4 2" xfId="47890" xr:uid="{087B40C0-5B17-4990-9625-7BE99F32EFCE}"/>
    <cellStyle name="Normal 33 6 4 4 2 2" xfId="47891" xr:uid="{3DC461A8-C106-4683-A3C6-265C5912870E}"/>
    <cellStyle name="Normal 33 6 4 4 3" xfId="47892" xr:uid="{8BDF5DCB-A826-4AC2-866E-D44425E7B48D}"/>
    <cellStyle name="Normal 33 6 4 5" xfId="47893" xr:uid="{102AD0AB-AE7B-4949-96F0-3A156C9B5583}"/>
    <cellStyle name="Normal 33 6 4 5 2" xfId="47894" xr:uid="{4499216C-26FE-4713-810E-462011AAF995}"/>
    <cellStyle name="Normal 33 6 4 6" xfId="47896" xr:uid="{82C78D2E-CEF2-41A8-8968-5D7A5BC2C876}"/>
    <cellStyle name="Normal 33 6 4 7" xfId="47898" xr:uid="{45D40CF6-2221-4E79-9663-5CC07AAD7D07}"/>
    <cellStyle name="Normal 33 6 5" xfId="47900" xr:uid="{48A3D184-5E47-49C4-ACA6-FEEE7EB1DD20}"/>
    <cellStyle name="Normal 33 6 5 2" xfId="47902" xr:uid="{17438191-FD84-4039-9BF9-3731E7E2602D}"/>
    <cellStyle name="Normal 33 6 5 2 2" xfId="47903" xr:uid="{C1D883A3-8E44-464D-967F-3260DED0CD91}"/>
    <cellStyle name="Normal 33 6 5 2 2 2" xfId="47904" xr:uid="{9F97D64A-4021-49EE-8BAA-5B105780D9C4}"/>
    <cellStyle name="Normal 33 6 5 2 2 2 2" xfId="47905" xr:uid="{5C1CA777-2384-45E3-A112-0D7578640032}"/>
    <cellStyle name="Normal 33 6 5 2 2 3" xfId="47906" xr:uid="{DD8AB86C-6339-4D43-8922-9931555CBDBC}"/>
    <cellStyle name="Normal 33 6 5 2 3" xfId="47907" xr:uid="{23612BB5-98BB-4393-A3A7-D220FCA1F681}"/>
    <cellStyle name="Normal 33 6 5 2 3 2" xfId="47908" xr:uid="{9CF5DEB1-2237-47AF-8284-751EEB146B4E}"/>
    <cellStyle name="Normal 33 6 5 2 4" xfId="47909" xr:uid="{A6837BC7-F43F-4D21-945F-C2688B442223}"/>
    <cellStyle name="Normal 33 6 5 3" xfId="47910" xr:uid="{A3ED1A5F-51E1-4A46-8994-35FC9872463E}"/>
    <cellStyle name="Normal 33 6 5 3 2" xfId="47911" xr:uid="{A074C813-7C04-44A6-ABD3-ACC57865AF8B}"/>
    <cellStyle name="Normal 33 6 5 3 2 2" xfId="47912" xr:uid="{EF8B9FA5-CCFE-4453-8E25-F360B4603573}"/>
    <cellStyle name="Normal 33 6 5 3 3" xfId="47913" xr:uid="{921875F0-C922-401E-BD75-EC8A17A9689D}"/>
    <cellStyle name="Normal 33 6 5 4" xfId="47914" xr:uid="{734F65E4-0BE6-4D42-A48D-F279CCE1904B}"/>
    <cellStyle name="Normal 33 6 5 4 2" xfId="47915" xr:uid="{26FCE524-99D6-4041-A4BC-AADA28712763}"/>
    <cellStyle name="Normal 33 6 5 5" xfId="47916" xr:uid="{A64763CD-290F-4162-AC89-47BA34D69D02}"/>
    <cellStyle name="Normal 33 6 6" xfId="47918" xr:uid="{D385E013-AF2B-4531-B244-2A5FFF449217}"/>
    <cellStyle name="Normal 33 6 6 2" xfId="47919" xr:uid="{3E9ED9FE-B162-47DF-90F0-B9149645F917}"/>
    <cellStyle name="Normal 33 6 6 2 2" xfId="47920" xr:uid="{E7AC43A8-80B2-428E-89F8-E4746D717A04}"/>
    <cellStyle name="Normal 33 6 6 2 2 2" xfId="47921" xr:uid="{00B0F6A2-4BC3-45DF-B4D4-153F32255061}"/>
    <cellStyle name="Normal 33 6 6 2 3" xfId="47922" xr:uid="{C3CF8A30-62F0-4C00-9518-7E6E0F1A0087}"/>
    <cellStyle name="Normal 33 6 6 3" xfId="47923" xr:uid="{96331925-6CB9-46EC-A923-9CC8FB2B6AAB}"/>
    <cellStyle name="Normal 33 6 6 3 2" xfId="47924" xr:uid="{2D0D6CEC-32C3-404E-A3C7-EEDA8F6E33B8}"/>
    <cellStyle name="Normal 33 6 6 4" xfId="47925" xr:uid="{A8446FA4-D70F-475C-8260-D1721C4DFE08}"/>
    <cellStyle name="Normal 33 6 7" xfId="47926" xr:uid="{09495ECD-4092-46A7-A5A1-A70746A3B034}"/>
    <cellStyle name="Normal 33 6 7 2" xfId="47927" xr:uid="{51428455-9909-46CA-84CA-1AA1A541BE89}"/>
    <cellStyle name="Normal 33 6 7 2 2" xfId="47928" xr:uid="{90362292-23B5-47FA-919D-3303B2EF1DA6}"/>
    <cellStyle name="Normal 33 6 7 3" xfId="47929" xr:uid="{BBB15C30-0D1B-4552-97A2-5AE5D71F911B}"/>
    <cellStyle name="Normal 33 6 8" xfId="47930" xr:uid="{BCA128C2-74D1-458E-BA88-24D074F5F49F}"/>
    <cellStyle name="Normal 33 6 8 2" xfId="47931" xr:uid="{143FA633-2174-470C-BE91-59AEA1445067}"/>
    <cellStyle name="Normal 33 6 9" xfId="47932" xr:uid="{CE4BB045-B7F3-4B13-A405-CD6C60EEC844}"/>
    <cellStyle name="Normal 33 7" xfId="47935" xr:uid="{0AC7E20B-E30B-4681-B3E5-09183D3AC712}"/>
    <cellStyle name="Normal 33 7 2" xfId="47936" xr:uid="{FEFA3BEF-FE1C-484E-9E26-39D5C58806B6}"/>
    <cellStyle name="Normal 33 7 2 2" xfId="47937" xr:uid="{BD611034-18DB-4EF8-A195-854551201B3A}"/>
    <cellStyle name="Normal 33 7 2 2 2" xfId="47938" xr:uid="{97263F7E-B0C7-4785-BC63-BE251B32C6FF}"/>
    <cellStyle name="Normal 33 7 2 2 2 2" xfId="25330" xr:uid="{5AA40C60-1B68-4CAF-B100-F1FA50B7C6D7}"/>
    <cellStyle name="Normal 33 7 2 2 2 2 2" xfId="47939" xr:uid="{38BCA880-DA76-40BB-808C-7CFF49AB072D}"/>
    <cellStyle name="Normal 33 7 2 2 2 2 2 2" xfId="36858" xr:uid="{41CAD012-81AB-4A43-996B-EFBFF20ADF23}"/>
    <cellStyle name="Normal 33 7 2 2 2 2 2 2 2" xfId="47940" xr:uid="{8976A574-4683-4098-9D93-8E8D32FB6B6A}"/>
    <cellStyle name="Normal 33 7 2 2 2 2 2 3" xfId="47941" xr:uid="{43C24D8E-E5C1-4578-9408-3B7F3111BAC7}"/>
    <cellStyle name="Normal 33 7 2 2 2 2 3" xfId="47942" xr:uid="{CB94096E-D175-4B51-80EF-C114B6D8E7A2}"/>
    <cellStyle name="Normal 33 7 2 2 2 2 3 2" xfId="47943" xr:uid="{498F2E35-6AD3-4307-BBF6-A4D9A9FF8D58}"/>
    <cellStyle name="Normal 33 7 2 2 2 2 4" xfId="47944" xr:uid="{4CB4AC9B-7FB0-4AFE-8155-906BFACB1A1E}"/>
    <cellStyle name="Normal 33 7 2 2 2 3" xfId="25333" xr:uid="{6A8F76A1-2C7F-4AA8-B7D9-314CFC4191AF}"/>
    <cellStyle name="Normal 33 7 2 2 2 3 2" xfId="47945" xr:uid="{5EB674A6-B2FB-4CAE-AF4C-47E795B28087}"/>
    <cellStyle name="Normal 33 7 2 2 2 3 2 2" xfId="47946" xr:uid="{0F274A3F-F15B-44FF-A520-CA032A68FFBF}"/>
    <cellStyle name="Normal 33 7 2 2 2 3 3" xfId="47947" xr:uid="{14AA3142-0494-4D95-82C7-F52DB3A32400}"/>
    <cellStyle name="Normal 33 7 2 2 2 4" xfId="25336" xr:uid="{A94AAD5E-4C30-4315-BB7F-3A51795B6B28}"/>
    <cellStyle name="Normal 33 7 2 2 2 4 2" xfId="45118" xr:uid="{4C9228BC-F842-43F2-8F29-C875567E80C9}"/>
    <cellStyle name="Normal 33 7 2 2 2 5" xfId="2311" xr:uid="{89EB0915-94D8-4B98-A239-B8F5A57343FD}"/>
    <cellStyle name="Normal 33 7 2 2 3" xfId="47948" xr:uid="{3D328FCB-1D5E-4109-A813-02DD3210BA9F}"/>
    <cellStyle name="Normal 33 7 2 2 3 2" xfId="47949" xr:uid="{3B519688-4892-4FA8-92E3-21F2611F648F}"/>
    <cellStyle name="Normal 33 7 2 2 3 2 2" xfId="47950" xr:uid="{C60DC0B4-A96C-41EC-8570-C804DE0864B4}"/>
    <cellStyle name="Normal 33 7 2 2 3 2 2 2" xfId="47951" xr:uid="{A5D2E53C-5CAD-46FF-BA68-FD5A3AA90DB5}"/>
    <cellStyle name="Normal 33 7 2 2 3 2 3" xfId="47952" xr:uid="{3704153B-1680-4BBA-AF4E-700E13D1F525}"/>
    <cellStyle name="Normal 33 7 2 2 3 3" xfId="47953" xr:uid="{80B9E72F-50F3-4D20-BCA8-3274C2BF0EF7}"/>
    <cellStyle name="Normal 33 7 2 2 3 3 2" xfId="47954" xr:uid="{8E2C1E2A-305B-4BB6-A227-E8A0F31F23AC}"/>
    <cellStyle name="Normal 33 7 2 2 3 4" xfId="47955" xr:uid="{C14DD87E-792A-4E4A-AF88-D6232113F94D}"/>
    <cellStyle name="Normal 33 7 2 2 4" xfId="47956" xr:uid="{956452A5-6474-4339-AA71-4A6619DA1703}"/>
    <cellStyle name="Normal 33 7 2 2 4 2" xfId="47957" xr:uid="{C6CE8D67-4A4A-4402-813F-02968C80E711}"/>
    <cellStyle name="Normal 33 7 2 2 4 2 2" xfId="47958" xr:uid="{1CBAB489-12DB-4EDE-BB13-90FE8E610B4F}"/>
    <cellStyle name="Normal 33 7 2 2 4 3" xfId="47959" xr:uid="{9A064E67-3B6C-45A4-9485-AE582FF7104B}"/>
    <cellStyle name="Normal 33 7 2 2 5" xfId="47960" xr:uid="{9E44CEBB-3153-46BA-BDDD-D63C106FD003}"/>
    <cellStyle name="Normal 33 7 2 2 5 2" xfId="47328" xr:uid="{ECDA31D4-B7C2-4603-96FC-816D7EE41115}"/>
    <cellStyle name="Normal 33 7 2 2 6" xfId="47961" xr:uid="{8D767F66-C938-4735-B1D0-4FDC19E1F590}"/>
    <cellStyle name="Normal 33 7 2 2 7" xfId="47962" xr:uid="{0991EE56-9862-4AFF-ACAE-AF2456010B79}"/>
    <cellStyle name="Normal 33 7 2 3" xfId="47963" xr:uid="{C6EBB98D-D0B9-4BC9-A9F6-D97144743E06}"/>
    <cellStyle name="Normal 33 7 2 3 2" xfId="47964" xr:uid="{00A7584D-B4CD-4A17-883B-55770D6604AE}"/>
    <cellStyle name="Normal 33 7 2 3 2 2" xfId="22741" xr:uid="{95CFFB94-BE32-4EF8-8593-45399C96A5FC}"/>
    <cellStyle name="Normal 33 7 2 3 2 2 2" xfId="47965" xr:uid="{5C76E333-513E-44A4-B3A0-D7E80952E2EC}"/>
    <cellStyle name="Normal 33 7 2 3 2 2 2 2" xfId="47966" xr:uid="{62B9F64A-6610-4C96-A03E-78131E8D82E5}"/>
    <cellStyle name="Normal 33 7 2 3 2 2 3" xfId="47967" xr:uid="{C0133349-A3ED-4E0A-B547-54C130CED734}"/>
    <cellStyle name="Normal 33 7 2 3 2 3" xfId="47968" xr:uid="{395DF40E-4254-4304-8773-62E4D164E3E3}"/>
    <cellStyle name="Normal 33 7 2 3 2 3 2" xfId="47969" xr:uid="{5448C750-385A-4A25-B959-D8599DEB5FCD}"/>
    <cellStyle name="Normal 33 7 2 3 2 4" xfId="47970" xr:uid="{80C79442-B467-4F21-A457-ED7EE697CEB1}"/>
    <cellStyle name="Normal 33 7 2 3 3" xfId="47971" xr:uid="{562BC184-C3A9-4184-9FF1-53F5B7A46972}"/>
    <cellStyle name="Normal 33 7 2 3 3 2" xfId="47972" xr:uid="{4E528525-8F07-46A1-A44D-3D26DB560FCF}"/>
    <cellStyle name="Normal 33 7 2 3 3 2 2" xfId="47973" xr:uid="{C9538DE3-B3A3-4954-8C81-70CABF3C5231}"/>
    <cellStyle name="Normal 33 7 2 3 3 3" xfId="47974" xr:uid="{8A5123F0-534F-4396-99C1-7C479B68D0A5}"/>
    <cellStyle name="Normal 33 7 2 3 4" xfId="47975" xr:uid="{98172CAC-0065-442E-99B2-58D66A1B2D19}"/>
    <cellStyle name="Normal 33 7 2 3 4 2" xfId="47976" xr:uid="{C951F17F-DCB5-466F-B3D1-22D23050C158}"/>
    <cellStyle name="Normal 33 7 2 3 5" xfId="47977" xr:uid="{1C30B4C4-51FF-486C-97D5-D9808C37C7BA}"/>
    <cellStyle name="Normal 33 7 2 4" xfId="27471" xr:uid="{C061C016-EE4F-4210-969F-D3E3EF34E9A6}"/>
    <cellStyle name="Normal 33 7 2 4 2" xfId="47978" xr:uid="{4B205A64-A69F-473E-A2FD-6101D3AE9E3D}"/>
    <cellStyle name="Normal 33 7 2 4 2 2" xfId="47979" xr:uid="{1D8C6DFC-7BD7-43E7-A8F6-84F38D9F5A4D}"/>
    <cellStyle name="Normal 33 7 2 4 2 2 2" xfId="47980" xr:uid="{FED87B73-3468-4247-8632-DF0E4D6FB255}"/>
    <cellStyle name="Normal 33 7 2 4 2 3" xfId="47981" xr:uid="{83EE9578-0F32-4C84-B642-8D0241764BB0}"/>
    <cellStyle name="Normal 33 7 2 4 3" xfId="47982" xr:uid="{837C8D14-DEFB-49A9-9264-9CDB8D9B37AB}"/>
    <cellStyle name="Normal 33 7 2 4 3 2" xfId="47983" xr:uid="{46B307C7-6613-422B-AADB-50E2E17FF216}"/>
    <cellStyle name="Normal 33 7 2 4 4" xfId="47984" xr:uid="{8A7580F0-1C1C-444D-87AE-D7773740DAD2}"/>
    <cellStyle name="Normal 33 7 2 5" xfId="47985" xr:uid="{87E2BF63-65F9-42F7-9896-0F96BA0DEA13}"/>
    <cellStyle name="Normal 33 7 2 5 2" xfId="47986" xr:uid="{FDED8817-2E45-4D0D-BF66-E9B8A569504A}"/>
    <cellStyle name="Normal 33 7 2 5 2 2" xfId="47987" xr:uid="{3C0DCFE3-04FA-43B0-A351-D22B0A716338}"/>
    <cellStyle name="Normal 33 7 2 5 3" xfId="47988" xr:uid="{0EEFFAF7-6358-4119-9B38-5DE9B4481F4B}"/>
    <cellStyle name="Normal 33 7 2 6" xfId="47990" xr:uid="{3DCFBD47-10C9-4A48-BAA5-64B0309661FB}"/>
    <cellStyle name="Normal 33 7 2 6 2" xfId="47992" xr:uid="{EE60A6FE-1713-4EB8-A699-EC43ACF2FB84}"/>
    <cellStyle name="Normal 33 7 2 7" xfId="47994" xr:uid="{0A729FA8-3BF0-4F0A-AC48-53E24F5B7C59}"/>
    <cellStyle name="Normal 33 7 2 8" xfId="47996" xr:uid="{D63479AD-8B43-451A-A43C-C652E4755D85}"/>
    <cellStyle name="Normal 33 7 3" xfId="43731" xr:uid="{14C64159-C17C-47C2-B472-E6078009E034}"/>
    <cellStyle name="Normal 33 7 3 2" xfId="43733" xr:uid="{E5B14C27-B6ED-451D-9991-24326AA9D20B}"/>
    <cellStyle name="Normal 33 7 3 2 2" xfId="42359" xr:uid="{5B52F8B9-DBA1-48E6-9308-30A234F21BDE}"/>
    <cellStyle name="Normal 33 7 3 2 2 2" xfId="47997" xr:uid="{7EFEC5F2-2176-431E-B471-482C639CDD44}"/>
    <cellStyle name="Normal 33 7 3 2 2 2 2" xfId="47998" xr:uid="{422CCEAB-5294-48F7-83A0-B15A7EBB5E08}"/>
    <cellStyle name="Normal 33 7 3 2 2 2 2 2" xfId="47999" xr:uid="{5C37A63A-3D7F-4884-990A-1C299459F4F4}"/>
    <cellStyle name="Normal 33 7 3 2 2 2 3" xfId="48000" xr:uid="{7405F8E2-DCE0-42D7-97BC-CDC1EF816F2C}"/>
    <cellStyle name="Normal 33 7 3 2 2 3" xfId="48001" xr:uid="{20085B76-B724-4089-9F00-06F8C0D87806}"/>
    <cellStyle name="Normal 33 7 3 2 2 3 2" xfId="48002" xr:uid="{7C408ED3-AEBB-461F-AB8E-4EFDDF7797B1}"/>
    <cellStyle name="Normal 33 7 3 2 2 4" xfId="48003" xr:uid="{431E2A69-C759-4518-A661-7DE38F4EB2A2}"/>
    <cellStyle name="Normal 33 7 3 2 3" xfId="48004" xr:uid="{930C82EB-AAAE-4BF5-8D66-F43DE3F4BB3D}"/>
    <cellStyle name="Normal 33 7 3 2 3 2" xfId="48005" xr:uid="{436BA4F4-B502-4484-8950-CBE4FDD80A8E}"/>
    <cellStyle name="Normal 33 7 3 2 3 2 2" xfId="48006" xr:uid="{5F70256A-D6FD-4AC5-8A39-90F39FE0EB2B}"/>
    <cellStyle name="Normal 33 7 3 2 3 3" xfId="48007" xr:uid="{664ECFFE-C7ED-40B1-8043-B00CE7CB11A8}"/>
    <cellStyle name="Normal 33 7 3 2 4" xfId="48008" xr:uid="{3F95A029-B8A0-4F80-81FE-861A80EECD75}"/>
    <cellStyle name="Normal 33 7 3 2 4 2" xfId="48009" xr:uid="{B78BAAB2-AA5E-4E9D-88BB-813A0AC6EB04}"/>
    <cellStyle name="Normal 33 7 3 2 5" xfId="48010" xr:uid="{C7550585-1CBB-4D20-9A9B-A849D75C366B}"/>
    <cellStyle name="Normal 33 7 3 3" xfId="43735" xr:uid="{45313F97-0DB2-41F1-9D70-5B35AA91EC1C}"/>
    <cellStyle name="Normal 33 7 3 3 2" xfId="48011" xr:uid="{A67C1936-1A8C-425C-972B-187322F0672A}"/>
    <cellStyle name="Normal 33 7 3 3 2 2" xfId="48012" xr:uid="{AA9AE399-817D-40C8-9AFA-74F5C0CB3C3E}"/>
    <cellStyle name="Normal 33 7 3 3 2 2 2" xfId="5352" xr:uid="{F27C75C6-C8B8-4F9C-B765-A660F532D941}"/>
    <cellStyle name="Normal 33 7 3 3 2 3" xfId="48013" xr:uid="{60F8B720-6C68-4E70-A1C2-532A195705A8}"/>
    <cellStyle name="Normal 33 7 3 3 3" xfId="48014" xr:uid="{03ED0508-E5F7-40C1-ADE8-A3CDDBDDBAA2}"/>
    <cellStyle name="Normal 33 7 3 3 3 2" xfId="48015" xr:uid="{8B430961-2BBF-4284-959A-4618F840B725}"/>
    <cellStyle name="Normal 33 7 3 3 4" xfId="48016" xr:uid="{C56D8EF0-D11F-4732-A089-69B5915693C2}"/>
    <cellStyle name="Normal 33 7 3 4" xfId="48017" xr:uid="{A8128111-3339-4B39-A7A8-C5605BB55DB8}"/>
    <cellStyle name="Normal 33 7 3 4 2" xfId="48018" xr:uid="{C53B9441-C045-4173-9D20-7648EE60E15B}"/>
    <cellStyle name="Normal 33 7 3 4 2 2" xfId="48019" xr:uid="{751F5F30-4CFB-450E-906C-E8A5227C71CC}"/>
    <cellStyle name="Normal 33 7 3 4 3" xfId="48020" xr:uid="{7443EF0D-E186-4C8A-9997-019BF7748206}"/>
    <cellStyle name="Normal 33 7 3 5" xfId="48021" xr:uid="{40EC33C5-0BF5-414A-8607-260D2D65ACE0}"/>
    <cellStyle name="Normal 33 7 3 5 2" xfId="48022" xr:uid="{723728F6-954D-4F2E-8CB6-D70B6124C31F}"/>
    <cellStyle name="Normal 33 7 3 6" xfId="48024" xr:uid="{0C1D099F-48AD-4F22-8511-B3AB932A4728}"/>
    <cellStyle name="Normal 33 7 3 7" xfId="48026" xr:uid="{4A8E221A-0C20-4998-9412-92C3DB58A130}"/>
    <cellStyle name="Normal 33 7 4" xfId="43738" xr:uid="{93C6192D-E298-4B57-BE22-B35D50898584}"/>
    <cellStyle name="Normal 33 7 4 2" xfId="43741" xr:uid="{FA55356F-4A83-448C-82CE-789F958A34A1}"/>
    <cellStyle name="Normal 33 7 4 2 2" xfId="48027" xr:uid="{38E5A8D4-6C5D-4E14-B402-5208793A55D3}"/>
    <cellStyle name="Normal 33 7 4 2 2 2" xfId="48028" xr:uid="{562D1CBC-EAF5-415C-BE3C-EF9C3EC9084E}"/>
    <cellStyle name="Normal 33 7 4 2 2 2 2" xfId="48029" xr:uid="{2746DA32-C506-475C-AECA-6F0D5BBA063D}"/>
    <cellStyle name="Normal 33 7 4 2 2 3" xfId="48030" xr:uid="{8011EE27-7C2D-476F-80DD-F30E8A2E1F4C}"/>
    <cellStyle name="Normal 33 7 4 2 3" xfId="48031" xr:uid="{9D2B3DF6-B216-47EE-8223-61478B3C8AD1}"/>
    <cellStyle name="Normal 33 7 4 2 3 2" xfId="48032" xr:uid="{86A27ECA-F422-4B79-8B02-CDA776A03C9F}"/>
    <cellStyle name="Normal 33 7 4 2 4" xfId="48033" xr:uid="{F4CB2474-AA94-430D-A0F2-41D1FBE3E4A3}"/>
    <cellStyle name="Normal 33 7 4 3" xfId="48034" xr:uid="{F823DFBA-033C-4CFE-927E-471FAA039DEC}"/>
    <cellStyle name="Normal 33 7 4 3 2" xfId="48035" xr:uid="{80D85BB1-80BC-48FC-929A-91426BAD72C6}"/>
    <cellStyle name="Normal 33 7 4 3 2 2" xfId="48036" xr:uid="{4C0887A7-1D77-4394-A5D9-4DD73027CB55}"/>
    <cellStyle name="Normal 33 7 4 3 3" xfId="48037" xr:uid="{4718E27A-73DC-4715-ADC5-243F75218C18}"/>
    <cellStyle name="Normal 33 7 4 4" xfId="48038" xr:uid="{1168101A-EE14-4BE2-BA50-77F109A0F6BA}"/>
    <cellStyle name="Normal 33 7 4 4 2" xfId="48039" xr:uid="{CBEB54E4-BAE2-4298-B210-4FDAC1DB4A2B}"/>
    <cellStyle name="Normal 33 7 4 5" xfId="48040" xr:uid="{4CC1EE58-83E8-4C2B-B209-1E6108B27C32}"/>
    <cellStyle name="Normal 33 7 5" xfId="43744" xr:uid="{66224D98-9B74-4B1A-B8FF-0B44CF3875E1}"/>
    <cellStyle name="Normal 33 7 5 2" xfId="42509" xr:uid="{C83964B0-4116-4104-AC80-A8DF34810BCB}"/>
    <cellStyle name="Normal 33 7 5 2 2" xfId="42512" xr:uid="{C7F9B87A-9B9A-4624-8F1D-AB3D2487E903}"/>
    <cellStyle name="Normal 33 7 5 2 2 2" xfId="42515" xr:uid="{02C4E414-CBB5-47D2-9074-F2E465F540C5}"/>
    <cellStyle name="Normal 33 7 5 2 3" xfId="42518" xr:uid="{57DB3FF8-5122-4D62-A2B6-EB78309A8D68}"/>
    <cellStyle name="Normal 33 7 5 3" xfId="42521" xr:uid="{5DE89154-8D89-45C5-9228-30B5AECF7A99}"/>
    <cellStyle name="Normal 33 7 5 3 2" xfId="42524" xr:uid="{2B9AACF6-D092-4F11-B60F-B71016518B4A}"/>
    <cellStyle name="Normal 33 7 5 4" xfId="42531" xr:uid="{A4AA2A31-7C57-4EC7-AFCF-8A38530EE194}"/>
    <cellStyle name="Normal 33 7 6" xfId="48041" xr:uid="{91A0544D-1641-4502-A6EA-E3DC26302683}"/>
    <cellStyle name="Normal 33 7 6 2" xfId="43462" xr:uid="{2DAF65FE-E2C9-4EE2-B416-578FEF75968B}"/>
    <cellStyle name="Normal 33 7 6 2 2" xfId="48042" xr:uid="{207FEAF9-DA6E-4335-8158-B3B108F2AFD9}"/>
    <cellStyle name="Normal 33 7 6 3" xfId="43465" xr:uid="{274C6709-706A-4FC1-8C06-ADE990A7AB8B}"/>
    <cellStyle name="Normal 33 7 7" xfId="48043" xr:uid="{3D5376EC-CD9A-43A5-89B7-0D14C31D0CF3}"/>
    <cellStyle name="Normal 33 7 7 2" xfId="48044" xr:uid="{9B3D492C-A8B8-4B4F-AEA3-F134BE2751A9}"/>
    <cellStyle name="Normal 33 7 8" xfId="48045" xr:uid="{6BF4B75B-4B92-4CB7-9E89-A63A85474B69}"/>
    <cellStyle name="Normal 33 7 9" xfId="48046" xr:uid="{A6EADB8C-75F9-4351-B294-00ECDF9C33B5}"/>
    <cellStyle name="Normal 33 8" xfId="48049" xr:uid="{7CD7CAFA-D815-44B2-AD16-4E7F61B9121C}"/>
    <cellStyle name="Normal 33 8 2" xfId="48050" xr:uid="{771AF80A-81F5-497D-B8D1-ECEF9E7F079B}"/>
    <cellStyle name="Normal 33 8 2 2" xfId="48051" xr:uid="{961EC5E4-CD8E-457E-B30C-1BA12284ED8B}"/>
    <cellStyle name="Normal 33 8 2 2 2" xfId="48052" xr:uid="{B46E29B1-8FE0-4DA9-9105-781E2903DCD3}"/>
    <cellStyle name="Normal 33 8 2 2 2 2" xfId="48053" xr:uid="{322C07B8-4859-4793-88CC-60311C7E3831}"/>
    <cellStyle name="Normal 33 8 2 2 2 2 2" xfId="48054" xr:uid="{25498904-7AAF-4CA5-AB12-B7A87365977D}"/>
    <cellStyle name="Normal 33 8 2 2 2 2 2 2" xfId="8303" xr:uid="{F2747E83-0E0B-4DAA-BE11-AB3D445DE166}"/>
    <cellStyle name="Normal 33 8 2 2 2 2 3" xfId="48055" xr:uid="{28E2A51A-0070-409D-AF2A-99AD3BD80FFD}"/>
    <cellStyle name="Normal 33 8 2 2 2 3" xfId="48056" xr:uid="{E8A95D67-571C-4D69-8D37-9D74F093E297}"/>
    <cellStyle name="Normal 33 8 2 2 2 3 2" xfId="48057" xr:uid="{F8C62223-56D4-4557-8F9B-8DAEF7C8955E}"/>
    <cellStyle name="Normal 33 8 2 2 2 4" xfId="48058" xr:uid="{0CBFC005-5450-4218-B6C2-AFF82166EB87}"/>
    <cellStyle name="Normal 33 8 2 2 3" xfId="48059" xr:uid="{4267DBB6-D69F-4D0A-8C0E-0372E00EE61F}"/>
    <cellStyle name="Normal 33 8 2 2 3 2" xfId="48060" xr:uid="{A2710F13-6954-47F0-B750-BFB210A55D2B}"/>
    <cellStyle name="Normal 33 8 2 2 3 2 2" xfId="48061" xr:uid="{A8FFB0E2-8C14-4F71-BEF7-1F08E94D2D84}"/>
    <cellStyle name="Normal 33 8 2 2 3 3" xfId="48062" xr:uid="{A5ACF7DD-FB5C-439B-9B52-20F75E1971FD}"/>
    <cellStyle name="Normal 33 8 2 2 4" xfId="48063" xr:uid="{5E04DE8B-AC8C-41F4-8371-AE5FFF75B637}"/>
    <cellStyle name="Normal 33 8 2 2 4 2" xfId="48064" xr:uid="{C46192FB-2CCF-4762-BD90-2A2645C5ADCF}"/>
    <cellStyle name="Normal 33 8 2 2 5" xfId="48065" xr:uid="{A9CA1C38-AAC6-425A-B24E-C1D6804FCB8E}"/>
    <cellStyle name="Normal 33 8 2 3" xfId="48066" xr:uid="{78DCE835-06F4-4137-B2F9-2CFA67B5DB44}"/>
    <cellStyle name="Normal 33 8 2 3 2" xfId="48067" xr:uid="{9D73F5CB-5ECB-4EB6-A127-F7DC84354554}"/>
    <cellStyle name="Normal 33 8 2 3 2 2" xfId="48068" xr:uid="{FA50AA2A-2D7B-4D45-B569-92330F35595B}"/>
    <cellStyle name="Normal 33 8 2 3 2 2 2" xfId="48069" xr:uid="{4D32A280-E626-45EC-8F54-9C15C39AA53C}"/>
    <cellStyle name="Normal 33 8 2 3 2 3" xfId="48070" xr:uid="{76CB6F21-BF41-4689-9EC7-E2C5C4B70122}"/>
    <cellStyle name="Normal 33 8 2 3 3" xfId="48071" xr:uid="{42DF9A54-09DD-4884-97CE-7697D06B4B29}"/>
    <cellStyle name="Normal 33 8 2 3 3 2" xfId="48072" xr:uid="{37FF663F-63DF-48F4-8EC7-06CEB9E7B29A}"/>
    <cellStyle name="Normal 33 8 2 3 4" xfId="48073" xr:uid="{DF67D657-05D8-4331-B865-32417FAC49B1}"/>
    <cellStyle name="Normal 33 8 2 4" xfId="48074" xr:uid="{04D7D617-A09A-4297-A7AF-23377DDAD957}"/>
    <cellStyle name="Normal 33 8 2 4 2" xfId="48075" xr:uid="{507B3511-4EA4-4D9A-BCA3-11F83D84FB48}"/>
    <cellStyle name="Normal 33 8 2 4 2 2" xfId="48076" xr:uid="{D9306493-66A0-4C90-9E85-B01F384B4222}"/>
    <cellStyle name="Normal 33 8 2 4 3" xfId="48077" xr:uid="{C2EAD254-84DF-4A07-97E5-ED4135A68A34}"/>
    <cellStyle name="Normal 33 8 2 5" xfId="48078" xr:uid="{EC77FD80-C9F8-4AB2-B8FA-ADC196C9CEC5}"/>
    <cellStyle name="Normal 33 8 2 5 2" xfId="48079" xr:uid="{C38F215A-6907-4CD8-AF73-5E843F59CA35}"/>
    <cellStyle name="Normal 33 8 2 6" xfId="48081" xr:uid="{449FB45A-8C56-4DE0-9B6B-EC3553D28636}"/>
    <cellStyle name="Normal 33 8 2 7" xfId="48085" xr:uid="{B6870B88-8E4B-4CFF-9E0D-090DC3B8F0F2}"/>
    <cellStyle name="Normal 33 8 3" xfId="43748" xr:uid="{B9FFC349-6E72-4339-B5D4-FB00885C4499}"/>
    <cellStyle name="Normal 33 8 3 2" xfId="43751" xr:uid="{71343F53-D762-4EF5-9522-4EAB7D00BAF9}"/>
    <cellStyle name="Normal 33 8 3 2 2" xfId="48086" xr:uid="{849EA2E4-7C2D-4D57-B76F-8F2D80801380}"/>
    <cellStyle name="Normal 33 8 3 2 2 2" xfId="44051" xr:uid="{63B9B9B5-C5DA-4404-8EF0-208895D06B99}"/>
    <cellStyle name="Normal 33 8 3 2 2 2 2" xfId="48087" xr:uid="{6850F304-37C0-465E-8962-5EEBD52B6B93}"/>
    <cellStyle name="Normal 33 8 3 2 2 3" xfId="44053" xr:uid="{4B44AE7D-20D9-4667-BA3C-3FF72CF66D4F}"/>
    <cellStyle name="Normal 33 8 3 2 3" xfId="48088" xr:uid="{1AA6BFEE-3E87-47F8-A238-0CC1595349D1}"/>
    <cellStyle name="Normal 33 8 3 2 3 2" xfId="48089" xr:uid="{995A493E-F157-4899-A45E-FBB98A22B778}"/>
    <cellStyle name="Normal 33 8 3 2 4" xfId="48090" xr:uid="{6EC7E28E-F6A1-4465-83EA-53263A6AFD45}"/>
    <cellStyle name="Normal 33 8 3 3" xfId="48091" xr:uid="{9FE7BFB1-7B6A-4D7B-BDFA-0B0422FF1A13}"/>
    <cellStyle name="Normal 33 8 3 3 2" xfId="48092" xr:uid="{55BF385F-99F0-4CC2-A64A-54028192919C}"/>
    <cellStyle name="Normal 33 8 3 3 2 2" xfId="48093" xr:uid="{0E88CEC2-2779-429F-9ADD-A7F982DEC6E6}"/>
    <cellStyle name="Normal 33 8 3 3 3" xfId="48094" xr:uid="{9DE6F3CE-29D9-448E-8C57-AB52B26679EC}"/>
    <cellStyle name="Normal 33 8 3 4" xfId="48095" xr:uid="{BE8D89CF-CDCC-4F2A-AF0A-B67E7E9E5CFB}"/>
    <cellStyle name="Normal 33 8 3 4 2" xfId="48096" xr:uid="{E31A3D5E-0A5C-485D-A84B-FC1FC1ADA612}"/>
    <cellStyle name="Normal 33 8 3 5" xfId="48097" xr:uid="{E5E4DDB5-90A6-40CC-BC03-647031AED709}"/>
    <cellStyle name="Normal 33 8 4" xfId="43755" xr:uid="{0F9E9187-96F1-4561-9DBA-4612F1D08738}"/>
    <cellStyle name="Normal 33 8 4 2" xfId="48098" xr:uid="{8D89B3E9-AE3D-4E55-A45B-B17A9E317C6C}"/>
    <cellStyle name="Normal 33 8 4 2 2" xfId="48099" xr:uid="{996D863E-214B-496B-8526-226228A12F86}"/>
    <cellStyle name="Normal 33 8 4 2 2 2" xfId="48100" xr:uid="{DDA296BF-5335-454F-8962-DAB8883A6961}"/>
    <cellStyle name="Normal 33 8 4 2 3" xfId="48101" xr:uid="{A81827E6-EF53-426B-B49C-F59121115388}"/>
    <cellStyle name="Normal 33 8 4 3" xfId="48102" xr:uid="{7C6C6465-AE94-4E6B-8284-263C137E2926}"/>
    <cellStyle name="Normal 33 8 4 3 2" xfId="48103" xr:uid="{600A24E0-5CE1-4FB8-BAC1-5E44C7A0EC7B}"/>
    <cellStyle name="Normal 33 8 4 4" xfId="48104" xr:uid="{FA50D4C7-ADF3-41D8-98F2-074BB9115B1B}"/>
    <cellStyle name="Normal 33 8 5" xfId="48105" xr:uid="{17008AE6-4796-4153-996B-F8598BDDDCAF}"/>
    <cellStyle name="Normal 33 8 5 2" xfId="48108" xr:uid="{340DFD8C-5FC1-406D-A49B-DCADE4DD2079}"/>
    <cellStyle name="Normal 33 8 5 2 2" xfId="48109" xr:uid="{CC62A392-4626-4858-9767-A55440AED9F0}"/>
    <cellStyle name="Normal 33 8 5 3" xfId="48112" xr:uid="{CCC1ECD0-2C8C-4BA3-AB2A-87C7A827641C}"/>
    <cellStyle name="Normal 33 8 6" xfId="48113" xr:uid="{6C385015-C4E7-487C-8BD5-B2EAECA3095D}"/>
    <cellStyle name="Normal 33 8 6 2" xfId="48114" xr:uid="{5A928288-048D-4CF3-B03A-E58BADE86D74}"/>
    <cellStyle name="Normal 33 8 7" xfId="48115" xr:uid="{E37C281E-C19E-4458-A35A-72D20DAE63C0}"/>
    <cellStyle name="Normal 33 8 8" xfId="48116" xr:uid="{656262F2-8931-4435-9F29-9A8E74D25FE5}"/>
    <cellStyle name="Normal 33 9" xfId="48119" xr:uid="{3162E01F-6B26-434A-87FB-CB232D1325DB}"/>
    <cellStyle name="Normal 33 9 2" xfId="48120" xr:uid="{9716E0D7-45DF-4EEC-A1EB-9F1A11433BF3}"/>
    <cellStyle name="Normal 33 9 2 2" xfId="48121" xr:uid="{5C04ECF5-DC17-425C-9BFB-71F5A9A67FC1}"/>
    <cellStyle name="Normal 33 9 2 2 2" xfId="48122" xr:uid="{F701482F-F3A5-4743-B639-D48F074F5F31}"/>
    <cellStyle name="Normal 33 9 2 2 2 2" xfId="48123" xr:uid="{4D238A78-8C55-42AD-9590-296A50BBDC8C}"/>
    <cellStyle name="Normal 33 9 2 2 2 2 2" xfId="48124" xr:uid="{905139BB-3368-4A9B-B6AA-339720AB2DDC}"/>
    <cellStyle name="Normal 33 9 2 2 2 3" xfId="48125" xr:uid="{2D7BF77B-4F89-4648-B841-F9D2E00E8F43}"/>
    <cellStyle name="Normal 33 9 2 2 3" xfId="48126" xr:uid="{C133C679-19FD-4AC7-8A20-AD38261E3D94}"/>
    <cellStyle name="Normal 33 9 2 2 3 2" xfId="48127" xr:uid="{55EF3EC9-AFF9-43F5-943E-376DCAB6F123}"/>
    <cellStyle name="Normal 33 9 2 2 4" xfId="48128" xr:uid="{E5C4B0EE-70D9-426C-B7EE-9EC2F90AF40A}"/>
    <cellStyle name="Normal 33 9 2 3" xfId="48129" xr:uid="{0B318695-3A52-4D24-9EAA-B0B0389C41CA}"/>
    <cellStyle name="Normal 33 9 2 3 2" xfId="48130" xr:uid="{FA0675ED-2D7F-45DA-82EE-A50A64A39D92}"/>
    <cellStyle name="Normal 33 9 2 3 2 2" xfId="48131" xr:uid="{3DF8FE3C-B54B-4042-BBEE-1B77251D36D9}"/>
    <cellStyle name="Normal 33 9 2 3 3" xfId="48132" xr:uid="{FE7B1C21-31C9-4143-B3C3-6D3572B127BC}"/>
    <cellStyle name="Normal 33 9 2 4" xfId="48133" xr:uid="{D8097D12-5C1D-484A-8BED-AB2C6ADD36D7}"/>
    <cellStyle name="Normal 33 9 2 4 2" xfId="48134" xr:uid="{BD089AE8-74A5-49A9-A930-9E6D27A8F5ED}"/>
    <cellStyle name="Normal 33 9 2 5" xfId="48135" xr:uid="{10D50EE0-8A6C-4E75-8F39-98B0F707CA56}"/>
    <cellStyle name="Normal 33 9 3" xfId="43760" xr:uid="{A7076B05-C301-499D-A82D-78358B379C09}"/>
    <cellStyle name="Normal 33 9 3 2" xfId="48136" xr:uid="{321929CC-CCF7-4A9C-9FCE-1AE87F86A36D}"/>
    <cellStyle name="Normal 33 9 3 2 2" xfId="48137" xr:uid="{65982181-F89E-4CBE-B1BD-239E5BF5D40F}"/>
    <cellStyle name="Normal 33 9 3 2 2 2" xfId="48138" xr:uid="{28190381-83FE-426E-BA20-F8F1A06A04EE}"/>
    <cellStyle name="Normal 33 9 3 2 3" xfId="48139" xr:uid="{8E90003D-0286-4C8F-BE46-F6C203B5BB91}"/>
    <cellStyle name="Normal 33 9 3 3" xfId="48140" xr:uid="{A886C09C-1761-4514-80A5-B41A8EABE736}"/>
    <cellStyle name="Normal 33 9 3 3 2" xfId="48141" xr:uid="{9C2C7E69-3DA7-4FD9-8701-35B238FC9842}"/>
    <cellStyle name="Normal 33 9 3 4" xfId="48142" xr:uid="{945CE8A5-B084-48BB-9AFB-AC3051FBB2F2}"/>
    <cellStyle name="Normal 33 9 4" xfId="48143" xr:uid="{98D685ED-A741-4C50-8038-433D35A95D22}"/>
    <cellStyle name="Normal 33 9 4 2" xfId="48144" xr:uid="{4B4EE85F-8965-4481-90E1-E90121A09F4D}"/>
    <cellStyle name="Normal 33 9 4 2 2" xfId="32306" xr:uid="{454C073F-B6BB-4D41-A60E-EEB8C50D9E96}"/>
    <cellStyle name="Normal 33 9 4 3" xfId="48145" xr:uid="{35831C72-3BB9-47BD-8E47-1273172C6305}"/>
    <cellStyle name="Normal 33 9 5" xfId="15030" xr:uid="{37B53C6E-4799-4918-B947-690E61FE733B}"/>
    <cellStyle name="Normal 33 9 5 2" xfId="48146" xr:uid="{E431219A-6AAF-4DFA-9535-F4805FA708F0}"/>
    <cellStyle name="Normal 33 9 6" xfId="48147" xr:uid="{27C99913-4EF2-4FFB-BB36-D4862DC035EA}"/>
    <cellStyle name="Normal 33 9 7" xfId="20316" xr:uid="{E20FB102-6FE8-4A7F-8D39-03CEB13D3EF8}"/>
    <cellStyle name="Normal 330" xfId="40237" xr:uid="{5CB4B4C5-B574-416F-B038-B84506372E45}"/>
    <cellStyle name="Normal 330 2" xfId="40241" xr:uid="{0E98D2CE-CDB7-4B36-B8CB-57F654276555}"/>
    <cellStyle name="Normal 330 2 2" xfId="40245" xr:uid="{56C69711-896A-43B2-952D-258C89CF82EE}"/>
    <cellStyle name="Normal 330 3" xfId="40249" xr:uid="{1B6D4E09-F76E-4FAB-B1FB-127EDB5321D2}"/>
    <cellStyle name="Normal 331" xfId="40253" xr:uid="{40842921-9EE1-4D0E-B8D2-9C2E20FD0D1A}"/>
    <cellStyle name="Normal 331 2" xfId="40257" xr:uid="{29773F42-86FC-4094-BD13-787D7CE94DBD}"/>
    <cellStyle name="Normal 331 2 2" xfId="40261" xr:uid="{00841034-98E9-491E-84B6-FF955CB09179}"/>
    <cellStyle name="Normal 331 3" xfId="40265" xr:uid="{1C878A69-EFE5-4418-ADC2-6353D0AAD7E8}"/>
    <cellStyle name="Normal 332" xfId="40269" xr:uid="{5C79F417-86DD-4743-956F-126812BC4376}"/>
    <cellStyle name="Normal 332 2" xfId="40273" xr:uid="{8E719ABF-97DC-4649-949C-05F3E0E5564D}"/>
    <cellStyle name="Normal 332 2 2" xfId="40277" xr:uid="{B7724009-B5EE-450E-A6D2-31837F57CDA9}"/>
    <cellStyle name="Normal 332 3" xfId="40281" xr:uid="{91473E16-37AB-45D7-8C01-1DBA6EB670C1}"/>
    <cellStyle name="Normal 333" xfId="40285" xr:uid="{A4F04A84-36C2-4BB8-8713-220EADAA241F}"/>
    <cellStyle name="Normal 333 2" xfId="40289" xr:uid="{1312F6AC-2DB8-469E-88F4-D40A68959200}"/>
    <cellStyle name="Normal 333 2 2" xfId="40293" xr:uid="{63D759C8-1A3D-4C17-AA65-EE447435077C}"/>
    <cellStyle name="Normal 333 3" xfId="40297" xr:uid="{BC581CAA-110E-4F90-B2C9-7D34987798C6}"/>
    <cellStyle name="Normal 334" xfId="40301" xr:uid="{05D0C9D1-301D-44D2-BDB5-0C1738FB8D91}"/>
    <cellStyle name="Normal 334 2" xfId="40305" xr:uid="{294403A4-FAEF-4925-B993-515CF3282595}"/>
    <cellStyle name="Normal 334 2 2" xfId="40309" xr:uid="{B2E79B26-D7A8-41F4-A3ED-7BC7BBD29B3A}"/>
    <cellStyle name="Normal 334 3" xfId="40313" xr:uid="{2D17271C-2731-4D72-A011-EAC483091593}"/>
    <cellStyle name="Normal 335" xfId="40320" xr:uid="{8536818B-5BE1-49F2-9E78-CC6F20AF51D9}"/>
    <cellStyle name="Normal 335 2" xfId="40324" xr:uid="{BC3CEDFB-0A70-47E2-BA30-D63BB9EE8A4C}"/>
    <cellStyle name="Normal 335 2 2" xfId="40328" xr:uid="{0E1A04A2-3CE1-4662-821B-2DB6B0E99EC1}"/>
    <cellStyle name="Normal 335 3" xfId="40332" xr:uid="{4ADA8F21-EF2D-42DD-89BB-1BB69FA8CE50}"/>
    <cellStyle name="Normal 336" xfId="40336" xr:uid="{5C53D8B2-0787-41F3-97EB-D84AC316AEF1}"/>
    <cellStyle name="Normal 336 2" xfId="40340" xr:uid="{9A9CD809-6878-4535-A9FB-DFCB4B67B6C7}"/>
    <cellStyle name="Normal 336 2 2" xfId="40344" xr:uid="{FDB9EA2A-F319-4340-89D5-F76E3D09CF71}"/>
    <cellStyle name="Normal 336 3" xfId="40347" xr:uid="{3BFD07C5-9AAB-48CA-B908-53CC0B1120B5}"/>
    <cellStyle name="Normal 337" xfId="40352" xr:uid="{5DD5D90E-059A-4FEC-A858-9961221DCD03}"/>
    <cellStyle name="Normal 337 2" xfId="40357" xr:uid="{CBA3922F-A0F3-493C-ABE0-80FBEDC17FD2}"/>
    <cellStyle name="Normal 337 2 2" xfId="40362" xr:uid="{D160E88B-0E10-4B87-8E6F-79A45A8208CF}"/>
    <cellStyle name="Normal 337 3" xfId="40367" xr:uid="{8AE032E0-52C0-4302-B190-882EBEA4AE97}"/>
    <cellStyle name="Normal 338" xfId="40372" xr:uid="{55A52076-09BE-4A21-A469-0D0105C68400}"/>
    <cellStyle name="Normal 338 2" xfId="40376" xr:uid="{E074502B-0101-49DB-B67A-EFA8310EC3A7}"/>
    <cellStyle name="Normal 338 2 2" xfId="40380" xr:uid="{D1CBEA2C-7235-4BB1-9D42-8327F7196F45}"/>
    <cellStyle name="Normal 338 3" xfId="40384" xr:uid="{851746C5-E998-4403-93E2-25E3C1D1AE5B}"/>
    <cellStyle name="Normal 339" xfId="40389" xr:uid="{94C4748C-4240-4A0B-82C3-C383ECA4DBAD}"/>
    <cellStyle name="Normal 339 2" xfId="40393" xr:uid="{1F9AA885-3C45-4F3D-8D4A-261D624E2340}"/>
    <cellStyle name="Normal 339 2 2" xfId="40397" xr:uid="{964E22DC-3C5D-4B9A-9E01-A0B9E3CAA944}"/>
    <cellStyle name="Normal 339 3" xfId="40401" xr:uid="{2EB36D79-E503-4CE0-A251-ACDCF4647FD1}"/>
    <cellStyle name="Normal 34" xfId="40404" xr:uid="{1CE3B996-FD98-46E2-B4C3-EFE537A3408D}"/>
    <cellStyle name="Normal 34 2" xfId="24194" xr:uid="{19ABAD4E-3A77-4108-BB90-8DB110419CE0}"/>
    <cellStyle name="Normal 34 2 2" xfId="14748" xr:uid="{0DF5C193-28F3-4B43-93A1-A2C2852E6BAD}"/>
    <cellStyle name="Normal 340" xfId="40319" xr:uid="{7E81FF88-5C57-4570-A47A-85C0A1AF3994}"/>
    <cellStyle name="Normal 340 2" xfId="40323" xr:uid="{30F3C401-A6E1-480F-8529-F780D37CB0C1}"/>
    <cellStyle name="Normal 340 2 2" xfId="40327" xr:uid="{D72ABD87-CDF3-4760-91CC-AB527BB27F36}"/>
    <cellStyle name="Normal 340 3" xfId="40331" xr:uid="{010D9147-A0B9-49E8-8007-6B7CF5841B7C}"/>
    <cellStyle name="Normal 341" xfId="40335" xr:uid="{090E1F41-D8B3-4D11-AC6A-FE9CD1FD0230}"/>
    <cellStyle name="Normal 341 2" xfId="40339" xr:uid="{188CBD79-AFF1-4919-B6B8-7C1917BC5F55}"/>
    <cellStyle name="Normal 341 2 2" xfId="40343" xr:uid="{49082367-0D42-43F3-9D7D-0DE95C21695D}"/>
    <cellStyle name="Normal 341 2 2 2" xfId="48148" xr:uid="{43861CE6-AAF3-4B91-BE93-C186FB998624}"/>
    <cellStyle name="Normal 341 2 2 3" xfId="48149" xr:uid="{1442A737-3441-4622-AA3B-264955D9A229}"/>
    <cellStyle name="Normal 341 2 2 4" xfId="48150" xr:uid="{AE58460A-0D15-401B-AA01-3C096FE4FD14}"/>
    <cellStyle name="Normal 341 2 3" xfId="48151" xr:uid="{AD60B276-B07A-4EE9-826A-62287519E1F8}"/>
    <cellStyle name="Normal 342" xfId="40351" xr:uid="{0040EC0B-1201-4A23-94B2-A402DBD6962C}"/>
    <cellStyle name="Normal 342 2" xfId="40356" xr:uid="{A49ECF85-0B25-4FC6-9BC8-C115DDBF15F6}"/>
    <cellStyle name="Normal 342 2 2" xfId="40361" xr:uid="{EA86B4FB-144D-4620-B460-F58E4BDC20EB}"/>
    <cellStyle name="Normal 342 3" xfId="40366" xr:uid="{06537C19-FD07-4915-91C0-8A856EE6D821}"/>
    <cellStyle name="Normal 343" xfId="40371" xr:uid="{4B8F0BC1-D5B8-47F4-AA05-D64F4B6436B8}"/>
    <cellStyle name="Normal 344" xfId="40388" xr:uid="{BEE4425E-0D3B-47DA-9C08-C8AAAA15A870}"/>
    <cellStyle name="Normal 345" xfId="40412" xr:uid="{56651E92-206A-4BB4-A803-39B14CC1FDFE}"/>
    <cellStyle name="Normal 346" xfId="40424" xr:uid="{D4A67AEA-D208-4CD6-8805-F6CC2B2E9BA7}"/>
    <cellStyle name="Normal 347" xfId="28414" xr:uid="{89AFD8CA-2733-4D91-9EF0-FE9BD296288B}"/>
    <cellStyle name="Normal 348" xfId="28436" xr:uid="{A68C939C-40F4-456E-8C3E-BA668AC43EEC}"/>
    <cellStyle name="Normal 349" xfId="28455" xr:uid="{DF0F07A9-C25C-4374-AFE6-2D1DF5E8389B}"/>
    <cellStyle name="Normal 35" xfId="48154" xr:uid="{5DE4C7E4-89A7-4224-B9B5-A4B5055527BA}"/>
    <cellStyle name="Normal 35 2" xfId="26612" xr:uid="{84EF1AA8-5E60-4AF4-AD2E-A9C585A84450}"/>
    <cellStyle name="Normal 35 2 2" xfId="48156" xr:uid="{EC4BAA40-7EF1-4458-8313-16D22B7CCFDF}"/>
    <cellStyle name="Normal 350" xfId="40411" xr:uid="{357CA3C0-19A3-49C6-90DF-8071F560339B}"/>
    <cellStyle name="Normal 351" xfId="40423" xr:uid="{C57E8C5B-DE5D-4864-9256-4B9D9D592A10}"/>
    <cellStyle name="Normal 352" xfId="28413" xr:uid="{711203DA-0869-4D2C-BACA-09BF6C70F686}"/>
    <cellStyle name="Normal 353" xfId="28435" xr:uid="{750B1E24-52AE-477C-B94E-3AD202772E90}"/>
    <cellStyle name="Normal 354" xfId="28454" xr:uid="{CA48EEFD-0A52-4388-BA0C-717A20B97D33}"/>
    <cellStyle name="Normal 355" xfId="28469" xr:uid="{253A92B5-3ECE-44E0-A059-24694A98821C}"/>
    <cellStyle name="Normal 356" xfId="48160" xr:uid="{CC4DFB13-96E4-4B11-952C-DA00555482E4}"/>
    <cellStyle name="Normal 357" xfId="48164" xr:uid="{93E21E02-F984-4344-9A69-399D4A6D38D1}"/>
    <cellStyle name="Normal 358" xfId="48168" xr:uid="{8977B659-0B56-4069-A19C-7BFFB7D411B1}"/>
    <cellStyle name="Normal 359" xfId="48172" xr:uid="{8CF70EE7-6A38-4823-BA6B-E79AC7F5B258}"/>
    <cellStyle name="Normal 36" xfId="48174" xr:uid="{0D118077-DFC8-47E5-B938-AC8B92A54A18}"/>
    <cellStyle name="Normal 36 10" xfId="48175" xr:uid="{22132AC7-4D6B-4616-9B3D-AD75275414B8}"/>
    <cellStyle name="Normal 36 10 2" xfId="48176" xr:uid="{95ECE246-4682-405A-B612-E79B333D2514}"/>
    <cellStyle name="Normal 36 10 2 2" xfId="48177" xr:uid="{E6243FB5-42C1-4985-8350-05EF10DE3EB1}"/>
    <cellStyle name="Normal 36 10 3" xfId="48178" xr:uid="{20CC5B1B-FB00-4803-BFE3-87373D49FFF9}"/>
    <cellStyle name="Normal 36 11" xfId="48179" xr:uid="{F97A68D7-77A3-4B53-B97B-B510CFC99543}"/>
    <cellStyle name="Normal 36 11 2" xfId="48180" xr:uid="{34E6C13F-EE6C-4C12-A61C-8D9874C7EA72}"/>
    <cellStyle name="Normal 36 12" xfId="48181" xr:uid="{5EA3C42D-BC14-437E-A759-A5FB7D976273}"/>
    <cellStyle name="Normal 36 13" xfId="48182" xr:uid="{57D310A8-6EB6-4A25-ADC3-93698BF2AB5B}"/>
    <cellStyle name="Normal 36 14" xfId="48183" xr:uid="{AF62C016-51CC-4D68-BBCE-4E88919A3AB3}"/>
    <cellStyle name="Normal 36 2" xfId="27498" xr:uid="{DFE9ACBC-DDA7-4AA1-9D72-D5E9AC50A99D}"/>
    <cellStyle name="Normal 36 2 10" xfId="41426" xr:uid="{996EDFE5-0C87-41D6-BCC3-2B79DCB208C0}"/>
    <cellStyle name="Normal 36 2 11" xfId="48184" xr:uid="{8CB8C8C7-DD21-4BF5-B679-46B6381629D3}"/>
    <cellStyle name="Normal 36 2 12" xfId="48185" xr:uid="{71DD5FCB-247D-4FE9-9E9A-CBE856E17FA8}"/>
    <cellStyle name="Normal 36 2 2" xfId="48187" xr:uid="{68DB2E8D-5986-4C40-B270-1C68214316B4}"/>
    <cellStyle name="Normal 36 2 2 10" xfId="3770" xr:uid="{895DB39A-A005-41F8-88F7-34FDF6D4DF44}"/>
    <cellStyle name="Normal 36 2 2 11" xfId="8596" xr:uid="{94733A06-7BFD-4CEC-A0AC-78CA95C7B3D2}"/>
    <cellStyle name="Normal 36 2 2 2" xfId="48188" xr:uid="{35FEB34D-B011-4F19-A649-4622D722594E}"/>
    <cellStyle name="Normal 36 2 2 2 2" xfId="48189" xr:uid="{3452CB0E-498C-4335-8716-D9C99CDD8B22}"/>
    <cellStyle name="Normal 36 2 2 2 2 2" xfId="48190" xr:uid="{A6BC4812-B08C-4C4B-A94A-D873EF30725D}"/>
    <cellStyle name="Normal 36 2 2 2 2 2 2" xfId="48191" xr:uid="{E7A709F0-01D3-4745-8CAC-C4441EE952E4}"/>
    <cellStyle name="Normal 36 2 2 2 2 2 2 2" xfId="48192" xr:uid="{D2073664-1F93-43D8-85F0-6E04392E896E}"/>
    <cellStyle name="Normal 36 2 2 2 2 2 2 2 2" xfId="48193" xr:uid="{BF7C1A68-25B6-4355-8F2E-4F7C9952A4DC}"/>
    <cellStyle name="Normal 36 2 2 2 2 2 2 2 2 2" xfId="48194" xr:uid="{D1CD4961-E6C1-42A5-9E19-A5011D3FD8BD}"/>
    <cellStyle name="Normal 36 2 2 2 2 2 2 2 2 2 2" xfId="48195" xr:uid="{F093E97E-9F2A-409C-9730-4442BD522C8D}"/>
    <cellStyle name="Normal 36 2 2 2 2 2 2 2 2 3" xfId="48196" xr:uid="{E91AE550-CDCE-4EEE-AA74-E2684CC6D232}"/>
    <cellStyle name="Normal 36 2 2 2 2 2 2 2 3" xfId="48197" xr:uid="{5EBB729C-5AFB-42A3-B709-9B0D80C0448E}"/>
    <cellStyle name="Normal 36 2 2 2 2 2 2 2 3 2" xfId="48198" xr:uid="{6DAB7928-DFBA-4D30-9AEA-320054A75B56}"/>
    <cellStyle name="Normal 36 2 2 2 2 2 2 2 4" xfId="48199" xr:uid="{2FF1B4C1-D181-47A6-BC8C-03584B339F48}"/>
    <cellStyle name="Normal 36 2 2 2 2 2 2 3" xfId="48200" xr:uid="{F97A7741-91E8-4550-B214-7C4AB2818006}"/>
    <cellStyle name="Normal 36 2 2 2 2 2 2 3 2" xfId="48201" xr:uid="{A470C785-281D-4070-97D6-7EB785054A39}"/>
    <cellStyle name="Normal 36 2 2 2 2 2 2 3 2 2" xfId="48202" xr:uid="{9E69DE24-A933-4EEB-BAA1-EBA35F233E8D}"/>
    <cellStyle name="Normal 36 2 2 2 2 2 2 3 3" xfId="48203" xr:uid="{1BC3BE5E-204B-4977-94E6-9A80F2D67EA6}"/>
    <cellStyle name="Normal 36 2 2 2 2 2 2 4" xfId="48204" xr:uid="{6F6997AF-3DC0-4A17-9145-872657307478}"/>
    <cellStyle name="Normal 36 2 2 2 2 2 2 4 2" xfId="48205" xr:uid="{8458F47B-1FD9-4BD7-9E4B-0409DBB5E2AA}"/>
    <cellStyle name="Normal 36 2 2 2 2 2 2 5" xfId="48206" xr:uid="{DC8FE752-DD88-4CFF-9256-CB6108A9AD3F}"/>
    <cellStyle name="Normal 36 2 2 2 2 2 3" xfId="48207" xr:uid="{68782C73-3535-4D92-ABD7-798CF2EBA1DB}"/>
    <cellStyle name="Normal 36 2 2 2 2 2 3 2" xfId="48208" xr:uid="{F04C3230-F24B-4FD6-A454-5A5EC47FB6DD}"/>
    <cellStyle name="Normal 36 2 2 2 2 2 3 2 2" xfId="48209" xr:uid="{09F3BF85-FFB8-4E6F-AEAB-134EF5FAA7DD}"/>
    <cellStyle name="Normal 36 2 2 2 2 2 3 2 2 2" xfId="48210" xr:uid="{D0317EB9-B4EF-4DB7-945F-E7F9E2AED054}"/>
    <cellStyle name="Normal 36 2 2 2 2 2 3 2 3" xfId="48211" xr:uid="{2FB9E42A-0D28-417A-A209-B5DE76A543A8}"/>
    <cellStyle name="Normal 36 2 2 2 2 2 3 3" xfId="48212" xr:uid="{FF953E7F-AEF0-48FC-A34F-4F43C6C5A6B5}"/>
    <cellStyle name="Normal 36 2 2 2 2 2 3 3 2" xfId="48213" xr:uid="{D0FE994B-9697-4239-9269-27111A0E97A3}"/>
    <cellStyle name="Normal 36 2 2 2 2 2 3 4" xfId="48214" xr:uid="{9E16BBD9-CBCC-42D4-A004-4E9CC56FF367}"/>
    <cellStyle name="Normal 36 2 2 2 2 2 4" xfId="48215" xr:uid="{8260D9C7-A2EE-408A-A870-ACD8C4792A48}"/>
    <cellStyle name="Normal 36 2 2 2 2 2 4 2" xfId="48216" xr:uid="{20578C77-D54F-4386-81FF-8C2587DB5157}"/>
    <cellStyle name="Normal 36 2 2 2 2 2 4 2 2" xfId="48217" xr:uid="{AA9C8E80-0699-4668-A099-627925F4B63F}"/>
    <cellStyle name="Normal 36 2 2 2 2 2 4 3" xfId="48218" xr:uid="{83EC5928-B331-4C86-9227-D9A0D489AFCC}"/>
    <cellStyle name="Normal 36 2 2 2 2 2 5" xfId="48219" xr:uid="{DEB61636-1A81-4C06-897F-A78D455DF4CA}"/>
    <cellStyle name="Normal 36 2 2 2 2 2 5 2" xfId="48220" xr:uid="{E2DBD4E6-2448-412D-937A-1186237D4821}"/>
    <cellStyle name="Normal 36 2 2 2 2 2 6" xfId="48221" xr:uid="{4CF580BA-6CB2-4527-919F-578E1F5F90DB}"/>
    <cellStyle name="Normal 36 2 2 2 2 2 7" xfId="48222" xr:uid="{25D418C4-EFDB-42BA-8DB0-AA4B068F19FA}"/>
    <cellStyle name="Normal 36 2 2 2 2 3" xfId="48223" xr:uid="{F6F6FD1D-F121-4C6B-9D04-F77247E9BB64}"/>
    <cellStyle name="Normal 36 2 2 2 2 3 2" xfId="48224" xr:uid="{CE9C550B-0F7E-43DB-8ECD-388C91187F66}"/>
    <cellStyle name="Normal 36 2 2 2 2 3 2 2" xfId="48225" xr:uid="{FBA77DF5-6E68-4E00-88A0-D603B0C7D544}"/>
    <cellStyle name="Normal 36 2 2 2 2 3 2 2 2" xfId="48226" xr:uid="{90A91D90-478C-49C0-B262-20C497E5A8EE}"/>
    <cellStyle name="Normal 36 2 2 2 2 3 2 2 2 2" xfId="48227" xr:uid="{7B2EAFC8-79B5-4E8E-B830-D017AC84860D}"/>
    <cellStyle name="Normal 36 2 2 2 2 3 2 2 3" xfId="48228" xr:uid="{A0F34956-A8AA-44B0-A585-CD3BCD2FDA41}"/>
    <cellStyle name="Normal 36 2 2 2 2 3 2 3" xfId="48229" xr:uid="{158CD994-A35C-474F-B28A-3CB7A5670429}"/>
    <cellStyle name="Normal 36 2 2 2 2 3 2 3 2" xfId="48230" xr:uid="{C9371B07-2AFD-4F78-8A0C-AC0DEFE618E1}"/>
    <cellStyle name="Normal 36 2 2 2 2 3 2 4" xfId="48231" xr:uid="{FC37DE23-9518-47BD-AEED-49CC487440D5}"/>
    <cellStyle name="Normal 36 2 2 2 2 3 3" xfId="48232" xr:uid="{4858F5BB-D3A6-4E64-8626-2B07838B8523}"/>
    <cellStyle name="Normal 36 2 2 2 2 3 3 2" xfId="48233" xr:uid="{2B52550B-77D8-474F-8D14-23544E96456A}"/>
    <cellStyle name="Normal 36 2 2 2 2 3 3 2 2" xfId="48234" xr:uid="{06B66016-759C-4D03-AE17-4F5A965CE0C2}"/>
    <cellStyle name="Normal 36 2 2 2 2 3 3 3" xfId="48235" xr:uid="{2021DA99-DD7D-480A-BAAE-BE5453405D27}"/>
    <cellStyle name="Normal 36 2 2 2 2 3 4" xfId="48236" xr:uid="{F071D8B8-D126-4683-840A-082C4D5D011A}"/>
    <cellStyle name="Normal 36 2 2 2 2 3 4 2" xfId="48237" xr:uid="{E4A96156-A20D-4EC4-91ED-F3A5A87F6C6E}"/>
    <cellStyle name="Normal 36 2 2 2 2 3 5" xfId="48238" xr:uid="{097D6C1C-6563-43DA-9D85-B8F789A4B9A8}"/>
    <cellStyle name="Normal 36 2 2 2 2 4" xfId="48239" xr:uid="{77CD09CC-D8EE-4AB7-BA47-8E81FCB2E3A7}"/>
    <cellStyle name="Normal 36 2 2 2 2 4 2" xfId="48240" xr:uid="{0070B102-012D-41F5-969B-DE676D490CE0}"/>
    <cellStyle name="Normal 36 2 2 2 2 4 2 2" xfId="48241" xr:uid="{28D69E12-1F8E-4E75-8F31-22DD1E622C43}"/>
    <cellStyle name="Normal 36 2 2 2 2 4 2 2 2" xfId="48242" xr:uid="{99827937-AF1A-4544-A7EF-447531EF2C60}"/>
    <cellStyle name="Normal 36 2 2 2 2 4 2 3" xfId="48243" xr:uid="{4BBECA08-D1A9-4B28-B867-2C722BCA78E6}"/>
    <cellStyle name="Normal 36 2 2 2 2 4 3" xfId="48244" xr:uid="{CAC6CBC0-108A-4DE0-9CCA-BF5F9DBEF0DB}"/>
    <cellStyle name="Normal 36 2 2 2 2 4 3 2" xfId="48245" xr:uid="{FF7E4CB8-25C8-4AB6-B4BA-57C7FF6C5EB2}"/>
    <cellStyle name="Normal 36 2 2 2 2 4 4" xfId="48246" xr:uid="{2AAED724-B6AA-45FD-A6C4-1B2C4FB34F78}"/>
    <cellStyle name="Normal 36 2 2 2 2 5" xfId="48247" xr:uid="{C12F7E29-F5F7-46F5-AF06-3429F83D8432}"/>
    <cellStyle name="Normal 36 2 2 2 2 5 2" xfId="48248" xr:uid="{6072C7C6-E912-495C-AFD1-3CED38E8447B}"/>
    <cellStyle name="Normal 36 2 2 2 2 5 2 2" xfId="48249" xr:uid="{51541C80-B6AB-4162-8C1C-EA9A424FAC66}"/>
    <cellStyle name="Normal 36 2 2 2 2 5 3" xfId="48250" xr:uid="{6D502304-35AB-4DBA-9561-27084CF29AA0}"/>
    <cellStyle name="Normal 36 2 2 2 2 6" xfId="48251" xr:uid="{528B50E9-30B8-4844-BD8A-80BF71444AD9}"/>
    <cellStyle name="Normal 36 2 2 2 2 6 2" xfId="48252" xr:uid="{F3CE981D-0929-45A0-B484-1EEE928568F1}"/>
    <cellStyle name="Normal 36 2 2 2 2 7" xfId="48253" xr:uid="{E10847D1-05BF-4CC0-82AD-F579C23ACB4F}"/>
    <cellStyle name="Normal 36 2 2 2 2 8" xfId="48254" xr:uid="{2D1D5B75-8CB4-4928-83B3-D12B212974D4}"/>
    <cellStyle name="Normal 36 2 2 2 3" xfId="48255" xr:uid="{12B3A3FF-3721-4459-B17A-AFFB6DE8AD2F}"/>
    <cellStyle name="Normal 36 2 2 2 3 2" xfId="48256" xr:uid="{59575054-AC1E-4738-9BF4-C2CCB5AD48A2}"/>
    <cellStyle name="Normal 36 2 2 2 3 2 2" xfId="48257" xr:uid="{CC6BF705-1728-4A4A-BD70-57EB6F3998D1}"/>
    <cellStyle name="Normal 36 2 2 2 3 2 2 2" xfId="48258" xr:uid="{8CAE82C9-973D-4418-95D6-2AB362F03A33}"/>
    <cellStyle name="Normal 36 2 2 2 3 2 2 2 2" xfId="48259" xr:uid="{FD60335F-8419-4E08-9417-2BA3E5FDF886}"/>
    <cellStyle name="Normal 36 2 2 2 3 2 2 2 2 2" xfId="48260" xr:uid="{D31B88E1-5E44-4114-9FF5-034E20279153}"/>
    <cellStyle name="Normal 36 2 2 2 3 2 2 2 3" xfId="48261" xr:uid="{C758C30D-D3C8-4D88-8AC7-8408CB259FC6}"/>
    <cellStyle name="Normal 36 2 2 2 3 2 2 3" xfId="48262" xr:uid="{7EF5E4F9-1E2A-41D6-B8A2-6035259B15FC}"/>
    <cellStyle name="Normal 36 2 2 2 3 2 2 3 2" xfId="48263" xr:uid="{CA82EA80-D106-4F66-A6A4-73ABC5E1C8FB}"/>
    <cellStyle name="Normal 36 2 2 2 3 2 2 4" xfId="48264" xr:uid="{E275FD01-9680-4538-AAB1-51D5A81318EB}"/>
    <cellStyle name="Normal 36 2 2 2 3 2 3" xfId="48265" xr:uid="{5300D3AB-F77D-48E2-9B4A-97BE12F00346}"/>
    <cellStyle name="Normal 36 2 2 2 3 2 3 2" xfId="48266" xr:uid="{48246F29-E0F9-4E58-90BB-6A051AD9604F}"/>
    <cellStyle name="Normal 36 2 2 2 3 2 3 2 2" xfId="48267" xr:uid="{0058E558-60EA-42CC-9F96-CFFB9F054BDD}"/>
    <cellStyle name="Normal 36 2 2 2 3 2 3 3" xfId="48268" xr:uid="{7347557F-52C5-4284-8220-53DB02BCAD07}"/>
    <cellStyle name="Normal 36 2 2 2 3 2 4" xfId="48269" xr:uid="{7F2E99BA-04A2-460F-B544-689A59191C4A}"/>
    <cellStyle name="Normal 36 2 2 2 3 2 4 2" xfId="48270" xr:uid="{916C07F2-CD89-4E96-8650-265432B2F171}"/>
    <cellStyle name="Normal 36 2 2 2 3 2 5" xfId="48271" xr:uid="{FCEF7B41-A9B9-4D3B-81F1-8830AC96DA06}"/>
    <cellStyle name="Normal 36 2 2 2 3 3" xfId="48272" xr:uid="{99750171-4305-4DE3-B27E-E7A7914CF973}"/>
    <cellStyle name="Normal 36 2 2 2 3 3 2" xfId="27126" xr:uid="{9B29F331-B9BC-42B9-9C45-B5DE535C51D8}"/>
    <cellStyle name="Normal 36 2 2 2 3 3 2 2" xfId="27132" xr:uid="{C269F64A-962F-4A17-A4C4-81B181F1F8B5}"/>
    <cellStyle name="Normal 36 2 2 2 3 3 2 2 2" xfId="27138" xr:uid="{7B5795A6-6326-4140-B0B7-868BB7C4CD03}"/>
    <cellStyle name="Normal 36 2 2 2 3 3 2 3" xfId="4018" xr:uid="{58FD90BF-C90D-409E-93DF-B8E7B221D583}"/>
    <cellStyle name="Normal 36 2 2 2 3 3 3" xfId="27148" xr:uid="{305B767C-6730-47F1-A683-C83B581BCAFF}"/>
    <cellStyle name="Normal 36 2 2 2 3 3 3 2" xfId="19526" xr:uid="{AACB8C83-3D02-4040-AC00-0A9A339B8B57}"/>
    <cellStyle name="Normal 36 2 2 2 3 3 4" xfId="27157" xr:uid="{62FE80A0-2B2D-4277-9EB0-C7CA1A32A805}"/>
    <cellStyle name="Normal 36 2 2 2 3 4" xfId="48273" xr:uid="{BC4109B0-4F2C-4C97-948B-B02A55C460D3}"/>
    <cellStyle name="Normal 36 2 2 2 3 4 2" xfId="27170" xr:uid="{E8493C66-ED1F-4DE0-8180-61C44C3AD005}"/>
    <cellStyle name="Normal 36 2 2 2 3 4 2 2" xfId="48275" xr:uid="{D346C2CA-7347-4B2B-9D77-81C4BBAA4DA1}"/>
    <cellStyle name="Normal 36 2 2 2 3 4 3" xfId="48276" xr:uid="{85BD3455-F998-4E33-B82A-A91B7B808DE6}"/>
    <cellStyle name="Normal 36 2 2 2 3 5" xfId="48277" xr:uid="{D9F74B87-D65D-4F51-8B3A-6A47844AAF68}"/>
    <cellStyle name="Normal 36 2 2 2 3 5 2" xfId="27192" xr:uid="{542689E2-DD81-409B-9AB9-8923AD9CBEBD}"/>
    <cellStyle name="Normal 36 2 2 2 3 6" xfId="48278" xr:uid="{B4C1F323-9CAE-4707-8001-C4D55A9CB1F8}"/>
    <cellStyle name="Normal 36 2 2 2 3 7" xfId="48279" xr:uid="{8901A932-0B79-4562-9B6D-28333E87B7C0}"/>
    <cellStyle name="Normal 36 2 2 2 4" xfId="48280" xr:uid="{D9DE082B-38AE-4D0C-925C-7DF9ED01AD7E}"/>
    <cellStyle name="Normal 36 2 2 2 4 2" xfId="48281" xr:uid="{3875FEDE-950B-4CC0-936D-B96E1F18C9BF}"/>
    <cellStyle name="Normal 36 2 2 2 4 2 2" xfId="48282" xr:uid="{2F5309A9-2B9B-498D-92DE-3C5EE129B8E4}"/>
    <cellStyle name="Normal 36 2 2 2 4 2 2 2" xfId="48283" xr:uid="{A2FC222F-1729-45C0-906E-CC18C0E435FC}"/>
    <cellStyle name="Normal 36 2 2 2 4 2 2 2 2" xfId="48284" xr:uid="{D36C2CA8-EC25-4DE2-978C-7145967AF032}"/>
    <cellStyle name="Normal 36 2 2 2 4 2 2 3" xfId="48285" xr:uid="{C7264961-89A7-49A3-81C9-4F0A1594E906}"/>
    <cellStyle name="Normal 36 2 2 2 4 2 3" xfId="48286" xr:uid="{74C8443A-589A-4EE4-8BC6-0F9D37FB8CF3}"/>
    <cellStyle name="Normal 36 2 2 2 4 2 3 2" xfId="48287" xr:uid="{A6D8425D-F718-454B-8CDE-F113E5EF8AEB}"/>
    <cellStyle name="Normal 36 2 2 2 4 2 4" xfId="48288" xr:uid="{7F25E2D8-BD09-4815-8A9B-1032F6180565}"/>
    <cellStyle name="Normal 36 2 2 2 4 3" xfId="48289" xr:uid="{780C44E8-FE87-492D-9693-C7FB5DADF6FC}"/>
    <cellStyle name="Normal 36 2 2 2 4 3 2" xfId="22671" xr:uid="{008B5C2D-A4F2-45CF-8B42-BACFA6D55F24}"/>
    <cellStyle name="Normal 36 2 2 2 4 3 2 2" xfId="48290" xr:uid="{1F5B692E-36E3-4C8B-8858-EA65C65AF463}"/>
    <cellStyle name="Normal 36 2 2 2 4 3 3" xfId="48291" xr:uid="{3BEB0404-02A9-434A-A797-CB69DB47428A}"/>
    <cellStyle name="Normal 36 2 2 2 4 4" xfId="48292" xr:uid="{9E81A997-C45E-421E-8BA6-D3F8A939E310}"/>
    <cellStyle name="Normal 36 2 2 2 4 4 2" xfId="22691" xr:uid="{333CF24C-2CE0-4422-88F7-597F7853F4AC}"/>
    <cellStyle name="Normal 36 2 2 2 4 5" xfId="44476" xr:uid="{739A9E79-12A7-4D5F-9A6A-B81569765C58}"/>
    <cellStyle name="Normal 36 2 2 2 5" xfId="48293" xr:uid="{73B4F37E-1607-400B-8E69-711457BA0486}"/>
    <cellStyle name="Normal 36 2 2 2 5 2" xfId="48294" xr:uid="{E38F12DD-0C09-4307-AE13-2537629D59DB}"/>
    <cellStyle name="Normal 36 2 2 2 5 2 2" xfId="48295" xr:uid="{E0A4C39B-4DA3-4824-97C1-9DF0400D9406}"/>
    <cellStyle name="Normal 36 2 2 2 5 2 2 2" xfId="48296" xr:uid="{9D811A4E-F31A-49D7-B69C-5B5D73E2E17C}"/>
    <cellStyle name="Normal 36 2 2 2 5 2 3" xfId="48297" xr:uid="{072E74DA-9C91-48FC-861E-9D6EED46D474}"/>
    <cellStyle name="Normal 36 2 2 2 5 3" xfId="48298" xr:uid="{27D7AF70-59DA-404E-9298-3FEADA7302C9}"/>
    <cellStyle name="Normal 36 2 2 2 5 3 2" xfId="48299" xr:uid="{37D60B74-A572-4D23-AB06-9214A69E135E}"/>
    <cellStyle name="Normal 36 2 2 2 5 4" xfId="48300" xr:uid="{813D16AA-BA60-49EC-98F3-466C3E78A735}"/>
    <cellStyle name="Normal 36 2 2 2 6" xfId="48301" xr:uid="{E2841806-85E2-4987-B9F3-8FF18E38CF4D}"/>
    <cellStyle name="Normal 36 2 2 2 6 2" xfId="48302" xr:uid="{CB719E9D-2B37-4FEE-AA00-00DD5F523D33}"/>
    <cellStyle name="Normal 36 2 2 2 6 2 2" xfId="48303" xr:uid="{C6C65DF1-4765-4E08-BBB8-FC56FC35BC6F}"/>
    <cellStyle name="Normal 36 2 2 2 6 3" xfId="48304" xr:uid="{16244275-C6F4-4054-89AC-9E24C3B7A90C}"/>
    <cellStyle name="Normal 36 2 2 2 7" xfId="48305" xr:uid="{BDFF0C65-3F3A-409E-B8D7-14B7A7B363CD}"/>
    <cellStyle name="Normal 36 2 2 2 7 2" xfId="48306" xr:uid="{2F1873D4-14E2-48F0-9C86-0D9740E6D7AB}"/>
    <cellStyle name="Normal 36 2 2 2 8" xfId="48307" xr:uid="{6992DCB1-9614-48BD-8631-9F84E76B960F}"/>
    <cellStyle name="Normal 36 2 2 2 9" xfId="48308" xr:uid="{D68E41E7-12D8-4BA2-9FDF-C748B0F113DB}"/>
    <cellStyle name="Normal 36 2 2 3" xfId="48309" xr:uid="{8DC96B99-C42C-45AC-8186-090CF189581F}"/>
    <cellStyle name="Normal 36 2 2 3 2" xfId="48310" xr:uid="{159EA3EF-AF4E-4194-8AF5-FF333AA40509}"/>
    <cellStyle name="Normal 36 2 2 3 2 2" xfId="48311" xr:uid="{6B946C20-BB62-43E3-9E48-7BEAF550C2FA}"/>
    <cellStyle name="Normal 36 2 2 3 2 2 2" xfId="48312" xr:uid="{4CEBA91D-B4FD-494A-9FD9-6DE03208CB62}"/>
    <cellStyle name="Normal 36 2 2 3 2 2 2 2" xfId="48313" xr:uid="{AF0791B8-3F78-4E88-8AD1-A3F6551F9EE8}"/>
    <cellStyle name="Normal 36 2 2 3 2 2 2 2 2" xfId="48314" xr:uid="{799EC1DD-FDCE-4256-A4A4-6CDD92A0A4D0}"/>
    <cellStyle name="Normal 36 2 2 3 2 2 2 2 2 2" xfId="48315" xr:uid="{63526CAA-DB35-4080-A8AA-B7250F411C58}"/>
    <cellStyle name="Normal 36 2 2 3 2 2 2 2 3" xfId="48316" xr:uid="{B4335AE6-46DA-4BD4-BC89-11192D229435}"/>
    <cellStyle name="Normal 36 2 2 3 2 2 2 3" xfId="48317" xr:uid="{8004C8A4-1BEB-4AA8-A0B0-10F4783DA043}"/>
    <cellStyle name="Normal 36 2 2 3 2 2 2 3 2" xfId="48318" xr:uid="{FAC7219C-2924-45D8-A9D3-2F0435E93CE9}"/>
    <cellStyle name="Normal 36 2 2 3 2 2 2 4" xfId="48319" xr:uid="{AD7C3827-9B23-4EE0-BE99-B36F52390F9D}"/>
    <cellStyle name="Normal 36 2 2 3 2 2 3" xfId="48320" xr:uid="{38668A99-0D1F-466D-A23F-DFD09C39F1F2}"/>
    <cellStyle name="Normal 36 2 2 3 2 2 3 2" xfId="48321" xr:uid="{046947DC-5F03-46AB-ADA4-C568EFF01D89}"/>
    <cellStyle name="Normal 36 2 2 3 2 2 3 2 2" xfId="48322" xr:uid="{8F86ECAF-039D-4609-8FDE-C3EDFF20C1D3}"/>
    <cellStyle name="Normal 36 2 2 3 2 2 3 3" xfId="48323" xr:uid="{5016C9EB-F605-4D1B-8D9B-FA0B3F7B2886}"/>
    <cellStyle name="Normal 36 2 2 3 2 2 4" xfId="48324" xr:uid="{45769437-5A3F-4447-A8C7-A952CEC53254}"/>
    <cellStyle name="Normal 36 2 2 3 2 2 4 2" xfId="48325" xr:uid="{D2011558-AB04-42E7-9695-4B3B437707E1}"/>
    <cellStyle name="Normal 36 2 2 3 2 2 5" xfId="48326" xr:uid="{FC398F7B-5398-443F-89BE-7BA418E060B8}"/>
    <cellStyle name="Normal 36 2 2 3 2 3" xfId="48327" xr:uid="{E2037EBC-2B5C-4179-AE78-5AE81BF4EF7D}"/>
    <cellStyle name="Normal 36 2 2 3 2 3 2" xfId="48328" xr:uid="{0DC80233-14A2-4E30-83A3-098F35F3F889}"/>
    <cellStyle name="Normal 36 2 2 3 2 3 2 2" xfId="48329" xr:uid="{44706280-43C5-428F-8169-C33FC2F776C0}"/>
    <cellStyle name="Normal 36 2 2 3 2 3 2 2 2" xfId="48330" xr:uid="{70A044D0-FC85-49EB-858B-4E6F16BFF82D}"/>
    <cellStyle name="Normal 36 2 2 3 2 3 2 3" xfId="48331" xr:uid="{58341206-F117-4C1B-AD1C-D24E012157FB}"/>
    <cellStyle name="Normal 36 2 2 3 2 3 3" xfId="48332" xr:uid="{BFF5B484-A107-47B9-9C5A-68B2B609B2E2}"/>
    <cellStyle name="Normal 36 2 2 3 2 3 3 2" xfId="48333" xr:uid="{22748A36-39D9-4BAE-90D8-D72DA25F40F2}"/>
    <cellStyle name="Normal 36 2 2 3 2 3 4" xfId="48334" xr:uid="{11AACA59-033E-4C93-A4A9-8FDE906105DC}"/>
    <cellStyle name="Normal 36 2 2 3 2 4" xfId="48335" xr:uid="{12E1041B-97F4-4701-8EE6-BD174C7C2380}"/>
    <cellStyle name="Normal 36 2 2 3 2 4 2" xfId="48336" xr:uid="{12361217-38CF-4C58-BFAB-CD0DB85BFB00}"/>
    <cellStyle name="Normal 36 2 2 3 2 4 2 2" xfId="48337" xr:uid="{988BF8F0-17BB-4657-AD25-A6804D2B6783}"/>
    <cellStyle name="Normal 36 2 2 3 2 4 3" xfId="48338" xr:uid="{C4246BA8-CC73-4CB9-A936-E3D6B25F7C9A}"/>
    <cellStyle name="Normal 36 2 2 3 2 5" xfId="48339" xr:uid="{430FE952-C22F-4224-A48D-04A21F76ED6A}"/>
    <cellStyle name="Normal 36 2 2 3 2 5 2" xfId="48340" xr:uid="{39B65149-F406-441A-89E5-6A54007DA262}"/>
    <cellStyle name="Normal 36 2 2 3 2 6" xfId="48341" xr:uid="{185D94EF-94DA-4D89-A028-685E4C86B7EA}"/>
    <cellStyle name="Normal 36 2 2 3 2 7" xfId="48342" xr:uid="{2980E07D-B79F-43B6-B87C-3FBBCD1E443A}"/>
    <cellStyle name="Normal 36 2 2 3 3" xfId="48343" xr:uid="{C0573FB2-7D44-474B-BC27-AAD5492D6ED8}"/>
    <cellStyle name="Normal 36 2 2 3 3 2" xfId="48344" xr:uid="{7875F81B-20E6-449C-A4A6-B62F4A13B173}"/>
    <cellStyle name="Normal 36 2 2 3 3 2 2" xfId="48345" xr:uid="{F80525DD-7D67-48E4-AD95-64D0384F0F19}"/>
    <cellStyle name="Normal 36 2 2 3 3 2 2 2" xfId="48346" xr:uid="{5FE390A8-EE15-4EF8-AC49-74C6D887C265}"/>
    <cellStyle name="Normal 36 2 2 3 3 2 2 2 2" xfId="48347" xr:uid="{AE374EDD-B060-4F1A-9E6C-06F9C26775BD}"/>
    <cellStyle name="Normal 36 2 2 3 3 2 2 3" xfId="48348" xr:uid="{24EBD0A7-3E7B-4578-9FA1-8B6EF793C324}"/>
    <cellStyle name="Normal 36 2 2 3 3 2 3" xfId="48349" xr:uid="{88C13FF3-A66C-4AD5-A290-040FE7574FF5}"/>
    <cellStyle name="Normal 36 2 2 3 3 2 3 2" xfId="48350" xr:uid="{89DD9E7D-93F5-4925-A668-109C4F32516D}"/>
    <cellStyle name="Normal 36 2 2 3 3 2 4" xfId="48351" xr:uid="{A80B8002-A7FB-4E9E-BDE5-979E31CBC1A4}"/>
    <cellStyle name="Normal 36 2 2 3 3 3" xfId="48352" xr:uid="{1CE68493-B54F-4DA8-AA13-FD8345DCC154}"/>
    <cellStyle name="Normal 36 2 2 3 3 3 2" xfId="48353" xr:uid="{583FEDDA-9E5F-4327-9D57-9DAB3826BB15}"/>
    <cellStyle name="Normal 36 2 2 3 3 3 2 2" xfId="48354" xr:uid="{5BC436CB-CE79-464A-8012-AF319E5B4872}"/>
    <cellStyle name="Normal 36 2 2 3 3 3 3" xfId="48355" xr:uid="{8A9A24BE-D597-4CA9-B149-329429CC6E00}"/>
    <cellStyle name="Normal 36 2 2 3 3 4" xfId="48356" xr:uid="{77F80144-3E07-4814-A810-60C063BD8A99}"/>
    <cellStyle name="Normal 36 2 2 3 3 4 2" xfId="48357" xr:uid="{E087BBF7-0690-4DD1-BDAE-9D2E6393AB96}"/>
    <cellStyle name="Normal 36 2 2 3 3 5" xfId="48358" xr:uid="{C66EA98D-4E06-4047-AD20-ED9B3FE2F7D7}"/>
    <cellStyle name="Normal 36 2 2 3 4" xfId="48359" xr:uid="{3A41C0D3-5EF1-40C5-A340-D61110C6190A}"/>
    <cellStyle name="Normal 36 2 2 3 4 2" xfId="48360" xr:uid="{49B7CA1A-B065-4F58-8F21-ADD013ADA979}"/>
    <cellStyle name="Normal 36 2 2 3 4 2 2" xfId="48361" xr:uid="{4A6622B3-F055-4167-AC26-D59CE3750F84}"/>
    <cellStyle name="Normal 36 2 2 3 4 2 2 2" xfId="48362" xr:uid="{FD1415AC-A004-4A02-8477-BE9DF7E201A1}"/>
    <cellStyle name="Normal 36 2 2 3 4 2 3" xfId="48363" xr:uid="{712F2039-E804-402F-A231-FBA3EBF96ABB}"/>
    <cellStyle name="Normal 36 2 2 3 4 3" xfId="48364" xr:uid="{2010789B-7E98-41E8-9523-F6A1311A0B3F}"/>
    <cellStyle name="Normal 36 2 2 3 4 3 2" xfId="48365" xr:uid="{920319FD-3DA6-4362-B56D-3415FFF67117}"/>
    <cellStyle name="Normal 36 2 2 3 4 4" xfId="48366" xr:uid="{740A11F4-3D8B-4535-8806-5ED98DB51452}"/>
    <cellStyle name="Normal 36 2 2 3 5" xfId="48367" xr:uid="{7942FDEB-B780-49AA-9171-AAE091F4BB77}"/>
    <cellStyle name="Normal 36 2 2 3 5 2" xfId="48368" xr:uid="{E381D962-3328-4D37-B176-7550BB3B3489}"/>
    <cellStyle name="Normal 36 2 2 3 5 2 2" xfId="48369" xr:uid="{C942F8FE-5EF4-4D94-8AAD-B0D419103351}"/>
    <cellStyle name="Normal 36 2 2 3 5 3" xfId="48370" xr:uid="{2B51A133-51FE-4AD0-9F48-195B8F5C44BF}"/>
    <cellStyle name="Normal 36 2 2 3 6" xfId="48371" xr:uid="{035E79D4-D2DA-492D-A0E7-D822B99D7863}"/>
    <cellStyle name="Normal 36 2 2 3 6 2" xfId="48372" xr:uid="{2869BF0D-5468-46DC-B582-B4BD5E192417}"/>
    <cellStyle name="Normal 36 2 2 3 7" xfId="48373" xr:uid="{F6F71C9C-BDE6-4648-BF11-134E17B15B32}"/>
    <cellStyle name="Normal 36 2 2 3 8" xfId="48374" xr:uid="{B6347FFB-2CED-43DF-B533-375625A2E136}"/>
    <cellStyle name="Normal 36 2 2 4" xfId="48375" xr:uid="{E5482E71-B99F-4A39-A23D-FF492877A5F7}"/>
    <cellStyle name="Normal 36 2 2 4 2" xfId="39839" xr:uid="{6956A21A-D5C9-40CA-B80A-B4F65E4DC34D}"/>
    <cellStyle name="Normal 36 2 2 4 2 2" xfId="39841" xr:uid="{C49CE81A-D658-41B5-A279-7671F88FABC1}"/>
    <cellStyle name="Normal 36 2 2 4 2 2 2" xfId="39843" xr:uid="{38EC6EEE-4B35-46B7-8CE3-2D99D93B4E2B}"/>
    <cellStyle name="Normal 36 2 2 4 2 2 2 2" xfId="48376" xr:uid="{9D86F1AC-53FE-430D-B2ED-F679F533C4FB}"/>
    <cellStyle name="Normal 36 2 2 4 2 2 2 2 2" xfId="48377" xr:uid="{0E4C2621-65F4-472B-BFC6-1A7374A9D86B}"/>
    <cellStyle name="Normal 36 2 2 4 2 2 2 3" xfId="48378" xr:uid="{2EF6E511-D829-4EED-A009-F52ACB8F4938}"/>
    <cellStyle name="Normal 36 2 2 4 2 2 3" xfId="48379" xr:uid="{C80F3CA9-B053-4B33-9586-3B4687DCD001}"/>
    <cellStyle name="Normal 36 2 2 4 2 2 3 2" xfId="48380" xr:uid="{7358EA06-4FE0-4D01-9AD9-4E6E858204BF}"/>
    <cellStyle name="Normal 36 2 2 4 2 2 4" xfId="48381" xr:uid="{5A13755C-11D6-4A7C-ACA9-DBCAE6DF903A}"/>
    <cellStyle name="Normal 36 2 2 4 2 3" xfId="39845" xr:uid="{C2705D84-9C04-447B-B41F-0708DE217B1E}"/>
    <cellStyle name="Normal 36 2 2 4 2 3 2" xfId="48382" xr:uid="{841EB790-690C-4C2F-97C3-7B225F0775FA}"/>
    <cellStyle name="Normal 36 2 2 4 2 3 2 2" xfId="48383" xr:uid="{694B2A4E-52D0-4CD1-B407-A842A220953E}"/>
    <cellStyle name="Normal 36 2 2 4 2 3 3" xfId="48384" xr:uid="{B022C1E0-5881-489E-B427-0BCCB783D82B}"/>
    <cellStyle name="Normal 36 2 2 4 2 4" xfId="48385" xr:uid="{B3076B99-6482-48BB-A652-FB91AD30B1FE}"/>
    <cellStyle name="Normal 36 2 2 4 2 4 2" xfId="48386" xr:uid="{CCB846F5-975B-469A-A1AE-35DAAE51D623}"/>
    <cellStyle name="Normal 36 2 2 4 2 5" xfId="48387" xr:uid="{D790DDDC-1FBC-402B-B8DF-379030074C7D}"/>
    <cellStyle name="Normal 36 2 2 4 3" xfId="39847" xr:uid="{35F7C2E7-2EEC-411F-9B0C-8DF280E2B1CA}"/>
    <cellStyle name="Normal 36 2 2 4 3 2" xfId="39849" xr:uid="{4D2663BA-AD73-49E2-959E-F848221D523C}"/>
    <cellStyle name="Normal 36 2 2 4 3 2 2" xfId="48388" xr:uid="{35804879-3A5B-428B-B948-D71F5CBBE2F5}"/>
    <cellStyle name="Normal 36 2 2 4 3 2 2 2" xfId="48389" xr:uid="{0A864A79-D03C-41EA-A2E2-F39891806E72}"/>
    <cellStyle name="Normal 36 2 2 4 3 2 3" xfId="48390" xr:uid="{AB91AA91-677D-4312-939E-29003972AAB4}"/>
    <cellStyle name="Normal 36 2 2 4 3 3" xfId="48391" xr:uid="{A065440A-83EA-46AD-9993-098114633AB3}"/>
    <cellStyle name="Normal 36 2 2 4 3 3 2" xfId="24305" xr:uid="{38E58459-BFB1-4DDF-836E-17E0F3FE7306}"/>
    <cellStyle name="Normal 36 2 2 4 3 4" xfId="48392" xr:uid="{969682D9-C620-4E5B-AADA-5612665661D4}"/>
    <cellStyle name="Normal 36 2 2 4 4" xfId="39851" xr:uid="{6DF4F61B-831B-4B42-8DD5-0C24FD004868}"/>
    <cellStyle name="Normal 36 2 2 4 4 2" xfId="48393" xr:uid="{A47B2A9C-81E4-451C-BE09-BEC6A98B8A08}"/>
    <cellStyle name="Normal 36 2 2 4 4 2 2" xfId="7219" xr:uid="{0724AD6B-E76D-4D7B-BF9A-ECD274328B6A}"/>
    <cellStyle name="Normal 36 2 2 4 4 3" xfId="48394" xr:uid="{9EC95375-D819-4374-8E4F-1032ED11A4D7}"/>
    <cellStyle name="Normal 36 2 2 4 5" xfId="39853" xr:uid="{157B3469-B2E4-49C2-ACBC-DD0145FF1D82}"/>
    <cellStyle name="Normal 36 2 2 4 5 2" xfId="48395" xr:uid="{B23BF6AA-38F8-47BC-BD15-ACB681E7693D}"/>
    <cellStyle name="Normal 36 2 2 4 6" xfId="48396" xr:uid="{A79106DE-799E-43AE-B553-A8940836A068}"/>
    <cellStyle name="Normal 36 2 2 4 7" xfId="48397" xr:uid="{FD461F59-5F3C-479B-8E25-7C5664ED8EE0}"/>
    <cellStyle name="Normal 36 2 2 5" xfId="48398" xr:uid="{C1AA1C13-2B8D-4B7B-A438-18AEEE874FE3}"/>
    <cellStyle name="Normal 36 2 2 5 2" xfId="39911" xr:uid="{47689EBC-967A-4604-B460-1035D786DF89}"/>
    <cellStyle name="Normal 36 2 2 5 2 2" xfId="39913" xr:uid="{7218586F-B7DA-476A-AA6F-185B2057A188}"/>
    <cellStyle name="Normal 36 2 2 5 2 2 2" xfId="48399" xr:uid="{26CCE0D7-61A8-4B54-A89D-DA744609541E}"/>
    <cellStyle name="Normal 36 2 2 5 2 2 2 2" xfId="48400" xr:uid="{CBDA25C0-5F1D-4722-9072-4FCCF69D05AD}"/>
    <cellStyle name="Normal 36 2 2 5 2 2 3" xfId="48401" xr:uid="{CF25EAB6-DA93-4D36-8BCB-A1B533AEE222}"/>
    <cellStyle name="Normal 36 2 2 5 2 3" xfId="48402" xr:uid="{5F7E67CF-F739-4F71-BAA5-77A1D07E7412}"/>
    <cellStyle name="Normal 36 2 2 5 2 3 2" xfId="48403" xr:uid="{04F364E4-8BCC-4591-B404-41C95300BA54}"/>
    <cellStyle name="Normal 36 2 2 5 2 4" xfId="48404" xr:uid="{5B996301-D1C2-4DE5-BA99-555BD9518E9B}"/>
    <cellStyle name="Normal 36 2 2 5 3" xfId="39915" xr:uid="{9B3F2AA3-5523-4C3B-90F0-9D7891FC5804}"/>
    <cellStyle name="Normal 36 2 2 5 3 2" xfId="48405" xr:uid="{3743C1D0-6C8D-4CC8-8993-D525E6A225FC}"/>
    <cellStyle name="Normal 36 2 2 5 3 2 2" xfId="48406" xr:uid="{FFDD1061-7374-414D-9EFD-8B4B7653B77E}"/>
    <cellStyle name="Normal 36 2 2 5 3 3" xfId="48407" xr:uid="{3FD076AD-9BCC-4AA4-A3E5-E50B223302F5}"/>
    <cellStyle name="Normal 36 2 2 5 4" xfId="39917" xr:uid="{B7E06CF4-66A2-46FF-B945-BDCE46293FCF}"/>
    <cellStyle name="Normal 36 2 2 5 4 2" xfId="48408" xr:uid="{8552077D-C7F4-4827-ABD4-311FE2A3780B}"/>
    <cellStyle name="Normal 36 2 2 5 5" xfId="48409" xr:uid="{70F392B6-5F23-467F-AA01-702F343A4CA8}"/>
    <cellStyle name="Normal 36 2 2 6" xfId="48410" xr:uid="{3DAA179F-51BF-4C38-A37F-CD54400924E6}"/>
    <cellStyle name="Normal 36 2 2 6 2" xfId="39950" xr:uid="{0D26C3A3-86B9-483D-BAF3-D770A1456E89}"/>
    <cellStyle name="Normal 36 2 2 6 2 2" xfId="48411" xr:uid="{18C05D29-412D-49CD-991B-F35104C2211B}"/>
    <cellStyle name="Normal 36 2 2 6 2 2 2" xfId="48412" xr:uid="{0297F9CA-8456-43CC-B7B0-9B94B6FC76F9}"/>
    <cellStyle name="Normal 36 2 2 6 2 3" xfId="48413" xr:uid="{6CF2DA3E-4652-4D51-8DA6-82C4DE373AF2}"/>
    <cellStyle name="Normal 36 2 2 6 3" xfId="39952" xr:uid="{241744D8-5E02-4CB0-A4E8-2AD9FDB09CDD}"/>
    <cellStyle name="Normal 36 2 2 6 3 2" xfId="48414" xr:uid="{99751C66-C0B7-47A4-A996-75CEE0A9FED4}"/>
    <cellStyle name="Normal 36 2 2 6 4" xfId="48415" xr:uid="{2802EA14-FBAB-4790-8E83-C9983FDD8000}"/>
    <cellStyle name="Normal 36 2 2 7" xfId="48416" xr:uid="{67ACDBE0-3FED-4DE5-8E7D-83F4F0B96B97}"/>
    <cellStyle name="Normal 36 2 2 7 2" xfId="48417" xr:uid="{C1EA4094-78E0-419A-B012-9ABB87E1C1A0}"/>
    <cellStyle name="Normal 36 2 2 7 2 2" xfId="48418" xr:uid="{301380C6-6FF3-4F55-99B6-5C8684363736}"/>
    <cellStyle name="Normal 36 2 2 7 3" xfId="48419" xr:uid="{93655545-A288-4C2C-8740-352F675C2035}"/>
    <cellStyle name="Normal 36 2 2 8" xfId="48420" xr:uid="{1936C124-8828-4771-AE19-91BBFB1DCD53}"/>
    <cellStyle name="Normal 36 2 2 8 2" xfId="48421" xr:uid="{F796DA95-045E-47E3-8A6C-470EA169BBC8}"/>
    <cellStyle name="Normal 36 2 2 9" xfId="48422" xr:uid="{AFDD921D-E42E-4FC0-BB4F-A3DAEF4B7367}"/>
    <cellStyle name="Normal 36 2 3" xfId="48423" xr:uid="{CE98BF9E-1E97-4087-8980-57B5951A0ACC}"/>
    <cellStyle name="Normal 36 2 3 2" xfId="48424" xr:uid="{FFB0375A-4907-44FC-B344-CA151F28DD1E}"/>
    <cellStyle name="Normal 36 2 3 2 2" xfId="48425" xr:uid="{5A10A602-94D1-4F8E-9540-78458E0425A3}"/>
    <cellStyle name="Normal 36 2 3 2 2 2" xfId="48426" xr:uid="{7E480169-CA88-4F36-9752-4206DF24BDF8}"/>
    <cellStyle name="Normal 36 2 3 2 2 2 2" xfId="48427" xr:uid="{BD8B12F3-F44F-48D8-9F03-591258BD9438}"/>
    <cellStyle name="Normal 36 2 3 2 2 2 2 2" xfId="48428" xr:uid="{CA58F018-ADFC-4050-9A0E-FCBC5FDE658A}"/>
    <cellStyle name="Normal 36 2 3 2 2 2 2 2 2" xfId="48429" xr:uid="{A453103A-9D18-4810-8CF1-6CD258354A7C}"/>
    <cellStyle name="Normal 36 2 3 2 2 2 2 2 2 2" xfId="48430" xr:uid="{251E25F6-0DEF-4540-83ED-AFCDBF074565}"/>
    <cellStyle name="Normal 36 2 3 2 2 2 2 2 3" xfId="48431" xr:uid="{92D6F452-6ACE-4100-BF3C-BC344E709BCA}"/>
    <cellStyle name="Normal 36 2 3 2 2 2 2 3" xfId="48432" xr:uid="{39895F05-7E8B-40E8-97F2-0DD8747264FE}"/>
    <cellStyle name="Normal 36 2 3 2 2 2 2 3 2" xfId="48433" xr:uid="{28B671DF-9026-40AC-9073-66AA330BAB5B}"/>
    <cellStyle name="Normal 36 2 3 2 2 2 2 4" xfId="48434" xr:uid="{BE384B2C-1360-49F4-9DFE-5D06A064C06F}"/>
    <cellStyle name="Normal 36 2 3 2 2 2 3" xfId="48435" xr:uid="{45359607-FF0F-4B05-835D-3D61C55905CE}"/>
    <cellStyle name="Normal 36 2 3 2 2 2 3 2" xfId="48436" xr:uid="{9ADDECB5-27C1-48C4-8E55-5A57CCAEE704}"/>
    <cellStyle name="Normal 36 2 3 2 2 2 3 2 2" xfId="48437" xr:uid="{519D6153-8C1C-4F6B-AC98-3CCA2DC2B987}"/>
    <cellStyle name="Normal 36 2 3 2 2 2 3 3" xfId="48438" xr:uid="{95BF3D44-CB98-4B2C-B576-A6715B8F0D3C}"/>
    <cellStyle name="Normal 36 2 3 2 2 2 4" xfId="48439" xr:uid="{29381D00-6ACD-4F08-AD62-F7F560FBDD5D}"/>
    <cellStyle name="Normal 36 2 3 2 2 2 4 2" xfId="48440" xr:uid="{FA2AB03A-20ED-4A71-9F6B-A7A02FA9E360}"/>
    <cellStyle name="Normal 36 2 3 2 2 2 5" xfId="48441" xr:uid="{E5FD990E-6159-45AD-B2FF-543C94BC282A}"/>
    <cellStyle name="Normal 36 2 3 2 2 3" xfId="30962" xr:uid="{0D174BC5-5EE1-4C60-9F69-FD28411E3365}"/>
    <cellStyle name="Normal 36 2 3 2 2 3 2" xfId="48442" xr:uid="{D8446831-5CC4-484B-99EE-522614804621}"/>
    <cellStyle name="Normal 36 2 3 2 2 3 2 2" xfId="24130" xr:uid="{6EF763B4-65E0-4087-9FDC-62518FC6680D}"/>
    <cellStyle name="Normal 36 2 3 2 2 3 2 2 2" xfId="24135" xr:uid="{C96FC11E-A453-4A99-85C1-1DAAD3766115}"/>
    <cellStyle name="Normal 36 2 3 2 2 3 2 3" xfId="3847" xr:uid="{91FCD4FB-238B-4F48-96B9-7CA086686218}"/>
    <cellStyle name="Normal 36 2 3 2 2 3 3" xfId="48443" xr:uid="{D8C3F0CC-4AF8-4B3B-A579-6FBC49080AC2}"/>
    <cellStyle name="Normal 36 2 3 2 2 3 3 2" xfId="1989" xr:uid="{D67C7D25-5986-42C0-B76B-6A5989F77E48}"/>
    <cellStyle name="Normal 36 2 3 2 2 3 4" xfId="48444" xr:uid="{48EB9C20-B848-4636-ACBB-BD052537463E}"/>
    <cellStyle name="Normal 36 2 3 2 2 4" xfId="48445" xr:uid="{EF306876-D503-4182-BFF2-3066C83A7A20}"/>
    <cellStyle name="Normal 36 2 3 2 2 4 2" xfId="48446" xr:uid="{CA329320-F68C-43DE-8B72-54C4274C94BB}"/>
    <cellStyle name="Normal 36 2 3 2 2 4 2 2" xfId="48447" xr:uid="{FD3B5E86-FDF0-4F9D-89AB-84E1B933CD27}"/>
    <cellStyle name="Normal 36 2 3 2 2 4 3" xfId="48448" xr:uid="{E8BD377C-B82A-45C2-9E48-B181D60D6EA9}"/>
    <cellStyle name="Normal 36 2 3 2 2 5" xfId="48449" xr:uid="{6A597448-E56E-4875-883E-F2FAD06A3451}"/>
    <cellStyle name="Normal 36 2 3 2 2 5 2" xfId="48450" xr:uid="{CF61000A-2D64-4EC3-93A0-AE0CFB805CAD}"/>
    <cellStyle name="Normal 36 2 3 2 2 6" xfId="48451" xr:uid="{1B9F08CC-DF1D-4694-93FC-D14956E6CA17}"/>
    <cellStyle name="Normal 36 2 3 2 2 7" xfId="48452" xr:uid="{5566B189-0EBC-4E9B-83B7-9D96404D0A7F}"/>
    <cellStyle name="Normal 36 2 3 2 3" xfId="48453" xr:uid="{66C762C8-5C06-4158-83BE-C5AAA51C1C6C}"/>
    <cellStyle name="Normal 36 2 3 2 3 2" xfId="48454" xr:uid="{BCEF04E5-C1D4-44EC-8B20-B51B523DC277}"/>
    <cellStyle name="Normal 36 2 3 2 3 2 2" xfId="48455" xr:uid="{BCA4ABBB-F84F-4246-B06C-AB4BB1857CCC}"/>
    <cellStyle name="Normal 36 2 3 2 3 2 2 2" xfId="48456" xr:uid="{084C7D7C-E991-44CF-917B-22F4A4D5C515}"/>
    <cellStyle name="Normal 36 2 3 2 3 2 2 2 2" xfId="48457" xr:uid="{6FDB6504-DF63-49B4-8EB0-78AD6DBFC6B4}"/>
    <cellStyle name="Normal 36 2 3 2 3 2 2 3" xfId="48458" xr:uid="{C9E5ABD5-2D11-436E-9792-DAB90B5ED336}"/>
    <cellStyle name="Normal 36 2 3 2 3 2 3" xfId="48459" xr:uid="{F718D757-6EFF-4284-A062-7C5670755B6A}"/>
    <cellStyle name="Normal 36 2 3 2 3 2 3 2" xfId="1206" xr:uid="{11185566-1A4B-48A7-83A1-A4A7969197ED}"/>
    <cellStyle name="Normal 36 2 3 2 3 2 4" xfId="48460" xr:uid="{3C536A4A-6F0B-48D1-B466-684890AB974A}"/>
    <cellStyle name="Normal 36 2 3 2 3 3" xfId="48461" xr:uid="{89C4DB58-CCE0-4D06-B39B-2308C75AA4AB}"/>
    <cellStyle name="Normal 36 2 3 2 3 3 2" xfId="48462" xr:uid="{A8E83523-A7D1-440F-B5EB-2608D20CE10C}"/>
    <cellStyle name="Normal 36 2 3 2 3 3 2 2" xfId="48463" xr:uid="{435AAD60-8A38-40C7-A8F0-FEA1E710D6FC}"/>
    <cellStyle name="Normal 36 2 3 2 3 3 3" xfId="48464" xr:uid="{C95FEC3D-8D6D-48CC-A430-F83C854E7EC6}"/>
    <cellStyle name="Normal 36 2 3 2 3 4" xfId="48465" xr:uid="{EA48738B-DB45-4CB5-ADDA-F3E324CB5FBA}"/>
    <cellStyle name="Normal 36 2 3 2 3 4 2" xfId="48466" xr:uid="{B797855D-BB92-485A-AE6C-E22E3276D6BE}"/>
    <cellStyle name="Normal 36 2 3 2 3 5" xfId="48467" xr:uid="{448B0F78-6480-49F2-A5CF-FB8DF7FFD1B0}"/>
    <cellStyle name="Normal 36 2 3 2 4" xfId="48468" xr:uid="{A22A6646-ADA3-4DFF-8BAA-ABFA2C4281BA}"/>
    <cellStyle name="Normal 36 2 3 2 4 2" xfId="48469" xr:uid="{B25F44A5-4A0D-4F78-9D19-3CAC26948B55}"/>
    <cellStyle name="Normal 36 2 3 2 4 2 2" xfId="48470" xr:uid="{B86F97C3-ACA8-4E90-9548-E9B70EA0F4D8}"/>
    <cellStyle name="Normal 36 2 3 2 4 2 2 2" xfId="48471" xr:uid="{599028EF-E9B5-43FB-954E-4BC5D441A6C2}"/>
    <cellStyle name="Normal 36 2 3 2 4 2 3" xfId="48472" xr:uid="{329D8DA9-B477-4F08-91DE-FD754F47DD33}"/>
    <cellStyle name="Normal 36 2 3 2 4 3" xfId="48473" xr:uid="{A9E4557D-ECA5-4E45-AF08-AC6E180CA65B}"/>
    <cellStyle name="Normal 36 2 3 2 4 3 2" xfId="48474" xr:uid="{1D39CF4D-6B32-4E74-AF46-32ABED986ADE}"/>
    <cellStyle name="Normal 36 2 3 2 4 4" xfId="48475" xr:uid="{98747055-53C1-47F7-9236-13AF8A626A04}"/>
    <cellStyle name="Normal 36 2 3 2 5" xfId="48476" xr:uid="{9CA19D5F-FF8F-4F23-981E-4D2F81CA3089}"/>
    <cellStyle name="Normal 36 2 3 2 5 2" xfId="48477" xr:uid="{B7FDDA3A-B292-4775-8C4C-51CF0262D407}"/>
    <cellStyle name="Normal 36 2 3 2 5 2 2" xfId="48478" xr:uid="{72F6A793-42A1-4F96-89D0-BED847B6300E}"/>
    <cellStyle name="Normal 36 2 3 2 5 3" xfId="48479" xr:uid="{A1FB5114-071F-40A5-B916-5138CEBEEA47}"/>
    <cellStyle name="Normal 36 2 3 2 6" xfId="48480" xr:uid="{298FD170-6AFB-435A-A4E9-9190FA7C4B01}"/>
    <cellStyle name="Normal 36 2 3 2 6 2" xfId="48481" xr:uid="{A9CCF93E-5FB0-4F68-A2D9-A418EE34ABCF}"/>
    <cellStyle name="Normal 36 2 3 2 7" xfId="48482" xr:uid="{565D35D1-69F0-4112-9A18-A90832CBB071}"/>
    <cellStyle name="Normal 36 2 3 2 8" xfId="48483" xr:uid="{FFBD6231-A8DF-46AC-A805-BA913A5CF352}"/>
    <cellStyle name="Normal 36 2 3 3" xfId="48484" xr:uid="{D7F0599F-BCFA-4A37-9750-B3C4E1133BE1}"/>
    <cellStyle name="Normal 36 2 3 3 2" xfId="48485" xr:uid="{22739242-9568-4E62-9EE4-F90D57215495}"/>
    <cellStyle name="Normal 36 2 3 3 2 2" xfId="48486" xr:uid="{7AE6852D-0A3D-439F-8312-638E34CA28C6}"/>
    <cellStyle name="Normal 36 2 3 3 2 2 2" xfId="48487" xr:uid="{1AE4C86B-3B64-4509-B813-BE445CB65483}"/>
    <cellStyle name="Normal 36 2 3 3 2 2 2 2" xfId="48488" xr:uid="{3F6228DC-A8C9-4528-B94B-18D215EC1B52}"/>
    <cellStyle name="Normal 36 2 3 3 2 2 2 2 2" xfId="48489" xr:uid="{70B08376-0953-4352-93D8-8677121142CD}"/>
    <cellStyle name="Normal 36 2 3 3 2 2 2 3" xfId="48490" xr:uid="{8769ED7C-B31E-4AE2-89A2-03E7C300D3EA}"/>
    <cellStyle name="Normal 36 2 3 3 2 2 3" xfId="48491" xr:uid="{60DA7022-BECB-4D74-969D-84ADFE2F01AD}"/>
    <cellStyle name="Normal 36 2 3 3 2 2 3 2" xfId="48492" xr:uid="{C9E0356A-77C4-48FA-BC0D-83C9DDD2A615}"/>
    <cellStyle name="Normal 36 2 3 3 2 2 4" xfId="48493" xr:uid="{54A7C6C0-7D3A-4494-8EEC-F8EEFF942109}"/>
    <cellStyle name="Normal 36 2 3 3 2 3" xfId="48494" xr:uid="{1918E245-164B-4294-B1A0-D38955B639A9}"/>
    <cellStyle name="Normal 36 2 3 3 2 3 2" xfId="48495" xr:uid="{19A14B37-06C0-43B7-97A7-905ED3C54708}"/>
    <cellStyle name="Normal 36 2 3 3 2 3 2 2" xfId="48496" xr:uid="{242ACB18-45AD-4983-95E0-53CBD867EB5F}"/>
    <cellStyle name="Normal 36 2 3 3 2 3 3" xfId="48497" xr:uid="{AA80AF4B-5EB6-4AB1-8805-E37BBCAE5341}"/>
    <cellStyle name="Normal 36 2 3 3 2 4" xfId="48498" xr:uid="{8CD083CC-DCC9-4134-BF76-17C4C062BB2E}"/>
    <cellStyle name="Normal 36 2 3 3 2 4 2" xfId="48499" xr:uid="{9D784011-AD34-4D90-BABC-46D694B44130}"/>
    <cellStyle name="Normal 36 2 3 3 2 5" xfId="48500" xr:uid="{F1144DCC-722D-4464-99E4-FDB51BE7A63E}"/>
    <cellStyle name="Normal 36 2 3 3 3" xfId="48501" xr:uid="{A7E13A93-0FE2-46E1-8DAC-C129B2DB3701}"/>
    <cellStyle name="Normal 36 2 3 3 3 2" xfId="48502" xr:uid="{F384485C-9B46-4CF6-BF96-38667F1F560F}"/>
    <cellStyle name="Normal 36 2 3 3 3 2 2" xfId="48503" xr:uid="{39D3A4A9-06C7-4F00-A724-6B30E65282EC}"/>
    <cellStyle name="Normal 36 2 3 3 3 2 2 2" xfId="48504" xr:uid="{37388A35-5EA9-4F33-AB55-94EF609D1F42}"/>
    <cellStyle name="Normal 36 2 3 3 3 2 3" xfId="48505" xr:uid="{17F26EE3-A69B-4D15-ACDE-3C8FD7663A33}"/>
    <cellStyle name="Normal 36 2 3 3 3 3" xfId="48506" xr:uid="{9A0AF13A-E43E-4AAF-BEF5-2B0675489FE4}"/>
    <cellStyle name="Normal 36 2 3 3 3 3 2" xfId="48507" xr:uid="{83E138A2-ACED-48C1-AC10-4EC19EE7D9DE}"/>
    <cellStyle name="Normal 36 2 3 3 3 4" xfId="48508" xr:uid="{860C5572-000B-4C88-810A-BEC8457F8055}"/>
    <cellStyle name="Normal 36 2 3 3 4" xfId="48509" xr:uid="{C94234E6-7DE8-47DF-BB5A-CEB40AB05D74}"/>
    <cellStyle name="Normal 36 2 3 3 4 2" xfId="48510" xr:uid="{DC9E19C6-195D-4691-8805-9566869C1535}"/>
    <cellStyle name="Normal 36 2 3 3 4 2 2" xfId="48511" xr:uid="{5CB92481-4735-4619-833C-C29B58E72F0C}"/>
    <cellStyle name="Normal 36 2 3 3 4 3" xfId="48512" xr:uid="{EF775D55-3586-4D2E-AFDA-230EC3CC6D27}"/>
    <cellStyle name="Normal 36 2 3 3 5" xfId="18405" xr:uid="{7F547B85-8AF1-4147-A635-A83E3B4922BA}"/>
    <cellStyle name="Normal 36 2 3 3 5 2" xfId="48513" xr:uid="{BF87A780-9CF5-4CAE-96F7-4D4FE5064942}"/>
    <cellStyle name="Normal 36 2 3 3 6" xfId="48514" xr:uid="{7A015F69-7E28-4DD5-A005-7BF1636A984C}"/>
    <cellStyle name="Normal 36 2 3 3 7" xfId="21062" xr:uid="{EE38AA86-ED1E-48A2-AF2B-B6BA01D3ECD2}"/>
    <cellStyle name="Normal 36 2 3 4" xfId="48515" xr:uid="{A90D4A79-19F7-40E8-BA67-6C1D4D0A186A}"/>
    <cellStyle name="Normal 36 2 3 4 2" xfId="40043" xr:uid="{90B7E312-F5AC-4715-A1DC-BD9B47410BD9}"/>
    <cellStyle name="Normal 36 2 3 4 2 2" xfId="40045" xr:uid="{E69BB488-A526-411D-936B-879E30612F38}"/>
    <cellStyle name="Normal 36 2 3 4 2 2 2" xfId="48516" xr:uid="{E931E823-90E0-4D8E-BA64-70621FDF7BF1}"/>
    <cellStyle name="Normal 36 2 3 4 2 2 2 2" xfId="48517" xr:uid="{C2507029-72DD-4904-8D5E-B239A899C2CC}"/>
    <cellStyle name="Normal 36 2 3 4 2 2 3" xfId="48518" xr:uid="{0DAD07E7-FDF3-4837-9A33-1BB0FAB6E24C}"/>
    <cellStyle name="Normal 36 2 3 4 2 3" xfId="48519" xr:uid="{37D4C27B-0536-45D2-BE31-48F843975541}"/>
    <cellStyle name="Normal 36 2 3 4 2 3 2" xfId="48520" xr:uid="{04661E76-CF74-4BF1-9AA8-849A80509846}"/>
    <cellStyle name="Normal 36 2 3 4 2 4" xfId="48521" xr:uid="{15C60F75-A729-4A01-A8E5-7EBF94AE5BDF}"/>
    <cellStyle name="Normal 36 2 3 4 3" xfId="40047" xr:uid="{2FDD8FF6-EEF7-405A-9562-F88F87C5C817}"/>
    <cellStyle name="Normal 36 2 3 4 3 2" xfId="48522" xr:uid="{50AB3D53-8985-4FBC-93D7-1DE39435DB87}"/>
    <cellStyle name="Normal 36 2 3 4 3 2 2" xfId="48523" xr:uid="{018280A7-B02D-40A6-99DD-D0AE6673AF4E}"/>
    <cellStyle name="Normal 36 2 3 4 3 3" xfId="48524" xr:uid="{57AB1974-5893-4E61-8D93-BAE831F166B2}"/>
    <cellStyle name="Normal 36 2 3 4 4" xfId="40049" xr:uid="{5725BAA8-4ADA-4D53-9072-CED0DAECE629}"/>
    <cellStyle name="Normal 36 2 3 4 4 2" xfId="48525" xr:uid="{849EF865-1609-4C6B-B9F2-CCBC6F2F74F9}"/>
    <cellStyle name="Normal 36 2 3 4 5" xfId="48526" xr:uid="{FC139054-80C1-475F-9C45-4B58E49B6E11}"/>
    <cellStyle name="Normal 36 2 3 5" xfId="48527" xr:uid="{1E9EC087-0521-4F20-9219-D6EB52204E8D}"/>
    <cellStyle name="Normal 36 2 3 5 2" xfId="40081" xr:uid="{53338533-5AC7-4FF2-88FE-DB4998E1F309}"/>
    <cellStyle name="Normal 36 2 3 5 2 2" xfId="48528" xr:uid="{61266F55-C190-48CB-BAC0-EC55A2AA4639}"/>
    <cellStyle name="Normal 36 2 3 5 2 2 2" xfId="48529" xr:uid="{E94F2DCB-8821-41D2-9488-4B2DAC34E9C3}"/>
    <cellStyle name="Normal 36 2 3 5 2 3" xfId="48530" xr:uid="{6F4B894F-CE1C-46CF-99D9-73BA74A08640}"/>
    <cellStyle name="Normal 36 2 3 5 3" xfId="40083" xr:uid="{8962C285-9CCA-46DE-9CC7-568E3BAA16A5}"/>
    <cellStyle name="Normal 36 2 3 5 3 2" xfId="48531" xr:uid="{BEEF6550-3EC4-420B-A19B-20563B7D195E}"/>
    <cellStyle name="Normal 36 2 3 5 4" xfId="48532" xr:uid="{D957FB13-F43C-4DAB-8E8A-9E05D4B37A28}"/>
    <cellStyle name="Normal 36 2 3 6" xfId="48533" xr:uid="{379E169A-93D0-4402-A1BC-DDED95B52AEC}"/>
    <cellStyle name="Normal 36 2 3 6 2" xfId="48534" xr:uid="{3C91B602-7EAD-46F9-8101-842811D968D1}"/>
    <cellStyle name="Normal 36 2 3 6 2 2" xfId="48535" xr:uid="{F26A3DFA-DDCF-4BE0-B1FC-D1A14D3D5D83}"/>
    <cellStyle name="Normal 36 2 3 6 3" xfId="48536" xr:uid="{03D375F8-6944-4919-8CA1-1A026874554E}"/>
    <cellStyle name="Normal 36 2 3 7" xfId="48537" xr:uid="{0C198507-8380-4ECD-A700-C4482FA5D390}"/>
    <cellStyle name="Normal 36 2 3 7 2" xfId="48538" xr:uid="{50FDCBAC-E0DF-4B67-943F-6C58A5818428}"/>
    <cellStyle name="Normal 36 2 3 8" xfId="48539" xr:uid="{8030CB25-7E80-46F5-94F7-5BC7ECE6BDCD}"/>
    <cellStyle name="Normal 36 2 3 9" xfId="48540" xr:uid="{7F470D6D-9157-4AF3-A012-7B992581B1D7}"/>
    <cellStyle name="Normal 36 2 4" xfId="48541" xr:uid="{12553FB3-9DD4-4BC2-8C7B-99FCD6591110}"/>
    <cellStyle name="Normal 36 2 4 2" xfId="48542" xr:uid="{77AC23B6-9AFD-4FC6-9BC7-6EE72B09421E}"/>
    <cellStyle name="Normal 36 2 4 2 2" xfId="48543" xr:uid="{A48DC78A-3F7F-43D0-9F1B-3E55F00BB229}"/>
    <cellStyle name="Normal 36 2 4 2 2 2" xfId="48544" xr:uid="{D6B233D0-2472-4B49-A801-2D1086E420B9}"/>
    <cellStyle name="Normal 36 2 4 2 2 2 2" xfId="48545" xr:uid="{35632253-5F02-4FA8-A7AE-C527A000227E}"/>
    <cellStyle name="Normal 36 2 4 2 2 2 2 2" xfId="48546" xr:uid="{E30B847C-E8FE-4428-9830-469408063620}"/>
    <cellStyle name="Normal 36 2 4 2 2 2 2 2 2" xfId="48547" xr:uid="{D78615F8-12DC-42E4-A003-5E70A12107F1}"/>
    <cellStyle name="Normal 36 2 4 2 2 2 2 3" xfId="48548" xr:uid="{C23D4DC8-661D-40C5-9D30-13977B5556A5}"/>
    <cellStyle name="Normal 36 2 4 2 2 2 3" xfId="48549" xr:uid="{9BC6B1BB-F8AD-44BD-89F8-DA7CAD59DBC9}"/>
    <cellStyle name="Normal 36 2 4 2 2 2 3 2" xfId="48550" xr:uid="{D82B3D49-D338-4FF0-9B6F-78717D0B4C2D}"/>
    <cellStyle name="Normal 36 2 4 2 2 2 4" xfId="48551" xr:uid="{9026B748-599B-45A2-9878-C18A3C8945EE}"/>
    <cellStyle name="Normal 36 2 4 2 2 3" xfId="48552" xr:uid="{5618AEEA-1E15-4BF1-9D43-16D297D932CF}"/>
    <cellStyle name="Normal 36 2 4 2 2 3 2" xfId="48553" xr:uid="{5B9680B8-701F-481A-8D2A-52F1A25D9A74}"/>
    <cellStyle name="Normal 36 2 4 2 2 3 2 2" xfId="3640" xr:uid="{4AB7066D-C494-4B69-9C5C-A8761B69AEDC}"/>
    <cellStyle name="Normal 36 2 4 2 2 3 3" xfId="48554" xr:uid="{CF4751E7-D83C-42A5-A541-7D933363DF24}"/>
    <cellStyle name="Normal 36 2 4 2 2 4" xfId="48555" xr:uid="{6856B36B-9C3E-41FE-AB65-170924846307}"/>
    <cellStyle name="Normal 36 2 4 2 2 4 2" xfId="48556" xr:uid="{BA35521A-E99C-4D82-AFAC-7C8CA7263A54}"/>
    <cellStyle name="Normal 36 2 4 2 2 5" xfId="48557" xr:uid="{33E88820-FD56-4A7C-8374-EDFA4CD296E3}"/>
    <cellStyle name="Normal 36 2 4 2 3" xfId="48558" xr:uid="{270284D8-6182-42BC-95E1-B1B5288D9510}"/>
    <cellStyle name="Normal 36 2 4 2 3 2" xfId="48559" xr:uid="{72B06801-ADCF-4EE4-A127-F3B1E78E9C6A}"/>
    <cellStyle name="Normal 36 2 4 2 3 2 2" xfId="48560" xr:uid="{025B0798-D75F-434F-8D5D-64CCF4F95844}"/>
    <cellStyle name="Normal 36 2 4 2 3 2 2 2" xfId="48561" xr:uid="{C1443BA0-BBD2-493A-9854-A8C42F8031AF}"/>
    <cellStyle name="Normal 36 2 4 2 3 2 3" xfId="48562" xr:uid="{FC53AC9D-3EAE-4486-97BE-96527F090569}"/>
    <cellStyle name="Normal 36 2 4 2 3 3" xfId="48563" xr:uid="{C7FA8862-613C-43DE-B9F4-4474F3DD555B}"/>
    <cellStyle name="Normal 36 2 4 2 3 3 2" xfId="48564" xr:uid="{A6C68086-E6D0-4F29-88E0-1B1818FA471E}"/>
    <cellStyle name="Normal 36 2 4 2 3 4" xfId="48565" xr:uid="{ADDAD9DF-D874-4CE4-9069-35C0E4DAA123}"/>
    <cellStyle name="Normal 36 2 4 2 4" xfId="48566" xr:uid="{E17C2E3B-AD50-463C-BE28-D676C7D723EF}"/>
    <cellStyle name="Normal 36 2 4 2 4 2" xfId="48567" xr:uid="{9F600CA0-69A6-438F-B421-D6877D2182CB}"/>
    <cellStyle name="Normal 36 2 4 2 4 2 2" xfId="48568" xr:uid="{C7CB48A8-1CE1-4F4A-B284-3A122EAF5CEF}"/>
    <cellStyle name="Normal 36 2 4 2 4 3" xfId="48569" xr:uid="{FB8AA69E-7F79-48DA-81E7-3F503FEDE681}"/>
    <cellStyle name="Normal 36 2 4 2 5" xfId="48570" xr:uid="{AF235E1A-D1C1-4776-9E7C-78EC5A4636DC}"/>
    <cellStyle name="Normal 36 2 4 2 5 2" xfId="48571" xr:uid="{3483DAA8-3EAF-4E2D-90D7-A8A1E9BE15C4}"/>
    <cellStyle name="Normal 36 2 4 2 6" xfId="48572" xr:uid="{72B6E4AB-78A2-4998-BD7C-1FCAF5DAD0EF}"/>
    <cellStyle name="Normal 36 2 4 2 7" xfId="48573" xr:uid="{B006BB51-CA3A-478E-ADD7-EFA6168BFC05}"/>
    <cellStyle name="Normal 36 2 4 3" xfId="48574" xr:uid="{8C239945-2F30-47D5-9F71-CAD847AA7391}"/>
    <cellStyle name="Normal 36 2 4 3 2" xfId="48575" xr:uid="{DE0C7037-7084-4865-9A9B-CAC4FD76F9F5}"/>
    <cellStyle name="Normal 36 2 4 3 2 2" xfId="48576" xr:uid="{61DC3819-9A95-4E45-823D-BBEB57B59ACB}"/>
    <cellStyle name="Normal 36 2 4 3 2 2 2" xfId="48577" xr:uid="{02BB593A-3C4B-4E80-973C-43FD723AD7DB}"/>
    <cellStyle name="Normal 36 2 4 3 2 2 2 2" xfId="48578" xr:uid="{7CBCA2F7-4F13-4EFA-BD60-5F097EED1263}"/>
    <cellStyle name="Normal 36 2 4 3 2 2 3" xfId="48579" xr:uid="{AE29F6A4-8E23-4CFF-AF40-43BAAEB35992}"/>
    <cellStyle name="Normal 36 2 4 3 2 3" xfId="48580" xr:uid="{EC9A999B-CCBF-46CA-985F-32B1F8EFE0C8}"/>
    <cellStyle name="Normal 36 2 4 3 2 3 2" xfId="48581" xr:uid="{D889A760-7987-42C6-832D-5A9A953FBA7D}"/>
    <cellStyle name="Normal 36 2 4 3 2 4" xfId="48582" xr:uid="{60F3C58B-E070-4AE1-9F62-33249A8D55E9}"/>
    <cellStyle name="Normal 36 2 4 3 3" xfId="48583" xr:uid="{E15FD820-26AA-40EE-9A0C-4B9A9FB794B1}"/>
    <cellStyle name="Normal 36 2 4 3 3 2" xfId="48584" xr:uid="{D23FD279-9969-4A30-88DA-F04217AFF246}"/>
    <cellStyle name="Normal 36 2 4 3 3 2 2" xfId="48585" xr:uid="{462F20A1-E0C8-48A4-BD00-07D20D038A6C}"/>
    <cellStyle name="Normal 36 2 4 3 3 3" xfId="48586" xr:uid="{A1D28FBD-DC1A-4A67-9AE1-F6A5BEA2DE79}"/>
    <cellStyle name="Normal 36 2 4 3 4" xfId="48587" xr:uid="{A2C0D7C4-0BD4-4DD3-A97E-CB2B0043BD06}"/>
    <cellStyle name="Normal 36 2 4 3 4 2" xfId="48588" xr:uid="{FB78E008-C33C-4EF1-BC2F-5CD31EE189DD}"/>
    <cellStyle name="Normal 36 2 4 3 5" xfId="28949" xr:uid="{DE800630-7C0D-4962-A8A1-7774D51F7AAA}"/>
    <cellStyle name="Normal 36 2 4 4" xfId="48589" xr:uid="{A3851B79-CF7C-4DE2-AE0D-B39F6EA26362}"/>
    <cellStyle name="Normal 36 2 4 4 2" xfId="40146" xr:uid="{991CB2C3-1074-4252-9521-23D54DBB0217}"/>
    <cellStyle name="Normal 36 2 4 4 2 2" xfId="48590" xr:uid="{24BED05D-398E-47F5-A98E-4FF2463C9800}"/>
    <cellStyle name="Normal 36 2 4 4 2 2 2" xfId="48591" xr:uid="{EDD8A31B-B667-4848-A976-016BB2E7AC88}"/>
    <cellStyle name="Normal 36 2 4 4 2 3" xfId="48592" xr:uid="{FDB8B9B3-3134-4F6B-9907-EA593A545C62}"/>
    <cellStyle name="Normal 36 2 4 4 3" xfId="40148" xr:uid="{2724FB9F-0E44-4B22-ACAC-3A6142B2B7A2}"/>
    <cellStyle name="Normal 36 2 4 4 3 2" xfId="48593" xr:uid="{83600593-5100-46B4-931D-936D1F518F61}"/>
    <cellStyle name="Normal 36 2 4 4 4" xfId="48594" xr:uid="{27579C71-CB4C-4652-B616-9344904209EC}"/>
    <cellStyle name="Normal 36 2 4 5" xfId="48595" xr:uid="{60D8826E-C760-43E6-973C-6A823A867FC5}"/>
    <cellStyle name="Normal 36 2 4 5 2" xfId="48596" xr:uid="{5E6F533A-DEB9-4233-8FA6-395EC82D9FF8}"/>
    <cellStyle name="Normal 36 2 4 5 2 2" xfId="48597" xr:uid="{E0E37B25-403E-44AF-A5C6-6E023A45FCDB}"/>
    <cellStyle name="Normal 36 2 4 5 3" xfId="48598" xr:uid="{C9F57902-1481-4B1E-9E97-C84C3303E57E}"/>
    <cellStyle name="Normal 36 2 4 6" xfId="48599" xr:uid="{ACF6AC45-2CF9-4218-8E0F-C4F010CF6504}"/>
    <cellStyle name="Normal 36 2 4 6 2" xfId="48600" xr:uid="{0D334271-EB40-4902-A224-9C975D230DA7}"/>
    <cellStyle name="Normal 36 2 4 7" xfId="48601" xr:uid="{9124CFD7-97F9-47D0-A0C5-EB7E1924C69A}"/>
    <cellStyle name="Normal 36 2 4 8" xfId="48602" xr:uid="{3D95E657-AE10-43D5-AA4D-364C44DB17AB}"/>
    <cellStyle name="Normal 36 2 5" xfId="48603" xr:uid="{EAEF5A5B-6DF6-40C9-9518-75D7BFDFD61D}"/>
    <cellStyle name="Normal 36 2 5 2" xfId="16037" xr:uid="{1C698EFD-442F-4BDD-853A-6DF5DECC4E5B}"/>
    <cellStyle name="Normal 36 2 5 2 2" xfId="48604" xr:uid="{08792894-AFE3-45AC-A321-52893992CFF9}"/>
    <cellStyle name="Normal 36 2 5 2 2 2" xfId="48605" xr:uid="{81C9F0CB-B283-4F3B-AC3B-2735D5963AEF}"/>
    <cellStyle name="Normal 36 2 5 2 2 2 2" xfId="48606" xr:uid="{7F2C789A-177F-4FE9-BF15-CEA54DFCAC00}"/>
    <cellStyle name="Normal 36 2 5 2 2 2 2 2" xfId="48607" xr:uid="{218A7E7C-344E-4C07-BF49-D3104B9B02E5}"/>
    <cellStyle name="Normal 36 2 5 2 2 2 3" xfId="48608" xr:uid="{19B9F44B-1615-429B-BE9D-922F187E6430}"/>
    <cellStyle name="Normal 36 2 5 2 2 3" xfId="48609" xr:uid="{54F1C632-96C0-4003-AC65-AF7B8BA11EEE}"/>
    <cellStyle name="Normal 36 2 5 2 2 3 2" xfId="48610" xr:uid="{D7EF0973-469F-4B64-BE62-5FA7476B219C}"/>
    <cellStyle name="Normal 36 2 5 2 2 4" xfId="48611" xr:uid="{A7CBDE78-4A2B-426E-B36D-8E14134CF0A4}"/>
    <cellStyle name="Normal 36 2 5 2 3" xfId="48612" xr:uid="{80B880EE-5631-41C6-B7B0-D3756D6F7AF8}"/>
    <cellStyle name="Normal 36 2 5 2 3 2" xfId="48613" xr:uid="{0CC22814-CBC9-4BC2-9CCF-C9330F85182C}"/>
    <cellStyle name="Normal 36 2 5 2 3 2 2" xfId="18039" xr:uid="{1F23A9CE-08CA-4045-990D-788E253DEB84}"/>
    <cellStyle name="Normal 36 2 5 2 3 3" xfId="48614" xr:uid="{7C247E01-5D8E-4623-BF6F-B146BF353414}"/>
    <cellStyle name="Normal 36 2 5 2 4" xfId="48615" xr:uid="{5F62AFAB-9748-47C6-B26A-FE210215AFFF}"/>
    <cellStyle name="Normal 36 2 5 2 4 2" xfId="48616" xr:uid="{DB3C2351-DCCE-4364-AD61-2E6F6A563ED6}"/>
    <cellStyle name="Normal 36 2 5 2 5" xfId="48617" xr:uid="{5BC49AB3-B716-466C-9EAA-1EB07EE3C225}"/>
    <cellStyle name="Normal 36 2 5 3" xfId="48618" xr:uid="{F8AA8326-5940-4833-A854-1A31F6894DF4}"/>
    <cellStyle name="Normal 36 2 5 3 2" xfId="48619" xr:uid="{B063B740-818B-46BC-8E00-E4F60724C6AB}"/>
    <cellStyle name="Normal 36 2 5 3 2 2" xfId="48620" xr:uid="{A75804E9-EB30-4DB6-99D0-4044EB66CA7C}"/>
    <cellStyle name="Normal 36 2 5 3 2 2 2" xfId="48621" xr:uid="{FF4E6714-E357-4210-9C84-4295102B87F9}"/>
    <cellStyle name="Normal 36 2 5 3 2 3" xfId="48622" xr:uid="{3337B689-BE5F-45D7-BB53-B81E29877E7A}"/>
    <cellStyle name="Normal 36 2 5 3 3" xfId="46398" xr:uid="{78DA234E-EF60-4C06-8DFE-294D9A76C9C7}"/>
    <cellStyle name="Normal 36 2 5 3 3 2" xfId="46400" xr:uid="{27C961C7-5019-4D88-AC25-0321A72C4EE4}"/>
    <cellStyle name="Normal 36 2 5 3 4" xfId="46404" xr:uid="{0E27190D-065D-4E33-BD2E-DD3ED53CB946}"/>
    <cellStyle name="Normal 36 2 5 4" xfId="48623" xr:uid="{360E86AC-AA27-440D-BAE9-C059050A09FE}"/>
    <cellStyle name="Normal 36 2 5 4 2" xfId="48624" xr:uid="{9E76DAE5-B426-45BC-8B94-FC8A2189AEDB}"/>
    <cellStyle name="Normal 36 2 5 4 2 2" xfId="48625" xr:uid="{EF8AD506-2AF2-4656-AAB8-2C4B7FACCA2A}"/>
    <cellStyle name="Normal 36 2 5 4 3" xfId="46409" xr:uid="{0D172955-8F68-4B9E-A041-FC002FDA2AB4}"/>
    <cellStyle name="Normal 36 2 5 5" xfId="48626" xr:uid="{4A34EB72-1C6B-405E-A339-2735D8018033}"/>
    <cellStyle name="Normal 36 2 5 5 2" xfId="48627" xr:uid="{409C42F1-8683-4D71-B724-EF03FA188EEA}"/>
    <cellStyle name="Normal 36 2 5 6" xfId="48628" xr:uid="{95A3AF2E-6CDC-44C3-8AEC-C01777DA75FA}"/>
    <cellStyle name="Normal 36 2 5 7" xfId="48629" xr:uid="{9837AE7A-612E-497E-844E-6501958AE9A2}"/>
    <cellStyle name="Normal 36 2 6" xfId="48630" xr:uid="{E1B84CD0-8F4A-4414-81C6-BCECB342AEA1}"/>
    <cellStyle name="Normal 36 2 6 2" xfId="48631" xr:uid="{61014610-520E-49ED-8B89-1581644AE3BB}"/>
    <cellStyle name="Normal 36 2 6 2 2" xfId="24988" xr:uid="{E04DB61F-281C-42E0-85F9-C2CD0B0B42F2}"/>
    <cellStyle name="Normal 36 2 6 2 2 2" xfId="48632" xr:uid="{C4764D35-C4BB-4D95-A79E-38DE1DAE3187}"/>
    <cellStyle name="Normal 36 2 6 2 2 2 2" xfId="48633" xr:uid="{1A372CFD-BA08-4D17-9D64-FA2DDB2C02D1}"/>
    <cellStyle name="Normal 36 2 6 2 2 3" xfId="48634" xr:uid="{87C8E13C-60B1-4856-A4E2-AC64AD182C3A}"/>
    <cellStyle name="Normal 36 2 6 2 3" xfId="24991" xr:uid="{50A42086-25FB-4323-B924-C8583E3F6EEC}"/>
    <cellStyle name="Normal 36 2 6 2 3 2" xfId="48635" xr:uid="{3623D915-E114-4C72-8A43-7284E2E17C5E}"/>
    <cellStyle name="Normal 36 2 6 2 4" xfId="24994" xr:uid="{23CC4588-4AC4-4D8D-95CD-F71AEF3CB110}"/>
    <cellStyle name="Normal 36 2 6 3" xfId="48636" xr:uid="{14FCC5D1-969B-434A-934A-3FF4F82F889F}"/>
    <cellStyle name="Normal 36 2 6 3 2" xfId="25016" xr:uid="{7754D099-F003-4C77-A109-67D1682CFBEB}"/>
    <cellStyle name="Normal 36 2 6 3 2 2" xfId="48637" xr:uid="{D9181CEC-AE10-45F7-BBCE-B7C961C5FDF0}"/>
    <cellStyle name="Normal 36 2 6 3 3" xfId="25019" xr:uid="{406B1BC4-0178-45DE-BA14-577FB1222A96}"/>
    <cellStyle name="Normal 36 2 6 4" xfId="48638" xr:uid="{9F135A1B-3079-49CA-BC42-8F1DD24C04C5}"/>
    <cellStyle name="Normal 36 2 6 4 2" xfId="48639" xr:uid="{8B387B25-023B-4B3F-BE94-44C77ED12D67}"/>
    <cellStyle name="Normal 36 2 6 5" xfId="48640" xr:uid="{4765607B-3D28-411A-9E89-397835526EC5}"/>
    <cellStyle name="Normal 36 2 7" xfId="48641" xr:uid="{920AA7F7-8E41-4A59-8BE1-69F797211BD4}"/>
    <cellStyle name="Normal 36 2 7 2" xfId="48642" xr:uid="{C42FBEE8-1F70-495C-A01E-2D86C76C70F1}"/>
    <cellStyle name="Normal 36 2 7 2 2" xfId="48643" xr:uid="{D0B10A50-516A-4564-BAED-F11D61746B7B}"/>
    <cellStyle name="Normal 36 2 7 2 2 2" xfId="48644" xr:uid="{73CA24B6-CC67-4CD4-85D3-843C39F37BC5}"/>
    <cellStyle name="Normal 36 2 7 2 3" xfId="48645" xr:uid="{38F05980-9FA6-40B3-8637-37552066FFB3}"/>
    <cellStyle name="Normal 36 2 7 3" xfId="48646" xr:uid="{4296962B-0E4F-4FC0-B132-87B95CE4F0F1}"/>
    <cellStyle name="Normal 36 2 7 3 2" xfId="48647" xr:uid="{AE419F8D-27E0-499D-B999-395D221A1AA1}"/>
    <cellStyle name="Normal 36 2 7 4" xfId="48648" xr:uid="{E70883E5-56D8-4E6D-BCAA-423FCC0A070B}"/>
    <cellStyle name="Normal 36 2 8" xfId="48649" xr:uid="{636CDA32-D1D4-46EB-89E8-051A954D9CD6}"/>
    <cellStyle name="Normal 36 2 8 2" xfId="48650" xr:uid="{A3E0FB71-0949-44FF-AA46-A5F8D69C47F6}"/>
    <cellStyle name="Normal 36 2 8 2 2" xfId="48651" xr:uid="{B6B4D928-6650-4721-81DB-DEAC063C6673}"/>
    <cellStyle name="Normal 36 2 8 3" xfId="48652" xr:uid="{F1286A04-D698-4640-BA28-CE8B60A6D764}"/>
    <cellStyle name="Normal 36 2 9" xfId="48653" xr:uid="{630ED9B4-3C97-419C-B354-886E9D41C319}"/>
    <cellStyle name="Normal 36 2 9 2" xfId="48654" xr:uid="{813B1E9D-BA31-4A73-A5D6-D8ED8B9A8EE8}"/>
    <cellStyle name="Normal 36 3" xfId="48655" xr:uid="{48AEB935-61C4-452E-B261-EEE9C1A911B0}"/>
    <cellStyle name="Normal 36 3 10" xfId="48656" xr:uid="{5E6391DA-B00F-45CF-BF38-2384371C006F}"/>
    <cellStyle name="Normal 36 3 11" xfId="48657" xr:uid="{0DF1E438-BFD7-423F-8535-FD13D037E7B7}"/>
    <cellStyle name="Normal 36 3 12" xfId="48658" xr:uid="{C88B1B2E-001E-48CE-99D0-9A5555104391}"/>
    <cellStyle name="Normal 36 3 2" xfId="48659" xr:uid="{FE3CFB07-5B35-456D-AAD8-E5D9ADD66B0E}"/>
    <cellStyle name="Normal 36 3 2 10" xfId="35136" xr:uid="{180C45E7-5D0C-4603-BE48-DD19E3D14D22}"/>
    <cellStyle name="Normal 36 3 2 2" xfId="48660" xr:uid="{1D30E9CD-2658-49E1-AC58-9F028DE70C1A}"/>
    <cellStyle name="Normal 36 3 2 2 2" xfId="48661" xr:uid="{1D59DDA7-B9C1-4679-93BB-857D5EE9A8EB}"/>
    <cellStyle name="Normal 36 3 2 2 2 2" xfId="48662" xr:uid="{DEDC7A04-749F-46A5-9BB8-5FF98D3F923C}"/>
    <cellStyle name="Normal 36 3 2 2 2 2 2" xfId="48663" xr:uid="{AB0348AE-8731-4BFA-BC40-FB73531A7237}"/>
    <cellStyle name="Normal 36 3 2 2 2 2 2 2" xfId="48664" xr:uid="{5080CCB1-709C-478E-96BA-C6BB80440C94}"/>
    <cellStyle name="Normal 36 3 2 2 2 2 2 2 2" xfId="48665" xr:uid="{4D64B41A-FCB7-4957-A5BC-534F64000BC3}"/>
    <cellStyle name="Normal 36 3 2 2 2 2 2 2 2 2" xfId="48666" xr:uid="{E2BA1FED-86B8-4A1D-B1A1-A299649D5D73}"/>
    <cellStyle name="Normal 36 3 2 2 2 2 2 2 2 2 2" xfId="48667" xr:uid="{678E8EAC-53EA-4A78-AD7F-9B66B80707C0}"/>
    <cellStyle name="Normal 36 3 2 2 2 2 2 2 2 3" xfId="48668" xr:uid="{AAD1D12E-286F-4C73-A51B-F3637F1B495E}"/>
    <cellStyle name="Normal 36 3 2 2 2 2 2 2 3" xfId="48669" xr:uid="{4409CAE7-73E8-43C2-B462-0742825DAE3A}"/>
    <cellStyle name="Normal 36 3 2 2 2 2 2 2 3 2" xfId="48670" xr:uid="{AA3ACF5E-2F6F-4B95-8283-4E7C9DCA705F}"/>
    <cellStyle name="Normal 36 3 2 2 2 2 2 2 4" xfId="48671" xr:uid="{66C0884A-644E-4756-BAEF-DF2E885FFECB}"/>
    <cellStyle name="Normal 36 3 2 2 2 2 2 3" xfId="48672" xr:uid="{897DF038-036A-4ABB-BE58-F14622E55BCC}"/>
    <cellStyle name="Normal 36 3 2 2 2 2 2 3 2" xfId="48673" xr:uid="{703EFC39-A345-4382-8429-8B75FB230EB1}"/>
    <cellStyle name="Normal 36 3 2 2 2 2 2 3 2 2" xfId="48674" xr:uid="{DE603C96-1543-4ECC-87C5-479FD9C6FB12}"/>
    <cellStyle name="Normal 36 3 2 2 2 2 2 3 3" xfId="48675" xr:uid="{9DF7937D-2314-46E2-BE91-0D832330648F}"/>
    <cellStyle name="Normal 36 3 2 2 2 2 2 4" xfId="48676" xr:uid="{6C9FEBA0-F5CF-4FAE-B1C3-823DB448E970}"/>
    <cellStyle name="Normal 36 3 2 2 2 2 2 4 2" xfId="48677" xr:uid="{614FA301-B265-4505-9177-267F0224E1A7}"/>
    <cellStyle name="Normal 36 3 2 2 2 2 2 5" xfId="48678" xr:uid="{24D06466-3B38-4273-B73A-42165B75B7F4}"/>
    <cellStyle name="Normal 36 3 2 2 2 2 3" xfId="48679" xr:uid="{EAB88D90-0F92-4537-B4C3-4C91673B2534}"/>
    <cellStyle name="Normal 36 3 2 2 2 2 3 2" xfId="48680" xr:uid="{D241AA04-C95F-4DB3-A683-37C92D2C938F}"/>
    <cellStyle name="Normal 36 3 2 2 2 2 3 2 2" xfId="48681" xr:uid="{05DC9721-F555-4D69-A7F8-D6EEA285456E}"/>
    <cellStyle name="Normal 36 3 2 2 2 2 3 2 2 2" xfId="48682" xr:uid="{773FD653-4554-42CB-8BFE-BA48C6ECF892}"/>
    <cellStyle name="Normal 36 3 2 2 2 2 3 2 3" xfId="48683" xr:uid="{E4947246-8A16-4B0A-8986-03FE0D8C21A7}"/>
    <cellStyle name="Normal 36 3 2 2 2 2 3 3" xfId="48684" xr:uid="{4FB633A9-60D2-4CC5-B784-B4147750DF00}"/>
    <cellStyle name="Normal 36 3 2 2 2 2 3 3 2" xfId="48685" xr:uid="{4299BF72-DB3B-4E25-836C-803FFCD88B77}"/>
    <cellStyle name="Normal 36 3 2 2 2 2 3 4" xfId="48686" xr:uid="{89AE235C-4CDB-4169-B2E8-7EA48DBDE5DB}"/>
    <cellStyle name="Normal 36 3 2 2 2 2 4" xfId="48687" xr:uid="{3AF7110A-3E18-4465-B6BA-6B90254D215E}"/>
    <cellStyle name="Normal 36 3 2 2 2 2 4 2" xfId="48688" xr:uid="{BA7AE158-E1FD-43FF-A7A0-BC760D1463EF}"/>
    <cellStyle name="Normal 36 3 2 2 2 2 4 2 2" xfId="46835" xr:uid="{9633C33C-D3D9-40E6-A174-836D29D5E9B2}"/>
    <cellStyle name="Normal 36 3 2 2 2 2 4 3" xfId="48689" xr:uid="{8EF182CE-FD02-4505-ADB6-036853F7E2BF}"/>
    <cellStyle name="Normal 36 3 2 2 2 2 5" xfId="48690" xr:uid="{B2E5A96E-A737-4607-B349-F1A1DFD7008C}"/>
    <cellStyle name="Normal 36 3 2 2 2 2 5 2" xfId="48691" xr:uid="{99C85231-F4CD-436B-A271-2986894FA084}"/>
    <cellStyle name="Normal 36 3 2 2 2 2 6" xfId="48692" xr:uid="{62443134-2656-4DC9-9D64-A89198C38203}"/>
    <cellStyle name="Normal 36 3 2 2 2 2 7" xfId="48693" xr:uid="{A70F2CD6-50CA-445E-8E63-A9E1913A3348}"/>
    <cellStyle name="Normal 36 3 2 2 2 3" xfId="48694" xr:uid="{71528F78-BFA4-420F-9AFE-0E7446CFAA35}"/>
    <cellStyle name="Normal 36 3 2 2 2 3 2" xfId="48695" xr:uid="{63EE6197-AC8D-41A5-97D0-3A29F038347B}"/>
    <cellStyle name="Normal 36 3 2 2 2 3 2 2" xfId="48696" xr:uid="{F01EFC90-5163-449A-B287-631CAE5D9B41}"/>
    <cellStyle name="Normal 36 3 2 2 2 3 2 2 2" xfId="48697" xr:uid="{AE27543C-C0A7-433F-ADEC-5D980019EF6C}"/>
    <cellStyle name="Normal 36 3 2 2 2 3 2 2 2 2" xfId="48698" xr:uid="{975D5EA6-DD43-4C48-9FB0-B7476FEA3163}"/>
    <cellStyle name="Normal 36 3 2 2 2 3 2 2 3" xfId="48699" xr:uid="{8E789ED0-3615-4EB9-9A27-39BDB4AFB1D8}"/>
    <cellStyle name="Normal 36 3 2 2 2 3 2 3" xfId="48700" xr:uid="{3CC4A9FD-4C1B-44C3-BB97-175DEC31B197}"/>
    <cellStyle name="Normal 36 3 2 2 2 3 2 3 2" xfId="48701" xr:uid="{2B270898-2353-45E3-AF9C-79377057DD60}"/>
    <cellStyle name="Normal 36 3 2 2 2 3 2 4" xfId="48702" xr:uid="{B0ED799C-47E8-4207-823B-7DA15DDF3642}"/>
    <cellStyle name="Normal 36 3 2 2 2 3 3" xfId="48703" xr:uid="{95203B3A-0BFE-47BB-B0CF-90FF7B9F0115}"/>
    <cellStyle name="Normal 36 3 2 2 2 3 3 2" xfId="48704" xr:uid="{E02DE6C8-7B86-4C1F-B8FD-5380FF684405}"/>
    <cellStyle name="Normal 36 3 2 2 2 3 3 2 2" xfId="48706" xr:uid="{0DD2A3A2-B44B-48D8-9889-15C61A512B0C}"/>
    <cellStyle name="Normal 36 3 2 2 2 3 3 3" xfId="48707" xr:uid="{F645A4E3-584D-4D44-8D15-173764FD65CB}"/>
    <cellStyle name="Normal 36 3 2 2 2 3 4" xfId="48708" xr:uid="{5B5A7F11-55CE-4AB6-88C4-13E7B484CB76}"/>
    <cellStyle name="Normal 36 3 2 2 2 3 4 2" xfId="48709" xr:uid="{344A2623-8E62-4AB3-8FC6-69D5792CB4DD}"/>
    <cellStyle name="Normal 36 3 2 2 2 3 5" xfId="48710" xr:uid="{7FD22ABA-546F-4843-BA7D-E7DBCB658CE8}"/>
    <cellStyle name="Normal 36 3 2 2 2 4" xfId="48711" xr:uid="{84159090-8828-47EB-BB8F-CB81E2CB6F06}"/>
    <cellStyle name="Normal 36 3 2 2 2 4 2" xfId="48712" xr:uid="{7A41485D-2292-44EF-B9CB-862155B030EC}"/>
    <cellStyle name="Normal 36 3 2 2 2 4 2 2" xfId="48713" xr:uid="{E9383006-C744-4EF7-84E4-D105396A8A9D}"/>
    <cellStyle name="Normal 36 3 2 2 2 4 2 2 2" xfId="48714" xr:uid="{87428D5B-9C4C-41C1-B64E-D9BF0767A10D}"/>
    <cellStyle name="Normal 36 3 2 2 2 4 2 3" xfId="48715" xr:uid="{5EABE16C-4EDB-4308-89CC-B26E38C9AC51}"/>
    <cellStyle name="Normal 36 3 2 2 2 4 3" xfId="48716" xr:uid="{1AD73203-C5B0-4BE6-84FC-8FC6B927D125}"/>
    <cellStyle name="Normal 36 3 2 2 2 4 3 2" xfId="48717" xr:uid="{AD40DD57-2FBB-4720-9A05-095CFA050EB7}"/>
    <cellStyle name="Normal 36 3 2 2 2 4 4" xfId="48718" xr:uid="{72C39276-FDA0-40BB-B053-6C874B089C01}"/>
    <cellStyle name="Normal 36 3 2 2 2 5" xfId="48719" xr:uid="{71F473A4-2F97-4DA0-973D-D8705025F340}"/>
    <cellStyle name="Normal 36 3 2 2 2 5 2" xfId="48720" xr:uid="{2EFBE7A6-03C0-40B0-A672-45E6F43A6592}"/>
    <cellStyle name="Normal 36 3 2 2 2 5 2 2" xfId="48721" xr:uid="{97364693-FCF2-4105-9FDF-924CEDB29A4F}"/>
    <cellStyle name="Normal 36 3 2 2 2 5 3" xfId="48722" xr:uid="{DEA059B2-2754-4358-9640-AB617A0B7782}"/>
    <cellStyle name="Normal 36 3 2 2 2 6" xfId="48723" xr:uid="{9CD34AB4-8A72-41E6-AA4F-ECDD4663070B}"/>
    <cellStyle name="Normal 36 3 2 2 2 6 2" xfId="48724" xr:uid="{43A0C302-9BFC-4BC8-9B85-A7F637DB7130}"/>
    <cellStyle name="Normal 36 3 2 2 2 7" xfId="48725" xr:uid="{AD9F75C8-CAF6-4258-8DF7-20533187892F}"/>
    <cellStyle name="Normal 36 3 2 2 2 8" xfId="48726" xr:uid="{C9077569-C05B-4CCF-B96A-79205232C520}"/>
    <cellStyle name="Normal 36 3 2 2 3" xfId="48727" xr:uid="{781B707E-23E7-4E73-868D-7B9757804E2B}"/>
    <cellStyle name="Normal 36 3 2 2 3 2" xfId="48728" xr:uid="{63D7A7BA-D214-493F-B325-A6F4A1A734AA}"/>
    <cellStyle name="Normal 36 3 2 2 3 2 2" xfId="48729" xr:uid="{40AFB0D6-3F04-4056-B114-AB06B2630DA4}"/>
    <cellStyle name="Normal 36 3 2 2 3 2 2 2" xfId="48730" xr:uid="{ACED4ED3-E3E7-47BF-A2AD-15A05528923C}"/>
    <cellStyle name="Normal 36 3 2 2 3 2 2 2 2" xfId="48731" xr:uid="{E31E08B7-96C2-4724-8D80-2974B43B619F}"/>
    <cellStyle name="Normal 36 3 2 2 3 2 2 2 2 2" xfId="48732" xr:uid="{9256E622-9343-4026-B5D7-1D501964EE30}"/>
    <cellStyle name="Normal 36 3 2 2 3 2 2 2 3" xfId="48733" xr:uid="{E78EA187-6AA0-447C-AEE8-36AB4F04D4DD}"/>
    <cellStyle name="Normal 36 3 2 2 3 2 2 3" xfId="48734" xr:uid="{C5FA53EC-758B-4BB7-81D2-5A6B02572E35}"/>
    <cellStyle name="Normal 36 3 2 2 3 2 2 3 2" xfId="467" xr:uid="{A2083B59-3478-4C97-B60B-074382FF6632}"/>
    <cellStyle name="Normal 36 3 2 2 3 2 2 4" xfId="48735" xr:uid="{BF512823-0A85-458C-8D66-D8CFE210D2E0}"/>
    <cellStyle name="Normal 36 3 2 2 3 2 3" xfId="48736" xr:uid="{5F0F9687-C974-4D94-87B2-B0F2DF306C89}"/>
    <cellStyle name="Normal 36 3 2 2 3 2 3 2" xfId="15845" xr:uid="{4BD21A65-CCE3-4D6F-A2CF-3AE073D49FA7}"/>
    <cellStyle name="Normal 36 3 2 2 3 2 3 2 2" xfId="48737" xr:uid="{6DC80EA4-ECF9-46F7-B3E8-81619AF9A73F}"/>
    <cellStyle name="Normal 36 3 2 2 3 2 3 3" xfId="48738" xr:uid="{AA2BBC7C-0577-4891-B6EB-756C4A83F589}"/>
    <cellStyle name="Normal 36 3 2 2 3 2 4" xfId="48739" xr:uid="{9F35060B-00BD-4BA7-A6BF-FBCC9F68E60A}"/>
    <cellStyle name="Normal 36 3 2 2 3 2 4 2" xfId="48740" xr:uid="{1717C783-447D-49AA-9887-F74DA0AEF6B6}"/>
    <cellStyle name="Normal 36 3 2 2 3 2 5" xfId="48741" xr:uid="{8E0A4F94-BC6F-4A57-8086-F65446DCAEB2}"/>
    <cellStyle name="Normal 36 3 2 2 3 3" xfId="48742" xr:uid="{448FE334-92C0-4D0C-B6C0-2B76D3DF0689}"/>
    <cellStyle name="Normal 36 3 2 2 3 3 2" xfId="48743" xr:uid="{987CDB04-CE7C-403D-ADCD-C3BA91AE1AEC}"/>
    <cellStyle name="Normal 36 3 2 2 3 3 2 2" xfId="48744" xr:uid="{328BE4C0-4DE1-45FC-B91C-B445D78F1DA9}"/>
    <cellStyle name="Normal 36 3 2 2 3 3 2 2 2" xfId="48745" xr:uid="{D5600245-D3B3-4DB0-A049-4A7DD0C34662}"/>
    <cellStyle name="Normal 36 3 2 2 3 3 2 3" xfId="48746" xr:uid="{4473D526-9EC1-43B7-8717-BF63048B3455}"/>
    <cellStyle name="Normal 36 3 2 2 3 3 3" xfId="48747" xr:uid="{A093BFAA-3E3D-43DE-9661-D6BDD5589012}"/>
    <cellStyle name="Normal 36 3 2 2 3 3 3 2" xfId="48748" xr:uid="{6ACA4164-4051-4DA6-8F33-D56F3A4B87C8}"/>
    <cellStyle name="Normal 36 3 2 2 3 3 4" xfId="48749" xr:uid="{3E6AB93F-4E60-49F6-8931-FDE556EE41A5}"/>
    <cellStyle name="Normal 36 3 2 2 3 4" xfId="48750" xr:uid="{34AE7C9C-D89E-4CA1-B7CC-ACB6985B5D02}"/>
    <cellStyle name="Normal 36 3 2 2 3 4 2" xfId="48751" xr:uid="{87FEC6D4-0913-4C0B-85C0-5DC868712917}"/>
    <cellStyle name="Normal 36 3 2 2 3 4 2 2" xfId="48752" xr:uid="{5F4F7664-AED0-4E6F-855E-066F943BC5B3}"/>
    <cellStyle name="Normal 36 3 2 2 3 4 3" xfId="48753" xr:uid="{FDDF702F-76F1-4136-B743-4F5FD6F682EB}"/>
    <cellStyle name="Normal 36 3 2 2 3 5" xfId="48754" xr:uid="{95B6C008-B66A-4915-B7F9-A4B83FFF800C}"/>
    <cellStyle name="Normal 36 3 2 2 3 5 2" xfId="48755" xr:uid="{8E1010DE-C6F3-4F44-8331-1A9441D65CE3}"/>
    <cellStyle name="Normal 36 3 2 2 3 6" xfId="48756" xr:uid="{0B652900-EE20-4B0B-B521-171B706BF317}"/>
    <cellStyle name="Normal 36 3 2 2 3 7" xfId="48757" xr:uid="{D3B234CC-60AE-447C-A02F-4914430BAC0B}"/>
    <cellStyle name="Normal 36 3 2 2 4" xfId="48758" xr:uid="{CAD464AA-297E-4866-B481-748B4468B862}"/>
    <cellStyle name="Normal 36 3 2 2 4 2" xfId="48759" xr:uid="{5916D1A5-2D17-414B-BACF-4E57C699903E}"/>
    <cellStyle name="Normal 36 3 2 2 4 2 2" xfId="48760" xr:uid="{51DCD3A4-C4EE-46DF-A00F-1F8AC1F0CDCF}"/>
    <cellStyle name="Normal 36 3 2 2 4 2 2 2" xfId="48761" xr:uid="{4C06F53E-9A78-49C3-8BC0-8DBC40AC7D21}"/>
    <cellStyle name="Normal 36 3 2 2 4 2 2 2 2" xfId="48762" xr:uid="{0A08763B-A453-4D94-A0C4-956D0FCB8CD9}"/>
    <cellStyle name="Normal 36 3 2 2 4 2 2 3" xfId="48763" xr:uid="{C6EFF0D3-D2DB-4EC5-8EF8-812CABE75D43}"/>
    <cellStyle name="Normal 36 3 2 2 4 2 3" xfId="48764" xr:uid="{13C1C45A-5F37-4580-BBA3-D6B90BE6E708}"/>
    <cellStyle name="Normal 36 3 2 2 4 2 3 2" xfId="48765" xr:uid="{EC98BE4A-AAD1-4519-924A-DF900E34BD6A}"/>
    <cellStyle name="Normal 36 3 2 2 4 2 4" xfId="48766" xr:uid="{7CE618A6-F15E-4CB6-920C-8525CB6A6FF0}"/>
    <cellStyle name="Normal 36 3 2 2 4 3" xfId="48767" xr:uid="{355747BF-C0ED-43E7-8F0B-44A30088475B}"/>
    <cellStyle name="Normal 36 3 2 2 4 3 2" xfId="48768" xr:uid="{F142BB73-DC33-4EF3-80E4-0D0FEE995ED8}"/>
    <cellStyle name="Normal 36 3 2 2 4 3 2 2" xfId="48769" xr:uid="{148311C3-DF27-496B-BA69-6AFCE859229C}"/>
    <cellStyle name="Normal 36 3 2 2 4 3 3" xfId="48770" xr:uid="{6685C972-FFAF-47EF-9CFD-F5E1120D406D}"/>
    <cellStyle name="Normal 36 3 2 2 4 4" xfId="48771" xr:uid="{D5BC640F-C5D0-4180-9241-8C31501E94C7}"/>
    <cellStyle name="Normal 36 3 2 2 4 4 2" xfId="48772" xr:uid="{9B3B584F-794A-4291-8A03-0CBE1925F58B}"/>
    <cellStyle name="Normal 36 3 2 2 4 5" xfId="48773" xr:uid="{82DF3399-DB34-421B-BE86-9F8E6EAB9098}"/>
    <cellStyle name="Normal 36 3 2 2 5" xfId="48774" xr:uid="{A9CC4A1C-4C9F-4CF3-8E51-EE1940494EEB}"/>
    <cellStyle name="Normal 36 3 2 2 5 2" xfId="48775" xr:uid="{1A2ECA6B-C605-4F28-BDAC-97E9BE84FA0C}"/>
    <cellStyle name="Normal 36 3 2 2 5 2 2" xfId="48776" xr:uid="{28A00258-219A-41DC-865F-B3F65C2DF060}"/>
    <cellStyle name="Normal 36 3 2 2 5 2 2 2" xfId="48777" xr:uid="{126D19A5-4380-4089-96A4-0163967638C8}"/>
    <cellStyle name="Normal 36 3 2 2 5 2 3" xfId="48778" xr:uid="{8506089B-24E0-44C4-9057-D2024BF69095}"/>
    <cellStyle name="Normal 36 3 2 2 5 3" xfId="48779" xr:uid="{3BA1F092-D4C8-4361-A071-264B352D8E83}"/>
    <cellStyle name="Normal 36 3 2 2 5 3 2" xfId="48780" xr:uid="{5B07B4D4-D251-42E5-8250-1471C67DDADC}"/>
    <cellStyle name="Normal 36 3 2 2 5 4" xfId="48781" xr:uid="{F21120E9-30DB-406B-81EE-169D8936778A}"/>
    <cellStyle name="Normal 36 3 2 2 6" xfId="48782" xr:uid="{2C65A866-F149-40FC-9C0B-8C694D6A3104}"/>
    <cellStyle name="Normal 36 3 2 2 6 2" xfId="48783" xr:uid="{B5B8B578-9F05-499B-93D9-12805EF0292B}"/>
    <cellStyle name="Normal 36 3 2 2 6 2 2" xfId="48784" xr:uid="{2BC4FC05-50B6-4AB2-8FC1-1812938BF730}"/>
    <cellStyle name="Normal 36 3 2 2 6 3" xfId="48785" xr:uid="{2CD8C973-0D36-49A9-9B1F-A4495FC4802E}"/>
    <cellStyle name="Normal 36 3 2 2 7" xfId="48786" xr:uid="{CD4DC319-E913-430B-96CD-07FA2377473B}"/>
    <cellStyle name="Normal 36 3 2 2 7 2" xfId="48787" xr:uid="{6B46D323-2EA8-4AC3-BC8E-D2FA8C17BA60}"/>
    <cellStyle name="Normal 36 3 2 2 8" xfId="48788" xr:uid="{FA645775-60AF-4101-821D-1444B40EB33B}"/>
    <cellStyle name="Normal 36 3 2 2 9" xfId="48789" xr:uid="{AD9F5619-C091-42C9-98B8-5B552BF057E1}"/>
    <cellStyle name="Normal 36 3 2 3" xfId="48790" xr:uid="{C07A1216-58EA-4C11-8037-F20815651BEF}"/>
    <cellStyle name="Normal 36 3 2 3 2" xfId="48791" xr:uid="{EC185BD3-9D34-4722-BDD9-57103476CB7D}"/>
    <cellStyle name="Normal 36 3 2 3 2 2" xfId="48792" xr:uid="{6F00A49D-6EDD-4D4E-99AC-A64A55EE7917}"/>
    <cellStyle name="Normal 36 3 2 3 2 2 2" xfId="48793" xr:uid="{ECAE6E14-4FC0-4B8A-9443-BA9FA58C2D3E}"/>
    <cellStyle name="Normal 36 3 2 3 2 2 2 2" xfId="48794" xr:uid="{3BA8092D-3B4E-4871-8CD0-BC49A042EB63}"/>
    <cellStyle name="Normal 36 3 2 3 2 2 2 2 2" xfId="48795" xr:uid="{F069EB5A-810A-456F-8484-45AB1CF9DFEE}"/>
    <cellStyle name="Normal 36 3 2 3 2 2 2 2 2 2" xfId="48796" xr:uid="{029A80A1-7BD6-47AE-A5C2-0E7DAB4A89A7}"/>
    <cellStyle name="Normal 36 3 2 3 2 2 2 2 3" xfId="48797" xr:uid="{B65890EC-937F-4CFB-893B-AE4D536885FB}"/>
    <cellStyle name="Normal 36 3 2 3 2 2 2 3" xfId="48798" xr:uid="{9ADCB0FA-B100-4EF8-BD28-9AB46B943175}"/>
    <cellStyle name="Normal 36 3 2 3 2 2 2 3 2" xfId="48799" xr:uid="{BBD42B4D-9C7C-4219-B391-94D6DAE26B01}"/>
    <cellStyle name="Normal 36 3 2 3 2 2 2 4" xfId="48800" xr:uid="{113A682E-0734-4282-A2E7-A5A50E34DF58}"/>
    <cellStyle name="Normal 36 3 2 3 2 2 3" xfId="48801" xr:uid="{D55F5D14-B03F-43E3-B00D-B24FDD38CF26}"/>
    <cellStyle name="Normal 36 3 2 3 2 2 3 2" xfId="48802" xr:uid="{77B811B2-A4F5-415A-9201-E12D613CFE37}"/>
    <cellStyle name="Normal 36 3 2 3 2 2 3 2 2" xfId="48803" xr:uid="{8D09549B-258F-4C39-99C4-BF52EC5B7CB3}"/>
    <cellStyle name="Normal 36 3 2 3 2 2 3 3" xfId="48804" xr:uid="{0A8B95D4-92C7-40EC-8E22-F20A1B39B75D}"/>
    <cellStyle name="Normal 36 3 2 3 2 2 4" xfId="48805" xr:uid="{1ABD2821-0480-4245-9009-D44D3DADEC29}"/>
    <cellStyle name="Normal 36 3 2 3 2 2 4 2" xfId="29235" xr:uid="{986E18B5-80D8-481D-9A66-71F8EB19002F}"/>
    <cellStyle name="Normal 36 3 2 3 2 2 5" xfId="48806" xr:uid="{12DE0036-5376-4A46-8E4B-78AFA93FFDA1}"/>
    <cellStyle name="Normal 36 3 2 3 2 3" xfId="48807" xr:uid="{B216EA6E-BD36-4EEA-AC28-E59EA66C5288}"/>
    <cellStyle name="Normal 36 3 2 3 2 3 2" xfId="48808" xr:uid="{1D2FFEF4-2492-485B-8079-0BB188D1FBC8}"/>
    <cellStyle name="Normal 36 3 2 3 2 3 2 2" xfId="48809" xr:uid="{A3DD3BBE-D3B8-4F8B-A240-1E0ADDC06A97}"/>
    <cellStyle name="Normal 36 3 2 3 2 3 2 2 2" xfId="48810" xr:uid="{132D751E-0D0A-497D-9037-28F4080C6C76}"/>
    <cellStyle name="Normal 36 3 2 3 2 3 2 3" xfId="48811" xr:uid="{4531E98C-77C9-4179-9EC3-F4628DEE5E09}"/>
    <cellStyle name="Normal 36 3 2 3 2 3 3" xfId="48812" xr:uid="{788AA559-DB28-42E9-BAF7-331B0BCC9E85}"/>
    <cellStyle name="Normal 36 3 2 3 2 3 3 2" xfId="48813" xr:uid="{8F36C148-F8BD-4FDD-A618-13DB771FC950}"/>
    <cellStyle name="Normal 36 3 2 3 2 3 4" xfId="48814" xr:uid="{FD0AF7EF-B289-4827-A0CB-8049953010D9}"/>
    <cellStyle name="Normal 36 3 2 3 2 4" xfId="48815" xr:uid="{6EB0C046-B3E4-4DC6-8F3D-491C0910568C}"/>
    <cellStyle name="Normal 36 3 2 3 2 4 2" xfId="48816" xr:uid="{9F5651CD-B936-4C60-9E35-DBDDE6BFC616}"/>
    <cellStyle name="Normal 36 3 2 3 2 4 2 2" xfId="48817" xr:uid="{DE358975-02E2-4194-A267-4FF2BAF1D219}"/>
    <cellStyle name="Normal 36 3 2 3 2 4 3" xfId="48818" xr:uid="{FDB04108-858F-4249-9FE3-F6C036181A31}"/>
    <cellStyle name="Normal 36 3 2 3 2 5" xfId="48819" xr:uid="{08E901A2-B975-48DE-9851-FED2FA09D673}"/>
    <cellStyle name="Normal 36 3 2 3 2 5 2" xfId="48820" xr:uid="{03FAEA55-F6C8-4DA9-B85B-ADF38FC0CBB4}"/>
    <cellStyle name="Normal 36 3 2 3 2 6" xfId="48821" xr:uid="{05B23540-3C13-451F-9CED-937F88351B81}"/>
    <cellStyle name="Normal 36 3 2 3 2 7" xfId="48822" xr:uid="{29CD3573-B939-431F-A862-3C7199F1B838}"/>
    <cellStyle name="Normal 36 3 2 3 3" xfId="48823" xr:uid="{AFE15385-BEE4-40FD-9FBD-5CBC72DF7D7C}"/>
    <cellStyle name="Normal 36 3 2 3 3 2" xfId="48824" xr:uid="{AAC2A383-A0AE-4114-BBB7-F51E5420609D}"/>
    <cellStyle name="Normal 36 3 2 3 3 2 2" xfId="48825" xr:uid="{CEB0D9DF-C4BA-4390-8FD7-D8A9F447502B}"/>
    <cellStyle name="Normal 36 3 2 3 3 2 2 2" xfId="48826" xr:uid="{8B714578-EA01-4DC5-B3F3-4B87E73B6321}"/>
    <cellStyle name="Normal 36 3 2 3 3 2 2 2 2" xfId="48827" xr:uid="{C80634C6-B6DE-4351-97CA-93DFC5F54F9F}"/>
    <cellStyle name="Normal 36 3 2 3 3 2 2 3" xfId="48828" xr:uid="{B5AA5FDF-A333-4286-A6E8-5C112390F732}"/>
    <cellStyle name="Normal 36 3 2 3 3 2 3" xfId="48829" xr:uid="{A59D265B-A424-42FC-800B-063E9449123F}"/>
    <cellStyle name="Normal 36 3 2 3 3 2 3 2" xfId="48830" xr:uid="{92AD6506-A25B-48D7-A037-5108BB1CDEC0}"/>
    <cellStyle name="Normal 36 3 2 3 3 2 4" xfId="48831" xr:uid="{6FCA6E61-7BCA-4C2C-9E94-FE1C5180A919}"/>
    <cellStyle name="Normal 36 3 2 3 3 3" xfId="48832" xr:uid="{0B9A34E6-A652-453E-A2FE-CE36311A714F}"/>
    <cellStyle name="Normal 36 3 2 3 3 3 2" xfId="48833" xr:uid="{654E2CD2-4B21-44B3-A556-97E67D73F298}"/>
    <cellStyle name="Normal 36 3 2 3 3 3 2 2" xfId="48834" xr:uid="{EE04364D-7678-42B5-B4F4-550040F45EDB}"/>
    <cellStyle name="Normal 36 3 2 3 3 3 3" xfId="48835" xr:uid="{05983FFD-8493-456B-8B75-ED7A42EEEB0C}"/>
    <cellStyle name="Normal 36 3 2 3 3 4" xfId="48836" xr:uid="{3F420A90-4BA1-483F-98F2-8098AEE21A67}"/>
    <cellStyle name="Normal 36 3 2 3 3 4 2" xfId="48837" xr:uid="{43F1162F-F330-41B0-BE58-8C73EA56BF7F}"/>
    <cellStyle name="Normal 36 3 2 3 3 5" xfId="48838" xr:uid="{9CDB1092-5DF1-40FE-B000-DE8F2D5800E3}"/>
    <cellStyle name="Normal 36 3 2 3 4" xfId="48839" xr:uid="{E52C51D7-A779-46D7-8FF5-51B19964BFBC}"/>
    <cellStyle name="Normal 36 3 2 3 4 2" xfId="48840" xr:uid="{8EF6EE40-FA67-4337-8EE5-4CACB7ED1B48}"/>
    <cellStyle name="Normal 36 3 2 3 4 2 2" xfId="48841" xr:uid="{927166DF-7EBA-4C7B-A69B-C0AB7A2106F8}"/>
    <cellStyle name="Normal 36 3 2 3 4 2 2 2" xfId="48842" xr:uid="{DFDD3F0B-7B68-4D4B-88EC-14E35732367E}"/>
    <cellStyle name="Normal 36 3 2 3 4 2 3" xfId="48843" xr:uid="{388E707F-BF2B-42F4-9181-500C411D2EEF}"/>
    <cellStyle name="Normal 36 3 2 3 4 3" xfId="48844" xr:uid="{F7F6704C-1492-4352-B015-7F3D29EB3CE6}"/>
    <cellStyle name="Normal 36 3 2 3 4 3 2" xfId="48845" xr:uid="{9D7EFBF3-3077-4FD6-A96E-60B2181844B9}"/>
    <cellStyle name="Normal 36 3 2 3 4 4" xfId="48846" xr:uid="{C0C7185C-E4A0-4BF4-8DF5-18F311EBC417}"/>
    <cellStyle name="Normal 36 3 2 3 5" xfId="48847" xr:uid="{1773D499-C187-4DC7-9FA5-0576CF108082}"/>
    <cellStyle name="Normal 36 3 2 3 5 2" xfId="48848" xr:uid="{D18317D2-072A-4FA3-BB55-DDDC278EF76D}"/>
    <cellStyle name="Normal 36 3 2 3 5 2 2" xfId="48849" xr:uid="{346142C0-9E35-49DD-97A5-D7047BBB8116}"/>
    <cellStyle name="Normal 36 3 2 3 5 3" xfId="48850" xr:uid="{D7F363FD-3D42-4E73-BDF7-DB53469A870F}"/>
    <cellStyle name="Normal 36 3 2 3 6" xfId="48851" xr:uid="{48DAEDEA-4B14-40C5-8A5D-BC75CF3658AA}"/>
    <cellStyle name="Normal 36 3 2 3 6 2" xfId="48852" xr:uid="{D2BC5A41-C565-42CA-B5C3-3AD2F6BE6E59}"/>
    <cellStyle name="Normal 36 3 2 3 7" xfId="48853" xr:uid="{D9AB71F1-38AD-41F3-AF4D-08E34CDA84A5}"/>
    <cellStyle name="Normal 36 3 2 3 8" xfId="48854" xr:uid="{4020A710-10FC-490C-8CB0-281CAA4CF151}"/>
    <cellStyle name="Normal 36 3 2 4" xfId="48855" xr:uid="{6486F049-138E-454B-9F7E-448674B817BE}"/>
    <cellStyle name="Normal 36 3 2 4 2" xfId="47778" xr:uid="{8475368C-82A3-448D-9D56-445098A7B1E1}"/>
    <cellStyle name="Normal 36 3 2 4 2 2" xfId="47780" xr:uid="{EC6E40A6-A45F-4258-8AB6-9D9C9DEC4732}"/>
    <cellStyle name="Normal 36 3 2 4 2 2 2" xfId="47782" xr:uid="{BE21F39E-E0BB-464E-8941-E9AC7F8CD37D}"/>
    <cellStyle name="Normal 36 3 2 4 2 2 2 2" xfId="48856" xr:uid="{E3C09EF4-B25C-4A2D-9790-85F0012C84A5}"/>
    <cellStyle name="Normal 36 3 2 4 2 2 2 2 2" xfId="48857" xr:uid="{52D64B94-8E97-4211-BE9B-A89C99D88BCA}"/>
    <cellStyle name="Normal 36 3 2 4 2 2 2 3" xfId="48858" xr:uid="{CF263AEE-EA6C-42AB-A229-93E141F16CCA}"/>
    <cellStyle name="Normal 36 3 2 4 2 2 3" xfId="48859" xr:uid="{9DA41907-D67E-4A5D-9118-413F87CBD377}"/>
    <cellStyle name="Normal 36 3 2 4 2 2 3 2" xfId="48860" xr:uid="{CF245518-CA90-47F6-8BAE-E45A28B95A64}"/>
    <cellStyle name="Normal 36 3 2 4 2 2 4" xfId="48861" xr:uid="{2A409561-C649-4FF4-8B7D-39BC4D7F3484}"/>
    <cellStyle name="Normal 36 3 2 4 2 3" xfId="47784" xr:uid="{5FBE3816-AB97-4A2C-BDA8-302E11D84077}"/>
    <cellStyle name="Normal 36 3 2 4 2 3 2" xfId="48862" xr:uid="{E1CF2A13-F7F3-4817-B58E-BEC5E47969F2}"/>
    <cellStyle name="Normal 36 3 2 4 2 3 2 2" xfId="48863" xr:uid="{E7CDD598-DC2A-4DD0-B840-B1C0D9692770}"/>
    <cellStyle name="Normal 36 3 2 4 2 3 3" xfId="48864" xr:uid="{939D6C60-DAA8-4008-AC1E-EC8A00EDEB6F}"/>
    <cellStyle name="Normal 36 3 2 4 2 4" xfId="48865" xr:uid="{E7713AA1-28D5-4B39-A6A7-731287B86E25}"/>
    <cellStyle name="Normal 36 3 2 4 2 4 2" xfId="43520" xr:uid="{530792C0-6487-4AD6-8B84-BEE1E41DC2A0}"/>
    <cellStyle name="Normal 36 3 2 4 2 5" xfId="48866" xr:uid="{90E6A2A2-C561-4D00-885C-0D394330CF48}"/>
    <cellStyle name="Normal 36 3 2 4 3" xfId="47786" xr:uid="{1074A277-A698-4B12-9129-1DD30FB14DF7}"/>
    <cellStyle name="Normal 36 3 2 4 3 2" xfId="47788" xr:uid="{5C73D5EB-39DD-403A-89CA-1D98E018C5AF}"/>
    <cellStyle name="Normal 36 3 2 4 3 2 2" xfId="48867" xr:uid="{FCDCC9D6-CE69-4FD6-957C-C45B9484D3EE}"/>
    <cellStyle name="Normal 36 3 2 4 3 2 2 2" xfId="48868" xr:uid="{A43AA901-7367-4F2F-B0AD-788039A14E7A}"/>
    <cellStyle name="Normal 36 3 2 4 3 2 3" xfId="48869" xr:uid="{FEB11D67-A24D-43AA-B42D-CD4A1D139C27}"/>
    <cellStyle name="Normal 36 3 2 4 3 3" xfId="48870" xr:uid="{BB645B83-CC91-4906-9DEC-CAAD522C161C}"/>
    <cellStyle name="Normal 36 3 2 4 3 3 2" xfId="48871" xr:uid="{43A23641-74D9-4130-89B0-878FA8A5572D}"/>
    <cellStyle name="Normal 36 3 2 4 3 4" xfId="48872" xr:uid="{00E98441-2920-4237-B0CC-FDCA931140C6}"/>
    <cellStyle name="Normal 36 3 2 4 4" xfId="47790" xr:uid="{5F968237-6A60-4D4F-A4D4-38987663C033}"/>
    <cellStyle name="Normal 36 3 2 4 4 2" xfId="48873" xr:uid="{80AF292F-53B9-40A1-834B-BF53F13F48C1}"/>
    <cellStyle name="Normal 36 3 2 4 4 2 2" xfId="48874" xr:uid="{52165969-A844-4A1F-9B43-46DBA83C4206}"/>
    <cellStyle name="Normal 36 3 2 4 4 3" xfId="48875" xr:uid="{33D8A3AF-1961-4ADC-8F29-34079B832B3B}"/>
    <cellStyle name="Normal 36 3 2 4 5" xfId="47792" xr:uid="{0859F6E8-2D07-4CE9-96D8-E5B2EA631492}"/>
    <cellStyle name="Normal 36 3 2 4 5 2" xfId="48876" xr:uid="{C0C297A6-30EC-4553-A8AF-7F33142757E4}"/>
    <cellStyle name="Normal 36 3 2 4 6" xfId="48877" xr:uid="{AAAE83A6-CB2C-4137-9620-EF0D88C3584C}"/>
    <cellStyle name="Normal 36 3 2 4 7" xfId="48878" xr:uid="{E3760756-6374-445D-B520-F94004A7E3A1}"/>
    <cellStyle name="Normal 36 3 2 5" xfId="48879" xr:uid="{A3CC4E39-903B-4436-8414-0980A0809AFB}"/>
    <cellStyle name="Normal 36 3 2 5 2" xfId="47852" xr:uid="{192C7CD1-7843-4F8E-BD30-CF7D243A7253}"/>
    <cellStyle name="Normal 36 3 2 5 2 2" xfId="47854" xr:uid="{66916207-6A38-49B0-9B1B-C3D654AC22C9}"/>
    <cellStyle name="Normal 36 3 2 5 2 2 2" xfId="48880" xr:uid="{38DEDC42-0BA6-45F2-B59A-C1A7D840B5F5}"/>
    <cellStyle name="Normal 36 3 2 5 2 2 2 2" xfId="48881" xr:uid="{C5E967E8-1632-4AFA-8B01-F7DA96656E41}"/>
    <cellStyle name="Normal 36 3 2 5 2 2 3" xfId="48882" xr:uid="{2D73878D-72BE-4DB2-83AE-02CEC5289410}"/>
    <cellStyle name="Normal 36 3 2 5 2 3" xfId="48883" xr:uid="{E2DAC9A5-FE53-4BA5-9A9E-A7B079B25845}"/>
    <cellStyle name="Normal 36 3 2 5 2 3 2" xfId="48884" xr:uid="{EE06BC52-686E-4175-9A6B-FEE1E65352DB}"/>
    <cellStyle name="Normal 36 3 2 5 2 4" xfId="48885" xr:uid="{9CB232E5-0182-40A2-BCBC-7B0AAA695959}"/>
    <cellStyle name="Normal 36 3 2 5 3" xfId="47856" xr:uid="{33617FC2-3296-46B1-B038-D4DCBB520C99}"/>
    <cellStyle name="Normal 36 3 2 5 3 2" xfId="48886" xr:uid="{24BB87CA-86EB-496F-B9A2-F6821E31A168}"/>
    <cellStyle name="Normal 36 3 2 5 3 2 2" xfId="48887" xr:uid="{5C0E62A7-A52C-4AA6-96C1-94419636BC59}"/>
    <cellStyle name="Normal 36 3 2 5 3 3" xfId="48888" xr:uid="{69E07CDC-AC42-495D-B676-B17BCBA78443}"/>
    <cellStyle name="Normal 36 3 2 5 4" xfId="47858" xr:uid="{5C0EF880-4719-4715-9EC3-FF59960F9E80}"/>
    <cellStyle name="Normal 36 3 2 5 4 2" xfId="48889" xr:uid="{C2ABE634-8855-4FAE-B93A-4C817EDDA8CB}"/>
    <cellStyle name="Normal 36 3 2 5 5" xfId="48890" xr:uid="{C66416A8-8FBB-4935-BDD4-CD2A4210CA21}"/>
    <cellStyle name="Normal 36 3 2 6" xfId="48891" xr:uid="{FC778DCE-3BAA-4F6E-B1C5-BCC33B956D00}"/>
    <cellStyle name="Normal 36 3 2 6 2" xfId="47895" xr:uid="{0A96550B-54B9-43A2-8D64-C6EBF2B97C7E}"/>
    <cellStyle name="Normal 36 3 2 6 2 2" xfId="48892" xr:uid="{C0A1EFBE-855C-46AF-B222-8F047E77F58F}"/>
    <cellStyle name="Normal 36 3 2 6 2 2 2" xfId="48893" xr:uid="{295308C2-79A6-46B0-8CDF-D449113E5EBD}"/>
    <cellStyle name="Normal 36 3 2 6 2 3" xfId="48894" xr:uid="{5DC841F7-8122-4BAD-BB2F-04B069151A51}"/>
    <cellStyle name="Normal 36 3 2 6 3" xfId="47897" xr:uid="{EFDA7EB8-11FD-4A96-9780-9F20129AFF0D}"/>
    <cellStyle name="Normal 36 3 2 6 3 2" xfId="48895" xr:uid="{82F2EDB1-D037-4354-8076-DF6ED96C1148}"/>
    <cellStyle name="Normal 36 3 2 6 4" xfId="48896" xr:uid="{90C91B00-007E-4630-906E-EC176ED3BC21}"/>
    <cellStyle name="Normal 36 3 2 7" xfId="48897" xr:uid="{E00AB81A-E14E-4262-B2D0-771E5F75FFA2}"/>
    <cellStyle name="Normal 36 3 2 7 2" xfId="48898" xr:uid="{A84393CF-AB40-4309-8032-C06F3A15A182}"/>
    <cellStyle name="Normal 36 3 2 7 2 2" xfId="48899" xr:uid="{3851D815-824A-4EBF-AEA5-A59FB4266843}"/>
    <cellStyle name="Normal 36 3 2 7 3" xfId="48900" xr:uid="{B0F9FE5D-256C-4FA4-954D-36912606ECDE}"/>
    <cellStyle name="Normal 36 3 2 8" xfId="48901" xr:uid="{0ED65688-195A-4FA4-8BC7-C81E4B573DF7}"/>
    <cellStyle name="Normal 36 3 2 8 2" xfId="48902" xr:uid="{CAF5EC9F-7C92-4452-825E-C8ADD5444221}"/>
    <cellStyle name="Normal 36 3 2 9" xfId="48903" xr:uid="{972EC3FC-B7EE-4810-824B-F57335D66F4F}"/>
    <cellStyle name="Normal 36 3 3" xfId="48905" xr:uid="{DF461EFF-9FF8-4759-985E-6A5EB2724DE4}"/>
    <cellStyle name="Normal 36 3 3 2" xfId="48906" xr:uid="{DEEAF1BC-C001-4D04-A94B-089804EFDBAD}"/>
    <cellStyle name="Normal 36 3 3 2 2" xfId="16161" xr:uid="{B3C43CE7-6316-4A4B-8D6D-CE0A8492D1D7}"/>
    <cellStyle name="Normal 36 3 3 2 2 2" xfId="35840" xr:uid="{670D9959-B26D-4EDA-BD8D-2AC3A71F3068}"/>
    <cellStyle name="Normal 36 3 3 2 2 2 2" xfId="48907" xr:uid="{99B38898-8792-4345-AF1A-B7AA21FDB59C}"/>
    <cellStyle name="Normal 36 3 3 2 2 2 2 2" xfId="48908" xr:uid="{86380525-7072-45CB-B52D-4E0E60E3AB14}"/>
    <cellStyle name="Normal 36 3 3 2 2 2 2 2 2" xfId="48909" xr:uid="{AC78E32E-9788-4FB2-BEA8-00CF5BD5793D}"/>
    <cellStyle name="Normal 36 3 3 2 2 2 2 2 2 2" xfId="48910" xr:uid="{692A713B-A9E6-4AE3-BDD4-368CD738A2A8}"/>
    <cellStyle name="Normal 36 3 3 2 2 2 2 2 3" xfId="48911" xr:uid="{41293A11-BDBD-4558-9B63-8EC8B20E975B}"/>
    <cellStyle name="Normal 36 3 3 2 2 2 2 3" xfId="48912" xr:uid="{520AE780-734B-42F4-8D3B-DF97DCA7D094}"/>
    <cellStyle name="Normal 36 3 3 2 2 2 2 3 2" xfId="48913" xr:uid="{D61E18CE-DEE3-482B-AE06-15F13D3096FB}"/>
    <cellStyle name="Normal 36 3 3 2 2 2 2 4" xfId="48914" xr:uid="{7BFDB2D3-85D4-48D1-8610-07340DC426C2}"/>
    <cellStyle name="Normal 36 3 3 2 2 2 3" xfId="48915" xr:uid="{25043437-F203-417B-B963-C96EF97842A4}"/>
    <cellStyle name="Normal 36 3 3 2 2 2 3 2" xfId="48916" xr:uid="{A92D11C0-A7BA-4FD4-AB6A-AE827BBBAB97}"/>
    <cellStyle name="Normal 36 3 3 2 2 2 3 2 2" xfId="48917" xr:uid="{63048F15-9389-4579-B5F9-83A7F78E5D1D}"/>
    <cellStyle name="Normal 36 3 3 2 2 2 3 3" xfId="48918" xr:uid="{9AA57D00-1347-4770-8B81-6616ED43AB99}"/>
    <cellStyle name="Normal 36 3 3 2 2 2 4" xfId="48919" xr:uid="{4924D3E1-2E3E-433F-8B8A-BC9883B1FE29}"/>
    <cellStyle name="Normal 36 3 3 2 2 2 4 2" xfId="48920" xr:uid="{E4BC1AFD-B284-4DC6-985B-4223DC714D80}"/>
    <cellStyle name="Normal 36 3 3 2 2 2 5" xfId="48921" xr:uid="{7E90F268-FEAB-43E4-9A89-4415D84C4D54}"/>
    <cellStyle name="Normal 36 3 3 2 2 3" xfId="48922" xr:uid="{FFC58D50-0446-4ACE-BA76-B0ED374F5628}"/>
    <cellStyle name="Normal 36 3 3 2 2 3 2" xfId="48923" xr:uid="{EBBB60A0-3D02-4F49-88BE-2CBE2D9302BA}"/>
    <cellStyle name="Normal 36 3 3 2 2 3 2 2" xfId="48924" xr:uid="{48474921-A46C-4BE1-B58D-3895B1B07EB8}"/>
    <cellStyle name="Normal 36 3 3 2 2 3 2 2 2" xfId="48925" xr:uid="{53E2F1BA-D436-40B8-8D85-041C52150DF1}"/>
    <cellStyle name="Normal 36 3 3 2 2 3 2 3" xfId="48926" xr:uid="{19B8D38A-BCD4-4901-ABD4-B3F2B0A2BE9A}"/>
    <cellStyle name="Normal 36 3 3 2 2 3 3" xfId="48927" xr:uid="{24A6798B-06E8-4953-939A-AA261230D431}"/>
    <cellStyle name="Normal 36 3 3 2 2 3 3 2" xfId="48928" xr:uid="{D7640C1A-6A13-4984-8FC4-D9E2535CE157}"/>
    <cellStyle name="Normal 36 3 3 2 2 3 4" xfId="48929" xr:uid="{C0F5DF6C-80AB-4143-A7D1-FD5A73F8A6FC}"/>
    <cellStyle name="Normal 36 3 3 2 2 4" xfId="48930" xr:uid="{846CAA2B-E743-46FE-9986-E87CD6673104}"/>
    <cellStyle name="Normal 36 3 3 2 2 4 2" xfId="48931" xr:uid="{AA1B86EE-79B5-4243-BEB6-C5D71DAF8A3E}"/>
    <cellStyle name="Normal 36 3 3 2 2 4 2 2" xfId="48932" xr:uid="{EADF45C2-1071-4E64-AE8F-3FE3F6364222}"/>
    <cellStyle name="Normal 36 3 3 2 2 4 3" xfId="48933" xr:uid="{BD1E1BDF-DFFA-4181-9558-F172D18997A3}"/>
    <cellStyle name="Normal 36 3 3 2 2 5" xfId="48934" xr:uid="{BB9F8007-3B03-4A24-B1AB-60960497655F}"/>
    <cellStyle name="Normal 36 3 3 2 2 5 2" xfId="48935" xr:uid="{F872E103-EE45-4CFE-BA03-E30465DC7857}"/>
    <cellStyle name="Normal 36 3 3 2 2 6" xfId="48936" xr:uid="{1074AAED-0985-453A-8F8A-4357A57EADA5}"/>
    <cellStyle name="Normal 36 3 3 2 2 7" xfId="48937" xr:uid="{5111FB85-818A-494B-8754-0D8D9B4911F3}"/>
    <cellStyle name="Normal 36 3 3 2 3" xfId="35694" xr:uid="{C2B2C68A-9540-40BD-A429-0898430E7669}"/>
    <cellStyle name="Normal 36 3 3 2 3 2" xfId="35699" xr:uid="{1DE85A5D-F202-4A96-A601-8ECAA213AB88}"/>
    <cellStyle name="Normal 36 3 3 2 3 2 2" xfId="48938" xr:uid="{94ED9631-72D8-4355-8C16-21E8B7308345}"/>
    <cellStyle name="Normal 36 3 3 2 3 2 2 2" xfId="48939" xr:uid="{42DBD092-59AF-425B-BFBC-267E3B68E6F0}"/>
    <cellStyle name="Normal 36 3 3 2 3 2 2 2 2" xfId="48940" xr:uid="{F5F80EE4-0998-4D58-9A8D-E06A56F5C567}"/>
    <cellStyle name="Normal 36 3 3 2 3 2 2 3" xfId="48941" xr:uid="{8E1D3EC9-CEF0-444F-BFD6-264580554385}"/>
    <cellStyle name="Normal 36 3 3 2 3 2 3" xfId="48942" xr:uid="{92439325-A81D-4729-9696-0D4AF37C0D35}"/>
    <cellStyle name="Normal 36 3 3 2 3 2 3 2" xfId="48943" xr:uid="{DB8C564F-7E9B-4C2D-8C24-24C05AA2CE5B}"/>
    <cellStyle name="Normal 36 3 3 2 3 2 4" xfId="48944" xr:uid="{FD6002FE-B300-472C-B776-F013AE7D321D}"/>
    <cellStyle name="Normal 36 3 3 2 3 3" xfId="48945" xr:uid="{01051C8D-4779-40B9-96BE-845FE9D564CA}"/>
    <cellStyle name="Normal 36 3 3 2 3 3 2" xfId="48946" xr:uid="{C372E135-4051-4B12-9F2F-FE3A30DB7274}"/>
    <cellStyle name="Normal 36 3 3 2 3 3 2 2" xfId="48947" xr:uid="{C49F04D0-64E2-4277-9ECD-5666FD82194D}"/>
    <cellStyle name="Normal 36 3 3 2 3 3 3" xfId="48948" xr:uid="{D55528B7-DFEF-4F58-84B7-1F305F62568A}"/>
    <cellStyle name="Normal 36 3 3 2 3 4" xfId="48949" xr:uid="{EDFB9555-0969-4266-BD7F-336C3DF094BC}"/>
    <cellStyle name="Normal 36 3 3 2 3 4 2" xfId="48950" xr:uid="{0FB171EF-4473-4001-9725-49704A842AC8}"/>
    <cellStyle name="Normal 36 3 3 2 3 5" xfId="48951" xr:uid="{833A6A77-46C5-46A5-8516-5A3857CF32E4}"/>
    <cellStyle name="Normal 36 3 3 2 4" xfId="35704" xr:uid="{ACAD6550-7692-416F-866E-D4FE20C0BE81}"/>
    <cellStyle name="Normal 36 3 3 2 4 2" xfId="35843" xr:uid="{59158E99-4FDC-419E-AFA2-C6E9004ED6EE}"/>
    <cellStyle name="Normal 36 3 3 2 4 2 2" xfId="48952" xr:uid="{BE90559E-6B4A-4183-B4BA-8D714B602D79}"/>
    <cellStyle name="Normal 36 3 3 2 4 2 2 2" xfId="48953" xr:uid="{BA46689E-4EB0-4C8C-A245-DD52E4A59E29}"/>
    <cellStyle name="Normal 36 3 3 2 4 2 3" xfId="48954" xr:uid="{5639492A-28BB-4D02-8B73-E7DC48036EC1}"/>
    <cellStyle name="Normal 36 3 3 2 4 3" xfId="36052" xr:uid="{9BB9EDF7-7BF8-4645-8717-CBEA45CDC5FA}"/>
    <cellStyle name="Normal 36 3 3 2 4 3 2" xfId="48955" xr:uid="{C7312A1C-0A76-487A-9587-2FD4072F4893}"/>
    <cellStyle name="Normal 36 3 3 2 4 4" xfId="35277" xr:uid="{5B1395AA-AE90-4C91-B9EE-48C5EA716650}"/>
    <cellStyle name="Normal 36 3 3 2 5" xfId="35848" xr:uid="{FD80F9FC-5807-4F2C-A1D1-73EF044E20B2}"/>
    <cellStyle name="Normal 36 3 3 2 5 2" xfId="35851" xr:uid="{1DAEA244-2E13-4D25-A724-8BABB5C1841E}"/>
    <cellStyle name="Normal 36 3 3 2 5 2 2" xfId="48956" xr:uid="{062BF01A-1FE1-4D2F-AA8F-D99A541C5FBB}"/>
    <cellStyle name="Normal 36 3 3 2 5 3" xfId="48957" xr:uid="{7AA18A05-E26A-4500-BD29-70C090BA43F3}"/>
    <cellStyle name="Normal 36 3 3 2 6" xfId="35914" xr:uid="{A9582E55-0216-435C-AE9C-179541AFE341}"/>
    <cellStyle name="Normal 36 3 3 2 6 2" xfId="35917" xr:uid="{6287B021-0E8C-421C-A1C5-ED4D119CB30F}"/>
    <cellStyle name="Normal 36 3 3 2 7" xfId="35920" xr:uid="{41B3FF05-89BA-46D8-9B11-4C60ED48E38C}"/>
    <cellStyle name="Normal 36 3 3 2 8" xfId="35925" xr:uid="{10C475D8-8A05-4EA6-A373-E1214FB90A81}"/>
    <cellStyle name="Normal 36 3 3 3" xfId="48958" xr:uid="{0244B7CA-6DD0-47AA-824A-9D5B2653CFEF}"/>
    <cellStyle name="Normal 36 3 3 3 2" xfId="36112" xr:uid="{A32846D1-6044-4FD5-9CC7-2A038EB84521}"/>
    <cellStyle name="Normal 36 3 3 3 2 2" xfId="36115" xr:uid="{484D9F2E-8DCB-4A6F-BB34-00D0360FD6C0}"/>
    <cellStyle name="Normal 36 3 3 3 2 2 2" xfId="36118" xr:uid="{DF06B5DE-F367-4B0E-809F-BF05FD4C8A12}"/>
    <cellStyle name="Normal 36 3 3 3 2 2 2 2" xfId="36121" xr:uid="{BD5C1601-DFC3-443D-ACC0-49AA5E845367}"/>
    <cellStyle name="Normal 36 3 3 3 2 2 2 2 2" xfId="48959" xr:uid="{1B6188BB-20AA-42EB-836E-3B2780BCA070}"/>
    <cellStyle name="Normal 36 3 3 3 2 2 2 3" xfId="48960" xr:uid="{634DCB49-159F-47A2-B681-80AD641DC712}"/>
    <cellStyle name="Normal 36 3 3 3 2 2 3" xfId="36124" xr:uid="{DCAEDB35-F69B-43FB-87DE-F129150CBD71}"/>
    <cellStyle name="Normal 36 3 3 3 2 2 3 2" xfId="48961" xr:uid="{383FBA14-59BA-411A-B371-83DA266ECB1D}"/>
    <cellStyle name="Normal 36 3 3 3 2 2 4" xfId="48962" xr:uid="{F2FC4BB5-6290-4FA6-87DF-B1B87044C0F9}"/>
    <cellStyle name="Normal 36 3 3 3 2 3" xfId="36127" xr:uid="{CD042A85-4DE2-482C-B222-4EC654450F1E}"/>
    <cellStyle name="Normal 36 3 3 3 2 3 2" xfId="48963" xr:uid="{61DB03D4-4DFB-443B-8A86-6C03ACCD842E}"/>
    <cellStyle name="Normal 36 3 3 3 2 3 2 2" xfId="48964" xr:uid="{906E990E-ACA2-41CD-943B-35DFD2CD91DA}"/>
    <cellStyle name="Normal 36 3 3 3 2 3 3" xfId="48965" xr:uid="{ACFDC8F5-7BDD-4392-98CB-89362AC7CD36}"/>
    <cellStyle name="Normal 36 3 3 3 2 4" xfId="48966" xr:uid="{40440E09-5F29-4A8C-B34C-ABD1C00F3946}"/>
    <cellStyle name="Normal 36 3 3 3 2 4 2" xfId="48967" xr:uid="{786A9E72-4678-4B29-9E3A-B57A4F4258D6}"/>
    <cellStyle name="Normal 36 3 3 3 2 5" xfId="48968" xr:uid="{C5625962-BA05-49F1-ADBD-B7C7BB6F0984}"/>
    <cellStyle name="Normal 36 3 3 3 3" xfId="35711" xr:uid="{462E1B39-DECA-4CCC-9D60-9FFAD0EF539C}"/>
    <cellStyle name="Normal 36 3 3 3 3 2" xfId="35716" xr:uid="{09BEF0C7-669A-480C-85A6-FEC4AA34A105}"/>
    <cellStyle name="Normal 36 3 3 3 3 2 2" xfId="36130" xr:uid="{37D59B02-881D-4687-9E08-963909879C11}"/>
    <cellStyle name="Normal 36 3 3 3 3 2 2 2" xfId="36133" xr:uid="{47072D5E-E7EB-4304-94D9-61193B9F0691}"/>
    <cellStyle name="Normal 36 3 3 3 3 2 3" xfId="16542" xr:uid="{3DC239B9-A581-4F97-9FB1-B8511E64AC2C}"/>
    <cellStyle name="Normal 36 3 3 3 3 3" xfId="32405" xr:uid="{F88136D6-87E8-4304-8C13-AD74B414AE5A}"/>
    <cellStyle name="Normal 36 3 3 3 3 3 2" xfId="48969" xr:uid="{B345684B-2098-4D91-B9D5-043CC4EA4B6F}"/>
    <cellStyle name="Normal 36 3 3 3 3 4" xfId="48970" xr:uid="{D2400F1B-DF02-4FFB-B77C-94E6836EA705}"/>
    <cellStyle name="Normal 36 3 3 3 4" xfId="35721" xr:uid="{DC4D7A86-1496-4FB6-B4F3-16B4FF9C51AD}"/>
    <cellStyle name="Normal 36 3 3 3 4 2" xfId="31802" xr:uid="{B17FE39F-E5FD-4BC8-B067-3FFC7A05D2DA}"/>
    <cellStyle name="Normal 36 3 3 3 4 2 2" xfId="31807" xr:uid="{AF89F818-D1FA-4060-8454-0751305889FD}"/>
    <cellStyle name="Normal 36 3 3 3 4 3" xfId="31812" xr:uid="{540E0435-5EF0-4189-AFCF-7D553BFD3261}"/>
    <cellStyle name="Normal 36 3 3 3 5" xfId="36136" xr:uid="{F4BEEABA-E526-4E80-8271-DD31B5BCC335}"/>
    <cellStyle name="Normal 36 3 3 3 5 2" xfId="31887" xr:uid="{6FC93B3C-A08F-4193-B303-B52952C69339}"/>
    <cellStyle name="Normal 36 3 3 3 6" xfId="36191" xr:uid="{FA316216-44FC-434D-B497-5668A8F258E6}"/>
    <cellStyle name="Normal 36 3 3 3 7" xfId="21078" xr:uid="{4FFA95C7-1394-4FEC-8CFF-1244EDF60689}"/>
    <cellStyle name="Normal 36 3 3 4" xfId="48971" xr:uid="{6CC6AE42-D966-4524-9D67-763EBE4F7DB3}"/>
    <cellStyle name="Normal 36 3 3 4 2" xfId="47989" xr:uid="{06EB94BB-9D20-4706-83F6-0717E064D434}"/>
    <cellStyle name="Normal 36 3 3 4 2 2" xfId="47991" xr:uid="{EA927678-6361-4DE1-8A7D-13C09B0A4CB0}"/>
    <cellStyle name="Normal 36 3 3 4 2 2 2" xfId="48972" xr:uid="{4A13168A-A4AE-448D-840F-68CAAB53884F}"/>
    <cellStyle name="Normal 36 3 3 4 2 2 2 2" xfId="48973" xr:uid="{4E4CF229-8528-44A8-A786-83B75700819B}"/>
    <cellStyle name="Normal 36 3 3 4 2 2 3" xfId="48974" xr:uid="{872CB32F-B5EB-4A43-B9C1-BFE3A86571AD}"/>
    <cellStyle name="Normal 36 3 3 4 2 3" xfId="48975" xr:uid="{CB9F817C-A223-4E2A-ABE3-EDA304A79CD1}"/>
    <cellStyle name="Normal 36 3 3 4 2 3 2" xfId="48976" xr:uid="{A4A2779B-7108-443C-BB12-C0D44662994B}"/>
    <cellStyle name="Normal 36 3 3 4 2 4" xfId="48977" xr:uid="{25939EBD-0B4B-4804-B2A2-8A5193E8D5FD}"/>
    <cellStyle name="Normal 36 3 3 4 3" xfId="47993" xr:uid="{91B94FD3-052C-4F79-A404-28B43BDE8CB2}"/>
    <cellStyle name="Normal 36 3 3 4 3 2" xfId="48978" xr:uid="{D74551A8-26E8-4865-BF71-52B22FD28074}"/>
    <cellStyle name="Normal 36 3 3 4 3 2 2" xfId="48979" xr:uid="{69E7DBE8-666B-4B08-9B6F-9A4C8264C9AD}"/>
    <cellStyle name="Normal 36 3 3 4 3 3" xfId="48980" xr:uid="{441B825C-3EBE-4404-A0B5-7502F52AC791}"/>
    <cellStyle name="Normal 36 3 3 4 4" xfId="47995" xr:uid="{4B0B6746-0852-421B-A2A6-FEC189D3C8F8}"/>
    <cellStyle name="Normal 36 3 3 4 4 2" xfId="48981" xr:uid="{A842E57E-8FF0-45D6-90BE-4CAF0F7854A0}"/>
    <cellStyle name="Normal 36 3 3 4 5" xfId="48982" xr:uid="{C01728A7-254F-492C-928F-1C9FA2EE16CB}"/>
    <cellStyle name="Normal 36 3 3 5" xfId="48983" xr:uid="{52119743-5FDE-4660-9C98-B5BF8FE945E7}"/>
    <cellStyle name="Normal 36 3 3 5 2" xfId="48023" xr:uid="{57C417CE-1025-4807-8652-5EACD7B87CB5}"/>
    <cellStyle name="Normal 36 3 3 5 2 2" xfId="48984" xr:uid="{6DE8E0E4-F1F8-410C-B978-F90D4B3A6786}"/>
    <cellStyle name="Normal 36 3 3 5 2 2 2" xfId="48985" xr:uid="{03A6ADD4-9DDE-42DD-BA76-45501CFD39C2}"/>
    <cellStyle name="Normal 36 3 3 5 2 3" xfId="48986" xr:uid="{F281371B-2C9A-41AC-9E5B-E26A961E4651}"/>
    <cellStyle name="Normal 36 3 3 5 3" xfId="48025" xr:uid="{EFFAA2F8-A3AE-43E6-9C34-08C150A36E8C}"/>
    <cellStyle name="Normal 36 3 3 5 3 2" xfId="48987" xr:uid="{E8A016A8-380B-49D8-828B-F53AC3FC8AAE}"/>
    <cellStyle name="Normal 36 3 3 5 4" xfId="48988" xr:uid="{DCA7B98B-89F0-4F75-8934-DCD4C75CA08C}"/>
    <cellStyle name="Normal 36 3 3 6" xfId="48989" xr:uid="{CF500A7E-E873-4E99-AA28-400B90DB4700}"/>
    <cellStyle name="Normal 36 3 3 6 2" xfId="48990" xr:uid="{88302FE3-452F-46A2-9EDD-B98CA760A715}"/>
    <cellStyle name="Normal 36 3 3 6 2 2" xfId="48991" xr:uid="{CC7B33F1-9667-4F77-B113-88A172225D6E}"/>
    <cellStyle name="Normal 36 3 3 6 3" xfId="48992" xr:uid="{3F1FB839-0FC2-443E-8FC6-13D44B97932B}"/>
    <cellStyle name="Normal 36 3 3 7" xfId="48993" xr:uid="{A92F373A-F192-43E5-8F4E-5B6B1E2A4CA0}"/>
    <cellStyle name="Normal 36 3 3 7 2" xfId="42642" xr:uid="{AC396532-4858-4343-9064-56937D65487F}"/>
    <cellStyle name="Normal 36 3 3 8" xfId="48994" xr:uid="{DB3C6C7F-AED0-4FAA-A6E1-547DF08B1DBD}"/>
    <cellStyle name="Normal 36 3 3 9" xfId="48995" xr:uid="{C01E3CF0-6946-44A3-8E73-4CE4457ECFEA}"/>
    <cellStyle name="Normal 36 3 4" xfId="48996" xr:uid="{E7806517-7D7A-4AC9-92C9-62205836AC0A}"/>
    <cellStyle name="Normal 36 3 4 2" xfId="48997" xr:uid="{1BAF9D0B-E0EB-4A16-AAAA-9140D47A1507}"/>
    <cellStyle name="Normal 36 3 4 2 2" xfId="49000" xr:uid="{5F15AB99-7D1D-496A-8DA6-598F949187A6}"/>
    <cellStyle name="Normal 36 3 4 2 2 2" xfId="49001" xr:uid="{283709F9-1937-4A60-BB84-02301C30304C}"/>
    <cellStyle name="Normal 36 3 4 2 2 2 2" xfId="49002" xr:uid="{2809E936-193E-4C74-BCE7-A6B655641060}"/>
    <cellStyle name="Normal 36 3 4 2 2 2 2 2" xfId="49003" xr:uid="{135ABA40-DF63-4376-B4C2-275A36A2149C}"/>
    <cellStyle name="Normal 36 3 4 2 2 2 2 2 2" xfId="49004" xr:uid="{C462D426-08D1-471E-835A-624C779A0A06}"/>
    <cellStyle name="Normal 36 3 4 2 2 2 2 3" xfId="49005" xr:uid="{6ED3FBBF-FBD4-469B-A573-8B57C6D3483A}"/>
    <cellStyle name="Normal 36 3 4 2 2 2 3" xfId="49006" xr:uid="{D8664531-C484-4B8C-B904-2AC425F00512}"/>
    <cellStyle name="Normal 36 3 4 2 2 2 3 2" xfId="49007" xr:uid="{DDA77289-65F5-4CFE-B9BF-700A7AB3A8DB}"/>
    <cellStyle name="Normal 36 3 4 2 2 2 4" xfId="49008" xr:uid="{32D05D86-8A19-498B-B4C2-94ED4EAB760F}"/>
    <cellStyle name="Normal 36 3 4 2 2 3" xfId="49009" xr:uid="{59503E9F-ADAE-414B-8248-0480E41662CC}"/>
    <cellStyle name="Normal 36 3 4 2 2 3 2" xfId="49010" xr:uid="{B44CE005-5A59-4A56-8ADA-791404413456}"/>
    <cellStyle name="Normal 36 3 4 2 2 3 2 2" xfId="49011" xr:uid="{40524702-AA56-4AB8-84AA-66CD36E7E048}"/>
    <cellStyle name="Normal 36 3 4 2 2 3 3" xfId="49012" xr:uid="{A2D8AF5E-E733-4587-8F6C-E7CB246A7264}"/>
    <cellStyle name="Normal 36 3 4 2 2 4" xfId="49013" xr:uid="{418EA766-52E2-46CA-A66C-94BA5D095C0B}"/>
    <cellStyle name="Normal 36 3 4 2 2 4 2" xfId="49014" xr:uid="{002B47B9-3F46-4FA4-95B1-C27B1B652623}"/>
    <cellStyle name="Normal 36 3 4 2 2 5" xfId="49015" xr:uid="{951CA3DC-122A-4350-ADBB-F89814DECE42}"/>
    <cellStyle name="Normal 36 3 4 2 3" xfId="49020" xr:uid="{C5F8FC75-8301-425F-9751-91A82175964F}"/>
    <cellStyle name="Normal 36 3 4 2 3 2" xfId="49023" xr:uid="{BA6AA60E-59D8-4D5A-AEBB-9C68D1EA7FC8}"/>
    <cellStyle name="Normal 36 3 4 2 3 2 2" xfId="16848" xr:uid="{D57523BE-5DF5-4774-9A1C-ED69DCD0DCCC}"/>
    <cellStyle name="Normal 36 3 4 2 3 2 2 2" xfId="49024" xr:uid="{870A7E20-5F2A-43BE-B3E7-BF626D9A2EC8}"/>
    <cellStyle name="Normal 36 3 4 2 3 2 3" xfId="16764" xr:uid="{09EA2F35-2E31-4595-9229-DC82A952A5AA}"/>
    <cellStyle name="Normal 36 3 4 2 3 3" xfId="49025" xr:uid="{5FC684E6-5A8A-4336-B8BA-C980A116B453}"/>
    <cellStyle name="Normal 36 3 4 2 3 3 2" xfId="16860" xr:uid="{AF040C55-055F-4B1D-97C0-C80D94AAB66F}"/>
    <cellStyle name="Normal 36 3 4 2 3 4" xfId="49026" xr:uid="{21C7A63C-E908-458A-80DF-C19E651DB639}"/>
    <cellStyle name="Normal 36 3 4 2 4" xfId="49029" xr:uid="{35A4619A-478F-4042-AF71-85E44DF0AF17}"/>
    <cellStyle name="Normal 36 3 4 2 4 2" xfId="49030" xr:uid="{06FE4982-1A7D-4FD8-AAF1-C4492ECE326E}"/>
    <cellStyle name="Normal 36 3 4 2 4 2 2" xfId="49031" xr:uid="{02E5071D-8EEE-4DF8-8529-DB98459B58AA}"/>
    <cellStyle name="Normal 36 3 4 2 4 3" xfId="49032" xr:uid="{725B6370-53F3-44CC-8858-D6BC9590B3D8}"/>
    <cellStyle name="Normal 36 3 4 2 5" xfId="49035" xr:uid="{337F7152-D94C-4E8B-9B0F-B5B49F163390}"/>
    <cellStyle name="Normal 36 3 4 2 5 2" xfId="49036" xr:uid="{8F797DFB-D574-4CB5-8F10-A533AA96127D}"/>
    <cellStyle name="Normal 36 3 4 2 6" xfId="49039" xr:uid="{BBFE1C3B-3FAC-4C16-B010-382B0B471CDA}"/>
    <cellStyle name="Normal 36 3 4 2 7" xfId="49042" xr:uid="{7A4B0D6A-FA1E-4E77-8730-19E8CD434DDE}"/>
    <cellStyle name="Normal 36 3 4 3" xfId="49043" xr:uid="{BCFD6C6F-A4E4-4997-A22F-1CB182692FF9}"/>
    <cellStyle name="Normal 36 3 4 3 2" xfId="49044" xr:uid="{E238251B-7FDB-4A6A-9ACB-FD65F1AE3AF3}"/>
    <cellStyle name="Normal 36 3 4 3 2 2" xfId="49045" xr:uid="{9F760584-9A7A-4DA9-BACF-7B6DB591A0CA}"/>
    <cellStyle name="Normal 36 3 4 3 2 2 2" xfId="49046" xr:uid="{CB405A47-790A-4C6D-B878-3C76E31925D2}"/>
    <cellStyle name="Normal 36 3 4 3 2 2 2 2" xfId="49047" xr:uid="{46189A76-2C87-4EDA-A1A2-976A76C2DC21}"/>
    <cellStyle name="Normal 36 3 4 3 2 2 3" xfId="49048" xr:uid="{CB6A095F-B13B-457D-BCDB-16CF4E331FA2}"/>
    <cellStyle name="Normal 36 3 4 3 2 3" xfId="49049" xr:uid="{84103A4B-00FB-48F0-9ABA-FF8A12EED41C}"/>
    <cellStyle name="Normal 36 3 4 3 2 3 2" xfId="49050" xr:uid="{94EF4FF1-3988-4E34-9AEF-600775E20B5F}"/>
    <cellStyle name="Normal 36 3 4 3 2 4" xfId="49051" xr:uid="{D1010757-15D9-4B96-98A2-71594418DEE4}"/>
    <cellStyle name="Normal 36 3 4 3 3" xfId="49054" xr:uid="{BED3902C-BB52-4A41-9F78-E42ED23BB0F5}"/>
    <cellStyle name="Normal 36 3 4 3 3 2" xfId="49057" xr:uid="{275304BD-A7B5-4C65-948E-835AC091BEE9}"/>
    <cellStyle name="Normal 36 3 4 3 3 2 2" xfId="49059" xr:uid="{58291B8F-1059-4A86-B19B-C1243ED0B8FD}"/>
    <cellStyle name="Normal 36 3 4 3 3 3" xfId="49061" xr:uid="{8E22CC4B-4187-417A-A056-BFF9AB448E98}"/>
    <cellStyle name="Normal 36 3 4 3 4" xfId="49064" xr:uid="{1A45651A-1F07-4A42-92A8-11AAF5CDF9A7}"/>
    <cellStyle name="Normal 36 3 4 3 4 2" xfId="49067" xr:uid="{4A63FF26-B868-41A1-8D7E-8107BC617676}"/>
    <cellStyle name="Normal 36 3 4 3 5" xfId="49070" xr:uid="{4115701B-9F76-4586-90EC-2C4657B9CF1A}"/>
    <cellStyle name="Normal 36 3 4 4" xfId="49071" xr:uid="{EBAF8884-9F0B-41FC-ADD4-05C778CACD90}"/>
    <cellStyle name="Normal 36 3 4 4 2" xfId="48080" xr:uid="{78C3499B-F701-41EB-9FB5-CFD7DED2669E}"/>
    <cellStyle name="Normal 36 3 4 4 2 2" xfId="49072" xr:uid="{5F0A4B4A-75D4-4D95-AD7B-C2FC45B4CE97}"/>
    <cellStyle name="Normal 36 3 4 4 2 2 2" xfId="49073" xr:uid="{711117B9-2891-41A9-B455-DD7A384992D9}"/>
    <cellStyle name="Normal 36 3 4 4 2 3" xfId="49074" xr:uid="{207AFD4A-1050-41CB-B60B-FF28B02ACB43}"/>
    <cellStyle name="Normal 36 3 4 4 3" xfId="48084" xr:uid="{2757F25B-EF72-42BE-A268-59500B47360A}"/>
    <cellStyle name="Normal 36 3 4 4 3 2" xfId="49077" xr:uid="{6B76A28E-A336-4ED0-A82E-D93D27B38647}"/>
    <cellStyle name="Normal 36 3 4 4 4" xfId="49080" xr:uid="{3CD8237B-055A-481F-86BC-B43165161FB8}"/>
    <cellStyle name="Normal 36 3 4 5" xfId="49081" xr:uid="{90FFBF44-90C6-4B44-80C7-7713545D12A4}"/>
    <cellStyle name="Normal 36 3 4 5 2" xfId="49082" xr:uid="{CD8B1B0D-6458-4F2B-AAAA-C300D4166D36}"/>
    <cellStyle name="Normal 36 3 4 5 2 2" xfId="49083" xr:uid="{694370E7-E2C1-4805-9455-6C30EF156DE6}"/>
    <cellStyle name="Normal 36 3 4 5 3" xfId="49086" xr:uid="{47E5755C-1600-41CA-8FB1-DC5CB77129D5}"/>
    <cellStyle name="Normal 36 3 4 6" xfId="49087" xr:uid="{B9EEAC40-590E-49EF-8881-3000850C052E}"/>
    <cellStyle name="Normal 36 3 4 6 2" xfId="49088" xr:uid="{1B7FA13D-71D5-4B00-AC9F-24AB584D7264}"/>
    <cellStyle name="Normal 36 3 4 7" xfId="49089" xr:uid="{80093422-23C8-4881-B7F7-0CCE43B1742A}"/>
    <cellStyle name="Normal 36 3 4 8" xfId="49090" xr:uid="{3F005CC6-B058-46AE-BFFB-67A73DE4413A}"/>
    <cellStyle name="Normal 36 3 5" xfId="16173" xr:uid="{4C183B78-C1AF-4927-A9CB-46122EF5477B}"/>
    <cellStyle name="Normal 36 3 5 2" xfId="49091" xr:uid="{EAFF57B5-D25C-47B5-9DD1-C13156983194}"/>
    <cellStyle name="Normal 36 3 5 2 2" xfId="49092" xr:uid="{D18352BC-6940-4A33-AF78-1F58CC075531}"/>
    <cellStyle name="Normal 36 3 5 2 2 2" xfId="49093" xr:uid="{6F49A0B3-9253-493B-8E8D-44AD5F81A5E4}"/>
    <cellStyle name="Normal 36 3 5 2 2 2 2" xfId="49094" xr:uid="{A3DC9A24-12B3-4441-90EA-557B55E837F8}"/>
    <cellStyle name="Normal 36 3 5 2 2 2 2 2" xfId="49095" xr:uid="{F6EF47BF-5DD6-4CD7-ACFC-00715166A43A}"/>
    <cellStyle name="Normal 36 3 5 2 2 2 3" xfId="49096" xr:uid="{2DBD7B23-3D8B-4574-B684-DB20171655A3}"/>
    <cellStyle name="Normal 36 3 5 2 2 3" xfId="49097" xr:uid="{A977BCC6-5C1C-4F91-8799-91017A2116B4}"/>
    <cellStyle name="Normal 36 3 5 2 2 3 2" xfId="49098" xr:uid="{1C5CC873-2788-4707-9819-81E9EAD4B742}"/>
    <cellStyle name="Normal 36 3 5 2 2 4" xfId="49099" xr:uid="{F79B4FA7-9663-4794-86AB-9316A9FEDE82}"/>
    <cellStyle name="Normal 36 3 5 2 3" xfId="49102" xr:uid="{A778FAA7-93CF-42E7-9259-688168F0F4E7}"/>
    <cellStyle name="Normal 36 3 5 2 3 2" xfId="49105" xr:uid="{555CC21D-3C5F-4099-B223-E45469D49FC7}"/>
    <cellStyle name="Normal 36 3 5 2 3 2 2" xfId="49106" xr:uid="{50F453C3-35DC-4BF9-A6EB-E7CED396E8A5}"/>
    <cellStyle name="Normal 36 3 5 2 3 3" xfId="49109" xr:uid="{C45EC23A-B57D-465F-9DEB-A5CF418598AE}"/>
    <cellStyle name="Normal 36 3 5 2 4" xfId="49112" xr:uid="{E730855F-EF75-419E-AB73-5406854D4C37}"/>
    <cellStyle name="Normal 36 3 5 2 4 2" xfId="49113" xr:uid="{809CC4DC-16B0-46E9-8E5D-9B85E48F67A6}"/>
    <cellStyle name="Normal 36 3 5 2 5" xfId="49114" xr:uid="{013FF58C-27B4-474A-8775-C85CB21368DB}"/>
    <cellStyle name="Normal 36 3 5 3" xfId="49115" xr:uid="{73AC9284-9E08-4ABE-B060-0FE6921593DB}"/>
    <cellStyle name="Normal 36 3 5 3 2" xfId="49116" xr:uid="{233B4021-8EBD-48C8-A276-4D9FFB5452EC}"/>
    <cellStyle name="Normal 36 3 5 3 2 2" xfId="49117" xr:uid="{959EBE13-2759-4EC6-95ED-1B991F8F4EF0}"/>
    <cellStyle name="Normal 36 3 5 3 2 2 2" xfId="49118" xr:uid="{96BFA511-996F-44BE-AC11-D0195A7470E5}"/>
    <cellStyle name="Normal 36 3 5 3 2 3" xfId="49119" xr:uid="{A4BD66AD-BEA9-4939-8E2D-2536EF251403}"/>
    <cellStyle name="Normal 36 3 5 3 3" xfId="46436" xr:uid="{87BDAF61-F381-405B-A3F7-4765BC912672}"/>
    <cellStyle name="Normal 36 3 5 3 3 2" xfId="46440" xr:uid="{282C704B-54C2-4C93-801A-85C92EBB1CB7}"/>
    <cellStyle name="Normal 36 3 5 3 4" xfId="46444" xr:uid="{772F3485-3CA7-4D3C-B380-B0F3BD517A02}"/>
    <cellStyle name="Normal 36 3 5 4" xfId="49120" xr:uid="{5C219BED-0643-44BD-A85A-36001C13D0D0}"/>
    <cellStyle name="Normal 36 3 5 4 2" xfId="49121" xr:uid="{B2885DE7-F98F-41A9-A700-A587F5D55137}"/>
    <cellStyle name="Normal 36 3 5 4 2 2" xfId="49122" xr:uid="{D3B4F335-0F53-4E2A-98AF-B450C2E89DCD}"/>
    <cellStyle name="Normal 36 3 5 4 3" xfId="46449" xr:uid="{8888E78B-A507-4057-8558-D29FA62B9E65}"/>
    <cellStyle name="Normal 36 3 5 5" xfId="35484" xr:uid="{8433E72D-85EA-4FB2-A947-85F508BEBF65}"/>
    <cellStyle name="Normal 36 3 5 5 2" xfId="49123" xr:uid="{D406D645-0EB0-4803-92F0-18A6729BC2F5}"/>
    <cellStyle name="Normal 36 3 5 6" xfId="49124" xr:uid="{4742EF07-0C03-47D0-AED2-F977DBF87D83}"/>
    <cellStyle name="Normal 36 3 5 7" xfId="49125" xr:uid="{6A7B2CCE-3051-44F5-9236-7EF17941DBE8}"/>
    <cellStyle name="Normal 36 3 6" xfId="49126" xr:uid="{1440D770-CEBB-4C2A-A21E-DC91AF4E0249}"/>
    <cellStyle name="Normal 36 3 6 2" xfId="49127" xr:uid="{786930BB-8B1B-4295-A5E2-799D27A94A19}"/>
    <cellStyle name="Normal 36 3 6 2 2" xfId="31595" xr:uid="{616046E4-2B80-4597-97A4-32AD31AE8099}"/>
    <cellStyle name="Normal 36 3 6 2 2 2" xfId="49128" xr:uid="{72830798-AFA4-4038-A627-DF44E3901193}"/>
    <cellStyle name="Normal 36 3 6 2 2 2 2" xfId="49129" xr:uid="{4424F2AD-600B-44B4-A22C-2830BCA66B32}"/>
    <cellStyle name="Normal 36 3 6 2 2 3" xfId="49130" xr:uid="{27A8E8FA-AC7D-47A9-96BA-4C76A08BE708}"/>
    <cellStyle name="Normal 36 3 6 2 3" xfId="49131" xr:uid="{1C4973AA-4A44-4FF4-A2B6-A7383FFA171D}"/>
    <cellStyle name="Normal 36 3 6 2 3 2" xfId="49132" xr:uid="{80D7ADA5-92AC-4146-9980-3C3B38989601}"/>
    <cellStyle name="Normal 36 3 6 2 4" xfId="49133" xr:uid="{C4B1C331-B3FA-44E3-947A-A5762B00036E}"/>
    <cellStyle name="Normal 36 3 6 3" xfId="49134" xr:uid="{8553D0F1-8405-414E-9656-1C55B01B2E01}"/>
    <cellStyle name="Normal 36 3 6 3 2" xfId="49135" xr:uid="{5A16F540-C733-4B9C-9144-75034F01102D}"/>
    <cellStyle name="Normal 36 3 6 3 2 2" xfId="49136" xr:uid="{758F8AF5-47F5-4A8D-8345-1F95D2860127}"/>
    <cellStyle name="Normal 36 3 6 3 3" xfId="46453" xr:uid="{22F069B6-12EE-4E4E-A8C5-9C0153269E0F}"/>
    <cellStyle name="Normal 36 3 6 4" xfId="49137" xr:uid="{D298AE26-D5E4-43A7-9268-F5E7E86780FC}"/>
    <cellStyle name="Normal 36 3 6 4 2" xfId="49138" xr:uid="{9A898639-A448-4A9A-92A9-F86868232C3F}"/>
    <cellStyle name="Normal 36 3 6 5" xfId="49139" xr:uid="{E4CFDBF1-B484-4B68-A9C7-A8981A00CB69}"/>
    <cellStyle name="Normal 36 3 7" xfId="49140" xr:uid="{5259BA8B-CF99-4012-BFBD-B4876643BF07}"/>
    <cellStyle name="Normal 36 3 7 2" xfId="49141" xr:uid="{5720CF7C-0E9D-4456-8B4B-E09528FB484C}"/>
    <cellStyle name="Normal 36 3 7 2 2" xfId="49142" xr:uid="{D6A77475-A49E-458D-9B11-6AE31F34A2FB}"/>
    <cellStyle name="Normal 36 3 7 2 2 2" xfId="26421" xr:uid="{75B8AF97-1F0C-4C0B-968B-E6B8745FD7F9}"/>
    <cellStyle name="Normal 36 3 7 2 3" xfId="49143" xr:uid="{428B9A82-0FB2-423E-BF44-488931EEEF6C}"/>
    <cellStyle name="Normal 36 3 7 3" xfId="49144" xr:uid="{09BD9DC0-E2C6-46A9-A96C-DA7B3A120563}"/>
    <cellStyle name="Normal 36 3 7 3 2" xfId="48153" xr:uid="{C730773A-D4C4-41E2-8878-DDD722F483AD}"/>
    <cellStyle name="Normal 36 3 7 4" xfId="49145" xr:uid="{804F353B-54DB-481B-B8F1-F1FB06F14F48}"/>
    <cellStyle name="Normal 36 3 8" xfId="49146" xr:uid="{5C69BBCF-9992-426E-8432-BDAAF359A529}"/>
    <cellStyle name="Normal 36 3 8 2" xfId="49147" xr:uid="{F173838A-DBD3-4C45-8499-93C0F729D977}"/>
    <cellStyle name="Normal 36 3 8 2 2" xfId="49148" xr:uid="{BB9C844B-B3CF-4A5B-A19C-324431865F3E}"/>
    <cellStyle name="Normal 36 3 8 3" xfId="49149" xr:uid="{24942701-E84E-4272-B38B-2EF398075813}"/>
    <cellStyle name="Normal 36 3 9" xfId="49150" xr:uid="{F6FC955F-BF5F-4418-B466-29DD24ED8490}"/>
    <cellStyle name="Normal 36 3 9 2" xfId="49151" xr:uid="{852F63F1-B82F-4EB7-A401-C7F7E9629255}"/>
    <cellStyle name="Normal 36 4" xfId="49152" xr:uid="{D0463828-DA06-4102-AADC-CC8F717484EB}"/>
    <cellStyle name="Normal 36 4 10" xfId="49153" xr:uid="{32010E9C-8F42-49D5-A9D4-5A629DC9202B}"/>
    <cellStyle name="Normal 36 4 2" xfId="49154" xr:uid="{FBF9581B-E722-46D5-A75F-8123903FB8E6}"/>
    <cellStyle name="Normal 36 4 2 2" xfId="49155" xr:uid="{47800181-0083-469D-A537-BBF2941EEDCB}"/>
    <cellStyle name="Normal 36 4 2 2 2" xfId="49156" xr:uid="{8FD632EA-923E-43E5-9714-FD5BDD9B898F}"/>
    <cellStyle name="Normal 36 4 2 2 2 2" xfId="49157" xr:uid="{D9A8A0D7-9944-444E-93DC-A73D90729F05}"/>
    <cellStyle name="Normal 36 4 2 2 2 2 2" xfId="49158" xr:uid="{29D742FB-BAF3-4AA5-99B3-F92CC7FD551C}"/>
    <cellStyle name="Normal 36 4 2 2 2 2 2 2" xfId="49159" xr:uid="{2A76624F-E4D6-4B79-B801-258BFF63A967}"/>
    <cellStyle name="Normal 36 4 2 2 2 2 2 2 2" xfId="47256" xr:uid="{9A298430-274F-4187-A4A0-E57B97A1F9FF}"/>
    <cellStyle name="Normal 36 4 2 2 2 2 2 2 2 2" xfId="47259" xr:uid="{B4C646FD-3170-4D7E-A7DE-59104109CDDB}"/>
    <cellStyle name="Normal 36 4 2 2 2 2 2 2 3" xfId="47275" xr:uid="{3604677E-EF2A-4A30-82EF-0CA8C91B06F7}"/>
    <cellStyle name="Normal 36 4 2 2 2 2 2 3" xfId="49160" xr:uid="{8EE8AA28-B547-4296-BD09-48038B17F746}"/>
    <cellStyle name="Normal 36 4 2 2 2 2 2 3 2" xfId="47339" xr:uid="{F8D31451-576F-4D6B-AD93-AB244E65EFFF}"/>
    <cellStyle name="Normal 36 4 2 2 2 2 2 4" xfId="49161" xr:uid="{9D96824E-53A4-4E8A-B5CA-7FE5459F09F7}"/>
    <cellStyle name="Normal 36 4 2 2 2 2 3" xfId="49162" xr:uid="{752E4F6D-DBCF-4FD5-93F3-7FF854720F4A}"/>
    <cellStyle name="Normal 36 4 2 2 2 2 3 2" xfId="49163" xr:uid="{3184B0F7-94E8-423D-B958-91B415F19B7E}"/>
    <cellStyle name="Normal 36 4 2 2 2 2 3 2 2" xfId="42021" xr:uid="{038A3D87-8974-49D6-AD19-94C111545C48}"/>
    <cellStyle name="Normal 36 4 2 2 2 2 3 3" xfId="49164" xr:uid="{B29B97B9-3CC4-4BF4-B19E-E231F3CD1D09}"/>
    <cellStyle name="Normal 36 4 2 2 2 2 4" xfId="49165" xr:uid="{57190E97-78B6-4E1B-8849-007746BBBD29}"/>
    <cellStyle name="Normal 36 4 2 2 2 2 4 2" xfId="49166" xr:uid="{349EB4CF-A2A8-4C3C-A92E-3393D6E0AA0E}"/>
    <cellStyle name="Normal 36 4 2 2 2 2 5" xfId="49167" xr:uid="{C7B8F487-B2FD-4FDC-A2F5-14784760E658}"/>
    <cellStyle name="Normal 36 4 2 2 2 3" xfId="49168" xr:uid="{035DB1EB-FBF5-4D7B-9A82-0F6D1A61F562}"/>
    <cellStyle name="Normal 36 4 2 2 2 3 2" xfId="49169" xr:uid="{927ABD49-C807-4DD4-B989-6751D8D88738}"/>
    <cellStyle name="Normal 36 4 2 2 2 3 2 2" xfId="49170" xr:uid="{DF98BB74-FF02-4435-AA84-42B22BF2F235}"/>
    <cellStyle name="Normal 36 4 2 2 2 3 2 2 2" xfId="47709" xr:uid="{C0CE733E-C3D0-462B-AC62-D805E2D174FB}"/>
    <cellStyle name="Normal 36 4 2 2 2 3 2 3" xfId="49171" xr:uid="{8B86245F-2DB2-4D57-A28B-29E909D85479}"/>
    <cellStyle name="Normal 36 4 2 2 2 3 3" xfId="49172" xr:uid="{1ED2804E-D856-4F35-B0CA-51E80129BCBE}"/>
    <cellStyle name="Normal 36 4 2 2 2 3 3 2" xfId="49173" xr:uid="{387C36D3-686E-4019-BB4F-63A7D0BEAECD}"/>
    <cellStyle name="Normal 36 4 2 2 2 3 4" xfId="49174" xr:uid="{C03B3B60-3883-4A1F-96BA-D8360A7CD303}"/>
    <cellStyle name="Normal 36 4 2 2 2 4" xfId="49175" xr:uid="{A0892D72-CF1E-4A92-83F5-FE04770975F4}"/>
    <cellStyle name="Normal 36 4 2 2 2 4 2" xfId="49176" xr:uid="{5AA07E54-B8DC-423F-96F0-EE0E34083536}"/>
    <cellStyle name="Normal 36 4 2 2 2 4 2 2" xfId="49177" xr:uid="{2B308B3E-883F-4CAF-8113-05197EFE7085}"/>
    <cellStyle name="Normal 36 4 2 2 2 4 3" xfId="49178" xr:uid="{C2EA9DBB-1715-4F3F-B1CE-CD82542248B0}"/>
    <cellStyle name="Normal 36 4 2 2 2 5" xfId="49179" xr:uid="{7071F982-4F2F-4140-8EB2-7E4C25791E79}"/>
    <cellStyle name="Normal 36 4 2 2 2 5 2" xfId="49180" xr:uid="{49D58265-1D83-4D6E-B183-5D2C66272E23}"/>
    <cellStyle name="Normal 36 4 2 2 2 6" xfId="49181" xr:uid="{C20EE9B7-5B99-4D1E-9CFA-8BE2E8F7A8FE}"/>
    <cellStyle name="Normal 36 4 2 2 2 7" xfId="49182" xr:uid="{BC3F2577-BC51-4D1C-8ADC-15EDF9F600DF}"/>
    <cellStyle name="Normal 36 4 2 2 3" xfId="49183" xr:uid="{0F44BA3D-61D5-4B73-B06C-35602ED2D611}"/>
    <cellStyle name="Normal 36 4 2 2 3 2" xfId="49184" xr:uid="{85B9687F-DEEE-4BB3-A9B5-F8214EC2788A}"/>
    <cellStyle name="Normal 36 4 2 2 3 2 2" xfId="49185" xr:uid="{E85BD17D-5D93-49A8-8541-42986A121B90}"/>
    <cellStyle name="Normal 36 4 2 2 3 2 2 2" xfId="49186" xr:uid="{52506076-0AF3-41FC-BBA6-F8739FD7257D}"/>
    <cellStyle name="Normal 36 4 2 2 3 2 2 2 2" xfId="49187" xr:uid="{017EAD69-C5D3-4898-8946-9A2B3F8A116B}"/>
    <cellStyle name="Normal 36 4 2 2 3 2 2 3" xfId="49188" xr:uid="{B07E2ABD-F4D9-4219-B344-24179BEEA24F}"/>
    <cellStyle name="Normal 36 4 2 2 3 2 3" xfId="49189" xr:uid="{81F6C4D1-FE33-49B5-A64F-8D3872B013AB}"/>
    <cellStyle name="Normal 36 4 2 2 3 2 3 2" xfId="49190" xr:uid="{AA4D13E8-75C2-4E99-BBFC-2A3B04034AD3}"/>
    <cellStyle name="Normal 36 4 2 2 3 2 4" xfId="49191" xr:uid="{D81D74B3-9CDA-46D4-A2F8-CAA849AE8499}"/>
    <cellStyle name="Normal 36 4 2 2 3 3" xfId="49192" xr:uid="{02333363-9FF9-456B-8591-7E3966F268C2}"/>
    <cellStyle name="Normal 36 4 2 2 3 3 2" xfId="49193" xr:uid="{2268D453-8F6C-4887-AC27-E69492506F12}"/>
    <cellStyle name="Normal 36 4 2 2 3 3 2 2" xfId="49194" xr:uid="{1482847C-2C34-4652-B437-FD48783691E3}"/>
    <cellStyle name="Normal 36 4 2 2 3 3 3" xfId="49195" xr:uid="{633543D6-2A48-4ED9-BB88-B63AECCAF055}"/>
    <cellStyle name="Normal 36 4 2 2 3 4" xfId="49196" xr:uid="{D90305D9-F3D3-4D51-9264-5D91FE8EB916}"/>
    <cellStyle name="Normal 36 4 2 2 3 4 2" xfId="49197" xr:uid="{85F3236E-DD16-47B1-B076-008422902586}"/>
    <cellStyle name="Normal 36 4 2 2 3 5" xfId="49198" xr:uid="{7EFCA6FE-27CB-46CE-AA19-047D348E3D63}"/>
    <cellStyle name="Normal 36 4 2 2 4" xfId="49199" xr:uid="{EF11F23B-F5EE-483F-9466-1CC1F4FDF175}"/>
    <cellStyle name="Normal 36 4 2 2 4 2" xfId="49200" xr:uid="{01A93465-916E-40EE-8A65-3A06CA9706B2}"/>
    <cellStyle name="Normal 36 4 2 2 4 2 2" xfId="49201" xr:uid="{3F558CC2-0B8A-4241-8D67-F96A97591663}"/>
    <cellStyle name="Normal 36 4 2 2 4 2 2 2" xfId="49202" xr:uid="{B2A56AFC-E9AA-4338-B6FE-E4E4FB2892C9}"/>
    <cellStyle name="Normal 36 4 2 2 4 2 3" xfId="49203" xr:uid="{B38A0B23-2D31-4F95-8DC7-10A948B86C47}"/>
    <cellStyle name="Normal 36 4 2 2 4 3" xfId="49204" xr:uid="{0091E462-CB44-42AD-8B6F-A9A4ADFBE0B7}"/>
    <cellStyle name="Normal 36 4 2 2 4 3 2" xfId="49205" xr:uid="{70C692F0-0D76-46B1-814F-3A0F33BCAEE1}"/>
    <cellStyle name="Normal 36 4 2 2 4 4" xfId="49206" xr:uid="{0196FBAD-7BBD-409F-B06C-774265EE1807}"/>
    <cellStyle name="Normal 36 4 2 2 5" xfId="49207" xr:uid="{E2E0588A-ECCF-4DC0-88FF-71C5A9B64482}"/>
    <cellStyle name="Normal 36 4 2 2 5 2" xfId="49208" xr:uid="{171C7DCE-A5DD-4925-B69C-0971A05CB401}"/>
    <cellStyle name="Normal 36 4 2 2 5 2 2" xfId="49209" xr:uid="{B5B37F45-50AE-486D-8365-13D35C106DA9}"/>
    <cellStyle name="Normal 36 4 2 2 5 3" xfId="49210" xr:uid="{DE82CAE6-EE61-428F-8F19-488C7B72D8FB}"/>
    <cellStyle name="Normal 36 4 2 2 6" xfId="49211" xr:uid="{074BB709-5C10-4F4B-BE9F-0B91357D6B77}"/>
    <cellStyle name="Normal 36 4 2 2 6 2" xfId="49212" xr:uid="{454FB38F-40FA-4307-BD66-6E2E0C6EA6AE}"/>
    <cellStyle name="Normal 36 4 2 2 7" xfId="49213" xr:uid="{A5362327-E5EE-4BCF-810E-32FA1CA5E546}"/>
    <cellStyle name="Normal 36 4 2 2 8" xfId="49214" xr:uid="{137C233C-25F7-4063-85A1-FAAC5ED9EEFC}"/>
    <cellStyle name="Normal 36 4 2 3" xfId="49215" xr:uid="{8CF1A131-B3F3-4943-9E22-3DF5751C27FF}"/>
    <cellStyle name="Normal 36 4 2 3 2" xfId="49216" xr:uid="{74516948-8862-43B3-A184-B4B0FBFCCBE4}"/>
    <cellStyle name="Normal 36 4 2 3 2 2" xfId="49217" xr:uid="{BCB3B21C-6431-4AF1-928C-9760F4B5F237}"/>
    <cellStyle name="Normal 36 4 2 3 2 2 2" xfId="49218" xr:uid="{F907AFDD-8285-44FB-B13F-085CEB9F9040}"/>
    <cellStyle name="Normal 36 4 2 3 2 2 2 2" xfId="49219" xr:uid="{1384811D-AE90-41C4-9FCE-82819959EA67}"/>
    <cellStyle name="Normal 36 4 2 3 2 2 2 2 2" xfId="49220" xr:uid="{6F2A205C-C46B-4BB4-9890-D6331925B631}"/>
    <cellStyle name="Normal 36 4 2 3 2 2 2 3" xfId="49221" xr:uid="{EB0CAE91-38EA-41C6-A12D-8854D47688FE}"/>
    <cellStyle name="Normal 36 4 2 3 2 2 3" xfId="49222" xr:uid="{70F2F802-700E-4D34-B67D-A889CE2F229A}"/>
    <cellStyle name="Normal 36 4 2 3 2 2 3 2" xfId="49223" xr:uid="{111A945F-3062-4974-A41A-11581216BCA4}"/>
    <cellStyle name="Normal 36 4 2 3 2 2 4" xfId="49224" xr:uid="{11AC61C7-EE1E-4E8A-A5C3-D150C50CC256}"/>
    <cellStyle name="Normal 36 4 2 3 2 3" xfId="49225" xr:uid="{38DF67AB-4626-491C-8471-9E5AFD370EC6}"/>
    <cellStyle name="Normal 36 4 2 3 2 3 2" xfId="49226" xr:uid="{ED48CA5B-5264-4233-BCBD-30326D71027D}"/>
    <cellStyle name="Normal 36 4 2 3 2 3 2 2" xfId="49227" xr:uid="{44E62F54-C0F6-4AF4-A4FA-4E810474AD14}"/>
    <cellStyle name="Normal 36 4 2 3 2 3 3" xfId="49228" xr:uid="{92694A8C-71C3-4480-BC0E-60A7C2DDFA45}"/>
    <cellStyle name="Normal 36 4 2 3 2 4" xfId="49229" xr:uid="{5C6D02E0-6659-4EB6-972C-F886FAC0BDD3}"/>
    <cellStyle name="Normal 36 4 2 3 2 4 2" xfId="49230" xr:uid="{DA859A42-D21C-4C23-AE75-F87822CEFABD}"/>
    <cellStyle name="Normal 36 4 2 3 2 5" xfId="49231" xr:uid="{EECCEBE5-C1E9-479C-96D5-DE6D352EBE9F}"/>
    <cellStyle name="Normal 36 4 2 3 3" xfId="49232" xr:uid="{6F6EB1AF-8CD1-40E6-8602-26994D031B82}"/>
    <cellStyle name="Normal 36 4 2 3 3 2" xfId="49233" xr:uid="{AC4B3636-70C4-49C7-8426-67228EECF84D}"/>
    <cellStyle name="Normal 36 4 2 3 3 2 2" xfId="49234" xr:uid="{DBFBC7DF-1CB4-4931-8A7E-CC7DE56ADC91}"/>
    <cellStyle name="Normal 36 4 2 3 3 2 2 2" xfId="49235" xr:uid="{04B277E7-C2F2-4C0E-9DFA-81E16927864D}"/>
    <cellStyle name="Normal 36 4 2 3 3 2 3" xfId="49236" xr:uid="{D9EA17CC-6DF9-4C88-91BC-F3E2237B27AD}"/>
    <cellStyle name="Normal 36 4 2 3 3 3" xfId="49237" xr:uid="{43B1BD0D-DDD1-4AB0-9392-3550D458D27A}"/>
    <cellStyle name="Normal 36 4 2 3 3 3 2" xfId="49238" xr:uid="{9E5FDF09-0D0A-42C9-A103-1D3831F2A2BF}"/>
    <cellStyle name="Normal 36 4 2 3 3 4" xfId="35467" xr:uid="{454D09A1-068F-4952-9992-2DD910F2338D}"/>
    <cellStyle name="Normal 36 4 2 3 4" xfId="49239" xr:uid="{DC81D08F-019E-4B33-B460-251F51C4037C}"/>
    <cellStyle name="Normal 36 4 2 3 4 2" xfId="49240" xr:uid="{B3AEEEE2-71F9-4DA6-8061-63E4CEDD496F}"/>
    <cellStyle name="Normal 36 4 2 3 4 2 2" xfId="49241" xr:uid="{326886A1-9FA3-46CF-AC79-80C044CAF231}"/>
    <cellStyle name="Normal 36 4 2 3 4 3" xfId="49242" xr:uid="{500F894A-EA9C-4190-9E3F-0CCC5153907D}"/>
    <cellStyle name="Normal 36 4 2 3 5" xfId="49243" xr:uid="{05AC1359-76DD-469B-9573-FDF6E820EE6E}"/>
    <cellStyle name="Normal 36 4 2 3 5 2" xfId="49244" xr:uid="{7D1E8593-BF56-4E6B-A8F6-1E1A9CD357D8}"/>
    <cellStyle name="Normal 36 4 2 3 6" xfId="49245" xr:uid="{20A8A532-B584-42F6-9D8F-3766AC5FB372}"/>
    <cellStyle name="Normal 36 4 2 3 7" xfId="49246" xr:uid="{86A1A52B-D3D0-4162-9F91-20CE5422EE80}"/>
    <cellStyle name="Normal 36 4 2 4" xfId="49247" xr:uid="{6F9D7B3A-A470-40F7-9460-9F6C34094916}"/>
    <cellStyle name="Normal 36 4 2 4 2" xfId="49248" xr:uid="{F2AE920E-A0B3-42BF-93F4-58152B25DEBC}"/>
    <cellStyle name="Normal 36 4 2 4 2 2" xfId="49249" xr:uid="{8A9BF23C-4A03-45D8-8BCB-8CC93489B8DF}"/>
    <cellStyle name="Normal 36 4 2 4 2 2 2" xfId="49250" xr:uid="{416F1A32-BF9A-4B31-8CCD-4F10E9D8E0BC}"/>
    <cellStyle name="Normal 36 4 2 4 2 2 2 2" xfId="49251" xr:uid="{1F9A06F4-5BC0-4F05-996A-D96E3FE83C8D}"/>
    <cellStyle name="Normal 36 4 2 4 2 2 3" xfId="49252" xr:uid="{578E9D33-0B3A-42E3-934E-39FFE3CFF8C7}"/>
    <cellStyle name="Normal 36 4 2 4 2 3" xfId="17409" xr:uid="{F98EEBF3-0237-4313-B097-B98ECC2C5D59}"/>
    <cellStyle name="Normal 36 4 2 4 2 3 2" xfId="29001" xr:uid="{97DB9A08-476F-480F-8D27-0AE608915791}"/>
    <cellStyle name="Normal 36 4 2 4 2 4" xfId="17415" xr:uid="{05527DC6-10BE-4184-B87A-A4C3950DA479}"/>
    <cellStyle name="Normal 36 4 2 4 3" xfId="49253" xr:uid="{B62E5433-E181-44F5-B555-CD449FE28D42}"/>
    <cellStyle name="Normal 36 4 2 4 3 2" xfId="49254" xr:uid="{043DA3BF-0E78-4F1A-82AA-FB9A24E5C062}"/>
    <cellStyle name="Normal 36 4 2 4 3 2 2" xfId="49255" xr:uid="{B6CF7E55-7CB0-433A-A4CF-C0B1EB302F0C}"/>
    <cellStyle name="Normal 36 4 2 4 3 3" xfId="17425" xr:uid="{CBEA0AC0-AEF0-42EF-9C80-F343DB3BF582}"/>
    <cellStyle name="Normal 36 4 2 4 4" xfId="49256" xr:uid="{869DFAD4-DAB5-47B8-A1D1-3B21065F8BC9}"/>
    <cellStyle name="Normal 36 4 2 4 4 2" xfId="49257" xr:uid="{A1F397B0-20F8-4240-8F3F-4CD8A33FB90D}"/>
    <cellStyle name="Normal 36 4 2 4 5" xfId="49258" xr:uid="{C64CD423-0A02-4CCE-BCED-967A3491FBD3}"/>
    <cellStyle name="Normal 36 4 2 5" xfId="49259" xr:uid="{75551F9D-66A7-44A4-ACCB-D8E573FB1AA0}"/>
    <cellStyle name="Normal 36 4 2 5 2" xfId="49260" xr:uid="{348C6630-1362-4C07-813E-CE9D9CA5C28E}"/>
    <cellStyle name="Normal 36 4 2 5 2 2" xfId="49261" xr:uid="{7BE1845E-2633-4760-8B55-DDE97D0020E9}"/>
    <cellStyle name="Normal 36 4 2 5 2 2 2" xfId="49262" xr:uid="{FEC6AF43-F2F6-4CD5-ADCC-4FE6B06535F4}"/>
    <cellStyle name="Normal 36 4 2 5 2 3" xfId="12574" xr:uid="{9C9637E5-D320-4232-A32F-88235DCF9BAF}"/>
    <cellStyle name="Normal 36 4 2 5 3" xfId="49263" xr:uid="{6A293EFB-3BCE-4555-9F96-E3E84A908B65}"/>
    <cellStyle name="Normal 36 4 2 5 3 2" xfId="49264" xr:uid="{8F8E2C6A-8500-4607-AFB5-FF3A71732D1C}"/>
    <cellStyle name="Normal 36 4 2 5 4" xfId="49265" xr:uid="{082E9281-EBD2-433D-8B4B-01F2A3132E83}"/>
    <cellStyle name="Normal 36 4 2 6" xfId="49266" xr:uid="{F627D99A-0B6E-4074-8242-677CB0907927}"/>
    <cellStyle name="Normal 36 4 2 6 2" xfId="49267" xr:uid="{3E167B98-687A-4165-9459-A5AC90BA0E77}"/>
    <cellStyle name="Normal 36 4 2 6 2 2" xfId="1591" xr:uid="{8CA0F7C2-4820-4C4D-BD48-EE0167F013A7}"/>
    <cellStyle name="Normal 36 4 2 6 3" xfId="49268" xr:uid="{6DF4EF10-493A-4576-9EE3-2B9B9AF1004B}"/>
    <cellStyle name="Normal 36 4 2 7" xfId="49269" xr:uid="{35CC8593-F528-485F-A9D4-38FEE2506711}"/>
    <cellStyle name="Normal 36 4 2 7 2" xfId="49270" xr:uid="{4F4FAB03-8E20-4642-A0F8-1A255FD399FA}"/>
    <cellStyle name="Normal 36 4 2 8" xfId="49271" xr:uid="{924F14BB-859A-435C-84F9-23F96D962F3E}"/>
    <cellStyle name="Normal 36 4 2 9" xfId="49272" xr:uid="{1AFC5DDF-453C-4E20-91B8-F255CB202293}"/>
    <cellStyle name="Normal 36 4 3" xfId="49273" xr:uid="{3295E890-4F1B-4761-A85A-4DE67306CCC6}"/>
    <cellStyle name="Normal 36 4 3 2" xfId="49274" xr:uid="{CA4C5405-AF21-44ED-A217-8FF7363B2332}"/>
    <cellStyle name="Normal 36 4 3 2 2" xfId="43211" xr:uid="{EBBC876E-C526-44AA-9486-EFACE39A1BD7}"/>
    <cellStyle name="Normal 36 4 3 2 2 2" xfId="49275" xr:uid="{6AEEAEFB-DCD0-4373-82C2-6976A92C1E7E}"/>
    <cellStyle name="Normal 36 4 3 2 2 2 2" xfId="49276" xr:uid="{EEA08449-494D-4EB1-BEC8-4B493E061AE5}"/>
    <cellStyle name="Normal 36 4 3 2 2 2 2 2" xfId="49277" xr:uid="{B1CAE1F3-DE76-4B80-9448-26836AC70960}"/>
    <cellStyle name="Normal 36 4 3 2 2 2 2 2 2" xfId="49278" xr:uid="{769881A0-EA40-4D74-BCD9-8BFDF8980348}"/>
    <cellStyle name="Normal 36 4 3 2 2 2 2 3" xfId="49279" xr:uid="{E1CB9938-44A2-4846-90C8-8643192F327A}"/>
    <cellStyle name="Normal 36 4 3 2 2 2 3" xfId="49280" xr:uid="{BFC48B7F-3AC0-435F-8D98-79ABE7CFD919}"/>
    <cellStyle name="Normal 36 4 3 2 2 2 3 2" xfId="49281" xr:uid="{5B181A98-EC07-40A4-AF4C-FA6866B0DB61}"/>
    <cellStyle name="Normal 36 4 3 2 2 2 4" xfId="49282" xr:uid="{4D8155A7-885A-4FA4-88F7-140B66A065D9}"/>
    <cellStyle name="Normal 36 4 3 2 2 3" xfId="49283" xr:uid="{BA4A1AFF-C7CB-4F44-85C4-F8A4C31D56AC}"/>
    <cellStyle name="Normal 36 4 3 2 2 3 2" xfId="49284" xr:uid="{C200352A-C07A-43E1-9A92-10D11B3B0C56}"/>
    <cellStyle name="Normal 36 4 3 2 2 3 2 2" xfId="49285" xr:uid="{B4B20C12-E01F-4378-8B6E-727D6D2E7705}"/>
    <cellStyle name="Normal 36 4 3 2 2 3 3" xfId="49286" xr:uid="{3CF453BC-8AEE-4A17-87AC-2F101D8F9769}"/>
    <cellStyle name="Normal 36 4 3 2 2 4" xfId="49287" xr:uid="{2C530011-AF1A-4889-A4B8-653661F7F6A6}"/>
    <cellStyle name="Normal 36 4 3 2 2 4 2" xfId="49288" xr:uid="{267EDA89-150D-4F88-ADAA-B58B86D07B14}"/>
    <cellStyle name="Normal 36 4 3 2 2 5" xfId="49289" xr:uid="{2996B2BF-2D09-4F13-8F18-E1939547BFCE}"/>
    <cellStyle name="Normal 36 4 3 2 3" xfId="49290" xr:uid="{12374986-8F3D-4FCE-9387-011F47F7B6B3}"/>
    <cellStyle name="Normal 36 4 3 2 3 2" xfId="49291" xr:uid="{7B156E67-4231-4193-9CDF-9AD6EE155B2C}"/>
    <cellStyle name="Normal 36 4 3 2 3 2 2" xfId="49292" xr:uid="{2315504D-96EE-413A-9E60-62BEEF7F3A86}"/>
    <cellStyle name="Normal 36 4 3 2 3 2 2 2" xfId="49293" xr:uid="{B9165D6D-C6A6-44CE-9E5B-74A6911B8AAF}"/>
    <cellStyle name="Normal 36 4 3 2 3 2 3" xfId="49294" xr:uid="{F56EFB34-0A9D-468A-A3F1-4D72023E0826}"/>
    <cellStyle name="Normal 36 4 3 2 3 3" xfId="271" xr:uid="{E97A0B8D-34C6-449C-897A-26FCD584F910}"/>
    <cellStyle name="Normal 36 4 3 2 3 3 2" xfId="49295" xr:uid="{BE4FC8CD-7B5D-4B38-A33F-CA4579A82A96}"/>
    <cellStyle name="Normal 36 4 3 2 3 4" xfId="294" xr:uid="{BF06FF99-DB6D-4BF1-8BCB-3A52257D24E4}"/>
    <cellStyle name="Normal 36 4 3 2 4" xfId="49296" xr:uid="{DFF03334-D898-439F-8BFC-DD99090C88FC}"/>
    <cellStyle name="Normal 36 4 3 2 4 2" xfId="49297" xr:uid="{00BD9420-7587-43C0-9122-76564A519A2E}"/>
    <cellStyle name="Normal 36 4 3 2 4 2 2" xfId="49298" xr:uid="{717817CB-FD5F-45CD-88A6-BFF8AB94E8C4}"/>
    <cellStyle name="Normal 36 4 3 2 4 3" xfId="49299" xr:uid="{80BF9E4C-EC07-4C8F-8DAB-FF9EFEEA4836}"/>
    <cellStyle name="Normal 36 4 3 2 5" xfId="49300" xr:uid="{6EA1754E-A41E-45CB-A45E-54E3E09BCFAC}"/>
    <cellStyle name="Normal 36 4 3 2 5 2" xfId="49301" xr:uid="{9A768AF8-6A79-42A6-83CB-B656C432ACD4}"/>
    <cellStyle name="Normal 36 4 3 2 6" xfId="49302" xr:uid="{267C8669-3B3C-484B-8D3F-60D7120BFF6E}"/>
    <cellStyle name="Normal 36 4 3 2 7" xfId="49303" xr:uid="{73FAC383-84A9-4C74-8940-378C6D03C60D}"/>
    <cellStyle name="Normal 36 4 3 3" xfId="49304" xr:uid="{147A4B96-A707-439C-B5CA-E65021070608}"/>
    <cellStyle name="Normal 36 4 3 3 2" xfId="49305" xr:uid="{3369E954-49C9-4AB1-8379-A85E1D61CE87}"/>
    <cellStyle name="Normal 36 4 3 3 2 2" xfId="49306" xr:uid="{3DD43AE6-5D00-4624-B3CA-35E2E8240858}"/>
    <cellStyle name="Normal 36 4 3 3 2 2 2" xfId="49307" xr:uid="{923E2971-CA8F-4EBA-B762-DF599C8E2C16}"/>
    <cellStyle name="Normal 36 4 3 3 2 2 2 2" xfId="49308" xr:uid="{9D754941-FA54-47ED-9DB5-1DC1BEB8D5E8}"/>
    <cellStyle name="Normal 36 4 3 3 2 2 3" xfId="49309" xr:uid="{D8A35EF9-B3A6-4824-B0E0-5CE0DCBF5547}"/>
    <cellStyle name="Normal 36 4 3 3 2 3" xfId="49310" xr:uid="{F544C896-08CC-4810-A663-66ED680D998B}"/>
    <cellStyle name="Normal 36 4 3 3 2 3 2" xfId="49311" xr:uid="{4826036A-2D9F-45DC-8324-BDCFE514A138}"/>
    <cellStyle name="Normal 36 4 3 3 2 4" xfId="49312" xr:uid="{BC9F65D0-0132-4E02-B0E3-166F0A0F9670}"/>
    <cellStyle name="Normal 36 4 3 3 3" xfId="49313" xr:uid="{0CA7842C-2532-47F7-A490-67B2CE0E65F1}"/>
    <cellStyle name="Normal 36 4 3 3 3 2" xfId="49314" xr:uid="{F0961415-C60C-40EB-8480-088FB10503BD}"/>
    <cellStyle name="Normal 36 4 3 3 3 2 2" xfId="1679" xr:uid="{8F49213F-1DC0-4E4D-90A5-8EB4CFBCC129}"/>
    <cellStyle name="Normal 36 4 3 3 3 3" xfId="49315" xr:uid="{8EF14C49-45B6-4654-B63D-D9762E4C906B}"/>
    <cellStyle name="Normal 36 4 3 3 4" xfId="49316" xr:uid="{2F13DDB5-4C36-49B0-8F47-FDAC41A913CB}"/>
    <cellStyle name="Normal 36 4 3 3 4 2" xfId="49317" xr:uid="{9D01FE73-ADBA-4BEE-B734-2E43DEAC320B}"/>
    <cellStyle name="Normal 36 4 3 3 5" xfId="49318" xr:uid="{84D7852A-4B07-4082-AEA2-6CFC98021C90}"/>
    <cellStyle name="Normal 36 4 3 4" xfId="49319" xr:uid="{3127CC63-5CFE-49B0-9323-28AF52ED8520}"/>
    <cellStyle name="Normal 36 4 3 4 2" xfId="49320" xr:uid="{01D01D4F-6B6D-4878-9AE1-C8171773B480}"/>
    <cellStyle name="Normal 36 4 3 4 2 2" xfId="49321" xr:uid="{39CF60BE-7166-464C-B952-F5BA3B8D84D6}"/>
    <cellStyle name="Normal 36 4 3 4 2 2 2" xfId="49322" xr:uid="{3F4DFE67-F55D-4358-BD77-67EDC146B63A}"/>
    <cellStyle name="Normal 36 4 3 4 2 3" xfId="49323" xr:uid="{5A68B4DB-8FDE-40B9-B083-1E3468CEF391}"/>
    <cellStyle name="Normal 36 4 3 4 3" xfId="49324" xr:uid="{CB9793F1-23E3-44C3-A034-E0A607A55009}"/>
    <cellStyle name="Normal 36 4 3 4 3 2" xfId="49325" xr:uid="{26BC5E74-D691-4C94-A407-773A0A3215A3}"/>
    <cellStyle name="Normal 36 4 3 4 4" xfId="49326" xr:uid="{119D384D-215D-454C-827B-AFD9D5C0269B}"/>
    <cellStyle name="Normal 36 4 3 5" xfId="49327" xr:uid="{A6C3FF8F-FF88-4D08-BEF7-057EDBD8BEC8}"/>
    <cellStyle name="Normal 36 4 3 5 2" xfId="49328" xr:uid="{5EE50F72-C864-427A-882C-39AF2E9320F2}"/>
    <cellStyle name="Normal 36 4 3 5 2 2" xfId="49329" xr:uid="{2A33BC0C-EAA3-4650-BC43-983E43891826}"/>
    <cellStyle name="Normal 36 4 3 5 3" xfId="49330" xr:uid="{95499EA8-8D34-451B-8728-DBB7F57305FA}"/>
    <cellStyle name="Normal 36 4 3 6" xfId="49331" xr:uid="{4259EBB6-FE5C-430C-B33B-883FE3C16D64}"/>
    <cellStyle name="Normal 36 4 3 6 2" xfId="49332" xr:uid="{7E812ADB-CEBE-40B3-AC29-5F0FF7A45333}"/>
    <cellStyle name="Normal 36 4 3 7" xfId="49333" xr:uid="{DBB7C172-01C2-4CD3-A69B-17F210BB97E7}"/>
    <cellStyle name="Normal 36 4 3 8" xfId="49334" xr:uid="{C098D737-3351-479F-BF56-EF1D8EBF043A}"/>
    <cellStyle name="Normal 36 4 4" xfId="49335" xr:uid="{B69FA076-0165-4E14-B12C-96611B7311BC}"/>
    <cellStyle name="Normal 36 4 4 2" xfId="15646" xr:uid="{12F7F37D-505F-4D4F-AB04-D82459D46E4F}"/>
    <cellStyle name="Normal 36 4 4 2 2" xfId="49336" xr:uid="{D7682DB1-0A9D-47B2-A17C-EEED9E39F143}"/>
    <cellStyle name="Normal 36 4 4 2 2 2" xfId="49337" xr:uid="{2E82D06D-2C6F-4A2E-A70A-1E61811B7D11}"/>
    <cellStyle name="Normal 36 4 4 2 2 2 2" xfId="49338" xr:uid="{7AA2EA04-1F4E-447E-A6E1-8381683D9CCE}"/>
    <cellStyle name="Normal 36 4 4 2 2 2 2 2" xfId="49339" xr:uid="{7FD85804-0504-4F0F-95DA-1FB1E10AFEF3}"/>
    <cellStyle name="Normal 36 4 4 2 2 2 3" xfId="49340" xr:uid="{3E0AE336-10EF-40C8-A9AD-10EC0778A13C}"/>
    <cellStyle name="Normal 36 4 4 2 2 3" xfId="49341" xr:uid="{E863C6AD-81ED-4FE8-908E-25F3E72ABBB2}"/>
    <cellStyle name="Normal 36 4 4 2 2 3 2" xfId="49342" xr:uid="{7FA5C777-22B7-4CF3-A4A3-BBB3BBBCFD00}"/>
    <cellStyle name="Normal 36 4 4 2 2 4" xfId="49343" xr:uid="{A3C603CB-4765-460E-AFC0-C6C00A347B42}"/>
    <cellStyle name="Normal 36 4 4 2 3" xfId="49344" xr:uid="{F0109610-5253-4EC2-BAEB-5EB6F4D5E4BD}"/>
    <cellStyle name="Normal 36 4 4 2 3 2" xfId="49345" xr:uid="{E24DB827-4DA4-40C5-89AB-4C125EAA9192}"/>
    <cellStyle name="Normal 36 4 4 2 3 2 2" xfId="49346" xr:uid="{C6D66F32-822B-46DA-A419-78ECAC0FE875}"/>
    <cellStyle name="Normal 36 4 4 2 3 3" xfId="49347" xr:uid="{0EAD914B-7711-442C-867F-E9AF46AB6941}"/>
    <cellStyle name="Normal 36 4 4 2 4" xfId="49348" xr:uid="{63081379-2594-4C0B-B182-1EC6F6081B14}"/>
    <cellStyle name="Normal 36 4 4 2 4 2" xfId="49349" xr:uid="{B430D45E-3398-49E1-9B48-362C6A507351}"/>
    <cellStyle name="Normal 36 4 4 2 5" xfId="49350" xr:uid="{FA08EE56-E9FD-4F2B-A2C2-BC478B1695FC}"/>
    <cellStyle name="Normal 36 4 4 3" xfId="49351" xr:uid="{DA787659-349D-4A63-99E1-73471AFB4409}"/>
    <cellStyle name="Normal 36 4 4 3 2" xfId="49352" xr:uid="{93716146-E718-47F6-8000-3190DDEA2AE2}"/>
    <cellStyle name="Normal 36 4 4 3 2 2" xfId="49353" xr:uid="{989128DF-333C-464B-B839-95935DCA2CA0}"/>
    <cellStyle name="Normal 36 4 4 3 2 2 2" xfId="41789" xr:uid="{B6CB3C0F-B67B-4B53-976A-F74944B8A031}"/>
    <cellStyle name="Normal 36 4 4 3 2 3" xfId="49354" xr:uid="{3054730F-1C6D-4E19-B6A3-C8938F473AB2}"/>
    <cellStyle name="Normal 36 4 4 3 3" xfId="49355" xr:uid="{77093C93-02F7-4F02-9ED2-9A25AB651A85}"/>
    <cellStyle name="Normal 36 4 4 3 3 2" xfId="49356" xr:uid="{9F963B20-4974-43F1-A135-E6D76D1A4467}"/>
    <cellStyle name="Normal 36 4 4 3 4" xfId="49357" xr:uid="{02422586-195F-480C-9730-E07E3CD9F70F}"/>
    <cellStyle name="Normal 36 4 4 4" xfId="49358" xr:uid="{F865E1C8-0FF3-4489-BB12-136A9B25C59B}"/>
    <cellStyle name="Normal 36 4 4 4 2" xfId="49359" xr:uid="{F4C5F40B-3825-4E4A-9136-0EC22BA5B7F4}"/>
    <cellStyle name="Normal 36 4 4 4 2 2" xfId="49360" xr:uid="{CA218702-DD9D-41E8-B53D-10607F8583F1}"/>
    <cellStyle name="Normal 36 4 4 4 3" xfId="49361" xr:uid="{CBD2596C-76FE-431F-8555-11BB3284BB6E}"/>
    <cellStyle name="Normal 36 4 4 5" xfId="49362" xr:uid="{54CCF844-24E6-4DFE-BFB3-3392E468DE1D}"/>
    <cellStyle name="Normal 36 4 4 5 2" xfId="49363" xr:uid="{95A5473D-A55E-4ADB-9F6F-6C55235ABEBB}"/>
    <cellStyle name="Normal 36 4 4 6" xfId="49365" xr:uid="{4B73318D-F073-4D61-A527-68A7C258957C}"/>
    <cellStyle name="Normal 36 4 4 7" xfId="49367" xr:uid="{406E08AC-E9EE-408B-974E-D0B3079D4EF1}"/>
    <cellStyle name="Normal 36 4 5" xfId="49368" xr:uid="{3081B063-9353-49E6-A375-F6AC2E52A93E}"/>
    <cellStyle name="Normal 36 4 5 2" xfId="49369" xr:uid="{72B00CC1-9C6E-4751-90F4-A5D1B85CF549}"/>
    <cellStyle name="Normal 36 4 5 2 2" xfId="49370" xr:uid="{17B4D09C-ED79-4F9E-AF24-AE9BD41CC4BB}"/>
    <cellStyle name="Normal 36 4 5 2 2 2" xfId="49371" xr:uid="{C0D9FB7D-F65B-453E-94F8-96E4A2504048}"/>
    <cellStyle name="Normal 36 4 5 2 2 2 2" xfId="49372" xr:uid="{B2554855-2B47-426A-A67C-1812D8D37A6F}"/>
    <cellStyle name="Normal 36 4 5 2 2 3" xfId="49373" xr:uid="{49AB5ABE-E3A1-49D0-9CE7-5FD617BF0050}"/>
    <cellStyle name="Normal 36 4 5 2 3" xfId="49374" xr:uid="{B4796C0D-3118-4FDE-9E8F-0619185FD14C}"/>
    <cellStyle name="Normal 36 4 5 2 3 2" xfId="49375" xr:uid="{7D012E6B-FE57-4997-935D-CD7708200160}"/>
    <cellStyle name="Normal 36 4 5 2 4" xfId="49376" xr:uid="{BDAC0CE6-2960-4E6B-8A8D-934C412D1D65}"/>
    <cellStyle name="Normal 36 4 5 3" xfId="49377" xr:uid="{EBC278B7-EA17-4F24-B028-E157E2601525}"/>
    <cellStyle name="Normal 36 4 5 3 2" xfId="49378" xr:uid="{8122F88C-954B-482C-9F46-BF7525E14817}"/>
    <cellStyle name="Normal 36 4 5 3 2 2" xfId="49379" xr:uid="{29E3A9A7-7E82-44FB-B028-82B887C2FC2A}"/>
    <cellStyle name="Normal 36 4 5 3 3" xfId="46461" xr:uid="{782D843E-029E-4AC4-976B-9E4BCB131240}"/>
    <cellStyle name="Normal 36 4 5 4" xfId="49380" xr:uid="{0118974F-932A-401E-8D97-4AE1D57421F4}"/>
    <cellStyle name="Normal 36 4 5 4 2" xfId="49381" xr:uid="{F5DBA06B-7ACF-4F05-9A6B-92FD2B8619DB}"/>
    <cellStyle name="Normal 36 4 5 5" xfId="49382" xr:uid="{F488FA3C-449A-482D-A03B-668864E0A97E}"/>
    <cellStyle name="Normal 36 4 6" xfId="49383" xr:uid="{D0EAAA99-5101-417B-B617-DE9E1C878FA1}"/>
    <cellStyle name="Normal 36 4 6 2" xfId="49384" xr:uid="{9D6B6E0D-0751-4E41-9D7D-1D207217706F}"/>
    <cellStyle name="Normal 36 4 6 2 2" xfId="49385" xr:uid="{FA62669D-670A-48EC-A6C9-C21F11CC0983}"/>
    <cellStyle name="Normal 36 4 6 2 2 2" xfId="49386" xr:uid="{24B632C7-9B77-4592-AA99-99A2B009EE8B}"/>
    <cellStyle name="Normal 36 4 6 2 3" xfId="49387" xr:uid="{AF53DE93-6DE2-4B67-9828-18D69EE3CAD8}"/>
    <cellStyle name="Normal 36 4 6 3" xfId="49388" xr:uid="{CD37BE52-4EF2-4390-95CF-FD732AA4033B}"/>
    <cellStyle name="Normal 36 4 6 3 2" xfId="49389" xr:uid="{74124948-5122-455E-9814-A51A4A997AF4}"/>
    <cellStyle name="Normal 36 4 6 4" xfId="49390" xr:uid="{BB0B473A-27D4-4F65-B7DE-A73536C5CEC2}"/>
    <cellStyle name="Normal 36 4 7" xfId="49391" xr:uid="{F9066D94-2142-43F6-99D6-8A8CAA79171C}"/>
    <cellStyle name="Normal 36 4 7 2" xfId="49392" xr:uid="{97024AB6-9F75-4054-AFBA-A656764C2DDC}"/>
    <cellStyle name="Normal 36 4 7 2 2" xfId="49393" xr:uid="{C298FDFB-B196-427C-935A-D879E522F5C1}"/>
    <cellStyle name="Normal 36 4 7 3" xfId="49394" xr:uid="{2D3DAE4F-D84D-4138-9B10-24FD89AB05C0}"/>
    <cellStyle name="Normal 36 4 8" xfId="49395" xr:uid="{FE69320A-8E4F-42B7-B7F2-F2C6CC2A92F8}"/>
    <cellStyle name="Normal 36 4 8 2" xfId="49396" xr:uid="{C39DEB35-6207-4373-A31D-48374CE2E62F}"/>
    <cellStyle name="Normal 36 4 9" xfId="49397" xr:uid="{C6EF5968-0D81-4BE7-A8CF-F3FED7C468AE}"/>
    <cellStyle name="Normal 36 5" xfId="49398" xr:uid="{93AA2DF8-06F2-425A-A78D-5505902A7165}"/>
    <cellStyle name="Normal 36 5 2" xfId="49399" xr:uid="{881384D5-36ED-4169-BE23-BE0D3ED4133E}"/>
    <cellStyle name="Normal 36 5 2 2" xfId="49400" xr:uid="{63BECEDC-9856-4C7D-A006-0954FE1D88CB}"/>
    <cellStyle name="Normal 36 5 2 2 2" xfId="49401" xr:uid="{1ADB3C4D-8767-4AE4-B1E2-5E1DDA6FC132}"/>
    <cellStyle name="Normal 36 5 2 2 2 2" xfId="49402" xr:uid="{9BDE98B6-350B-4296-8198-91F712BBA84E}"/>
    <cellStyle name="Normal 36 5 2 2 2 2 2" xfId="47860" xr:uid="{1C00942B-CCA8-475A-874E-2CA18452881B}"/>
    <cellStyle name="Normal 36 5 2 2 2 2 2 2" xfId="47862" xr:uid="{B1797739-88D1-4A6E-9547-91997C889B65}"/>
    <cellStyle name="Normal 36 5 2 2 2 2 2 2 2" xfId="47864" xr:uid="{410C404F-4DD6-4F43-B1BE-86DD57C0C098}"/>
    <cellStyle name="Normal 36 5 2 2 2 2 2 3" xfId="47880" xr:uid="{7BCDD23A-35A8-4894-8F53-AC78CE81DF97}"/>
    <cellStyle name="Normal 36 5 2 2 2 2 3" xfId="47899" xr:uid="{8FF6B1F5-89AD-41E6-91BC-F995E8FE92C0}"/>
    <cellStyle name="Normal 36 5 2 2 2 2 3 2" xfId="47901" xr:uid="{FC619F92-AE21-4E28-A8AD-2C1599992493}"/>
    <cellStyle name="Normal 36 5 2 2 2 2 4" xfId="47917" xr:uid="{EAE3E6D4-441E-4EEE-A0A8-65A43983F32B}"/>
    <cellStyle name="Normal 36 5 2 2 2 3" xfId="49403" xr:uid="{721903A6-D090-4007-9AF4-FE366604EB7D}"/>
    <cellStyle name="Normal 36 5 2 2 2 3 2" xfId="43737" xr:uid="{5C248771-25FE-4E2B-9C75-566E7DDF607E}"/>
    <cellStyle name="Normal 36 5 2 2 2 3 2 2" xfId="43740" xr:uid="{4D10E36B-A05D-4370-8341-720786252BCD}"/>
    <cellStyle name="Normal 36 5 2 2 2 3 3" xfId="43743" xr:uid="{0B17E9A9-7326-4FC2-8FEC-0B72255150B3}"/>
    <cellStyle name="Normal 36 5 2 2 2 4" xfId="49404" xr:uid="{C6C1F944-5150-4EA7-866D-05434A71E685}"/>
    <cellStyle name="Normal 36 5 2 2 2 4 2" xfId="43754" xr:uid="{A9F2E7BD-CA8D-4DAA-9DCE-6E8272DE6AD9}"/>
    <cellStyle name="Normal 36 5 2 2 2 5" xfId="49405" xr:uid="{7725A73A-2A86-4835-93DE-2117B81F1FFA}"/>
    <cellStyle name="Normal 36 5 2 2 3" xfId="49406" xr:uid="{48CAEA78-4FBF-4C8B-AAD4-12EFC877AE14}"/>
    <cellStyle name="Normal 36 5 2 2 3 2" xfId="49407" xr:uid="{08576A5B-2934-46A8-AA98-E2D111D54D83}"/>
    <cellStyle name="Normal 36 5 2 2 3 2 2" xfId="49408" xr:uid="{66940615-5222-435E-B84A-786103BEB405}"/>
    <cellStyle name="Normal 36 5 2 2 3 2 2 2" xfId="49409" xr:uid="{C746C37F-B504-4118-A6C6-28AE2596C986}"/>
    <cellStyle name="Normal 36 5 2 2 3 2 3" xfId="49410" xr:uid="{AECD1530-6FD1-499A-BFE3-3DD8D6B61FCB}"/>
    <cellStyle name="Normal 36 5 2 2 3 3" xfId="49411" xr:uid="{8EDCB279-6893-4191-82DB-7A3A579ACF20}"/>
    <cellStyle name="Normal 36 5 2 2 3 3 2" xfId="43232" xr:uid="{31EB99FA-439B-461B-A5D0-9F83642B0C81}"/>
    <cellStyle name="Normal 36 5 2 2 3 4" xfId="49412" xr:uid="{61BADBA4-F455-4DD8-9734-CF4B37ED4B09}"/>
    <cellStyle name="Normal 36 5 2 2 4" xfId="49413" xr:uid="{BA0BDB9E-68C5-49BF-91EA-7D105D83D63C}"/>
    <cellStyle name="Normal 36 5 2 2 4 2" xfId="49414" xr:uid="{9891CF13-DA69-4C63-BB3D-060849CC6998}"/>
    <cellStyle name="Normal 36 5 2 2 4 2 2" xfId="49415" xr:uid="{CA9C54DF-A3B0-4380-A1FF-ACE8991655CC}"/>
    <cellStyle name="Normal 36 5 2 2 4 3" xfId="49416" xr:uid="{50D38BD4-7013-4F36-930F-4D360AE8B13C}"/>
    <cellStyle name="Normal 36 5 2 2 5" xfId="49417" xr:uid="{59B779BF-D93C-47D2-912F-1F0BA294AF34}"/>
    <cellStyle name="Normal 36 5 2 2 5 2" xfId="49418" xr:uid="{EB970B2C-D82D-49D5-84C0-C640837E62EB}"/>
    <cellStyle name="Normal 36 5 2 2 6" xfId="49419" xr:uid="{46F1BECB-89ED-4CF2-97A2-A4FF52C150A3}"/>
    <cellStyle name="Normal 36 5 2 2 7" xfId="49420" xr:uid="{4DD8DF59-A1E7-45CC-926C-1832197884AD}"/>
    <cellStyle name="Normal 36 5 2 3" xfId="49421" xr:uid="{84640444-3E01-4864-A873-3DFBDA86475C}"/>
    <cellStyle name="Normal 36 5 2 3 2" xfId="49422" xr:uid="{E8F8BB1D-E4F4-4F91-A52C-3C969286136A}"/>
    <cellStyle name="Normal 36 5 2 3 2 2" xfId="49423" xr:uid="{CA51D773-10C7-4751-B81B-EA3548A8D042}"/>
    <cellStyle name="Normal 36 5 2 3 2 2 2" xfId="49424" xr:uid="{23548B11-C3B5-4D7C-95C9-6CCC19EB4CD1}"/>
    <cellStyle name="Normal 36 5 2 3 2 2 2 2" xfId="49425" xr:uid="{F93BFBBB-0F57-4945-BA38-BE01AC1F0FCE}"/>
    <cellStyle name="Normal 36 5 2 3 2 2 3" xfId="49426" xr:uid="{3118ABC4-7F94-44A4-979E-8B6FFBCD6F15}"/>
    <cellStyle name="Normal 36 5 2 3 2 3" xfId="49427" xr:uid="{BF5ED01F-9088-4292-8517-355D2BEA7B97}"/>
    <cellStyle name="Normal 36 5 2 3 2 3 2" xfId="43784" xr:uid="{CFBB0FD9-E84D-4CFF-B471-81C362555FEA}"/>
    <cellStyle name="Normal 36 5 2 3 2 4" xfId="49428" xr:uid="{B5BF5BFA-11A3-4B61-B520-82BD023A462B}"/>
    <cellStyle name="Normal 36 5 2 3 3" xfId="49429" xr:uid="{B9C3D16B-819E-484C-8B45-20B7F8DE2A33}"/>
    <cellStyle name="Normal 36 5 2 3 3 2" xfId="49430" xr:uid="{E8391692-E826-47A5-8ACD-0CCE502EB181}"/>
    <cellStyle name="Normal 36 5 2 3 3 2 2" xfId="49431" xr:uid="{1893F480-86E7-4406-951D-D48A0E40808F}"/>
    <cellStyle name="Normal 36 5 2 3 3 3" xfId="49432" xr:uid="{DD67E119-1477-4069-A16F-3B3D3B4D3194}"/>
    <cellStyle name="Normal 36 5 2 3 4" xfId="49433" xr:uid="{62CA5E47-F614-4750-8928-143A0ABC7755}"/>
    <cellStyle name="Normal 36 5 2 3 4 2" xfId="49434" xr:uid="{272A0D1B-0075-48B2-8B7E-623C9C8B6F28}"/>
    <cellStyle name="Normal 36 5 2 3 5" xfId="49435" xr:uid="{8C0DEAA0-1CF6-4E03-91E4-9D1850B41250}"/>
    <cellStyle name="Normal 36 5 2 4" xfId="49436" xr:uid="{6EED9480-C635-412F-A245-926FE1953A18}"/>
    <cellStyle name="Normal 36 5 2 4 2" xfId="49437" xr:uid="{8C396B06-9D6E-4D21-A3C0-D7987FF70713}"/>
    <cellStyle name="Normal 36 5 2 4 2 2" xfId="49438" xr:uid="{E27890CC-E312-4C62-B39B-8B1671C9640E}"/>
    <cellStyle name="Normal 36 5 2 4 2 2 2" xfId="38788" xr:uid="{1BFE7D0E-FBF0-42B5-A2F5-A2DAFD302164}"/>
    <cellStyle name="Normal 36 5 2 4 2 3" xfId="49439" xr:uid="{4D15D59B-97F3-482F-B981-5D5A94F23B60}"/>
    <cellStyle name="Normal 36 5 2 4 3" xfId="49440" xr:uid="{549F1DAD-9772-46D1-B87A-7E9DD9D2DB7D}"/>
    <cellStyle name="Normal 36 5 2 4 3 2" xfId="49441" xr:uid="{F0CF484A-7D22-4EF5-A073-8288A8F00B00}"/>
    <cellStyle name="Normal 36 5 2 4 4" xfId="49442" xr:uid="{CD0DE489-9AE8-4F3F-918B-30BE4E8193FC}"/>
    <cellStyle name="Normal 36 5 2 5" xfId="49443" xr:uid="{18222A64-061B-44F6-9979-F2D79B2A1A85}"/>
    <cellStyle name="Normal 36 5 2 5 2" xfId="49444" xr:uid="{4BF824A6-7E67-450B-BC62-6FE9234D7CCF}"/>
    <cellStyle name="Normal 36 5 2 5 2 2" xfId="49445" xr:uid="{B58BB6E4-E0FE-4D18-9327-AB4B3CBDA025}"/>
    <cellStyle name="Normal 36 5 2 5 3" xfId="49446" xr:uid="{74A1EB61-9D98-4018-8623-29970CEF4731}"/>
    <cellStyle name="Normal 36 5 2 6" xfId="49447" xr:uid="{295CFDF8-2374-4A3A-88B1-F0FF9B95CB73}"/>
    <cellStyle name="Normal 36 5 2 6 2" xfId="49448" xr:uid="{3553D640-9EEB-4784-8D94-E2A2D1739017}"/>
    <cellStyle name="Normal 36 5 2 7" xfId="49449" xr:uid="{3CE00FA9-6596-4A2D-B51D-EE7CF5E5DD89}"/>
    <cellStyle name="Normal 36 5 2 8" xfId="49450" xr:uid="{47928D76-30DF-4691-B8EC-A3DEB5FA8350}"/>
    <cellStyle name="Normal 36 5 3" xfId="49451" xr:uid="{8A5E4448-A121-4470-A365-AD5080A5E2DE}"/>
    <cellStyle name="Normal 36 5 3 2" xfId="49452" xr:uid="{D2CB965B-19A3-4F93-943B-6C1ADF667B38}"/>
    <cellStyle name="Normal 36 5 3 2 2" xfId="43313" xr:uid="{F63F7764-A03F-4EFE-A677-412A2B13FE54}"/>
    <cellStyle name="Normal 36 5 3 2 2 2" xfId="49453" xr:uid="{0118230F-1A51-40AC-9ACF-F3329A4135DC}"/>
    <cellStyle name="Normal 36 5 3 2 2 2 2" xfId="49454" xr:uid="{9B4D5E8B-F064-46E3-9F3B-86A5467CF43E}"/>
    <cellStyle name="Normal 36 5 3 2 2 2 2 2" xfId="49455" xr:uid="{0A075FEC-CF9D-4751-8BC4-AB045E39E58D}"/>
    <cellStyle name="Normal 36 5 3 2 2 2 3" xfId="49456" xr:uid="{2395457E-FF20-4DC8-813E-C2E235D044BB}"/>
    <cellStyle name="Normal 36 5 3 2 2 3" xfId="49457" xr:uid="{E1438A60-87E3-4313-AA68-D9044E4EAA9E}"/>
    <cellStyle name="Normal 36 5 3 2 2 3 2" xfId="43922" xr:uid="{1542251E-762C-49D7-A7C1-9C18223F71C2}"/>
    <cellStyle name="Normal 36 5 3 2 2 4" xfId="49458" xr:uid="{DC96AD68-33EE-4AF0-B19E-657AEF72809A}"/>
    <cellStyle name="Normal 36 5 3 2 3" xfId="49459" xr:uid="{A719C9B2-5B52-4D69-BE64-3611A5EDAD9B}"/>
    <cellStyle name="Normal 36 5 3 2 3 2" xfId="49460" xr:uid="{BBC0E932-2122-4372-897C-C9150EAD0859}"/>
    <cellStyle name="Normal 36 5 3 2 3 2 2" xfId="49461" xr:uid="{76039E9E-6098-4FC6-9C24-AF7FFD09BF2E}"/>
    <cellStyle name="Normal 36 5 3 2 3 3" xfId="49462" xr:uid="{B07B29FD-A031-46AB-962E-32A1CA89229A}"/>
    <cellStyle name="Normal 36 5 3 2 4" xfId="49463" xr:uid="{2FAF7170-BB2D-4BA5-827A-47C36818B135}"/>
    <cellStyle name="Normal 36 5 3 2 4 2" xfId="49464" xr:uid="{53A9C747-5B45-4AA9-90B6-96BA41AA803B}"/>
    <cellStyle name="Normal 36 5 3 2 5" xfId="49465" xr:uid="{D23F04C5-773E-4313-9E9C-5CF37DDB8A59}"/>
    <cellStyle name="Normal 36 5 3 3" xfId="49466" xr:uid="{3E01BA7A-97A0-498D-BD7D-30DAD5F948AC}"/>
    <cellStyle name="Normal 36 5 3 3 2" xfId="49467" xr:uid="{1633FE6C-B247-4A63-8847-AF8EEEFD08CB}"/>
    <cellStyle name="Normal 36 5 3 3 2 2" xfId="49468" xr:uid="{7449E348-9EDD-44EB-9FFD-8EB2B1C19449}"/>
    <cellStyle name="Normal 36 5 3 3 2 2 2" xfId="49469" xr:uid="{4E85C1E9-8A95-49C9-9181-E63C5774DDF3}"/>
    <cellStyle name="Normal 36 5 3 3 2 3" xfId="49470" xr:uid="{ED81E071-3979-49FB-9F0A-75F044713272}"/>
    <cellStyle name="Normal 36 5 3 3 3" xfId="49471" xr:uid="{A6060614-BDC0-448C-9547-AB3EE13F5196}"/>
    <cellStyle name="Normal 36 5 3 3 3 2" xfId="23576" xr:uid="{C3A036D6-1914-4B14-8D91-AA1873314F4E}"/>
    <cellStyle name="Normal 36 5 3 3 4" xfId="49472" xr:uid="{727C4954-DEB8-4621-A4B9-B83C0965E14F}"/>
    <cellStyle name="Normal 36 5 3 4" xfId="49473" xr:uid="{0B875961-8365-4612-BCB1-6959154B23E0}"/>
    <cellStyle name="Normal 36 5 3 4 2" xfId="49474" xr:uid="{668EE7CE-1E9E-47FD-8C8C-6B0707B32787}"/>
    <cellStyle name="Normal 36 5 3 4 2 2" xfId="49475" xr:uid="{44F0862C-E049-4589-8B3E-859F2EC7134B}"/>
    <cellStyle name="Normal 36 5 3 4 3" xfId="49476" xr:uid="{AD7214CD-BDA1-4E26-9606-55F50134498A}"/>
    <cellStyle name="Normal 36 5 3 5" xfId="49477" xr:uid="{8BD56031-812F-48E6-9407-5E866E1B5D8E}"/>
    <cellStyle name="Normal 36 5 3 5 2" xfId="49478" xr:uid="{1C0C0686-7B94-4093-966E-2DE3E589766F}"/>
    <cellStyle name="Normal 36 5 3 6" xfId="49479" xr:uid="{F8E1824C-DC32-4CE1-B8BA-4931DDA1A64C}"/>
    <cellStyle name="Normal 36 5 3 7" xfId="49480" xr:uid="{66F76889-B2CD-4AF3-A663-DD585A64A5E4}"/>
    <cellStyle name="Normal 36 5 4" xfId="49481" xr:uid="{2D8CF031-94C5-41C1-B1E7-C837C828B103}"/>
    <cellStyle name="Normal 36 5 4 2" xfId="49482" xr:uid="{1538D2E7-3C82-4823-A44B-270152FF975B}"/>
    <cellStyle name="Normal 36 5 4 2 2" xfId="49483" xr:uid="{58D28DD6-8CF3-4E00-BA30-D8AE8B8D5825}"/>
    <cellStyle name="Normal 36 5 4 2 2 2" xfId="49484" xr:uid="{9558EE75-B6F7-435E-AEA0-ABD5A9B114FB}"/>
    <cellStyle name="Normal 36 5 4 2 2 2 2" xfId="49485" xr:uid="{C81A8A56-1C98-4C0A-B32A-78C13C4C0834}"/>
    <cellStyle name="Normal 36 5 4 2 2 3" xfId="49486" xr:uid="{E657820C-EA27-4CA1-9AAE-388E1F4293A1}"/>
    <cellStyle name="Normal 36 5 4 2 3" xfId="49487" xr:uid="{EF268CDC-DD65-4640-BE79-3F686548B5E0}"/>
    <cellStyle name="Normal 36 5 4 2 3 2" xfId="49488" xr:uid="{FDD7A4ED-8FB5-4134-B002-444FB79B2BB7}"/>
    <cellStyle name="Normal 36 5 4 2 4" xfId="49489" xr:uid="{E9AC8309-ADC5-4C3C-B561-58174198695B}"/>
    <cellStyle name="Normal 36 5 4 3" xfId="49490" xr:uid="{D1E56659-0C52-4E29-A0AC-AE6A757857E0}"/>
    <cellStyle name="Normal 36 5 4 3 2" xfId="49491" xr:uid="{BAE3BC76-C876-43BA-B5D3-1464D9A5AEEF}"/>
    <cellStyle name="Normal 36 5 4 3 2 2" xfId="49492" xr:uid="{414B7C93-2966-4C75-A7F2-F145F66C0026}"/>
    <cellStyle name="Normal 36 5 4 3 3" xfId="49493" xr:uid="{971FFCF5-8693-4345-B734-ED6C088BD672}"/>
    <cellStyle name="Normal 36 5 4 4" xfId="49494" xr:uid="{48619524-84E8-4DD9-ABC4-33262A9BA3C1}"/>
    <cellStyle name="Normal 36 5 4 4 2" xfId="49495" xr:uid="{09397257-BB2D-4587-8417-ED8704362BAA}"/>
    <cellStyle name="Normal 36 5 4 5" xfId="49496" xr:uid="{6F12FDEC-3E08-4A02-B267-DA49016C7CC5}"/>
    <cellStyle name="Normal 36 5 5" xfId="49497" xr:uid="{7FA2BBFD-B7BF-41CD-8441-EED52942B387}"/>
    <cellStyle name="Normal 36 5 5 2" xfId="49498" xr:uid="{683B566B-AEC6-4BA8-94A5-5EEAA9A164E7}"/>
    <cellStyle name="Normal 36 5 5 2 2" xfId="49499" xr:uid="{AB66D426-CA97-47A4-B007-72297B840A5C}"/>
    <cellStyle name="Normal 36 5 5 2 2 2" xfId="49500" xr:uid="{031DF5E2-02D9-49D7-BCA4-CA5755BF0FF0}"/>
    <cellStyle name="Normal 36 5 5 2 3" xfId="49501" xr:uid="{241AF78D-D0B7-4613-9D4D-4D320151F16A}"/>
    <cellStyle name="Normal 36 5 5 3" xfId="49502" xr:uid="{A883DFBF-2077-4B25-A2F7-AB0042D46582}"/>
    <cellStyle name="Normal 36 5 5 3 2" xfId="49503" xr:uid="{E932BEAB-56C6-450F-A2FC-F051B4046B38}"/>
    <cellStyle name="Normal 36 5 5 4" xfId="49504" xr:uid="{1E2934F1-CA2A-4FF2-BD6D-D0EB67E49C26}"/>
    <cellStyle name="Normal 36 5 6" xfId="49505" xr:uid="{C2C1615B-6E25-47CD-9A17-DD7FF1A7C179}"/>
    <cellStyle name="Normal 36 5 6 2" xfId="49506" xr:uid="{3864EB52-A650-4DDF-BE5D-867096C2BE51}"/>
    <cellStyle name="Normal 36 5 6 2 2" xfId="49507" xr:uid="{0FBC8E9D-42A6-4692-BA47-FCD795D8C205}"/>
    <cellStyle name="Normal 36 5 6 3" xfId="49508" xr:uid="{3152BF78-1AE0-42AD-A11E-D98DAA9A7D38}"/>
    <cellStyle name="Normal 36 5 7" xfId="49509" xr:uid="{E0483FC6-4C0E-4EEC-88C9-B96D36103A75}"/>
    <cellStyle name="Normal 36 5 7 2" xfId="49510" xr:uid="{C3B895D7-4EC6-40C7-9DF9-33701C390C3C}"/>
    <cellStyle name="Normal 36 5 8" xfId="49511" xr:uid="{86ABF458-839B-4133-8BA7-C6EC4FD7D379}"/>
    <cellStyle name="Normal 36 5 9" xfId="49512" xr:uid="{3C1FEA7D-1B87-432F-BA1C-15FB69B09650}"/>
    <cellStyle name="Normal 36 6" xfId="49513" xr:uid="{3A59EE15-DED8-4559-9597-61F0DB722194}"/>
    <cellStyle name="Normal 36 6 2" xfId="49514" xr:uid="{E85D7698-4D38-4226-8AE2-EF07F693939C}"/>
    <cellStyle name="Normal 36 6 2 2" xfId="49515" xr:uid="{765E1DD5-30F2-45B1-B7E9-76FF7CE9BBE6}"/>
    <cellStyle name="Normal 36 6 2 2 2" xfId="49516" xr:uid="{F5B9DEDB-2031-4BAC-B43C-81694CEAE725}"/>
    <cellStyle name="Normal 36 6 2 2 2 2" xfId="49364" xr:uid="{C680A6F1-DA8E-4454-8E7A-5C0F900544E1}"/>
    <cellStyle name="Normal 36 6 2 2 2 2 2" xfId="49517" xr:uid="{8CE771EF-F586-46EB-A210-6B42DB5035B0}"/>
    <cellStyle name="Normal 36 6 2 2 2 2 2 2" xfId="49518" xr:uid="{5DF9C521-ADB5-4A97-BE47-1E76330F7BCF}"/>
    <cellStyle name="Normal 36 6 2 2 2 2 3" xfId="49519" xr:uid="{71D7FE43-8CDC-4708-9079-4BF78A9E7D93}"/>
    <cellStyle name="Normal 36 6 2 2 2 3" xfId="49366" xr:uid="{6C60BAA4-5010-449B-AC18-11496FF6485C}"/>
    <cellStyle name="Normal 36 6 2 2 2 3 2" xfId="44187" xr:uid="{AE80045C-DFF2-40F3-8DA5-E823BA97C6C6}"/>
    <cellStyle name="Normal 36 6 2 2 2 4" xfId="49520" xr:uid="{D218FDDF-7DFA-4E1D-8FA0-E0B42F7AC432}"/>
    <cellStyle name="Normal 36 6 2 2 3" xfId="49521" xr:uid="{FAD01A95-2BAC-4707-95CA-26AE32C6E1BC}"/>
    <cellStyle name="Normal 36 6 2 2 3 2" xfId="49522" xr:uid="{C521CBAC-7AA4-4D20-8A3E-41AE2F91B6F0}"/>
    <cellStyle name="Normal 36 6 2 2 3 2 2" xfId="49523" xr:uid="{B54905B9-1903-4E04-A707-A82D38424B65}"/>
    <cellStyle name="Normal 36 6 2 2 3 3" xfId="49524" xr:uid="{A83B139A-ECAC-4E0D-8FDF-26D931E4D466}"/>
    <cellStyle name="Normal 36 6 2 2 4" xfId="49525" xr:uid="{F8EAFCB3-8E93-45DF-BCF0-5F8025ABA46D}"/>
    <cellStyle name="Normal 36 6 2 2 4 2" xfId="49526" xr:uid="{4E1A2788-B489-4D74-A3A7-264868639D2F}"/>
    <cellStyle name="Normal 36 6 2 2 5" xfId="49527" xr:uid="{FE185FB4-6A6A-4B0C-9C19-FCC9E1E95B26}"/>
    <cellStyle name="Normal 36 6 2 3" xfId="49528" xr:uid="{6B5B56B1-F37C-42F9-89E2-37F57D5A673F}"/>
    <cellStyle name="Normal 36 6 2 3 2" xfId="49529" xr:uid="{9A26E05A-5959-4651-A521-4090AAC55295}"/>
    <cellStyle name="Normal 36 6 2 3 2 2" xfId="49530" xr:uid="{2A4E6F38-9A99-41AA-83DE-109D37715C80}"/>
    <cellStyle name="Normal 36 6 2 3 2 2 2" xfId="49531" xr:uid="{20DC8D73-DA22-403B-8791-5D1E94D6F52A}"/>
    <cellStyle name="Normal 36 6 2 3 2 3" xfId="49532" xr:uid="{DA79F6B8-20BA-43C4-BA4E-EF20FA89F474}"/>
    <cellStyle name="Normal 36 6 2 3 3" xfId="49533" xr:uid="{52A91D28-F062-46BD-8104-D7A2D2FA105C}"/>
    <cellStyle name="Normal 36 6 2 3 3 2" xfId="49534" xr:uid="{9E6B52B2-1DBA-487B-BAE2-2475451C1B8D}"/>
    <cellStyle name="Normal 36 6 2 3 4" xfId="49535" xr:uid="{DE378BEA-B19C-44FC-BD6F-6857267665DC}"/>
    <cellStyle name="Normal 36 6 2 4" xfId="49536" xr:uid="{12EAD5C5-6CA8-4384-A9BE-1827872EAF76}"/>
    <cellStyle name="Normal 36 6 2 4 2" xfId="49538" xr:uid="{D4B346BF-0A40-4181-B447-6722F0833007}"/>
    <cellStyle name="Normal 36 6 2 4 2 2" xfId="49539" xr:uid="{F9ED12B2-9001-4FDB-AC6D-FEBBDD9C0824}"/>
    <cellStyle name="Normal 36 6 2 4 3" xfId="49541" xr:uid="{697A1C34-D30E-492A-946D-6ADD4550BB6A}"/>
    <cellStyle name="Normal 36 6 2 5" xfId="49542" xr:uid="{7F5C2FE3-E20E-42C6-B06C-0DEE48A2D27A}"/>
    <cellStyle name="Normal 36 6 2 5 2" xfId="49543" xr:uid="{055B589C-170C-4417-B91E-1FD61506F1CA}"/>
    <cellStyle name="Normal 36 6 2 6" xfId="49537" xr:uid="{9FF9C7CE-DE83-4622-A79A-75BC0245EB97}"/>
    <cellStyle name="Normal 36 6 2 7" xfId="49540" xr:uid="{0E748DE6-97BE-42A9-9E24-593FAE7C5C25}"/>
    <cellStyle name="Normal 36 6 3" xfId="49544" xr:uid="{8D43E061-9679-470C-A12F-044BCF7FB17C}"/>
    <cellStyle name="Normal 36 6 3 2" xfId="49545" xr:uid="{872F20DD-E153-4381-9973-7B7C374D855C}"/>
    <cellStyle name="Normal 36 6 3 2 2" xfId="49546" xr:uid="{5C8ED86D-7ABA-4686-8923-485EEACAFC3B}"/>
    <cellStyle name="Normal 36 6 3 2 2 2" xfId="49547" xr:uid="{FFBFFE28-3CF3-41EA-BFB2-F5BB7D81D1F3}"/>
    <cellStyle name="Normal 36 6 3 2 2 2 2" xfId="49548" xr:uid="{21D8F5AF-CD64-4896-9572-0511C2B3DAD5}"/>
    <cellStyle name="Normal 36 6 3 2 2 3" xfId="49549" xr:uid="{51122A3E-7C13-4800-8B2A-45A10C539362}"/>
    <cellStyle name="Normal 36 6 3 2 3" xfId="49550" xr:uid="{95B69BB7-0CA3-43BB-829D-DCED0573F92A}"/>
    <cellStyle name="Normal 36 6 3 2 3 2" xfId="49551" xr:uid="{365175BA-5EC1-4C90-A082-0080770EC9B3}"/>
    <cellStyle name="Normal 36 6 3 2 4" xfId="49552" xr:uid="{0A4AC449-5853-467E-8312-EC2CCD949234}"/>
    <cellStyle name="Normal 36 6 3 3" xfId="49553" xr:uid="{BE8EBAB6-7F6C-442A-B2CC-48686306E224}"/>
    <cellStyle name="Normal 36 6 3 3 2" xfId="49554" xr:uid="{E1E75A1A-E399-4083-97F0-C7CFDD524B6F}"/>
    <cellStyle name="Normal 36 6 3 3 2 2" xfId="49555" xr:uid="{C61E2928-CBDE-4AF4-8768-C9656FCA3D58}"/>
    <cellStyle name="Normal 36 6 3 3 3" xfId="49556" xr:uid="{BC2896E4-B102-4564-BA14-36247D6D60B1}"/>
    <cellStyle name="Normal 36 6 3 4" xfId="49557" xr:uid="{58615840-47B1-4FB8-A6AC-AE6F55886B74}"/>
    <cellStyle name="Normal 36 6 3 4 2" xfId="49558" xr:uid="{D05C10BE-A3C3-4201-A505-CE535D10339F}"/>
    <cellStyle name="Normal 36 6 3 5" xfId="49559" xr:uid="{55A5C665-7F0A-448C-B028-7EDE6F6B0B28}"/>
    <cellStyle name="Normal 36 6 4" xfId="49560" xr:uid="{3F5F5767-BB5D-4903-A7C8-116194958480}"/>
    <cellStyle name="Normal 36 6 4 2" xfId="49561" xr:uid="{421B3E9A-8478-4305-82C0-1929D1362FEA}"/>
    <cellStyle name="Normal 36 6 4 2 2" xfId="40669" xr:uid="{3E30587C-60B2-455C-A3E4-D54F538C85A2}"/>
    <cellStyle name="Normal 36 6 4 2 2 2" xfId="40671" xr:uid="{E640C70F-BCA0-4690-84FF-E033A99CDB2C}"/>
    <cellStyle name="Normal 36 6 4 2 3" xfId="40675" xr:uid="{DA0DB195-70E1-454B-80CE-CB1BF0A2AFC9}"/>
    <cellStyle name="Normal 36 6 4 3" xfId="49562" xr:uid="{2EA6574E-7176-45A6-9553-6BFCB2F41911}"/>
    <cellStyle name="Normal 36 6 4 3 2" xfId="40687" xr:uid="{70CB22FD-A0A5-4907-B150-F867CCC96A79}"/>
    <cellStyle name="Normal 36 6 4 4" xfId="49563" xr:uid="{338449EF-8804-4AAF-BC66-55915BB0B10D}"/>
    <cellStyle name="Normal 36 6 5" xfId="49564" xr:uid="{39B19758-C808-49CE-8BF9-AEBFE5FA2454}"/>
    <cellStyle name="Normal 36 6 5 2" xfId="49565" xr:uid="{52914C51-7179-4EAA-9E68-C4886AA0A05D}"/>
    <cellStyle name="Normal 36 6 5 2 2" xfId="40725" xr:uid="{CEF09AAC-ED29-49BC-B87E-8A1A5CD34CD9}"/>
    <cellStyle name="Normal 36 6 5 3" xfId="49566" xr:uid="{79A3E967-05A3-4000-AA70-37BFCDCD7613}"/>
    <cellStyle name="Normal 36 6 6" xfId="49567" xr:uid="{6C586DF7-25F5-4F8A-AD53-B11D7EDD6262}"/>
    <cellStyle name="Normal 36 6 6 2" xfId="49568" xr:uid="{3E24EC1C-729C-451F-8916-499CA554BD52}"/>
    <cellStyle name="Normal 36 6 7" xfId="49569" xr:uid="{49A803EF-A5B0-474D-BA03-CF49ADF649DD}"/>
    <cellStyle name="Normal 36 6 8" xfId="49570" xr:uid="{55F1A5F5-2212-446D-A894-0B6F53527FB5}"/>
    <cellStyle name="Normal 36 7" xfId="49571" xr:uid="{40ED94B0-EC5F-4E66-BD6E-14BAE21DBBB7}"/>
    <cellStyle name="Normal 36 7 2" xfId="45667" xr:uid="{37455E32-3549-422C-B2BD-4402FE075F3F}"/>
    <cellStyle name="Normal 36 7 2 2" xfId="49572" xr:uid="{F60F26AD-E9AA-46BB-8E7E-D6BDE8B7AAFE}"/>
    <cellStyle name="Normal 36 7 2 2 2" xfId="49573" xr:uid="{C9A2C45C-62B6-4183-9552-E866B7236774}"/>
    <cellStyle name="Normal 36 7 2 2 2 2" xfId="49574" xr:uid="{B3D8419C-EEE4-43B6-AD4A-6D2BC3B130A5}"/>
    <cellStyle name="Normal 36 7 2 2 2 2 2" xfId="42446" xr:uid="{8B0833F2-0074-4452-BE6B-E65E783E63F2}"/>
    <cellStyle name="Normal 36 7 2 2 2 3" xfId="49575" xr:uid="{95E17488-CB7C-4EA5-8F3D-058F3898C2D3}"/>
    <cellStyle name="Normal 36 7 2 2 3" xfId="49576" xr:uid="{D65C13C2-8AD7-44E4-B40A-FE5679FD3E0C}"/>
    <cellStyle name="Normal 36 7 2 2 3 2" xfId="49577" xr:uid="{6953B8AA-0E24-4242-9E6E-EA9AE350043A}"/>
    <cellStyle name="Normal 36 7 2 2 4" xfId="49578" xr:uid="{583980E1-84F0-4603-9DDA-BC28983A89F1}"/>
    <cellStyle name="Normal 36 7 2 3" xfId="49579" xr:uid="{D2231A7D-B284-4BB1-B77E-D4E42FCBD130}"/>
    <cellStyle name="Normal 36 7 2 3 2" xfId="49580" xr:uid="{89E84CE4-3E82-4604-BA2F-BCCEA923C86C}"/>
    <cellStyle name="Normal 36 7 2 3 2 2" xfId="49581" xr:uid="{3ABE8954-F00D-423F-B4C2-FCE97B2133D4}"/>
    <cellStyle name="Normal 36 7 2 3 3" xfId="49582" xr:uid="{967187EB-499A-448A-AB18-8511B40C5132}"/>
    <cellStyle name="Normal 36 7 2 4" xfId="49583" xr:uid="{797A5352-A92E-4D79-81E3-8BFE4FD11814}"/>
    <cellStyle name="Normal 36 7 2 4 2" xfId="49584" xr:uid="{83AF3399-96DB-42A6-BC40-E1B03A5E680E}"/>
    <cellStyle name="Normal 36 7 2 5" xfId="49585" xr:uid="{F9A2441D-AAE7-4C09-9851-2E85527D0517}"/>
    <cellStyle name="Normal 36 7 3" xfId="49586" xr:uid="{682E8110-D599-4F1A-B888-3DA3569FD32F}"/>
    <cellStyle name="Normal 36 7 3 2" xfId="49587" xr:uid="{787444AA-BF09-4C58-8D1F-FB9077F9213D}"/>
    <cellStyle name="Normal 36 7 3 2 2" xfId="49588" xr:uid="{5B5234E8-DFD8-43CB-93F6-A6AFD5216435}"/>
    <cellStyle name="Normal 36 7 3 2 2 2" xfId="49589" xr:uid="{09D2665D-EA20-4E16-8B5A-87B51C9F2A30}"/>
    <cellStyle name="Normal 36 7 3 2 3" xfId="49590" xr:uid="{32A0E274-3274-497A-B5FB-858381526164}"/>
    <cellStyle name="Normal 36 7 3 3" xfId="49591" xr:uid="{D9120ED1-E894-4A60-A29A-87A43DBCBDBE}"/>
    <cellStyle name="Normal 36 7 3 3 2" xfId="49592" xr:uid="{76BEBC2E-05C3-4342-92FA-9CD35B089542}"/>
    <cellStyle name="Normal 36 7 3 4" xfId="49593" xr:uid="{8C92A2B4-AA76-4D62-B452-AF1FD6733F8D}"/>
    <cellStyle name="Normal 36 7 4" xfId="49594" xr:uid="{73AE573E-6EF9-40BD-9E14-EDAAE8254D89}"/>
    <cellStyle name="Normal 36 7 4 2" xfId="49595" xr:uid="{7A9E077A-3C79-4EE6-8891-D044E4B1E9CA}"/>
    <cellStyle name="Normal 36 7 4 2 2" xfId="40878" xr:uid="{C2E0461A-6977-419A-9DFA-A0CEE85A3B05}"/>
    <cellStyle name="Normal 36 7 4 3" xfId="49596" xr:uid="{DB465ED9-72B8-4631-ACB1-2F6EDB10C122}"/>
    <cellStyle name="Normal 36 7 5" xfId="49597" xr:uid="{0B919C7F-62EE-4AAF-9287-D6E10E73FCD1}"/>
    <cellStyle name="Normal 36 7 5 2" xfId="49598" xr:uid="{8531756F-C3BF-47FF-8431-86FEB7949338}"/>
    <cellStyle name="Normal 36 7 6" xfId="49599" xr:uid="{937D4E18-65A5-43E8-B63E-1C83C82797D5}"/>
    <cellStyle name="Normal 36 7 7" xfId="49600" xr:uid="{B0AB5098-4123-450F-BD16-4F124F63141F}"/>
    <cellStyle name="Normal 36 8" xfId="49601" xr:uid="{0A25B706-D110-4826-9422-9D3B62F73010}"/>
    <cellStyle name="Normal 36 8 2" xfId="49602" xr:uid="{55C22F8A-F975-459E-9462-33A83931D14F}"/>
    <cellStyle name="Normal 36 8 2 2" xfId="49603" xr:uid="{5BFDC374-0D03-4F85-B13A-6EB59B465100}"/>
    <cellStyle name="Normal 36 8 2 2 2" xfId="49604" xr:uid="{6A85EA09-D7A9-4EF0-9E34-5D66C53B4CE5}"/>
    <cellStyle name="Normal 36 8 2 2 2 2" xfId="49605" xr:uid="{4649D895-8731-41D9-BD75-3EB5469DE075}"/>
    <cellStyle name="Normal 36 8 2 2 3" xfId="49606" xr:uid="{B5587711-29A3-4CF4-9F04-3620F961C423}"/>
    <cellStyle name="Normal 36 8 2 3" xfId="49607" xr:uid="{80168C0E-7A04-4393-920D-E1439F0A4988}"/>
    <cellStyle name="Normal 36 8 2 3 2" xfId="49608" xr:uid="{01F65AB4-2202-4980-B01B-924D934D9F9B}"/>
    <cellStyle name="Normal 36 8 2 4" xfId="40692" xr:uid="{F250B75C-5CB8-4987-A008-257EB4A029F1}"/>
    <cellStyle name="Normal 36 8 3" xfId="49609" xr:uid="{67C4DDB4-C719-4A4A-B901-CB46367565C7}"/>
    <cellStyle name="Normal 36 8 3 2" xfId="49610" xr:uid="{3828F4A5-5DAE-41E6-8CBD-177BCB40105B}"/>
    <cellStyle name="Normal 36 8 3 2 2" xfId="49611" xr:uid="{29997570-A751-448F-8E31-8378C44CA2FC}"/>
    <cellStyle name="Normal 36 8 3 3" xfId="49612" xr:uid="{A762045A-D1FD-4F01-A7A3-38FE982BC88B}"/>
    <cellStyle name="Normal 36 8 4" xfId="49613" xr:uid="{FD750CB4-1143-4286-AC3D-A9C9B65782FF}"/>
    <cellStyle name="Normal 36 8 4 2" xfId="49614" xr:uid="{1EF5552B-60D9-4337-9497-4B957367CD7A}"/>
    <cellStyle name="Normal 36 8 5" xfId="49615" xr:uid="{3010318F-F60B-481F-A1E6-63634AA5FE68}"/>
    <cellStyle name="Normal 36 9" xfId="49616" xr:uid="{B517D1F9-30A9-4CAD-8481-2E254B8DFC64}"/>
    <cellStyle name="Normal 36 9 2" xfId="8818" xr:uid="{64895D17-46BA-49B7-83E9-1F1A68EB7979}"/>
    <cellStyle name="Normal 36 9 2 2" xfId="49617" xr:uid="{18817A01-DCE5-45CD-A3B3-75638C4160D3}"/>
    <cellStyle name="Normal 36 9 2 2 2" xfId="49618" xr:uid="{5F3332D7-0FA8-4E2F-99BD-8BE121F661DB}"/>
    <cellStyle name="Normal 36 9 2 3" xfId="49619" xr:uid="{15C078E4-55C3-478C-BCE1-0AA87767B78F}"/>
    <cellStyle name="Normal 36 9 3" xfId="49620" xr:uid="{AE88923C-BF63-40D2-A76A-4B18E4948081}"/>
    <cellStyle name="Normal 36 9 3 2" xfId="49621" xr:uid="{06244144-6B58-4E1F-8FA8-95121F7E7A4D}"/>
    <cellStyle name="Normal 36 9 4" xfId="49622" xr:uid="{6997C115-CADA-4D5B-967B-E12BA8C16DE0}"/>
    <cellStyle name="Normal 360" xfId="28468" xr:uid="{72A8D722-A8B1-4B54-B894-D30655E99493}"/>
    <cellStyle name="Normal 361" xfId="48159" xr:uid="{9BD1BF0B-0320-49DB-AA29-DD06921CBF8B}"/>
    <cellStyle name="Normal 362" xfId="48163" xr:uid="{42CF5DEA-257E-4FA1-8E4A-FBE930E817D1}"/>
    <cellStyle name="Normal 363" xfId="48167" xr:uid="{478391FE-5E94-42BB-83FE-5519AC57DDB7}"/>
    <cellStyle name="Normal 364" xfId="48171" xr:uid="{AA948A63-5659-49C5-ADEF-DF8193194694}"/>
    <cellStyle name="Normal 365" xfId="49626" xr:uid="{AC9CDE0A-6981-4949-9ED4-0030C291B487}"/>
    <cellStyle name="Normal 366" xfId="49630" xr:uid="{D9F4F822-AD9B-45A1-8BD3-26C74C107222}"/>
    <cellStyle name="Normal 367" xfId="49634" xr:uid="{B3554698-6970-4A14-AAEB-613141974694}"/>
    <cellStyle name="Normal 368" xfId="44336" xr:uid="{2E041E15-3FC6-42C0-8E67-F034CD1C1A1D}"/>
    <cellStyle name="Normal 369" xfId="49638" xr:uid="{D3C568E9-0795-4589-8553-1C662D70C3A8}"/>
    <cellStyle name="Normal 37" xfId="49640" xr:uid="{17B83AC1-4D7D-47AA-A3A7-6255550DCFA9}"/>
    <cellStyle name="Normal 37 2" xfId="49642" xr:uid="{F48994F3-B05D-4084-B920-C19E42ED1F58}"/>
    <cellStyle name="Normal 37 2 2" xfId="49644" xr:uid="{978F2347-D848-4738-9732-DBA95414A455}"/>
    <cellStyle name="Normal 37 3" xfId="49646" xr:uid="{B1EE635D-07AE-47F4-89F3-CE461B9DB3F5}"/>
    <cellStyle name="Normal 37 3 2" xfId="49648" xr:uid="{DC8F3690-64DB-4C30-8426-04B114271A4F}"/>
    <cellStyle name="Normal 37 4" xfId="49650" xr:uid="{65A5571A-F90C-428D-B7AE-4560359EA1CC}"/>
    <cellStyle name="Normal 37 5" xfId="49652" xr:uid="{7F83CA1A-22B6-4CA6-89DD-DAD47B466A05}"/>
    <cellStyle name="Normal 370" xfId="49625" xr:uid="{FD9EB2F6-5E78-4269-AD7A-4BB12FC34110}"/>
    <cellStyle name="Normal 370 2" xfId="49655" xr:uid="{1357677E-1A1F-4749-A0A1-54F8BB653F41}"/>
    <cellStyle name="Normal 371" xfId="49629" xr:uid="{EB7BFF68-7DD2-443B-8D51-8C2D39DBA0DC}"/>
    <cellStyle name="Normal 371 2" xfId="49658" xr:uid="{D357F68A-0D2D-4009-9C19-DF2F0F9B27AE}"/>
    <cellStyle name="Normal 372" xfId="49633" xr:uid="{3EAB7C70-503C-4E1D-A8DB-E64E424F4361}"/>
    <cellStyle name="Normal 372 2" xfId="49661" xr:uid="{96B059B1-F256-4CFB-894C-2A285E21B0BC}"/>
    <cellStyle name="Normal 373" xfId="44335" xr:uid="{00972505-7A17-42C1-A88E-63B773041A89}"/>
    <cellStyle name="Normal 373 2" xfId="49664" xr:uid="{770B8426-C63F-4930-B10A-BF12C951BFB8}"/>
    <cellStyle name="Normal 374" xfId="49637" xr:uid="{C2404992-C3B7-421A-9A41-D45CFF857E2B}"/>
    <cellStyle name="Normal 374 2" xfId="49667" xr:uid="{440A90AD-9173-4A1F-BEB6-A4EDF46A54B0}"/>
    <cellStyle name="Normal 375" xfId="49671" xr:uid="{7C454EA9-3693-4424-B799-48FFBB79A43A}"/>
    <cellStyle name="Normal 375 2" xfId="49675" xr:uid="{A6425294-5737-426D-8CF1-47951771C68E}"/>
    <cellStyle name="Normal 376" xfId="49679" xr:uid="{F57CA08F-2E5A-48CB-9A88-D7B256B42476}"/>
    <cellStyle name="Normal 376 2" xfId="49683" xr:uid="{D150B75A-3D37-4F64-8D87-6FF691762DE4}"/>
    <cellStyle name="Normal 377" xfId="49687" xr:uid="{70E1D16D-134A-4031-B08D-1A8EA1F59679}"/>
    <cellStyle name="Normal 377 2" xfId="49691" xr:uid="{0999754C-B69A-4C7B-BA0C-7A6687643583}"/>
    <cellStyle name="Normal 378" xfId="49695" xr:uid="{D6CDECC1-EBDC-4F88-BCD7-4AC6E18B1E45}"/>
    <cellStyle name="Normal 378 2" xfId="49699" xr:uid="{96DE299C-8F7F-4FF0-9C70-B89F820C2D3F}"/>
    <cellStyle name="Normal 379" xfId="49703" xr:uid="{36E5D822-98F7-4795-863C-67FC4C20AB86}"/>
    <cellStyle name="Normal 379 2" xfId="49707" xr:uid="{44713C43-0D90-49EA-8AB9-6BDE2A5EEFCE}"/>
    <cellStyle name="Normal 38" xfId="49709" xr:uid="{1F2706BE-543D-409B-A374-9F00F1588B5A}"/>
    <cellStyle name="Normal 38 2" xfId="49019" xr:uid="{F2CE5BC7-4916-4883-81E3-48F68BA2F0C6}"/>
    <cellStyle name="Normal 38 2 2" xfId="49022" xr:uid="{65B39839-8200-4925-84C1-694F0C860BEA}"/>
    <cellStyle name="Normal 380" xfId="49670" xr:uid="{DA8E9784-ACCB-46AF-8576-AAF1E2E88B4C}"/>
    <cellStyle name="Normal 380 2" xfId="49674" xr:uid="{BEF25979-0F05-408E-8BC6-ACFED227BE77}"/>
    <cellStyle name="Normal 381" xfId="49678" xr:uid="{CAEB125F-9A52-4163-A625-093D875C6016}"/>
    <cellStyle name="Normal 381 2" xfId="49682" xr:uid="{54772C81-2867-4A3E-A126-3AE7D5FACED1}"/>
    <cellStyle name="Normal 382" xfId="49686" xr:uid="{4228B2EC-63FA-404F-A2B2-82FB7977620A}"/>
    <cellStyle name="Normal 382 2" xfId="49690" xr:uid="{1FC612DE-31CA-42C2-B145-0207EA2A9543}"/>
    <cellStyle name="Normal 383" xfId="49694" xr:uid="{95D8DE2A-39B6-4570-91F7-11156E7C10E3}"/>
    <cellStyle name="Normal 383 2" xfId="49698" xr:uid="{97F4B156-EDA6-4445-82C5-8CF0D4C2B409}"/>
    <cellStyle name="Normal 384" xfId="49702" xr:uid="{147A5AC0-0063-40A4-804A-F4D2D0FB2B4C}"/>
    <cellStyle name="Normal 384 2" xfId="49706" xr:uid="{05275677-7751-4F54-952F-6AB9267528E3}"/>
    <cellStyle name="Normal 385" xfId="49713" xr:uid="{DFB270EA-1547-44A4-8C7D-E5F7C1818B70}"/>
    <cellStyle name="Normal 385 2" xfId="49717" xr:uid="{6E5CC443-51A9-4DF1-BF14-0EC92E4D7E2E}"/>
    <cellStyle name="Normal 386" xfId="49721" xr:uid="{7546185F-B36E-4BEA-8075-56B8202C4289}"/>
    <cellStyle name="Normal 386 2" xfId="49725" xr:uid="{F340882C-0952-4503-B09E-812A280D3CB3}"/>
    <cellStyle name="Normal 387" xfId="49730" xr:uid="{DB43B335-82FB-477C-B675-4A7816EB3BEA}"/>
    <cellStyle name="Normal 387 2" xfId="49735" xr:uid="{9B6345A7-AA42-4155-BA53-3E42E3F8B4E9}"/>
    <cellStyle name="Normal 388" xfId="49740" xr:uid="{E04C01CA-54C5-4DA1-9060-248C7BC85122}"/>
    <cellStyle name="Normal 388 2" xfId="49745" xr:uid="{2DA2DB32-3CAD-4188-8BAA-F0546E6C3F8A}"/>
    <cellStyle name="Normal 389" xfId="49750" xr:uid="{4BC4A4C1-B98F-4A35-8B86-7C4551050841}"/>
    <cellStyle name="Normal 389 2" xfId="49755" xr:uid="{D7241D39-8110-41D6-A6C7-CD16B48BD0C6}"/>
    <cellStyle name="Normal 39" xfId="49757" xr:uid="{F86F1B8C-A186-40A3-8696-FB25BD350BC6}"/>
    <cellStyle name="Normal 39 2" xfId="49053" xr:uid="{5561A2A0-6FAA-412A-B797-3FDBD19F1F3F}"/>
    <cellStyle name="Normal 39 2 2" xfId="49056" xr:uid="{31730440-F50D-49B3-A7DC-9E99BE703416}"/>
    <cellStyle name="Normal 39 3" xfId="49063" xr:uid="{E90F33DB-EED8-48C9-9425-7FE8B66D4500}"/>
    <cellStyle name="Normal 39 3 2" xfId="49066" xr:uid="{4445FC01-F255-4B8F-95D0-2F66BF88CC46}"/>
    <cellStyle name="Normal 39 4" xfId="49069" xr:uid="{FBFD99F3-ADE0-4D24-AEE5-D35099AEA00D}"/>
    <cellStyle name="Normal 39 5" xfId="49759" xr:uid="{93D11A73-74E1-474D-88E4-D63F813C6151}"/>
    <cellStyle name="Normal 390" xfId="49712" xr:uid="{0C653154-9564-4739-BB24-1038CE8209B6}"/>
    <cellStyle name="Normal 390 2" xfId="49716" xr:uid="{F59205C2-6757-41D5-86FC-E923D2B7E8F2}"/>
    <cellStyle name="Normal 391" xfId="49720" xr:uid="{3E57F79A-205E-4ED5-A8A0-4EA188300736}"/>
    <cellStyle name="Normal 391 2" xfId="49724" xr:uid="{A07694E3-09E0-423A-AD63-299D0A3A1AD2}"/>
    <cellStyle name="Normal 392" xfId="49729" xr:uid="{CEA842A3-9E63-4409-BD80-5F2D299EB90D}"/>
    <cellStyle name="Normal 392 2" xfId="49734" xr:uid="{B87F89F0-61A6-43DD-835D-1F8D12E8C678}"/>
    <cellStyle name="Normal 393" xfId="49739" xr:uid="{065922B4-E13E-4D56-ABA6-923FB3A27888}"/>
    <cellStyle name="Normal 393 2" xfId="49744" xr:uid="{ED6F94DC-E13A-4F67-A4C4-1B318A238A62}"/>
    <cellStyle name="Normal 394" xfId="49749" xr:uid="{7BD6D0BE-2364-4738-A173-1FDD9E374ADA}"/>
    <cellStyle name="Normal 394 2" xfId="49754" xr:uid="{1D54BE80-C4FF-4678-BCF2-130035215125}"/>
    <cellStyle name="Normal 395" xfId="49764" xr:uid="{A3672E68-225E-47BD-A539-BEE135470B61}"/>
    <cellStyle name="Normal 395 2" xfId="49769" xr:uid="{341F5241-3832-4111-BD6D-F3A9BDE640AE}"/>
    <cellStyle name="Normal 396" xfId="49774" xr:uid="{6E42EC0C-E553-46A4-88EF-76200B630ECF}"/>
    <cellStyle name="Normal 396 2" xfId="49779" xr:uid="{9081C4AA-C1BD-4EEA-867E-C6DC4437D385}"/>
    <cellStyle name="Normal 397" xfId="28477" xr:uid="{25C125BB-89F6-4901-A806-8AB4D48AB3B8}"/>
    <cellStyle name="Normal 397 2" xfId="28484" xr:uid="{C2DB982B-748A-4CAE-B637-1A2377109519}"/>
    <cellStyle name="Normal 398" xfId="13944" xr:uid="{D5F249AE-5EFF-4F5A-8D80-80B3CFD8FB94}"/>
    <cellStyle name="Normal 398 2" xfId="13954" xr:uid="{516E7C1A-D98F-494B-8519-0DA819525378}"/>
    <cellStyle name="Normal 399" xfId="9625" xr:uid="{F93227A6-B8D6-4157-A652-A21E11C4F36A}"/>
    <cellStyle name="Normal 399 2" xfId="7664" xr:uid="{44E34D3A-8EE6-428D-81F7-4C956A9FD908}"/>
    <cellStyle name="Normal 4" xfId="8" xr:uid="{D33CBE69-690B-4E56-B461-824912E9842C}"/>
    <cellStyle name="Normal 4 10" xfId="4377" xr:uid="{EF0915E4-C9A6-42AA-B04D-A41DD7EE9F86}"/>
    <cellStyle name="Normal 4 10 2" xfId="49781" xr:uid="{0580622B-6321-4579-B16C-0943C14DCC4D}"/>
    <cellStyle name="Normal 4 10 2 2" xfId="49782" xr:uid="{6ECDB65D-985E-49F0-84FC-2E414B3ED42A}"/>
    <cellStyle name="Normal 4 10 3" xfId="49783" xr:uid="{AFE77C14-4D9F-449C-B433-F6021E47550C}"/>
    <cellStyle name="Normal 4 11" xfId="42818" xr:uid="{CBAD9D3D-0CCB-4664-88B8-8BF522C1E486}"/>
    <cellStyle name="Normal 4 11 2" xfId="42820" xr:uid="{DB176A46-9ABF-41D7-A17B-D14DF54174FA}"/>
    <cellStyle name="Normal 4 11 2 2" xfId="49784" xr:uid="{0B5C8A9F-0A08-4FBF-B6D9-3257E42D7D0B}"/>
    <cellStyle name="Normal 4 11 3" xfId="49785" xr:uid="{EF3E39B6-E488-4E25-BA3A-94405539E482}"/>
    <cellStyle name="Normal 4 12" xfId="42822" xr:uid="{FD8B7C33-0740-4670-8801-3864566D2B62}"/>
    <cellStyle name="Normal 4 12 2" xfId="49786" xr:uid="{5936D566-5244-4841-AADB-0F303FA2A309}"/>
    <cellStyle name="Normal 4 12 2 2" xfId="49787" xr:uid="{07A3531B-B463-43A3-9260-8BB8222E9B5C}"/>
    <cellStyle name="Normal 4 12 3" xfId="49788" xr:uid="{53877529-E9EE-42F8-8CC4-2BA56E807C33}"/>
    <cellStyle name="Normal 4 13" xfId="5486" xr:uid="{0E386209-AF0F-4255-9418-D1308D4AAEA5}"/>
    <cellStyle name="Normal 4 13 2" xfId="49789" xr:uid="{612725A6-A436-43A0-9E9A-3C99AEB0C471}"/>
    <cellStyle name="Normal 4 13 2 2" xfId="49790" xr:uid="{39C76E0F-EC1B-4115-8901-F14A81602D5B}"/>
    <cellStyle name="Normal 4 13 3" xfId="49791" xr:uid="{C33F6167-DE4E-4F34-8B5B-E6FA2CB42C76}"/>
    <cellStyle name="Normal 4 14" xfId="49792" xr:uid="{B54F9FA6-2529-43AA-8CB3-3C2199881C92}"/>
    <cellStyle name="Normal 4 14 2" xfId="49793" xr:uid="{3D335097-DFC9-42DF-8A6D-612DFFF64D42}"/>
    <cellStyle name="Normal 4 14 2 2" xfId="49794" xr:uid="{F965972B-437C-479A-9AAD-6CB6FF5CD1B9}"/>
    <cellStyle name="Normal 4 14 3" xfId="11600" xr:uid="{57096E42-D448-4343-B809-DB7BAB5EDE7D}"/>
    <cellStyle name="Normal 4 15" xfId="49796" xr:uid="{DB6DC373-23C9-4B6A-88BC-327EAB6B18ED}"/>
    <cellStyle name="Normal 4 15 2" xfId="49798" xr:uid="{4519784F-BBAB-43FA-8ACB-445B5671186B}"/>
    <cellStyle name="Normal 4 15 2 2" xfId="49800" xr:uid="{AF64908F-B7A4-454A-B246-EDECEE179136}"/>
    <cellStyle name="Normal 4 15 3" xfId="49802" xr:uid="{FE49B3F2-BE61-4140-B929-BB0A53326EE1}"/>
    <cellStyle name="Normal 4 16" xfId="49804" xr:uid="{0A4E1052-CE0B-4347-8F8D-394D2EE0F280}"/>
    <cellStyle name="Normal 4 16 2" xfId="49806" xr:uid="{22B2D554-FB87-4ACD-88B6-30634BC1C754}"/>
    <cellStyle name="Normal 4 16 2 2" xfId="49808" xr:uid="{467091A8-16AE-4587-931C-8C2EDD5E9CC2}"/>
    <cellStyle name="Normal 4 16 3" xfId="49810" xr:uid="{15DF5FB5-9FCE-4520-9FA7-8A1D4BCD0272}"/>
    <cellStyle name="Normal 4 17" xfId="49812" xr:uid="{FB282249-7F6C-47EC-8555-15282CD11711}"/>
    <cellStyle name="Normal 4 17 2" xfId="49814" xr:uid="{FE72928C-58C2-422A-A018-E511EB896066}"/>
    <cellStyle name="Normal 4 17 2 2" xfId="49816" xr:uid="{DCC389D7-A509-407D-9CAA-1A017DC98111}"/>
    <cellStyle name="Normal 4 17 3" xfId="49818" xr:uid="{4F5E2E20-C91D-4924-A034-CA42E1F9FF29}"/>
    <cellStyle name="Normal 4 18" xfId="49820" xr:uid="{25D4F86F-869E-4B9E-A3FB-F26C51D0A024}"/>
    <cellStyle name="Normal 4 18 2" xfId="37086" xr:uid="{7EC23EA0-FB99-4BBE-947F-039644FC5680}"/>
    <cellStyle name="Normal 4 18 2 2" xfId="37089" xr:uid="{705454DB-45B3-458E-AEBD-A89BA5118AF5}"/>
    <cellStyle name="Normal 4 18 3" xfId="37092" xr:uid="{D331C321-52E8-443F-8B56-A37621D33B8A}"/>
    <cellStyle name="Normal 4 19" xfId="49822" xr:uid="{7DD725FD-AB15-4C85-83B4-DEEF508B5436}"/>
    <cellStyle name="Normal 4 19 2" xfId="37098" xr:uid="{9C07404A-E661-4485-A1A9-A157379E67DE}"/>
    <cellStyle name="Normal 4 19 2 2" xfId="49824" xr:uid="{EE39616E-4080-4F8A-8E40-D4DE8568BD49}"/>
    <cellStyle name="Normal 4 19 3" xfId="49826" xr:uid="{18144B98-7606-4CD6-A895-F0EEB2FCD59C}"/>
    <cellStyle name="Normal 4 2" xfId="49827" xr:uid="{C85E208B-C813-45B6-9CC6-920F7E656E18}"/>
    <cellStyle name="Normal 4 2 10" xfId="49828" xr:uid="{D8519070-6F78-4D10-A19A-39A0EA2F93C7}"/>
    <cellStyle name="Normal 4 2 10 2" xfId="54206" xr:uid="{9B07CEA8-7BF2-4311-A7F5-7B4FD44FAE73}"/>
    <cellStyle name="Normal 4 2 11" xfId="49829" xr:uid="{10DB7A59-FDA5-44A1-9DA5-556DA2521C28}"/>
    <cellStyle name="Normal 4 2 12" xfId="54184" xr:uid="{A0D4D00D-7FA9-4FF4-87D7-2628BB947D8D}"/>
    <cellStyle name="Normal 4 2 2" xfId="49830" xr:uid="{695301FA-4DE1-4FD5-8402-FCA4A7BC15BA}"/>
    <cellStyle name="Normal 4 2 2 2" xfId="49831" xr:uid="{DFDB0465-F0A5-4DAA-9978-8D18723BB5F6}"/>
    <cellStyle name="Normal 4 2 2 2 2" xfId="49832" xr:uid="{38A6C64A-02FE-47FF-9BBD-B9025EEFA57D}"/>
    <cellStyle name="Normal 4 2 2 2 2 2" xfId="49833" xr:uid="{F4C25168-3181-4549-BA08-88275671E911}"/>
    <cellStyle name="Normal 4 2 2 2 2 2 2" xfId="49834" xr:uid="{B7D80E0A-FE7B-4956-A035-F58FDE0F69EA}"/>
    <cellStyle name="Normal 4 2 2 2 2 3" xfId="49835" xr:uid="{D4859CB8-3217-47CD-BF10-EB2116F99159}"/>
    <cellStyle name="Normal 4 2 2 2 3" xfId="49836" xr:uid="{A714FB6C-9213-4C8B-A8CC-533F77477B20}"/>
    <cellStyle name="Normal 4 2 2 2 3 2" xfId="49837" xr:uid="{63000FE9-0E51-41FB-8445-C9A46A49F649}"/>
    <cellStyle name="Normal 4 2 2 2 3 2 2" xfId="49838" xr:uid="{27022608-A203-4E19-ABD3-5B65DB299189}"/>
    <cellStyle name="Normal 4 2 2 2 3 3" xfId="49839" xr:uid="{1269113B-1A57-4B3C-922A-FB48A4A8F35E}"/>
    <cellStyle name="Normal 4 2 2 2 4" xfId="49840" xr:uid="{054BB818-1FA7-4640-B1D7-E66A283BC43D}"/>
    <cellStyle name="Normal 4 2 2 2 4 2" xfId="49841" xr:uid="{F6B3CBD5-2A4C-43A1-8ADB-E465CDBE610A}"/>
    <cellStyle name="Normal 4 2 2 2 5" xfId="49842" xr:uid="{56E306BD-515B-4923-B89C-E25A361DFF20}"/>
    <cellStyle name="Normal 4 2 2 3" xfId="49843" xr:uid="{407D3045-90F8-427C-BAE7-035F4166E33C}"/>
    <cellStyle name="Normal 4 2 2 3 2" xfId="49844" xr:uid="{4B870791-9D7C-4873-9579-71FF838A765F}"/>
    <cellStyle name="Normal 4 2 2 3 2 2" xfId="49845" xr:uid="{C814E490-0BE8-48F2-9B96-2F29FF714DD6}"/>
    <cellStyle name="Normal 4 2 2 3 3" xfId="49846" xr:uid="{30192621-32B1-497C-B217-CC16AA7E57A4}"/>
    <cellStyle name="Normal 4 2 2 4" xfId="49847" xr:uid="{E5466651-C7FC-4A22-A3A6-260C7EE2CF11}"/>
    <cellStyle name="Normal 4 2 2 4 2" xfId="49848" xr:uid="{96577808-E76F-4053-975E-83FAD5007598}"/>
    <cellStyle name="Normal 4 2 2 4 2 2" xfId="49849" xr:uid="{828D5E19-33EC-40E1-8E38-9773936865E7}"/>
    <cellStyle name="Normal 4 2 2 4 3" xfId="49850" xr:uid="{55CEDE60-FB2E-4B2D-9F52-5B989379B35A}"/>
    <cellStyle name="Normal 4 2 2 5" xfId="49851" xr:uid="{9D7701FD-C28C-4F2A-8FC4-39AE9D751D0E}"/>
    <cellStyle name="Normal 4 2 2 5 2" xfId="49852" xr:uid="{8EF7C1EB-A3C9-47FC-B712-5358FE14CB30}"/>
    <cellStyle name="Normal 4 2 2 6" xfId="49853" xr:uid="{4B800B92-15E5-488F-8C24-3D72A43762DB}"/>
    <cellStyle name="Normal 4 2 2 7" xfId="49854" xr:uid="{2DD7A18C-04BF-4112-A6BD-F0EDF759AA4E}"/>
    <cellStyle name="Normal 4 2 3" xfId="49855" xr:uid="{257CD9AD-504A-4BDF-B3AD-650C7E59B11D}"/>
    <cellStyle name="Normal 4 2 3 2" xfId="49856" xr:uid="{4803A6F7-0E56-46AD-9DB8-EC3E874435C0}"/>
    <cellStyle name="Normal 4 2 3 2 2" xfId="49857" xr:uid="{03DA5F7A-2FB9-489A-92BB-066C408CD4F0}"/>
    <cellStyle name="Normal 4 2 3 2 2 2" xfId="49858" xr:uid="{F065F177-49E3-4923-89AC-087733932AEB}"/>
    <cellStyle name="Normal 4 2 3 2 3" xfId="49859" xr:uid="{373D424C-9F59-4B01-B4D8-8270E7D447A5}"/>
    <cellStyle name="Normal 4 2 3 3" xfId="49860" xr:uid="{92FFD286-C9EA-44E6-8687-79F9060B21C3}"/>
    <cellStyle name="Normal 4 2 3 3 2" xfId="49861" xr:uid="{E87ABE2D-E839-4BCA-9F85-F165CF50C1A8}"/>
    <cellStyle name="Normal 4 2 3 3 2 2" xfId="49862" xr:uid="{B992AF9E-4B93-43CA-A3DF-1A24278270A5}"/>
    <cellStyle name="Normal 4 2 3 3 3" xfId="49863" xr:uid="{439C6C95-C739-459D-ADD5-D80DD9480851}"/>
    <cellStyle name="Normal 4 2 3 4" xfId="49864" xr:uid="{35F773F0-6DC4-4E50-84F9-05CBA2C2FA5B}"/>
    <cellStyle name="Normal 4 2 3 4 2" xfId="49865" xr:uid="{97753735-037F-45DB-96E9-D14A2004BE79}"/>
    <cellStyle name="Normal 4 2 3 5" xfId="49866" xr:uid="{1DEA9DE4-C356-4415-8D1E-6AC6E8C7FC48}"/>
    <cellStyle name="Normal 4 2 4" xfId="49867" xr:uid="{14723F98-4636-4BF2-B1C4-D176BA8EC305}"/>
    <cellStyle name="Normal 4 2 4 2" xfId="49868" xr:uid="{465284CC-F3C9-41EA-B133-5E4F287F28F9}"/>
    <cellStyle name="Normal 4 2 4 2 2" xfId="49869" xr:uid="{8F2BE297-0171-4B80-8574-162581595C71}"/>
    <cellStyle name="Normal 4 2 4 3" xfId="49870" xr:uid="{6D68834B-6CDA-4AE8-BF5B-713C6193AA4C}"/>
    <cellStyle name="Normal 4 2 5" xfId="49871" xr:uid="{2CDA5D27-1F10-4A41-87E3-035CFFC1D167}"/>
    <cellStyle name="Normal 4 2 5 2" xfId="49872" xr:uid="{2CD8A8BF-BA60-49EA-B20B-FF91A38FAD01}"/>
    <cellStyle name="Normal 4 2 5 2 2" xfId="49873" xr:uid="{FA857ED4-5635-4B77-9D3C-271D6D80D488}"/>
    <cellStyle name="Normal 4 2 5 3" xfId="49874" xr:uid="{79EC943A-BF70-4B1F-A128-62496C831214}"/>
    <cellStyle name="Normal 4 2 6" xfId="49875" xr:uid="{00577FF9-9EED-46FD-93C1-CBD2F6480114}"/>
    <cellStyle name="Normal 4 2 6 2" xfId="49876" xr:uid="{F3CA66CF-B9BE-4A30-9057-E983794E0722}"/>
    <cellStyle name="Normal 4 2 7" xfId="49877" xr:uid="{34C261C6-D2B0-429A-92A1-49FFC7BA06FC}"/>
    <cellStyle name="Normal 4 2 8" xfId="49878" xr:uid="{BAD01AB9-C9B7-4214-89A7-DF340CB535BF}"/>
    <cellStyle name="Normal 4 2 9" xfId="49879" xr:uid="{C594541B-D56F-4363-A84D-3A1CD00CA58B}"/>
    <cellStyle name="Normal 4 20" xfId="49795" xr:uid="{8F030C49-0EAA-40AA-AE8C-9FEFF031D675}"/>
    <cellStyle name="Normal 4 20 2" xfId="49797" xr:uid="{6EF19695-003B-4EDB-A025-C30E734D5170}"/>
    <cellStyle name="Normal 4 20 2 2" xfId="49799" xr:uid="{40586C5D-E458-4D37-822E-BFFAEA20F9EA}"/>
    <cellStyle name="Normal 4 20 3" xfId="49801" xr:uid="{38C4CF97-9639-40D5-9C6D-45DEDA7E9811}"/>
    <cellStyle name="Normal 4 21" xfId="49803" xr:uid="{ABEF4DC2-C8D0-4915-90FF-DC64389C8824}"/>
    <cellStyle name="Normal 4 21 2" xfId="49805" xr:uid="{EE7E2828-F122-45FC-BFBD-F9585CDA0CD2}"/>
    <cellStyle name="Normal 4 21 2 2" xfId="49807" xr:uid="{55D83449-ECFE-4235-B1F2-1D497414A9A3}"/>
    <cellStyle name="Normal 4 21 3" xfId="49809" xr:uid="{B0F97218-93AF-4DA4-9A8C-D530B2BB34D7}"/>
    <cellStyle name="Normal 4 22" xfId="49811" xr:uid="{83974C85-DA10-4EDF-AF01-DBB134DAD8C3}"/>
    <cellStyle name="Normal 4 22 2" xfId="49813" xr:uid="{1A106F77-5369-4A97-A68E-CEE0D7E123E7}"/>
    <cellStyle name="Normal 4 22 2 2" xfId="49815" xr:uid="{4796A1A3-C872-4333-831D-66622B988AFE}"/>
    <cellStyle name="Normal 4 22 3" xfId="49817" xr:uid="{96263273-996C-4B19-B25C-2059E179A8C6}"/>
    <cellStyle name="Normal 4 23" xfId="49819" xr:uid="{3DC0D832-03C0-4C88-BCE9-B61239BBE1D5}"/>
    <cellStyle name="Normal 4 23 2" xfId="37085" xr:uid="{F355DCE4-5EFE-4AD9-B9A6-9B11443E6E1C}"/>
    <cellStyle name="Normal 4 23 2 2" xfId="37088" xr:uid="{E0F9D235-816E-446C-8C1E-B158CAD60DF3}"/>
    <cellStyle name="Normal 4 23 3" xfId="37091" xr:uid="{37F94AFA-21EF-447A-8545-8C3BDC3D4921}"/>
    <cellStyle name="Normal 4 24" xfId="49821" xr:uid="{9D58FFCA-071F-49F6-A72D-E9CA91D345CB}"/>
    <cellStyle name="Normal 4 24 2" xfId="37097" xr:uid="{8F941969-FC82-4C97-8F4A-C9827EA4EB08}"/>
    <cellStyle name="Normal 4 24 2 2" xfId="49823" xr:uid="{ECF752E2-4873-408B-ADEE-1486B548C84D}"/>
    <cellStyle name="Normal 4 24 3" xfId="49825" xr:uid="{5E2E43B6-2B11-4823-A47F-7F89A62DD74A}"/>
    <cellStyle name="Normal 4 25" xfId="49881" xr:uid="{53EAEE13-14E9-4CF5-8F45-96AE3461D076}"/>
    <cellStyle name="Normal 4 25 2" xfId="49883" xr:uid="{2B5271A3-852F-446F-A190-D2939CD97194}"/>
    <cellStyle name="Normal 4 25 2 2" xfId="49885" xr:uid="{7DCECDA4-CA0B-4A84-BFA2-AF736FC4C8CB}"/>
    <cellStyle name="Normal 4 25 3" xfId="49887" xr:uid="{557FAA29-22F4-454A-B8FF-EECFAE951190}"/>
    <cellStyle name="Normal 4 26" xfId="49889" xr:uid="{9A27B50F-16D2-4477-B433-B933434C0940}"/>
    <cellStyle name="Normal 4 26 2" xfId="49891" xr:uid="{204F251A-D7C8-4ECD-8A1B-2D87CFC84295}"/>
    <cellStyle name="Normal 4 26 2 2" xfId="49893" xr:uid="{2548B1CC-8232-49B3-A9CF-1A17D9518774}"/>
    <cellStyle name="Normal 4 26 3" xfId="49895" xr:uid="{3B1A3757-CBE0-4074-AD6A-BAA5B4859F37}"/>
    <cellStyle name="Normal 4 27" xfId="49897" xr:uid="{865410AC-30EE-46CB-878F-91B603431A7B}"/>
    <cellStyle name="Normal 4 27 2" xfId="49899" xr:uid="{94EF5C59-6C59-4BE0-AB3F-D4595BED76A9}"/>
    <cellStyle name="Normal 4 27 2 2" xfId="49901" xr:uid="{B552409D-DD01-4530-87A3-C89193927680}"/>
    <cellStyle name="Normal 4 27 3" xfId="49903" xr:uid="{23E11846-ED88-427D-8A23-F8613FAAC170}"/>
    <cellStyle name="Normal 4 28" xfId="49905" xr:uid="{0550A5CD-E30D-4127-B9C9-CE7B43E6128A}"/>
    <cellStyle name="Normal 4 28 2" xfId="49907" xr:uid="{7176705B-6436-41B6-ABF3-F1459EE8D83B}"/>
    <cellStyle name="Normal 4 28 2 2" xfId="49909" xr:uid="{888D8C76-EA0F-49B9-A06A-E7B20D8DF49E}"/>
    <cellStyle name="Normal 4 28 3" xfId="49911" xr:uid="{C4DA084B-8AA1-4E44-9999-4A9C63230316}"/>
    <cellStyle name="Normal 4 29" xfId="49913" xr:uid="{C3C5898F-5EE2-435D-B90A-E7FD9900C3F7}"/>
    <cellStyle name="Normal 4 29 2" xfId="49915" xr:uid="{AB7E564A-EBC6-4937-9339-6341F9C56FD9}"/>
    <cellStyle name="Normal 4 29 2 2" xfId="49917" xr:uid="{6995C4BA-47AE-463A-8A34-734793C0E13D}"/>
    <cellStyle name="Normal 4 29 3" xfId="49919" xr:uid="{A4B9F576-D8FA-4E83-A1C5-A775C5BDC917}"/>
    <cellStyle name="Normal 4 3" xfId="49920" xr:uid="{9B4D1D50-7F5D-461E-9BA7-0D641384225F}"/>
    <cellStyle name="Normal 4 3 2" xfId="9526" xr:uid="{95F000A7-8871-4CEB-ACFD-4BE966AF99E3}"/>
    <cellStyle name="Normal 4 3 2 2" xfId="49921" xr:uid="{E90A0E19-35AB-42AB-A33C-14784DEC1960}"/>
    <cellStyle name="Normal 4 3 2 2 2" xfId="49922" xr:uid="{3F34FB38-F88F-4E07-B48D-C23D4ABD0E3F}"/>
    <cellStyle name="Normal 4 3 2 2 2 2" xfId="49923" xr:uid="{BF851876-992D-4419-8FA5-5B2C97249C32}"/>
    <cellStyle name="Normal 4 3 2 2 3" xfId="49924" xr:uid="{D5BCBB01-33BF-4FBC-92B4-1435B9086183}"/>
    <cellStyle name="Normal 4 3 2 2 4" xfId="49925" xr:uid="{0A34CE89-C12F-4A08-86D0-0ADFB1340323}"/>
    <cellStyle name="Normal 4 3 2 3" xfId="49926" xr:uid="{6C355166-23C3-4768-A536-8B95CB4F14A5}"/>
    <cellStyle name="Normal 4 3 2 3 2" xfId="49927" xr:uid="{C55F0C72-C475-4095-8ED2-16645BCC70B1}"/>
    <cellStyle name="Normal 4 3 2 4" xfId="49928" xr:uid="{76EEC520-925F-43B2-8BDD-D1718F17C203}"/>
    <cellStyle name="Normal 4 3 2 5" xfId="49929" xr:uid="{5A584618-35B8-4EEC-B80B-A83F3ADCD51C}"/>
    <cellStyle name="Normal 4 3 2 6" xfId="49930" xr:uid="{0771BADF-9393-4365-B62A-2FF1A49AE049}"/>
    <cellStyle name="Normal 4 3 3" xfId="9532" xr:uid="{65E497B5-D508-4185-BA67-2E7CEB7B057E}"/>
    <cellStyle name="Normal 4 3 3 2" xfId="49931" xr:uid="{6D5AB1AD-6B69-4BA5-9BA9-B8821FEAD001}"/>
    <cellStyle name="Normal 4 3 3 2 2" xfId="49932" xr:uid="{E53A2199-8D16-4565-9488-AE1E5AFDCB88}"/>
    <cellStyle name="Normal 4 3 3 3" xfId="49933" xr:uid="{39FABD3E-910A-4317-A6F7-789689FFE0DC}"/>
    <cellStyle name="Normal 4 3 3 4" xfId="49934" xr:uid="{13A5D606-2433-4B2D-BEC1-F2332472592E}"/>
    <cellStyle name="Normal 4 3 3 5" xfId="49935" xr:uid="{2A2D065A-3165-484A-A7E4-B801181DC4FA}"/>
    <cellStyle name="Normal 4 3 4" xfId="20936" xr:uid="{B6F1DC51-67D5-4A57-9D5C-3B24E25FB5FA}"/>
    <cellStyle name="Normal 4 3 4 2" xfId="49936" xr:uid="{53F77659-AAC4-4625-A006-D70C25FB60C3}"/>
    <cellStyle name="Normal 4 3 5" xfId="49937" xr:uid="{6941EA34-BF3C-4649-AEC8-C5EE894D93C0}"/>
    <cellStyle name="Normal 4 3 6" xfId="49938" xr:uid="{E37E47AA-7C8B-454D-BDDE-C7BB6449EE93}"/>
    <cellStyle name="Normal 4 3 7" xfId="49939" xr:uid="{6776AE62-7D93-4411-BC68-89DB7DEAAE56}"/>
    <cellStyle name="Normal 4 30" xfId="49880" xr:uid="{E689805B-4DF7-45D5-AA14-F6792149B7F0}"/>
    <cellStyle name="Normal 4 30 2" xfId="49882" xr:uid="{4E1FF655-0E95-4DBC-866A-6B1D282201CE}"/>
    <cellStyle name="Normal 4 30 2 2" xfId="49884" xr:uid="{48EA2F98-5377-499E-836F-B296CCC67F16}"/>
    <cellStyle name="Normal 4 30 3" xfId="49886" xr:uid="{3ACF6492-F241-46AD-A36A-55826B16B116}"/>
    <cellStyle name="Normal 4 31" xfId="49888" xr:uid="{A12C283F-421F-46BD-B2A3-0E73FB460463}"/>
    <cellStyle name="Normal 4 31 2" xfId="49890" xr:uid="{358D33CC-8646-4403-984F-7CA3D494621F}"/>
    <cellStyle name="Normal 4 31 2 2" xfId="49892" xr:uid="{CACCD029-6377-4503-9E9B-5AC594BA8DA7}"/>
    <cellStyle name="Normal 4 31 3" xfId="49894" xr:uid="{B5D6EFC6-2A5A-416D-A222-833474619048}"/>
    <cellStyle name="Normal 4 32" xfId="49896" xr:uid="{E37DA8D5-2167-455F-9223-C9E35C243C51}"/>
    <cellStyle name="Normal 4 32 2" xfId="49898" xr:uid="{D1D643D4-B039-45EE-908F-00F77AD09F2B}"/>
    <cellStyle name="Normal 4 32 2 2" xfId="49900" xr:uid="{FE908F20-6441-4CA0-B17D-3A8B31220B08}"/>
    <cellStyle name="Normal 4 32 3" xfId="49902" xr:uid="{05CCD600-FCDA-41F1-B019-0CF0F951E12F}"/>
    <cellStyle name="Normal 4 33" xfId="49904" xr:uid="{716FBFA4-BB6D-4080-A367-CAD6D6667785}"/>
    <cellStyle name="Normal 4 33 2" xfId="49906" xr:uid="{44EAC3B2-58DD-418B-9C69-3F2D820D12B0}"/>
    <cellStyle name="Normal 4 33 2 2" xfId="49908" xr:uid="{A174CAFC-3C51-4D9B-9D04-76979208451B}"/>
    <cellStyle name="Normal 4 33 3" xfId="49910" xr:uid="{5227403E-8CE9-4AFD-AD26-FB7C6CD94C6E}"/>
    <cellStyle name="Normal 4 34" xfId="49912" xr:uid="{4E9082FC-D3C6-4230-8731-0E474C319B7E}"/>
    <cellStyle name="Normal 4 34 2" xfId="49914" xr:uid="{ECD250D3-0F2E-4C54-B79C-5F9A50FB300F}"/>
    <cellStyle name="Normal 4 34 2 2" xfId="49916" xr:uid="{B44C2B85-E10D-4E24-965E-A2985C57E2BA}"/>
    <cellStyle name="Normal 4 34 3" xfId="49918" xr:uid="{C3DA79FA-E8ED-4C17-9493-F757F8040F01}"/>
    <cellStyle name="Normal 4 35" xfId="49941" xr:uid="{4A096654-9CF2-40F2-B47F-2FD53495E8A8}"/>
    <cellStyle name="Normal 4 35 2" xfId="49943" xr:uid="{04BF80B9-C4ED-48D6-ACDD-A6A28883E750}"/>
    <cellStyle name="Normal 4 35 2 2" xfId="49945" xr:uid="{A92621AE-80B0-4525-8DC2-6743064A8ED1}"/>
    <cellStyle name="Normal 4 35 3" xfId="49947" xr:uid="{2239C89A-2F65-496F-B419-B2F94AE0F526}"/>
    <cellStyle name="Normal 4 36" xfId="49949" xr:uid="{C0644BC3-41AD-412D-B3AA-056F809ABB92}"/>
    <cellStyle name="Normal 4 36 2" xfId="49951" xr:uid="{E168A495-F439-45DF-91AB-8A9BF7491F04}"/>
    <cellStyle name="Normal 4 36 2 2" xfId="49953" xr:uid="{B25F3E03-0A52-429F-B518-EC1BA2ADF965}"/>
    <cellStyle name="Normal 4 36 3" xfId="49955" xr:uid="{6342D506-5958-4F29-80FD-817922CE5E05}"/>
    <cellStyle name="Normal 4 37" xfId="32636" xr:uid="{08A2F733-7375-4794-9120-893A61A524EC}"/>
    <cellStyle name="Normal 4 37 2" xfId="32641" xr:uid="{56A34988-ADD5-4C76-9B74-140631D89B77}"/>
    <cellStyle name="Normal 4 37 2 2" xfId="32645" xr:uid="{9459BB94-9C98-453D-88E3-A1CEF751334F}"/>
    <cellStyle name="Normal 4 37 3" xfId="32493" xr:uid="{C1328F27-9245-4C26-8DB4-7AE59B3F878B}"/>
    <cellStyle name="Normal 4 38" xfId="32657" xr:uid="{1C560405-59A2-407D-977A-0ED4E2718AE9}"/>
    <cellStyle name="Normal 4 38 2" xfId="32660" xr:uid="{10849C43-F86D-426F-ACA5-C5C8BCE703A5}"/>
    <cellStyle name="Normal 4 38 2 2" xfId="49957" xr:uid="{1504E8FF-DB7A-47CB-B5E8-90F9727DED9C}"/>
    <cellStyle name="Normal 4 38 3" xfId="32663" xr:uid="{01CB15EE-348D-4877-AF14-60FC905B42E8}"/>
    <cellStyle name="Normal 4 39" xfId="32666" xr:uid="{D91BD921-26F7-412D-BB5D-BAEC2605C9D6}"/>
    <cellStyle name="Normal 4 39 2" xfId="19330" xr:uid="{742DCDED-0B5A-47B4-A090-A2F9336FBA6D}"/>
    <cellStyle name="Normal 4 39 2 2" xfId="49959" xr:uid="{2C664785-F05B-4AB6-A3FB-732E00BFCFC9}"/>
    <cellStyle name="Normal 4 39 3" xfId="49961" xr:uid="{4D36CE8B-FE83-4787-91EF-5BFC3DD1A30C}"/>
    <cellStyle name="Normal 4 4" xfId="49962" xr:uid="{F6318658-BE38-4395-8082-25DCD1FB675C}"/>
    <cellStyle name="Normal 4 4 2" xfId="49963" xr:uid="{06C8A894-4ED7-408D-8DA9-0A01AD6033B8}"/>
    <cellStyle name="Normal 4 4 2 2" xfId="49964" xr:uid="{4387C0CA-76E3-4F16-BEDD-1CFEC58FE960}"/>
    <cellStyle name="Normal 4 4 2 2 2" xfId="49965" xr:uid="{E6D177ED-9883-4E5F-8DD9-61CDA775455A}"/>
    <cellStyle name="Normal 4 4 2 3" xfId="49966" xr:uid="{E6DA13D1-A642-43FB-900F-3CC6B4B873CE}"/>
    <cellStyle name="Normal 4 4 3" xfId="49967" xr:uid="{44CE312E-D1DE-4075-A365-29CF04B1BABF}"/>
    <cellStyle name="Normal 4 4 3 2" xfId="49968" xr:uid="{CB6866DA-108D-4A56-8728-0310C3D92016}"/>
    <cellStyle name="Normal 4 4 3 3" xfId="49969" xr:uid="{0CBEA630-E1A8-46A2-B93D-B431DE5332E9}"/>
    <cellStyle name="Normal 4 4 4" xfId="49970" xr:uid="{53112592-3B18-4393-BAE6-5064B0F6A291}"/>
    <cellStyle name="Normal 4 4 4 2" xfId="49971" xr:uid="{75FE4BF5-6506-4740-8896-7604F85A989F}"/>
    <cellStyle name="Normal 4 4 5" xfId="49972" xr:uid="{5BDB91F3-145B-4078-84FD-42B30E633467}"/>
    <cellStyle name="Normal 4 4 6" xfId="49973" xr:uid="{5C167B20-499D-47C1-AC9F-3FBA3748FAFD}"/>
    <cellStyle name="Normal 4 4 7" xfId="49974" xr:uid="{AD0F2AB7-E8B4-47AE-9339-5315B2C06F7B}"/>
    <cellStyle name="Normal 4 40" xfId="49940" xr:uid="{69EAFCA0-A9D1-4823-A865-BD233BA86C3A}"/>
    <cellStyle name="Normal 4 40 2" xfId="49942" xr:uid="{0DEE8165-8664-4B44-996A-C4769AADD9E3}"/>
    <cellStyle name="Normal 4 40 2 2" xfId="49944" xr:uid="{FE5F21F0-9A52-4BF3-87F6-6B125391125E}"/>
    <cellStyle name="Normal 4 40 3" xfId="49946" xr:uid="{55AEFE08-AD5A-48BF-88E3-12495CB66843}"/>
    <cellStyle name="Normal 4 41" xfId="49948" xr:uid="{4DFC77EF-5184-423D-8768-946E52AA6092}"/>
    <cellStyle name="Normal 4 41 2" xfId="49950" xr:uid="{BD839742-6417-44B0-844F-8A38178CF12B}"/>
    <cellStyle name="Normal 4 41 2 2" xfId="49952" xr:uid="{6BB2B68F-AEC7-400D-9F78-64A885E7292A}"/>
    <cellStyle name="Normal 4 41 3" xfId="49954" xr:uid="{DBACFEFC-CFCD-4B8C-98BE-B98A664DE66B}"/>
    <cellStyle name="Normal 4 42" xfId="32635" xr:uid="{A95F4A54-52C8-4969-BB0A-E90047E66EEB}"/>
    <cellStyle name="Normal 4 42 2" xfId="32640" xr:uid="{C209DA57-9D58-4846-9450-0835AFFB0A33}"/>
    <cellStyle name="Normal 4 42 2 2" xfId="32644" xr:uid="{35F08F70-3767-4B6B-B667-59A66BE10A96}"/>
    <cellStyle name="Normal 4 42 3" xfId="32492" xr:uid="{F136A4D6-0490-45E5-8F05-E1CABB9D570F}"/>
    <cellStyle name="Normal 4 43" xfId="32656" xr:uid="{BE190DB7-D254-40E0-8E98-BB132AC8B118}"/>
    <cellStyle name="Normal 4 43 2" xfId="32659" xr:uid="{86044718-0AC6-43BD-98BB-A05A83EBA4D1}"/>
    <cellStyle name="Normal 4 43 2 2" xfId="49956" xr:uid="{63A778DE-F9D1-4DB8-B6C3-5FD49314B769}"/>
    <cellStyle name="Normal 4 43 3" xfId="32662" xr:uid="{B4A3989C-3494-47ED-81A5-88CF54CEF48A}"/>
    <cellStyle name="Normal 4 44" xfId="32665" xr:uid="{83F3C5AA-C63A-4708-B834-87C7210081E4}"/>
    <cellStyle name="Normal 4 44 2" xfId="19329" xr:uid="{C3B432EF-AFF5-45FB-A547-E8E5B858AECB}"/>
    <cellStyle name="Normal 4 44 2 2" xfId="49958" xr:uid="{EC7FEB48-F991-4FC2-96C6-05F7BAC95965}"/>
    <cellStyle name="Normal 4 44 3" xfId="49960" xr:uid="{EA13F47F-A30F-4300-AAA0-3D070C5384B9}"/>
    <cellStyle name="Normal 4 45" xfId="22634" xr:uid="{C11ED643-65FC-4E0C-B3F8-00DCE5854198}"/>
    <cellStyle name="Normal 4 45 2" xfId="49975" xr:uid="{1C33697D-B8B5-4197-BD20-9C14397F8E07}"/>
    <cellStyle name="Normal 4 45 2 2" xfId="49976" xr:uid="{99272A19-A90A-49B7-9909-9F805EBA01E0}"/>
    <cellStyle name="Normal 4 45 3" xfId="49977" xr:uid="{219D8695-0536-476F-A0D1-67A38963F9E7}"/>
    <cellStyle name="Normal 4 46" xfId="32669" xr:uid="{CA029340-3C32-47C9-B8E8-4BAA0A292B45}"/>
    <cellStyle name="Normal 4 46 2" xfId="49979" xr:uid="{4883E268-4A29-4094-A0E9-932B1A402291}"/>
    <cellStyle name="Normal 4 46 2 2" xfId="49981" xr:uid="{76F8530B-7C2A-43B9-8C5E-A3F0E19A0193}"/>
    <cellStyle name="Normal 4 46 3" xfId="49983" xr:uid="{3084CF43-B96C-4632-80B3-578E9E555206}"/>
    <cellStyle name="Normal 4 47" xfId="13412" xr:uid="{60D13194-8FC6-46E4-8B42-DA07FA2CCA58}"/>
    <cellStyle name="Normal 4 47 2" xfId="49985" xr:uid="{8C7C5112-2A59-4369-9B8A-68DD8553A87F}"/>
    <cellStyle name="Normal 4 47 2 2" xfId="49987" xr:uid="{C5DD9710-7293-48B1-B769-D0EAB52091D8}"/>
    <cellStyle name="Normal 4 47 3" xfId="49989" xr:uid="{68AB9CB4-C9C1-4255-BD4C-CE769482ACAE}"/>
    <cellStyle name="Normal 4 48" xfId="32672" xr:uid="{669BD0D1-7EC4-4921-8608-0C4038B2B445}"/>
    <cellStyle name="Normal 4 48 2" xfId="49991" xr:uid="{5C8FE891-2B06-4C7E-B8DE-50BD1997DEBB}"/>
    <cellStyle name="Normal 4 48 2 2" xfId="41029" xr:uid="{5EAE2E95-5AEF-48E9-893C-F95D2CF45529}"/>
    <cellStyle name="Normal 4 48 3" xfId="49993" xr:uid="{41142A91-D484-466C-8A95-86B1AB8FA7EF}"/>
    <cellStyle name="Normal 4 49" xfId="28982" xr:uid="{CE45B295-F7CE-4DF0-9AC4-120B072F0406}"/>
    <cellStyle name="Normal 4 49 2" xfId="49995" xr:uid="{B3273478-BBF8-4731-BE13-A2D095BF5537}"/>
    <cellStyle name="Normal 4 49 2 2" xfId="49997" xr:uid="{C3604DBA-1E61-4320-9162-F756631A7283}"/>
    <cellStyle name="Normal 4 49 3" xfId="49999" xr:uid="{BEDFA4E7-CA0F-4574-A3D3-22057E000C32}"/>
    <cellStyle name="Normal 4 5" xfId="30367" xr:uid="{178AACA9-9B72-4E1C-A29C-C38A6CD10CFD}"/>
    <cellStyle name="Normal 4 5 2" xfId="30370" xr:uid="{F19CE88C-FD56-4A86-BBFB-D41A88F0081E}"/>
    <cellStyle name="Normal 4 5 2 2" xfId="30374" xr:uid="{BF108721-3994-4C14-90B1-6BCAC8D51F72}"/>
    <cellStyle name="Normal 4 5 3" xfId="30378" xr:uid="{F901354F-EE3B-47A6-8C41-293E1F0970D7}"/>
    <cellStyle name="Normal 4 5 4" xfId="50000" xr:uid="{6C00A18F-2854-43DB-8676-D7371AB6223A}"/>
    <cellStyle name="Normal 4 50" xfId="22633" xr:uid="{8A8510FC-B76B-41DC-862D-2E44B3E3D555}"/>
    <cellStyle name="Normal 4 51" xfId="32668" xr:uid="{6A72EC41-2A1A-4B66-A308-50B82110C8E9}"/>
    <cellStyle name="Normal 4 51 2" xfId="49978" xr:uid="{31F247CF-ABE0-4713-9FF1-842B973881A2}"/>
    <cellStyle name="Normal 4 51 2 2" xfId="49980" xr:uid="{4FC2E445-6D5A-4D4D-9484-AA87320199C3}"/>
    <cellStyle name="Normal 4 51 3" xfId="49982" xr:uid="{2A61DC13-A5C7-4AC0-BBE0-5778C7119F51}"/>
    <cellStyle name="Normal 4 52" xfId="13411" xr:uid="{8117D22E-112A-4B4D-A568-24F2F4BF76FA}"/>
    <cellStyle name="Normal 4 52 2" xfId="49984" xr:uid="{59CE16CE-0D1D-4315-8A18-AC38C991B5ED}"/>
    <cellStyle name="Normal 4 52 2 2" xfId="49986" xr:uid="{73781BFA-5A04-4067-936B-64532E006025}"/>
    <cellStyle name="Normal 4 52 3" xfId="49988" xr:uid="{994AC3B9-C751-44B5-8715-C9D2DD5B1588}"/>
    <cellStyle name="Normal 4 53" xfId="32671" xr:uid="{3421AAED-7C71-450F-AFC3-9033833C9799}"/>
    <cellStyle name="Normal 4 53 2" xfId="49990" xr:uid="{EC4B0608-4622-4267-9459-27734A974C4E}"/>
    <cellStyle name="Normal 4 53 2 2" xfId="41028" xr:uid="{4EB3C983-0A67-4423-B5CD-DFA49DFE052D}"/>
    <cellStyle name="Normal 4 53 3" xfId="49992" xr:uid="{B2695B16-D3D4-48A9-8A0A-AC6483685A92}"/>
    <cellStyle name="Normal 4 54" xfId="28981" xr:uid="{2ADC845D-28B9-407E-92A9-1650B142EDE0}"/>
    <cellStyle name="Normal 4 54 2" xfId="49994" xr:uid="{D4FEEC9B-84D6-4927-9C1C-65EE5E97354E}"/>
    <cellStyle name="Normal 4 54 2 2" xfId="49996" xr:uid="{AD79C409-2090-4594-A8FB-289672D1BB14}"/>
    <cellStyle name="Normal 4 54 3" xfId="49998" xr:uid="{C43FBECE-26BC-4CB6-A9DA-986133793449}"/>
    <cellStyle name="Normal 4 55" xfId="50002" xr:uid="{61003F52-1BE3-429F-AEB3-624966B11315}"/>
    <cellStyle name="Normal 4 55 2" xfId="16762" xr:uid="{805A7F69-F9EC-4CBA-8830-190AD420A2D8}"/>
    <cellStyle name="Normal 4 55 2 2" xfId="16775" xr:uid="{D75FD2A2-9C54-4935-8FE7-C1C80B20AAA2}"/>
    <cellStyle name="Normal 4 55 3" xfId="16788" xr:uid="{6ECA39EA-FB15-4EFF-8A64-ADB865F8F76F}"/>
    <cellStyle name="Normal 4 56" xfId="42826" xr:uid="{BDA7D7D0-C186-4625-8DD7-69A34BEE9DBA}"/>
    <cellStyle name="Normal 4 56 2" xfId="16685" xr:uid="{C87CA18D-C4C3-44FE-B999-10A22B8620BA}"/>
    <cellStyle name="Normal 4 56 2 2" xfId="16690" xr:uid="{9D2A472B-0A91-43F8-A91C-71D989681D99}"/>
    <cellStyle name="Normal 4 56 3" xfId="16705" xr:uid="{11E2C336-66DB-4B73-A931-BB3F142C465A}"/>
    <cellStyle name="Normal 4 57" xfId="50004" xr:uid="{8E260AC2-4BD4-4DB3-8412-7D8F680DC3E6}"/>
    <cellStyle name="Normal 4 57 2" xfId="16744" xr:uid="{06754B6A-9C0F-4442-88B9-974C9A9F2111}"/>
    <cellStyle name="Normal 4 57 2 2" xfId="16748" xr:uid="{84C3ED49-C5B2-4DAA-9A9F-C48F16127077}"/>
    <cellStyle name="Normal 4 57 3" xfId="50006" xr:uid="{0B84F31C-9BCC-49A7-AE33-3DDE9415A4F9}"/>
    <cellStyle name="Normal 4 58" xfId="50008" xr:uid="{BD3BD1BD-F9C8-4113-BBDC-53C25B8041A5}"/>
    <cellStyle name="Normal 4 58 2" xfId="50010" xr:uid="{093141D3-543F-4AF8-8A9C-D6C40D25C150}"/>
    <cellStyle name="Normal 4 58 2 2" xfId="50012" xr:uid="{E5924475-45E6-4B76-8FA9-12691D381023}"/>
    <cellStyle name="Normal 4 58 3" xfId="50014" xr:uid="{A3BD3902-BC16-45A9-9F69-C06B2A54B48B}"/>
    <cellStyle name="Normal 4 59" xfId="50016" xr:uid="{C3E971FD-FB30-4538-B181-935F4A900AEF}"/>
    <cellStyle name="Normal 4 59 2" xfId="50018" xr:uid="{1D498A33-2A90-45DD-8321-C65EEBC26783}"/>
    <cellStyle name="Normal 4 59 2 2" xfId="50020" xr:uid="{6B84F38C-ABAE-440C-8066-ED7A0865FFD2}"/>
    <cellStyle name="Normal 4 59 3" xfId="50022" xr:uid="{93D182EA-40A4-47FA-A654-E675E5174450}"/>
    <cellStyle name="Normal 4 6" xfId="30382" xr:uid="{44B188A1-11A1-4E85-9955-F42BFF76D0F9}"/>
    <cellStyle name="Normal 4 6 2" xfId="30385" xr:uid="{5E6073D1-BC1B-447A-9A49-64A38068E85D}"/>
    <cellStyle name="Normal 4 6 2 2" xfId="32399" xr:uid="{F6578354-B696-441B-AE00-AAF5588DE0CF}"/>
    <cellStyle name="Normal 4 6 3" xfId="32402" xr:uid="{4D982A95-398C-426F-AE2F-940E96CC6796}"/>
    <cellStyle name="Normal 4 60" xfId="50001" xr:uid="{4D11F298-5F28-458C-A3E8-143414A17FF0}"/>
    <cellStyle name="Normal 4 60 2" xfId="16761" xr:uid="{0B0BDAA7-C2F0-4AA8-BA53-708323D2BF39}"/>
    <cellStyle name="Normal 4 60 2 2" xfId="16774" xr:uid="{44F4A8B2-22A2-417B-BBEC-A468BE43DF87}"/>
    <cellStyle name="Normal 4 60 3" xfId="16787" xr:uid="{CEFC2CBA-FF85-4234-8754-3DB5B0F7E070}"/>
    <cellStyle name="Normal 4 61" xfId="42825" xr:uid="{785484A3-57FF-4816-AEC5-00BF1870A50C}"/>
    <cellStyle name="Normal 4 61 2" xfId="16684" xr:uid="{9B4486C2-9779-4416-8241-AA6D3EF4FF5C}"/>
    <cellStyle name="Normal 4 61 2 2" xfId="16689" xr:uid="{000678F1-2FD2-48B5-A038-2CC7A828338F}"/>
    <cellStyle name="Normal 4 61 3" xfId="16704" xr:uid="{852B601D-4DE4-4A33-96E5-C06D27D2F6BD}"/>
    <cellStyle name="Normal 4 62" xfId="50003" xr:uid="{FE987F4A-B415-4F7C-A5F3-B6E10702C4D2}"/>
    <cellStyle name="Normal 4 62 2" xfId="16743" xr:uid="{E148756F-1933-4FA4-92AB-356DAECD18E4}"/>
    <cellStyle name="Normal 4 62 2 2" xfId="16747" xr:uid="{30F870B3-3395-46BD-97D2-ADDA23202E36}"/>
    <cellStyle name="Normal 4 62 3" xfId="50005" xr:uid="{6D70711B-9702-479F-A7BD-85174C31913B}"/>
    <cellStyle name="Normal 4 63" xfId="50007" xr:uid="{805C7617-E2C0-44B8-BC0E-ACFF41A01C05}"/>
    <cellStyle name="Normal 4 63 2" xfId="50009" xr:uid="{3CAB34CF-1FBE-442A-86E4-08118EEA073F}"/>
    <cellStyle name="Normal 4 63 2 2" xfId="50011" xr:uid="{B64D528A-05BE-4D4C-B767-2D6E90F782AC}"/>
    <cellStyle name="Normal 4 63 3" xfId="50013" xr:uid="{CAB27D44-F1CF-4A9B-8F4E-B4C1B61BF675}"/>
    <cellStyle name="Normal 4 64" xfId="50015" xr:uid="{B62ECCC0-CD73-4ECE-AC8D-D2D53F3DEF6C}"/>
    <cellStyle name="Normal 4 64 2" xfId="50017" xr:uid="{815996C8-3FAA-4EB3-9078-20DADCC850A8}"/>
    <cellStyle name="Normal 4 64 2 2" xfId="50019" xr:uid="{B53227F0-BA34-417B-8704-C23110B6564D}"/>
    <cellStyle name="Normal 4 64 3" xfId="50021" xr:uid="{CB53709C-A2AF-441F-832E-11CB26642E45}"/>
    <cellStyle name="Normal 4 65" xfId="50024" xr:uid="{C39AB502-F0B5-49DA-A33B-3BFB93043ED9}"/>
    <cellStyle name="Normal 4 65 2" xfId="50025" xr:uid="{F7FD8CD3-F81B-4FD2-BEDC-B158116D99CA}"/>
    <cellStyle name="Normal 4 65 2 2" xfId="50026" xr:uid="{8026C8A0-07BA-4E8A-ADB4-F75B03A5CDFA}"/>
    <cellStyle name="Normal 4 65 3" xfId="50027" xr:uid="{1AE9DBFE-B320-4B87-863C-CED5EBDE7422}"/>
    <cellStyle name="Normal 4 66" xfId="50029" xr:uid="{F6E5B2B1-6B15-41D1-8C53-819BA11DE6DD}"/>
    <cellStyle name="Normal 4 67" xfId="50031" xr:uid="{4A7B2E71-FDF1-4256-AE3E-D9C4855502B5}"/>
    <cellStyle name="Normal 4 67 2" xfId="50032" xr:uid="{8701E36A-DA2D-4470-8C9D-5ABACE2DFDB2}"/>
    <cellStyle name="Normal 4 68" xfId="50033" xr:uid="{0E2EAD53-A6CC-493E-9791-6AF96200731E}"/>
    <cellStyle name="Normal 4 68 2" xfId="37107" xr:uid="{4B3F2C5B-9D65-4A39-AF69-2F61E69EB9DE}"/>
    <cellStyle name="Normal 4 69" xfId="50034" xr:uid="{D08B6E74-30C4-4A95-9F88-21F98159F978}"/>
    <cellStyle name="Normal 4 69 2" xfId="50035" xr:uid="{B7A8A5D4-C6D9-4D74-8C1D-B46DAB790449}"/>
    <cellStyle name="Normal 4 7" xfId="30389" xr:uid="{33E463A1-D2B6-45B8-8BA1-75C76E3D29F1}"/>
    <cellStyle name="Normal 4 7 2" xfId="31028" xr:uid="{7D17C9EE-77F1-4A72-981E-E6798EDABA8D}"/>
    <cellStyle name="Normal 4 7 2 2" xfId="31031" xr:uid="{5CAEFDE7-AC2A-4190-B0B6-028C5A9E5F1A}"/>
    <cellStyle name="Normal 4 7 3" xfId="31034" xr:uid="{F3CB65DF-9C5B-4631-972F-C01CE36F7201}"/>
    <cellStyle name="Normal 4 70" xfId="50023" xr:uid="{C4055795-DCEF-4F49-A996-E380FEB922E2}"/>
    <cellStyle name="Normal 4 71" xfId="50028" xr:uid="{7746D0C9-6A64-40E7-A7EF-ADFBDDB6E9F9}"/>
    <cellStyle name="Normal 4 72" xfId="50030" xr:uid="{8D1BD170-B79C-4E43-BE0E-552D88E04958}"/>
    <cellStyle name="Normal 4 73" xfId="49780" xr:uid="{5F8C2D87-042F-4FF4-90F1-E4B7F47453FD}"/>
    <cellStyle name="Normal 4 8" xfId="30393" xr:uid="{D1536CC6-68AC-45A6-A589-F79FB45EE364}"/>
    <cellStyle name="Normal 4 8 2" xfId="31038" xr:uid="{238E6E14-5508-45F0-8F36-EDBD2FDC4606}"/>
    <cellStyle name="Normal 4 8 2 2" xfId="32409" xr:uid="{81A8CB45-7E8B-45B3-B458-B362B1632941}"/>
    <cellStyle name="Normal 4 8 3" xfId="32414" xr:uid="{E9CC0B21-69F1-458B-8BBD-63D6A988FFA2}"/>
    <cellStyle name="Normal 4 8 4" xfId="31689" xr:uid="{1545BB6F-F60F-44FC-8820-6489B1671EED}"/>
    <cellStyle name="Normal 4 9" xfId="31042" xr:uid="{F7FE0209-EB87-495C-B788-79025C0A4369}"/>
    <cellStyle name="Normal 4 9 2" xfId="32418" xr:uid="{B129D4BA-BF3E-4657-B9C1-E65DA7DAFC4C}"/>
    <cellStyle name="Normal 4 9 2 2" xfId="32421" xr:uid="{4E1010B2-54FD-4F84-AC6E-414BEA3BC611}"/>
    <cellStyle name="Normal 4 9 3" xfId="32426" xr:uid="{2A76DE7D-E4DE-471B-94F2-C662B6EDEC8C}"/>
    <cellStyle name="Normal 4_Book1" xfId="50036" xr:uid="{2FFB119F-853E-4B13-A164-D5821B77CB49}"/>
    <cellStyle name="Normal 40" xfId="48152" xr:uid="{1C4BEF8F-9425-43DA-A916-5815910855C0}"/>
    <cellStyle name="Normal 40 2" xfId="26611" xr:uid="{B5F0A1B1-B395-45E8-A264-EB0D483D8E7B}"/>
    <cellStyle name="Normal 40 2 2" xfId="48155" xr:uid="{39FCD854-272A-41EC-9633-7F8E50F5675A}"/>
    <cellStyle name="Normal 40 3" xfId="50037" xr:uid="{BFCA66CF-C6A9-4646-9736-99599C912984}"/>
    <cellStyle name="Normal 40 3 2" xfId="50038" xr:uid="{DA4A3F1C-149F-40D6-A397-DE0C8BC3BF22}"/>
    <cellStyle name="Normal 40 4" xfId="50039" xr:uid="{DAA506F9-F7D3-452A-8379-45809CE2520E}"/>
    <cellStyle name="Normal 40 5" xfId="50040" xr:uid="{DDA0B7D1-2957-4D12-BF1B-7786BB1E437B}"/>
    <cellStyle name="Normal 400" xfId="40410" xr:uid="{38808023-FDDB-451E-A657-4D3CD2A03E07}"/>
    <cellStyle name="Normal 400 2" xfId="40415" xr:uid="{2ADDB59B-4C72-4E3A-A3AB-7DD5280CF0EA}"/>
    <cellStyle name="Normal 401" xfId="40422" xr:uid="{332EA2E7-12C7-4E87-A208-91A1F53BAA68}"/>
    <cellStyle name="Normal 401 2" xfId="40427" xr:uid="{0DCAA9C9-60F2-4BC0-953B-DFE25FBAC1E7}"/>
    <cellStyle name="Normal 402" xfId="28412" xr:uid="{5C0AE504-9826-49BB-9C91-1BDC98BA7423}"/>
    <cellStyle name="Normal 402 2" xfId="28419" xr:uid="{384AEB35-1363-4BA2-9D5D-2D5EC8814539}"/>
    <cellStyle name="Normal 403" xfId="28434" xr:uid="{D220EA30-475D-4CB4-9F3E-0752062260B8}"/>
    <cellStyle name="Normal 403 2" xfId="28441" xr:uid="{A66318A1-90FA-4007-9EC3-9A66E3BDB8FC}"/>
    <cellStyle name="Normal 404" xfId="28453" xr:uid="{43A7CFA8-DDD1-48BF-879E-9AD2D4FFE91C}"/>
    <cellStyle name="Normal 404 2" xfId="28462" xr:uid="{73621A0F-5FC4-4EEF-93B4-8120B4E07CA3}"/>
    <cellStyle name="Normal 405" xfId="28467" xr:uid="{CCEE109A-3DE4-43E9-BCE6-57155081E0F8}"/>
    <cellStyle name="Normal 405 2" xfId="45184" xr:uid="{B74635BE-30DC-46CC-91AD-888F5F239133}"/>
    <cellStyle name="Normal 406" xfId="48158" xr:uid="{13D40372-FA3F-499C-B8F4-A12D3D98BDC9}"/>
    <cellStyle name="Normal 406 2" xfId="45260" xr:uid="{1372DF1F-E38B-4769-B886-FF267D5E56DB}"/>
    <cellStyle name="Normal 407" xfId="48162" xr:uid="{9A566185-51F1-42DF-A7F6-891124B03B2D}"/>
    <cellStyle name="Normal 407 2" xfId="45299" xr:uid="{49672426-B058-49E6-8C57-FE62E2343DE4}"/>
    <cellStyle name="Normal 408" xfId="48166" xr:uid="{20284593-C952-4F2C-85F9-C1115E8529F3}"/>
    <cellStyle name="Normal 408 2" xfId="45319" xr:uid="{8EE3B97A-F3C4-4FEC-B67C-1F83330CDEEF}"/>
    <cellStyle name="Normal 409" xfId="48170" xr:uid="{A6429EF1-29E5-48BB-B793-C494FAD694A6}"/>
    <cellStyle name="Normal 409 2" xfId="21772" xr:uid="{6720683F-DAB5-468F-ABD1-161C09655798}"/>
    <cellStyle name="Normal 41" xfId="48173" xr:uid="{D75A48B0-C493-4CAB-BF65-6B9C9CF660D7}"/>
    <cellStyle name="Normal 41 2" xfId="27497" xr:uid="{4C083379-D813-4E0F-84EB-791C65423E66}"/>
    <cellStyle name="Normal 41 2 2" xfId="48186" xr:uid="{3B437B95-BB78-4B63-924E-3CACE994275C}"/>
    <cellStyle name="Normal 410" xfId="28466" xr:uid="{20EAB48F-8DAE-46B0-B29B-58EECBD7E794}"/>
    <cellStyle name="Normal 410 2" xfId="45183" xr:uid="{6380B377-C260-4BB0-98FC-1D717D799045}"/>
    <cellStyle name="Normal 411" xfId="48157" xr:uid="{3361F0F3-0D99-4E88-A18B-6BB5FF37FC8A}"/>
    <cellStyle name="Normal 411 2" xfId="45259" xr:uid="{27D81F66-1864-4390-AE18-5EBFE179B538}"/>
    <cellStyle name="Normal 412" xfId="48161" xr:uid="{7B2EA962-2FF4-4376-86E9-8D1A0DE2DBDE}"/>
    <cellStyle name="Normal 412 2" xfId="45298" xr:uid="{83C32A57-11BD-427F-939B-18F9CCF46761}"/>
    <cellStyle name="Normal 413" xfId="48165" xr:uid="{4E11BC45-61F1-48A3-87EC-0FFC0F29A1B3}"/>
    <cellStyle name="Normal 413 2" xfId="45318" xr:uid="{2DF02FCD-B3B7-4840-B436-AAEB4A2B46E4}"/>
    <cellStyle name="Normal 414" xfId="48169" xr:uid="{94B3DB0F-C2B2-4741-8516-7A36593C0F9E}"/>
    <cellStyle name="Normal 414 2" xfId="21771" xr:uid="{D44093F7-812E-4BEF-B2EA-8B02768C3584}"/>
    <cellStyle name="Normal 415" xfId="49624" xr:uid="{ED1BA741-C062-43A8-A921-9990B72EFFA9}"/>
    <cellStyle name="Normal 415 2" xfId="49654" xr:uid="{D69A9CA8-C0E8-438A-91A1-14ACE7592DF5}"/>
    <cellStyle name="Normal 416" xfId="49628" xr:uid="{70C1A7B9-4A00-431F-ABB4-002869AE3A00}"/>
    <cellStyle name="Normal 416 2" xfId="49657" xr:uid="{6A8BA311-80C8-4A24-BD94-2FB93DAEA3E5}"/>
    <cellStyle name="Normal 417" xfId="49632" xr:uid="{D68ABD8E-09D4-47F1-9641-1E6804258007}"/>
    <cellStyle name="Normal 417 2" xfId="49660" xr:uid="{A343BB47-DB8C-4128-AA7A-DBC7E6E08A72}"/>
    <cellStyle name="Normal 418" xfId="44334" xr:uid="{2F148090-E0FF-4F54-9108-4052C01E52A9}"/>
    <cellStyle name="Normal 418 2" xfId="49663" xr:uid="{69991ED3-5094-4097-926F-C74C29CD61F0}"/>
    <cellStyle name="Normal 419" xfId="49636" xr:uid="{CE58200C-948B-4A88-8845-15FC6E484E9F}"/>
    <cellStyle name="Normal 419 2" xfId="49666" xr:uid="{C27D0DD6-350F-4F3C-9E22-4FD50ECCCC41}"/>
    <cellStyle name="Normal 42" xfId="49639" xr:uid="{9D4AADCC-4197-4D07-8F2C-5903144AE4B3}"/>
    <cellStyle name="Normal 42 10" xfId="37913" xr:uid="{D80C72D5-B4F6-4229-A6C6-4B2BEAC34C07}"/>
    <cellStyle name="Normal 42 11" xfId="50041" xr:uid="{C32624DB-9977-472B-A628-7CEF13253741}"/>
    <cellStyle name="Normal 42 12" xfId="50042" xr:uid="{5385A011-49CF-4E59-8676-915667F3F36D}"/>
    <cellStyle name="Normal 42 2" xfId="49641" xr:uid="{C4FC90BF-15F1-4DA3-A4B9-DCB010F53B77}"/>
    <cellStyle name="Normal 42 2 10" xfId="50043" xr:uid="{1EEC1C01-309C-4F5F-9360-055A7C7F2D92}"/>
    <cellStyle name="Normal 42 2 11" xfId="50044" xr:uid="{012A35AB-7C7B-43EC-B83A-ABFD7D53E6E7}"/>
    <cellStyle name="Normal 42 2 2" xfId="49643" xr:uid="{C935A82A-4211-41EB-B8B7-5ECB093C9DB6}"/>
    <cellStyle name="Normal 42 2 2 2" xfId="50045" xr:uid="{AD1C3EE6-4E1E-4D3D-A662-EF572A73EB34}"/>
    <cellStyle name="Normal 42 2 2 2 2" xfId="50046" xr:uid="{3EC39FD5-FAD1-44C6-B339-FC9621155BB5}"/>
    <cellStyle name="Normal 42 2 2 2 2 2" xfId="50047" xr:uid="{0C59E6AC-453D-4C2E-8675-987B5ABA70C7}"/>
    <cellStyle name="Normal 42 2 2 2 2 2 2" xfId="50048" xr:uid="{381A884C-F893-4C5D-82B6-51945134F0C6}"/>
    <cellStyle name="Normal 42 2 2 2 2 2 2 2" xfId="50049" xr:uid="{3DBFB091-9537-4DD6-B30B-AA660791D6C7}"/>
    <cellStyle name="Normal 42 2 2 2 2 2 2 2 2" xfId="50050" xr:uid="{EACD9BBC-2434-4550-B5C2-9CC0A89B41B8}"/>
    <cellStyle name="Normal 42 2 2 2 2 2 2 2 2 2" xfId="50051" xr:uid="{EE7B5B6F-F2AA-4AD2-A47A-36DC0F278F2B}"/>
    <cellStyle name="Normal 42 2 2 2 2 2 2 2 3" xfId="50052" xr:uid="{69F8F0A1-93E3-4192-BC9D-D054F01004E3}"/>
    <cellStyle name="Normal 42 2 2 2 2 2 2 3" xfId="50053" xr:uid="{6DD184E8-68C7-490C-B777-B8B0DC2D8BAD}"/>
    <cellStyle name="Normal 42 2 2 2 2 2 2 3 2" xfId="50054" xr:uid="{7417F8DD-8C92-41E2-9904-98F344FDDC21}"/>
    <cellStyle name="Normal 42 2 2 2 2 2 2 4" xfId="48274" xr:uid="{99451D3C-ED7C-461F-8F13-3F172E00592C}"/>
    <cellStyle name="Normal 42 2 2 2 2 2 3" xfId="50055" xr:uid="{78FB20D9-A5A8-413A-8909-26421635997F}"/>
    <cellStyle name="Normal 42 2 2 2 2 2 3 2" xfId="50056" xr:uid="{8181B27C-AF88-4A5D-976B-A100E561CEB6}"/>
    <cellStyle name="Normal 42 2 2 2 2 2 3 2 2" xfId="50057" xr:uid="{0D05A12E-5FDE-4C07-953E-0B5721A42A96}"/>
    <cellStyle name="Normal 42 2 2 2 2 2 3 3" xfId="50058" xr:uid="{2BE3A05B-2C28-4755-8A06-8E911D1EF170}"/>
    <cellStyle name="Normal 42 2 2 2 2 2 4" xfId="50059" xr:uid="{59ED04EE-5DA2-493A-B267-94384BAA750C}"/>
    <cellStyle name="Normal 42 2 2 2 2 2 4 2" xfId="50060" xr:uid="{FCA33085-D1FC-44D6-B520-E68B48623859}"/>
    <cellStyle name="Normal 42 2 2 2 2 2 5" xfId="50061" xr:uid="{66C18648-3247-4242-88A5-C614AD6648C6}"/>
    <cellStyle name="Normal 42 2 2 2 2 3" xfId="50062" xr:uid="{BCA50986-71D7-4ED0-A0F3-878BB8F7738A}"/>
    <cellStyle name="Normal 42 2 2 2 2 3 2" xfId="50063" xr:uid="{FFEDB589-73D0-4A7D-B940-63F636992F92}"/>
    <cellStyle name="Normal 42 2 2 2 2 3 2 2" xfId="50064" xr:uid="{18D9D7E0-B008-4075-ABCD-0A4AF046ED2A}"/>
    <cellStyle name="Normal 42 2 2 2 2 3 2 2 2" xfId="50065" xr:uid="{CD1008B9-69C0-4814-860D-35ABD148F239}"/>
    <cellStyle name="Normal 42 2 2 2 2 3 2 3" xfId="50066" xr:uid="{97728978-B917-4BB0-9F33-741D5A756487}"/>
    <cellStyle name="Normal 42 2 2 2 2 3 3" xfId="50067" xr:uid="{A1E52151-C5A3-4CAD-A80F-029EFF7D75CF}"/>
    <cellStyle name="Normal 42 2 2 2 2 3 3 2" xfId="50068" xr:uid="{12CE6E5B-2428-43CA-8AC0-75DA08C54007}"/>
    <cellStyle name="Normal 42 2 2 2 2 3 4" xfId="50069" xr:uid="{CDCF5502-A2BF-4190-B49A-2B97B867AC1D}"/>
    <cellStyle name="Normal 42 2 2 2 2 4" xfId="50070" xr:uid="{4960715B-F0E1-4E59-9F8D-E3D7512CD9F7}"/>
    <cellStyle name="Normal 42 2 2 2 2 4 2" xfId="50071" xr:uid="{A9935E95-D8F8-4C9D-A4AB-D06F9ADBA42B}"/>
    <cellStyle name="Normal 42 2 2 2 2 4 2 2" xfId="50072" xr:uid="{6DC56517-86B5-4A91-821A-F2D7C3B49B2C}"/>
    <cellStyle name="Normal 42 2 2 2 2 4 3" xfId="50073" xr:uid="{AA8909B6-B662-4FBB-8F91-AA787B94C0E0}"/>
    <cellStyle name="Normal 42 2 2 2 2 5" xfId="50074" xr:uid="{74C384FA-BC5F-4BF3-B98A-CCF065C83522}"/>
    <cellStyle name="Normal 42 2 2 2 2 5 2" xfId="50075" xr:uid="{ABA805FA-4405-4542-8AAA-AF4519034081}"/>
    <cellStyle name="Normal 42 2 2 2 2 6" xfId="50076" xr:uid="{7FF6F2D1-645E-451B-BCD8-E32B71871CAF}"/>
    <cellStyle name="Normal 42 2 2 2 2 7" xfId="50077" xr:uid="{3E4FD3DC-22DA-4131-BB75-2C410F22C74D}"/>
    <cellStyle name="Normal 42 2 2 2 3" xfId="16489" xr:uid="{8AE6A590-A6BE-4BC3-9CCC-2FEA85244B59}"/>
    <cellStyle name="Normal 42 2 2 2 3 2" xfId="32512" xr:uid="{A1EE8D4C-1201-454B-8CC2-EF299A44319E}"/>
    <cellStyle name="Normal 42 2 2 2 3 2 2" xfId="50078" xr:uid="{0FE45CE6-7BA8-4FCE-A920-7049DACE3ACE}"/>
    <cellStyle name="Normal 42 2 2 2 3 2 2 2" xfId="50079" xr:uid="{73A26AB3-0087-4E04-8B44-9133ACD30429}"/>
    <cellStyle name="Normal 42 2 2 2 3 2 2 2 2" xfId="50080" xr:uid="{985A86D8-0762-4B0C-97F0-D32A1856A83D}"/>
    <cellStyle name="Normal 42 2 2 2 3 2 2 3" xfId="50081" xr:uid="{CA1EB886-140D-4F71-BBDE-B2D705E78335}"/>
    <cellStyle name="Normal 42 2 2 2 3 2 3" xfId="50082" xr:uid="{5E706FF2-5DD6-43A9-91D7-C6ACD3DDE92A}"/>
    <cellStyle name="Normal 42 2 2 2 3 2 3 2" xfId="50083" xr:uid="{17C116A7-5C5F-41CB-9C49-559CAB85D571}"/>
    <cellStyle name="Normal 42 2 2 2 3 2 4" xfId="50084" xr:uid="{6FA9F7E0-5479-4260-8280-F5816790640E}"/>
    <cellStyle name="Normal 42 2 2 2 3 3" xfId="32515" xr:uid="{C53C9B9C-F0F6-40FC-8AA7-43222B2F257F}"/>
    <cellStyle name="Normal 42 2 2 2 3 3 2" xfId="50085" xr:uid="{139FF8C8-25EF-4A79-B759-624A1D499E4B}"/>
    <cellStyle name="Normal 42 2 2 2 3 3 2 2" xfId="50086" xr:uid="{95596CD4-5B4D-46A9-A814-388BE80C2394}"/>
    <cellStyle name="Normal 42 2 2 2 3 3 3" xfId="50087" xr:uid="{AA40CE13-22D0-4831-B42E-0B6B3A210955}"/>
    <cellStyle name="Normal 42 2 2 2 3 4" xfId="32518" xr:uid="{3741638B-D2A8-4319-8524-C8BF009098F0}"/>
    <cellStyle name="Normal 42 2 2 2 3 4 2" xfId="50088" xr:uid="{8A484282-ECC9-41DF-98AF-9FB7E5857A3E}"/>
    <cellStyle name="Normal 42 2 2 2 3 5" xfId="32521" xr:uid="{8E8BD731-C3A0-46E0-8A47-93AAC83DDF4D}"/>
    <cellStyle name="Normal 42 2 2 2 4" xfId="50089" xr:uid="{C4A80420-6AAF-4FEB-B8B6-4A73AF44A4FD}"/>
    <cellStyle name="Normal 42 2 2 2 4 2" xfId="50090" xr:uid="{CC9076EB-8671-41B6-8790-77D3B86AE2AD}"/>
    <cellStyle name="Normal 42 2 2 2 4 2 2" xfId="50091" xr:uid="{9B73100A-42C9-4C68-92D3-8759F16916F3}"/>
    <cellStyle name="Normal 42 2 2 2 4 2 2 2" xfId="50092" xr:uid="{AF8BE151-CA1D-425C-99F6-305A884B317C}"/>
    <cellStyle name="Normal 42 2 2 2 4 2 3" xfId="50093" xr:uid="{164AF9A2-3BA8-4107-8667-BBC5F54D8403}"/>
    <cellStyle name="Normal 42 2 2 2 4 3" xfId="50094" xr:uid="{ECAC5D29-469B-449A-AC01-C204E06815B4}"/>
    <cellStyle name="Normal 42 2 2 2 4 3 2" xfId="50095" xr:uid="{22DD3C8C-3B18-4DBC-94CB-A2A693435862}"/>
    <cellStyle name="Normal 42 2 2 2 4 4" xfId="50096" xr:uid="{C45A56EB-53F2-4962-BC4D-06200C7C173A}"/>
    <cellStyle name="Normal 42 2 2 2 5" xfId="50097" xr:uid="{A358ED27-FFE3-4735-A3B7-7AF7F5A859D1}"/>
    <cellStyle name="Normal 42 2 2 2 5 2" xfId="50098" xr:uid="{F148F68E-C100-4E79-B1C7-51E84501DD27}"/>
    <cellStyle name="Normal 42 2 2 2 5 2 2" xfId="50099" xr:uid="{E6419106-B294-4821-8CF2-97EB1C4B5240}"/>
    <cellStyle name="Normal 42 2 2 2 5 3" xfId="50100" xr:uid="{2EC25EF5-C3F7-4077-A5F4-EA404AE0C5CC}"/>
    <cellStyle name="Normal 42 2 2 2 6" xfId="33286" xr:uid="{EAB2B13B-80F7-460A-AB1A-32CA48956616}"/>
    <cellStyle name="Normal 42 2 2 2 6 2" xfId="4234" xr:uid="{2E0608F7-FABC-41A8-B5E2-C9DF7C346BD3}"/>
    <cellStyle name="Normal 42 2 2 2 7" xfId="33298" xr:uid="{5A2ED856-7524-443F-B92E-F175396C5315}"/>
    <cellStyle name="Normal 42 2 2 2 8" xfId="33305" xr:uid="{1EAD2BDB-D6DB-467F-92BA-B6446FB34749}"/>
    <cellStyle name="Normal 42 2 2 3" xfId="50101" xr:uid="{6A4BED56-EC16-4AA0-811D-0B7328D5DA7A}"/>
    <cellStyle name="Normal 42 2 2 3 2" xfId="50102" xr:uid="{FADE10A3-11D7-4B9E-8498-451F7F00483E}"/>
    <cellStyle name="Normal 42 2 2 3 2 2" xfId="50103" xr:uid="{61A2A690-596C-4F04-958C-C400DA27F2A9}"/>
    <cellStyle name="Normal 42 2 2 3 2 2 2" xfId="50104" xr:uid="{BDDB0204-848F-4F7E-818F-B153AD77302F}"/>
    <cellStyle name="Normal 42 2 2 3 2 2 2 2" xfId="50105" xr:uid="{E8473F48-C907-44C6-A42B-C1780668D51C}"/>
    <cellStyle name="Normal 42 2 2 3 2 2 2 2 2" xfId="50106" xr:uid="{CD4CD681-9125-414E-BE92-FB7A1C5C660A}"/>
    <cellStyle name="Normal 42 2 2 3 2 2 2 3" xfId="50107" xr:uid="{571615FF-117D-4EC6-BEBB-2F94A68E8D08}"/>
    <cellStyle name="Normal 42 2 2 3 2 2 3" xfId="50108" xr:uid="{F4739FF1-A50C-4C62-BF22-53CACCD99562}"/>
    <cellStyle name="Normal 42 2 2 3 2 2 3 2" xfId="50109" xr:uid="{0BD95608-7E33-47AF-9FE8-9A56E09C5654}"/>
    <cellStyle name="Normal 42 2 2 3 2 2 4" xfId="50110" xr:uid="{B5C57BDE-1793-4A30-B5EA-D36A709518A7}"/>
    <cellStyle name="Normal 42 2 2 3 2 3" xfId="50111" xr:uid="{BE41D695-F87A-4586-A86F-A7A2AF905170}"/>
    <cellStyle name="Normal 42 2 2 3 2 3 2" xfId="50112" xr:uid="{8631C61A-382D-4DFF-BFD8-B8A9753F5C3A}"/>
    <cellStyle name="Normal 42 2 2 3 2 3 2 2" xfId="50113" xr:uid="{0D769304-E0FB-43B9-82BD-ADB4B734B6D2}"/>
    <cellStyle name="Normal 42 2 2 3 2 3 3" xfId="50114" xr:uid="{F6D6E18C-81FE-4F8D-98EF-597D3BD32E8A}"/>
    <cellStyle name="Normal 42 2 2 3 2 4" xfId="50115" xr:uid="{6D098028-81CF-4D60-9C67-DAF142E36199}"/>
    <cellStyle name="Normal 42 2 2 3 2 4 2" xfId="50116" xr:uid="{81C9598D-5BD4-429D-9D9A-7C7874D893EF}"/>
    <cellStyle name="Normal 42 2 2 3 2 5" xfId="50117" xr:uid="{387C2C54-4532-4F86-9BC8-033CAA5F9A3F}"/>
    <cellStyle name="Normal 42 2 2 3 3" xfId="50118" xr:uid="{7C058748-E2F8-4716-A0EB-3746DA8D8907}"/>
    <cellStyle name="Normal 42 2 2 3 3 2" xfId="32959" xr:uid="{76981AAC-23E5-46F5-9464-4CB8F93F2E82}"/>
    <cellStyle name="Normal 42 2 2 3 3 2 2" xfId="50119" xr:uid="{2DC12673-1254-4333-BCCD-5A5AA74C5A36}"/>
    <cellStyle name="Normal 42 2 2 3 3 2 2 2" xfId="50120" xr:uid="{9879530C-AE93-4ABD-B499-D49AD641F72A}"/>
    <cellStyle name="Normal 42 2 2 3 3 2 3" xfId="19645" xr:uid="{5B0B4DFD-3AF1-4C5C-A113-249FD6B71EC0}"/>
    <cellStyle name="Normal 42 2 2 3 3 3" xfId="30112" xr:uid="{AC1E7DAB-98E5-4C01-BEF3-EE0552B7BD41}"/>
    <cellStyle name="Normal 42 2 2 3 3 3 2" xfId="50121" xr:uid="{B49664F0-CC8A-4BF8-95C2-2BE89F85CCFC}"/>
    <cellStyle name="Normal 42 2 2 3 3 4" xfId="30119" xr:uid="{5153E320-CE14-49C7-A190-02F9BCB50F21}"/>
    <cellStyle name="Normal 42 2 2 3 4" xfId="50122" xr:uid="{72F33663-8BE9-4ECC-8D59-19ED9D4FF418}"/>
    <cellStyle name="Normal 42 2 2 3 4 2" xfId="50123" xr:uid="{24485121-73ED-43CE-ABA1-78159A5EE141}"/>
    <cellStyle name="Normal 42 2 2 3 4 2 2" xfId="50124" xr:uid="{2085ECC8-99C1-422A-AE55-14C63D0F89A0}"/>
    <cellStyle name="Normal 42 2 2 3 4 3" xfId="50125" xr:uid="{3431FB65-3CE4-4F93-8DA8-561F18BD32FE}"/>
    <cellStyle name="Normal 42 2 2 3 5" xfId="50126" xr:uid="{01A357EA-43FF-4EE5-B5B6-A193055F2D6C}"/>
    <cellStyle name="Normal 42 2 2 3 5 2" xfId="50127" xr:uid="{4764091A-767B-4A99-B757-9B4963EB8894}"/>
    <cellStyle name="Normal 42 2 2 3 6" xfId="27123" xr:uid="{031C55AC-213A-45DC-98B9-9F05A4FC0C8B}"/>
    <cellStyle name="Normal 42 2 2 3 7" xfId="27145" xr:uid="{647E7471-AE0D-4D56-9A8B-82E7E31B51C3}"/>
    <cellStyle name="Normal 42 2 2 4" xfId="50128" xr:uid="{84DE0033-70A3-476D-AFF4-D145F3D4BAE3}"/>
    <cellStyle name="Normal 42 2 2 4 2" xfId="50129" xr:uid="{48D188CA-817C-4F6E-B72E-9DEB983C0E11}"/>
    <cellStyle name="Normal 42 2 2 4 2 2" xfId="50130" xr:uid="{EA7BEAF5-809C-414D-8A8D-7337D646C0A7}"/>
    <cellStyle name="Normal 42 2 2 4 2 2 2" xfId="50131" xr:uid="{FEEF8D62-608F-44E4-9458-BB12F8381F48}"/>
    <cellStyle name="Normal 42 2 2 4 2 2 2 2" xfId="50132" xr:uid="{6318E53F-E62E-4044-8B61-E4BBE9AF1A65}"/>
    <cellStyle name="Normal 42 2 2 4 2 2 3" xfId="50133" xr:uid="{1B5A93C0-F10C-4EAD-8A14-B474AE11583D}"/>
    <cellStyle name="Normal 42 2 2 4 2 3" xfId="50134" xr:uid="{3EC1CC72-72E9-4AD1-8D32-FB7BBAC5E526}"/>
    <cellStyle name="Normal 42 2 2 4 2 3 2" xfId="50135" xr:uid="{EE4BBADC-44AC-4667-AF37-82893C872991}"/>
    <cellStyle name="Normal 42 2 2 4 2 4" xfId="50136" xr:uid="{C8571B93-C49B-4103-87BF-F7142A048F5B}"/>
    <cellStyle name="Normal 42 2 2 4 3" xfId="50137" xr:uid="{A4B79CE9-0435-466A-9725-76E677A5B022}"/>
    <cellStyle name="Normal 42 2 2 4 3 2" xfId="38285" xr:uid="{52C7E1D5-A900-4945-9913-EC935F70998F}"/>
    <cellStyle name="Normal 42 2 2 4 3 2 2" xfId="50138" xr:uid="{FCCF32B5-28D0-4A59-9DBA-FE3066BEF329}"/>
    <cellStyle name="Normal 42 2 2 4 3 3" xfId="38287" xr:uid="{0E99DFEC-592D-412A-8D38-9A0DDBC6348C}"/>
    <cellStyle name="Normal 42 2 2 4 4" xfId="50139" xr:uid="{3732B2D6-C096-4653-B128-99F3096F9502}"/>
    <cellStyle name="Normal 42 2 2 4 4 2" xfId="50140" xr:uid="{442D3EB1-BAE6-4AF9-993C-7A170C2AE840}"/>
    <cellStyle name="Normal 42 2 2 4 5" xfId="50141" xr:uid="{BF1D22D5-EA5A-4E4B-856F-47D12C663CC7}"/>
    <cellStyle name="Normal 42 2 2 5" xfId="50142" xr:uid="{BB41FBC6-9412-4036-9502-388F91CC6BBE}"/>
    <cellStyle name="Normal 42 2 2 5 2" xfId="50143" xr:uid="{0ED401E6-DF97-4050-8884-F7EE149BC135}"/>
    <cellStyle name="Normal 42 2 2 5 2 2" xfId="50144" xr:uid="{796BA4B4-91CC-4BA8-932B-45B7CBBB6415}"/>
    <cellStyle name="Normal 42 2 2 5 2 2 2" xfId="50145" xr:uid="{F04B8D70-B587-4A90-86C1-ADC3A610EBFA}"/>
    <cellStyle name="Normal 42 2 2 5 2 3" xfId="50146" xr:uid="{0316E7E1-D2AB-46D1-9028-C746EC0635BF}"/>
    <cellStyle name="Normal 42 2 2 5 3" xfId="50147" xr:uid="{E45EB639-FCF6-4DFF-870F-E15463CC0C76}"/>
    <cellStyle name="Normal 42 2 2 5 3 2" xfId="50148" xr:uid="{671D38ED-1A8A-4B93-8F1B-114FDEC05AE2}"/>
    <cellStyle name="Normal 42 2 2 5 4" xfId="50149" xr:uid="{4F50C3A9-BFFA-4A01-B337-F44FD93844B8}"/>
    <cellStyle name="Normal 42 2 2 6" xfId="4519" xr:uid="{5CE9DA1B-A7E3-45E0-B499-E30D4D60EC9C}"/>
    <cellStyle name="Normal 42 2 2 6 2" xfId="50150" xr:uid="{2DFB1D98-0B18-4370-BF18-60B3FA168BC2}"/>
    <cellStyle name="Normal 42 2 2 6 2 2" xfId="50151" xr:uid="{1F3A3EAA-9F81-469D-B2C1-CF238E4CC724}"/>
    <cellStyle name="Normal 42 2 2 6 3" xfId="50152" xr:uid="{6389DD45-1001-43AA-B45B-02C4DCB7FBF0}"/>
    <cellStyle name="Normal 42 2 2 7" xfId="50153" xr:uid="{7B23DD9C-2B98-4672-BA4B-1CDECA26CEAB}"/>
    <cellStyle name="Normal 42 2 2 7 2" xfId="50154" xr:uid="{8C13760C-B04C-4B36-B152-9E7A90F395CF}"/>
    <cellStyle name="Normal 42 2 2 8" xfId="50155" xr:uid="{CAE2B4A8-F7E9-402B-8A29-1AA0C5C93196}"/>
    <cellStyle name="Normal 42 2 2 9" xfId="50156" xr:uid="{2A74BC37-F781-425A-9765-7126F858798A}"/>
    <cellStyle name="Normal 42 2 3" xfId="50157" xr:uid="{85AB2EBA-7082-4B8F-8FB1-38C4547ACAB4}"/>
    <cellStyle name="Normal 42 2 3 2" xfId="50158" xr:uid="{32B04BA7-EFF9-438E-BCE6-6E1B4A7E0B6D}"/>
    <cellStyle name="Normal 42 2 3 2 2" xfId="50159" xr:uid="{22FF7FD9-33A3-41AB-AC58-C9D37B225B97}"/>
    <cellStyle name="Normal 42 2 3 2 2 2" xfId="50160" xr:uid="{BD867B72-8C20-4D22-8C7F-C91127924B09}"/>
    <cellStyle name="Normal 42 2 3 2 2 2 2" xfId="50161" xr:uid="{82B252EA-279A-4970-A17C-D72F1C5049D3}"/>
    <cellStyle name="Normal 42 2 3 2 2 2 2 2" xfId="50162" xr:uid="{91FAE71A-9AB6-4B21-99E3-677340B0ADFE}"/>
    <cellStyle name="Normal 42 2 3 2 2 2 2 2 2" xfId="50163" xr:uid="{A32AE7EC-F490-463C-A53B-F413A933E1BE}"/>
    <cellStyle name="Normal 42 2 3 2 2 2 2 3" xfId="50164" xr:uid="{5F1BADFC-9DE2-4C9D-B007-399BBF3406D5}"/>
    <cellStyle name="Normal 42 2 3 2 2 2 3" xfId="50165" xr:uid="{86EC491B-B4DB-4F4A-A982-06EDF53E8C11}"/>
    <cellStyle name="Normal 42 2 3 2 2 2 3 2" xfId="50166" xr:uid="{22181BED-EC70-4BA1-893B-8B8460C5CC31}"/>
    <cellStyle name="Normal 42 2 3 2 2 2 4" xfId="50167" xr:uid="{B9AF24AF-7CA9-4E73-9A50-1A82DDBE59CD}"/>
    <cellStyle name="Normal 42 2 3 2 2 3" xfId="31433" xr:uid="{2800C5D6-F672-4DEC-92FA-6951A92ECCD3}"/>
    <cellStyle name="Normal 42 2 3 2 2 3 2" xfId="50168" xr:uid="{55AC64AE-2A2D-427B-B77D-4C52667BAB04}"/>
    <cellStyle name="Normal 42 2 3 2 2 3 2 2" xfId="50169" xr:uid="{FD336548-D0C1-49B7-80E0-5DCDCF5E7789}"/>
    <cellStyle name="Normal 42 2 3 2 2 3 3" xfId="50170" xr:uid="{E67126A2-1E39-406B-93D4-83213791B611}"/>
    <cellStyle name="Normal 42 2 3 2 2 4" xfId="50171" xr:uid="{2C877DF1-DA0C-4B29-B312-7A7A0E9681FF}"/>
    <cellStyle name="Normal 42 2 3 2 2 4 2" xfId="50172" xr:uid="{4500C41E-23C3-4931-AF4E-3EDBA8D7C22B}"/>
    <cellStyle name="Normal 42 2 3 2 2 5" xfId="50173" xr:uid="{1576850F-7533-401C-ACE8-029ACAC15332}"/>
    <cellStyle name="Normal 42 2 3 2 3" xfId="50174" xr:uid="{7231A91E-5D8B-45D7-8290-5F2B9C663D21}"/>
    <cellStyle name="Normal 42 2 3 2 3 2" xfId="50175" xr:uid="{A008DE20-BBB7-4625-9221-742B692BA2B5}"/>
    <cellStyle name="Normal 42 2 3 2 3 2 2" xfId="12937" xr:uid="{4D73FF2E-2B95-40D8-9D0E-B827C947C660}"/>
    <cellStyle name="Normal 42 2 3 2 3 2 2 2" xfId="12940" xr:uid="{C7038CC0-D5D1-46BC-9196-0F312FDB173C}"/>
    <cellStyle name="Normal 42 2 3 2 3 2 3" xfId="12943" xr:uid="{A2AEB1F4-3A7C-475B-9114-C23D816FF7CF}"/>
    <cellStyle name="Normal 42 2 3 2 3 3" xfId="50176" xr:uid="{F80A9EC5-E1AC-4C3B-98F0-B71764EF95D3}"/>
    <cellStyle name="Normal 42 2 3 2 3 3 2" xfId="12951" xr:uid="{FD05BC92-CFE7-4773-92B8-2F240841284F}"/>
    <cellStyle name="Normal 42 2 3 2 3 4" xfId="50177" xr:uid="{466E3AAC-82BB-453C-9938-AB1838DC4B42}"/>
    <cellStyle name="Normal 42 2 3 2 4" xfId="50178" xr:uid="{5546EFC6-BCCC-46AE-94B4-717A01DFC0AF}"/>
    <cellStyle name="Normal 42 2 3 2 4 2" xfId="50179" xr:uid="{4696D1E1-3909-4763-9DF2-C25271E76CCD}"/>
    <cellStyle name="Normal 42 2 3 2 4 2 2" xfId="13497" xr:uid="{A38A3C85-F67D-44A3-A0DA-228F06CB90EE}"/>
    <cellStyle name="Normal 42 2 3 2 4 3" xfId="50180" xr:uid="{76B408FD-A08E-4773-9C6B-4D1EF4C59278}"/>
    <cellStyle name="Normal 42 2 3 2 5" xfId="50181" xr:uid="{51124F97-80F2-4E56-8D4B-F591F39E353D}"/>
    <cellStyle name="Normal 42 2 3 2 5 2" xfId="50182" xr:uid="{1ED31AFA-0506-4DE0-A44D-DA4561007113}"/>
    <cellStyle name="Normal 42 2 3 2 6" xfId="33348" xr:uid="{23AD1ED6-7F5D-4C66-9DCD-C9655F0C69CC}"/>
    <cellStyle name="Normal 42 2 3 2 7" xfId="33355" xr:uid="{928B5C00-36D5-48DB-8C60-0EF14C8B0C47}"/>
    <cellStyle name="Normal 42 2 3 3" xfId="50183" xr:uid="{9018519B-D688-4DF7-92F7-1FDFA4D4BF4F}"/>
    <cellStyle name="Normal 42 2 3 3 2" xfId="50184" xr:uid="{154FC7C3-2CD1-480A-B4C5-48A2FC3E1C6F}"/>
    <cellStyle name="Normal 42 2 3 3 2 2" xfId="50185" xr:uid="{7B4CD15D-AC0C-4D91-99A5-4F06D945009F}"/>
    <cellStyle name="Normal 42 2 3 3 2 2 2" xfId="50186" xr:uid="{C6A3898A-22DC-4C00-806B-47248459FD8D}"/>
    <cellStyle name="Normal 42 2 3 3 2 2 2 2" xfId="50187" xr:uid="{F94442B7-7945-4C6D-B984-3BC513C0DE30}"/>
    <cellStyle name="Normal 42 2 3 3 2 2 3" xfId="50188" xr:uid="{338B03C8-3285-443F-AF54-370AF632A77F}"/>
    <cellStyle name="Normal 42 2 3 3 2 3" xfId="50189" xr:uid="{93E4C07F-7F8B-4125-830E-5477E8652C29}"/>
    <cellStyle name="Normal 42 2 3 3 2 3 2" xfId="50190" xr:uid="{4CA19A0B-9DC4-4F77-AD2B-D78B6C8E7650}"/>
    <cellStyle name="Normal 42 2 3 3 2 4" xfId="50191" xr:uid="{3F825267-6569-4C50-BC98-FF4BACF417AD}"/>
    <cellStyle name="Normal 42 2 3 3 3" xfId="50192" xr:uid="{D6ABDF5F-5160-4943-AC2A-4BA7B18D2976}"/>
    <cellStyle name="Normal 42 2 3 3 3 2" xfId="50193" xr:uid="{FE9F4107-ED4B-4024-BEEE-CB2825004048}"/>
    <cellStyle name="Normal 42 2 3 3 3 2 2" xfId="15292" xr:uid="{F198669B-7AD4-41A8-A642-250C3EEC079D}"/>
    <cellStyle name="Normal 42 2 3 3 3 3" xfId="50194" xr:uid="{4EA09C02-0FE1-44A5-B387-002722912109}"/>
    <cellStyle name="Normal 42 2 3 3 4" xfId="50195" xr:uid="{E097B647-88E6-453D-972E-5849212162E7}"/>
    <cellStyle name="Normal 42 2 3 3 4 2" xfId="50196" xr:uid="{EF32CE92-EB18-483F-9381-FC4DD02A6B4A}"/>
    <cellStyle name="Normal 42 2 3 3 5" xfId="50197" xr:uid="{4826D793-AEC8-4105-B084-119ECA9E68E2}"/>
    <cellStyle name="Normal 42 2 3 4" xfId="50198" xr:uid="{880A2594-6439-43AE-BDC8-F0DF5AAB0D58}"/>
    <cellStyle name="Normal 42 2 3 4 2" xfId="50199" xr:uid="{20EF754D-3D2F-4F86-A8F4-ACEF310CF7E0}"/>
    <cellStyle name="Normal 42 2 3 4 2 2" xfId="50200" xr:uid="{37017364-C2D8-4D13-8857-5B52B99EF5B8}"/>
    <cellStyle name="Normal 42 2 3 4 2 2 2" xfId="50201" xr:uid="{4BBB7A24-A269-4CCC-82A5-72AA4889BAC9}"/>
    <cellStyle name="Normal 42 2 3 4 2 3" xfId="50202" xr:uid="{E3F5AA74-5F93-44DE-987B-F647676D9EF8}"/>
    <cellStyle name="Normal 42 2 3 4 3" xfId="50203" xr:uid="{16A1F37B-D97A-498E-98B7-C05B68185F69}"/>
    <cellStyle name="Normal 42 2 3 4 3 2" xfId="50204" xr:uid="{5A144E63-A96D-48E5-A2F0-0998D2AD85EC}"/>
    <cellStyle name="Normal 42 2 3 4 4" xfId="50205" xr:uid="{C494655C-2555-4A61-BB3B-33628E779358}"/>
    <cellStyle name="Normal 42 2 3 5" xfId="50206" xr:uid="{6937005B-4F36-49A0-BDC3-F3C1AE9F3546}"/>
    <cellStyle name="Normal 42 2 3 5 2" xfId="50207" xr:uid="{9DA21141-E226-490A-9733-0F7D79C4D3D3}"/>
    <cellStyle name="Normal 42 2 3 5 2 2" xfId="50208" xr:uid="{E65D6BC5-7D28-44AB-8D74-8E808A3DFD50}"/>
    <cellStyle name="Normal 42 2 3 5 3" xfId="50209" xr:uid="{825A9A1C-E0C0-4910-AD86-AD018B420968}"/>
    <cellStyle name="Normal 42 2 3 6" xfId="50210" xr:uid="{B64C8E24-38F0-4E7A-A764-9F3AF33E9BC6}"/>
    <cellStyle name="Normal 42 2 3 6 2" xfId="50211" xr:uid="{A2466B01-F661-4E79-85C9-1B099A0222ED}"/>
    <cellStyle name="Normal 42 2 3 7" xfId="50212" xr:uid="{41B2F803-1711-45BC-8C5E-35F028D04127}"/>
    <cellStyle name="Normal 42 2 3 8" xfId="50213" xr:uid="{2B20A928-290B-4F4E-8AF9-A1C33DB4711B}"/>
    <cellStyle name="Normal 42 2 4" xfId="50214" xr:uid="{07E7946F-30CB-468C-B111-13FC7A0718DE}"/>
    <cellStyle name="Normal 42 2 4 2" xfId="50215" xr:uid="{E2453B9A-6305-4994-9EC1-E56E97B323DD}"/>
    <cellStyle name="Normal 42 2 4 2 2" xfId="50216" xr:uid="{1D6E6BAD-9DBD-48F7-B26C-F7AF28F48E52}"/>
    <cellStyle name="Normal 42 2 4 2 2 2" xfId="50217" xr:uid="{9AE4B46F-0657-4E7C-BB1A-EA68E194AE63}"/>
    <cellStyle name="Normal 42 2 4 2 2 2 2" xfId="50218" xr:uid="{565BE2DF-2CC5-45A7-809F-BF7E0E83B424}"/>
    <cellStyle name="Normal 42 2 4 2 2 2 2 2" xfId="3868" xr:uid="{6B73252E-C358-47A1-B18D-5A5C107F275E}"/>
    <cellStyle name="Normal 42 2 4 2 2 2 3" xfId="50219" xr:uid="{9B25E0DD-5B22-4F18-941E-FB0AF0359DF3}"/>
    <cellStyle name="Normal 42 2 4 2 2 3" xfId="50220" xr:uid="{6A71131D-437C-4B6D-B118-0D111D8C4601}"/>
    <cellStyle name="Normal 42 2 4 2 2 3 2" xfId="50221" xr:uid="{3E18C2B8-F590-4BC8-9B8A-A594D91BD94C}"/>
    <cellStyle name="Normal 42 2 4 2 2 4" xfId="50222" xr:uid="{B9780C40-0178-42CC-80C7-D944A42FD5FF}"/>
    <cellStyle name="Normal 42 2 4 2 3" xfId="50223" xr:uid="{57435C97-91E0-4F84-8353-E28B39BF9E09}"/>
    <cellStyle name="Normal 42 2 4 2 3 2" xfId="50224" xr:uid="{9BA55D6B-E6F6-4E27-A250-28CC683C8FD2}"/>
    <cellStyle name="Normal 42 2 4 2 3 2 2" xfId="29827" xr:uid="{E7389E07-314C-488B-82CA-098FDE80F2A1}"/>
    <cellStyle name="Normal 42 2 4 2 3 3" xfId="50225" xr:uid="{D729C604-E103-4020-99F5-0EFB07485E91}"/>
    <cellStyle name="Normal 42 2 4 2 4" xfId="50226" xr:uid="{312CF39C-FE10-4390-9BAB-19143B32C6DF}"/>
    <cellStyle name="Normal 42 2 4 2 4 2" xfId="50227" xr:uid="{C81659D6-198B-4DF9-A013-59B3F791DC7F}"/>
    <cellStyle name="Normal 42 2 4 2 5" xfId="50228" xr:uid="{F6A9984D-3BC4-4884-850D-A84A73079623}"/>
    <cellStyle name="Normal 42 2 4 3" xfId="50229" xr:uid="{DC574C13-280E-48B5-85DB-C9B2D9670873}"/>
    <cellStyle name="Normal 42 2 4 3 2" xfId="50230" xr:uid="{283AF5FF-06E8-4BEB-9430-CC3CA04B1185}"/>
    <cellStyle name="Normal 42 2 4 3 2 2" xfId="50231" xr:uid="{320A914E-6712-41FF-BB03-78E4B8CCCCFA}"/>
    <cellStyle name="Normal 42 2 4 3 2 2 2" xfId="18591" xr:uid="{3A0A568B-2ACB-455D-952E-D745BF1CA586}"/>
    <cellStyle name="Normal 42 2 4 3 2 3" xfId="50232" xr:uid="{6372DD79-2BA9-4ACB-BA92-47561B486F37}"/>
    <cellStyle name="Normal 42 2 4 3 3" xfId="50233" xr:uid="{4BDC43DE-5F96-440C-A32F-1929A139DC0C}"/>
    <cellStyle name="Normal 42 2 4 3 3 2" xfId="50234" xr:uid="{20EE2F24-E99B-4C4D-A39D-4CD11F5F460B}"/>
    <cellStyle name="Normal 42 2 4 3 4" xfId="50235" xr:uid="{D295A40D-0260-41EA-B0F1-52CDBC4C6B39}"/>
    <cellStyle name="Normal 42 2 4 4" xfId="50236" xr:uid="{B1F3E73F-94E9-4D31-B98C-EC73C91A0D3D}"/>
    <cellStyle name="Normal 42 2 4 4 2" xfId="50237" xr:uid="{172F6B52-3F60-462D-B060-DA5673F3F23F}"/>
    <cellStyle name="Normal 42 2 4 4 2 2" xfId="50238" xr:uid="{366761C4-058F-4FE6-8E9A-2DFDD42A6C2D}"/>
    <cellStyle name="Normal 42 2 4 4 3" xfId="50239" xr:uid="{3E9063F2-FC7A-479D-835E-C078C7F69376}"/>
    <cellStyle name="Normal 42 2 4 5" xfId="50240" xr:uid="{B0F64FF8-43C3-4592-87D7-ED441CCB64F8}"/>
    <cellStyle name="Normal 42 2 4 5 2" xfId="50241" xr:uid="{43188A7A-8545-4B1E-B51A-ADA1BFD9B74B}"/>
    <cellStyle name="Normal 42 2 4 6" xfId="50242" xr:uid="{9B1D4032-2F8D-49ED-B49E-DC55D88234F0}"/>
    <cellStyle name="Normal 42 2 4 7" xfId="50243" xr:uid="{2A9A8C95-755D-4D91-B08A-6F9554FF05EF}"/>
    <cellStyle name="Normal 42 2 5" xfId="50244" xr:uid="{7B100406-74F4-4A56-AED2-0F03559B61AB}"/>
    <cellStyle name="Normal 42 2 5 2" xfId="50245" xr:uid="{C94256B5-9272-4A47-B451-DE5147661C89}"/>
    <cellStyle name="Normal 42 2 5 2 2" xfId="14137" xr:uid="{C7FD6A13-2990-40E9-9455-6FBCAA696673}"/>
    <cellStyle name="Normal 42 2 5 2 2 2" xfId="50246" xr:uid="{9C2C65A8-2018-4569-B235-5FF1875EB7E6}"/>
    <cellStyle name="Normal 42 2 5 2 2 2 2" xfId="50247" xr:uid="{6493222E-7545-4E73-872F-76B58531812F}"/>
    <cellStyle name="Normal 42 2 5 2 2 3" xfId="37212" xr:uid="{C9E716A7-4BEE-4D23-9278-7639F681A293}"/>
    <cellStyle name="Normal 42 2 5 2 3" xfId="50248" xr:uid="{9E3FABD2-E789-4789-B06B-4958F7A5AA75}"/>
    <cellStyle name="Normal 42 2 5 2 3 2" xfId="50249" xr:uid="{EA2CA088-B223-454E-AC8E-5790210FF3B5}"/>
    <cellStyle name="Normal 42 2 5 2 4" xfId="50250" xr:uid="{E5FA8CF4-0563-43C9-AC2A-E65E14529ADF}"/>
    <cellStyle name="Normal 42 2 5 3" xfId="50251" xr:uid="{AFE3E76A-6E6B-4FE3-BC02-301A7F765560}"/>
    <cellStyle name="Normal 42 2 5 3 2" xfId="50252" xr:uid="{F26C6635-5581-467B-9D99-8D67B574B14E}"/>
    <cellStyle name="Normal 42 2 5 3 2 2" xfId="50253" xr:uid="{865DA029-5AAE-4BED-BB09-7E2BAFEBED9A}"/>
    <cellStyle name="Normal 42 2 5 3 3" xfId="46581" xr:uid="{ADC1FE6D-3787-49C7-8D85-6D76B633549D}"/>
    <cellStyle name="Normal 42 2 5 4" xfId="50254" xr:uid="{C873C28B-D6F6-473E-80A3-F9AFA1280EDE}"/>
    <cellStyle name="Normal 42 2 5 4 2" xfId="50255" xr:uid="{82574C17-B1ED-4685-BED6-050E81B71324}"/>
    <cellStyle name="Normal 42 2 5 5" xfId="50256" xr:uid="{370B128D-7B61-4694-8152-FF4D1182D80E}"/>
    <cellStyle name="Normal 42 2 6" xfId="50257" xr:uid="{4B240A70-8BFD-4C1D-B2C8-7433BA14EA4C}"/>
    <cellStyle name="Normal 42 2 6 2" xfId="50258" xr:uid="{8AFCB07F-ABF5-47E4-AAA0-7A1BC66D4182}"/>
    <cellStyle name="Normal 42 2 6 2 2" xfId="50259" xr:uid="{A8A9D733-0C0B-439C-921E-C02493923AD4}"/>
    <cellStyle name="Normal 42 2 6 2 2 2" xfId="50260" xr:uid="{4026A86F-5474-4C0B-A11C-58158CBFEBCE}"/>
    <cellStyle name="Normal 42 2 6 2 3" xfId="50261" xr:uid="{AADEC035-288A-44B1-BBAE-D1BED4EF28A2}"/>
    <cellStyle name="Normal 42 2 6 3" xfId="50262" xr:uid="{877EAA9B-1860-4E56-8D27-0D4D0E7C97A1}"/>
    <cellStyle name="Normal 42 2 6 3 2" xfId="50263" xr:uid="{27540FD6-75B4-4D0A-8049-B77D78D781AB}"/>
    <cellStyle name="Normal 42 2 6 4" xfId="50264" xr:uid="{A52F1CD5-7031-47F2-B1F6-DD3B1B6FD440}"/>
    <cellStyle name="Normal 42 2 7" xfId="50265" xr:uid="{9F5C47E6-BAE4-42AF-85F0-4701065F1B74}"/>
    <cellStyle name="Normal 42 2 7 2" xfId="50266" xr:uid="{B9962C40-4417-4286-9E2D-D13D74794186}"/>
    <cellStyle name="Normal 42 2 7 2 2" xfId="50267" xr:uid="{2BCF02A2-374A-4A51-B6A5-D62ED7714D0D}"/>
    <cellStyle name="Normal 42 2 7 3" xfId="50268" xr:uid="{50D7462E-B3D9-4708-86B5-30188A7E52C6}"/>
    <cellStyle name="Normal 42 2 8" xfId="50269" xr:uid="{71428526-83F7-4DFB-9A8F-00CA6A31E507}"/>
    <cellStyle name="Normal 42 2 8 2" xfId="50270" xr:uid="{301A2B24-2913-4DE4-BB3E-1259E5974688}"/>
    <cellStyle name="Normal 42 2 9" xfId="50271" xr:uid="{2DB08BA3-49AF-49A1-B6B0-13DD8B8DE7D7}"/>
    <cellStyle name="Normal 42 3" xfId="49645" xr:uid="{D7DB0835-A98B-4A75-9FEE-15209547ED48}"/>
    <cellStyle name="Normal 42 3 2" xfId="49647" xr:uid="{B5C4E894-DD97-466B-BE4A-983902A41FCD}"/>
    <cellStyle name="Normal 42 3 2 2" xfId="50272" xr:uid="{6C6C318B-BF56-4C6C-B891-A8F56F9A5B77}"/>
    <cellStyle name="Normal 42 3 2 2 2" xfId="50273" xr:uid="{5E77746A-5A4D-4AD5-9273-01B9E76C8CF8}"/>
    <cellStyle name="Normal 42 3 2 2 2 2" xfId="50274" xr:uid="{DB10397D-B17C-41B7-9A27-16DA3E77BA8A}"/>
    <cellStyle name="Normal 42 3 2 2 2 2 2" xfId="50275" xr:uid="{922AD080-907A-4637-B454-1CA89011767D}"/>
    <cellStyle name="Normal 42 3 2 2 2 2 2 2" xfId="50276" xr:uid="{D7771A6A-FEA6-4235-8BCF-453D99DE2E11}"/>
    <cellStyle name="Normal 42 3 2 2 2 2 2 2 2" xfId="50277" xr:uid="{02060485-E21A-4904-BC5C-F8F81A3EC6FF}"/>
    <cellStyle name="Normal 42 3 2 2 2 2 2 3" xfId="50278" xr:uid="{41E2CE95-F58C-4A36-B76C-072EF4351684}"/>
    <cellStyle name="Normal 42 3 2 2 2 2 3" xfId="50279" xr:uid="{DA153A97-33CE-4D45-A5EC-13359B72B5F8}"/>
    <cellStyle name="Normal 42 3 2 2 2 2 3 2" xfId="50280" xr:uid="{4F88F3CF-5F13-4831-854F-242813A12D27}"/>
    <cellStyle name="Normal 42 3 2 2 2 2 4" xfId="50281" xr:uid="{EEEBE23D-304F-46ED-9B81-04A4C60B1435}"/>
    <cellStyle name="Normal 42 3 2 2 2 3" xfId="50282" xr:uid="{2A7AC374-D812-4191-BF2E-3EB010D669F7}"/>
    <cellStyle name="Normal 42 3 2 2 2 3 2" xfId="50283" xr:uid="{31ABAB09-D43D-4556-A6DF-777B47CE41DF}"/>
    <cellStyle name="Normal 42 3 2 2 2 3 2 2" xfId="50284" xr:uid="{530D6C9B-8788-4202-B618-74D6D0964206}"/>
    <cellStyle name="Normal 42 3 2 2 2 3 3" xfId="50285" xr:uid="{2E4C88F4-F0A2-47B0-AA6F-40400083E7B7}"/>
    <cellStyle name="Normal 42 3 2 2 2 4" xfId="50286" xr:uid="{0A390F28-0AF4-459C-99F5-334A8DB335C6}"/>
    <cellStyle name="Normal 42 3 2 2 2 4 2" xfId="50287" xr:uid="{9D42922E-6F6A-4248-B28C-7A8694F6495B}"/>
    <cellStyle name="Normal 42 3 2 2 2 5" xfId="50288" xr:uid="{D0A9C445-DA6A-4AC1-AE76-B30C468FA2FD}"/>
    <cellStyle name="Normal 42 3 2 2 3" xfId="50289" xr:uid="{FE6DF994-45AF-49E8-AD2F-0ECB633155D7}"/>
    <cellStyle name="Normal 42 3 2 2 3 2" xfId="50290" xr:uid="{BC3CDBF7-A307-47EF-8A30-8E81852E36D0}"/>
    <cellStyle name="Normal 42 3 2 2 3 2 2" xfId="50291" xr:uid="{400EEA6E-30E6-47FE-9473-AA6A1B5EA0E0}"/>
    <cellStyle name="Normal 42 3 2 2 3 2 2 2" xfId="50292" xr:uid="{4C2FD8E7-F5C0-4516-B9B8-DB70E2FBBA02}"/>
    <cellStyle name="Normal 42 3 2 2 3 2 3" xfId="50293" xr:uid="{9BBF0A20-9DF6-4683-98AC-2EFB1C8E393C}"/>
    <cellStyle name="Normal 42 3 2 2 3 3" xfId="50294" xr:uid="{129FD67A-57B7-4486-8FEC-513452AB91CE}"/>
    <cellStyle name="Normal 42 3 2 2 3 3 2" xfId="50295" xr:uid="{85821BB2-3F37-41DD-9D86-9291FBE9425C}"/>
    <cellStyle name="Normal 42 3 2 2 3 4" xfId="50296" xr:uid="{F5EB2675-FB16-467F-82F7-0A36F5755022}"/>
    <cellStyle name="Normal 42 3 2 2 4" xfId="50297" xr:uid="{A16330AE-579B-4A89-9B7B-AD02A0AB1EAB}"/>
    <cellStyle name="Normal 42 3 2 2 4 2" xfId="50298" xr:uid="{51460E49-F1B8-4070-B6C4-73828930A6B3}"/>
    <cellStyle name="Normal 42 3 2 2 4 2 2" xfId="50299" xr:uid="{464033D9-1C5C-4AD7-A863-8CA0745BEA82}"/>
    <cellStyle name="Normal 42 3 2 2 4 3" xfId="50300" xr:uid="{77CD0493-FACB-4B6D-AA05-B3CB518ABD97}"/>
    <cellStyle name="Normal 42 3 2 2 5" xfId="50301" xr:uid="{AB0939F2-D601-484D-A86C-102E8D8DCF1C}"/>
    <cellStyle name="Normal 42 3 2 2 5 2" xfId="50302" xr:uid="{53CC3299-6C85-4ED6-9226-4BC77765A97D}"/>
    <cellStyle name="Normal 42 3 2 2 6" xfId="33701" xr:uid="{3F3341E1-05E4-484B-AC85-07CBD8E53A0A}"/>
    <cellStyle name="Normal 42 3 2 2 7" xfId="33711" xr:uid="{BF162937-7997-48A8-AF65-E1FD7942105A}"/>
    <cellStyle name="Normal 42 3 2 3" xfId="50303" xr:uid="{AD80E6C8-884F-4A0F-8420-DEB5D2EDD7C2}"/>
    <cellStyle name="Normal 42 3 2 3 2" xfId="50304" xr:uid="{EB2D2FED-68D1-4881-A7EB-74C5A9FA7523}"/>
    <cellStyle name="Normal 42 3 2 3 2 2" xfId="50305" xr:uid="{3989DE5B-B9C5-4585-BC02-906AF1F666EE}"/>
    <cellStyle name="Normal 42 3 2 3 2 2 2" xfId="50306" xr:uid="{3550539D-39C7-4089-804C-C3023815B4B2}"/>
    <cellStyle name="Normal 42 3 2 3 2 2 2 2" xfId="50307" xr:uid="{C4B844A5-AF2C-4A73-9196-6ABA39DCA63E}"/>
    <cellStyle name="Normal 42 3 2 3 2 2 3" xfId="50308" xr:uid="{D45515D5-08E6-4118-B1EA-467EFD6589D2}"/>
    <cellStyle name="Normal 42 3 2 3 2 3" xfId="50309" xr:uid="{1A3C058A-21D7-415F-ABD3-97040B3FFA83}"/>
    <cellStyle name="Normal 42 3 2 3 2 3 2" xfId="50310" xr:uid="{045EE9EE-F6E6-4529-91B6-233D7247D645}"/>
    <cellStyle name="Normal 42 3 2 3 2 4" xfId="50311" xr:uid="{A5E1D6FE-0E1C-4D66-81E5-2CB0DD50F380}"/>
    <cellStyle name="Normal 42 3 2 3 3" xfId="50312" xr:uid="{849C7220-C69D-4E35-B975-AE6FC99E685C}"/>
    <cellStyle name="Normal 42 3 2 3 3 2" xfId="50313" xr:uid="{B82F0342-741F-44B3-8206-8C366CB7DCD1}"/>
    <cellStyle name="Normal 42 3 2 3 3 2 2" xfId="50314" xr:uid="{2E286BE1-858A-4C90-AE40-27BD5B51E9A8}"/>
    <cellStyle name="Normal 42 3 2 3 3 3" xfId="50315" xr:uid="{2A8A8AD2-85FD-4E25-B01F-B229D64CEA65}"/>
    <cellStyle name="Normal 42 3 2 3 4" xfId="50316" xr:uid="{786774B8-87D2-4108-8E14-92E7A053E7CF}"/>
    <cellStyle name="Normal 42 3 2 3 4 2" xfId="50317" xr:uid="{020958CF-F6B2-4278-8946-40FE7F9A82A3}"/>
    <cellStyle name="Normal 42 3 2 3 5" xfId="50318" xr:uid="{E71F3029-04DC-4AC9-8B69-DDF2BCB44B24}"/>
    <cellStyle name="Normal 42 3 2 4" xfId="50319" xr:uid="{5A72F95D-A56B-4233-84AE-B4261258403B}"/>
    <cellStyle name="Normal 42 3 2 4 2" xfId="50320" xr:uid="{77038F86-F7DC-446A-A5F5-069E19AA6853}"/>
    <cellStyle name="Normal 42 3 2 4 2 2" xfId="50321" xr:uid="{9143F59B-F7BD-4905-A3B5-0C781D67EF42}"/>
    <cellStyle name="Normal 42 3 2 4 2 2 2" xfId="50322" xr:uid="{BE4964CF-B2D4-4E23-8F75-8E21CD478D07}"/>
    <cellStyle name="Normal 42 3 2 4 2 3" xfId="50323" xr:uid="{91E79D1C-05C1-4DA2-BF52-0A791C5A8D42}"/>
    <cellStyle name="Normal 42 3 2 4 3" xfId="50324" xr:uid="{74A4590E-BEA0-4D25-B7B0-21C5129BE1AA}"/>
    <cellStyle name="Normal 42 3 2 4 3 2" xfId="50325" xr:uid="{7D738D0E-29A0-4B17-A6BE-0895E985CBDD}"/>
    <cellStyle name="Normal 42 3 2 4 4" xfId="50326" xr:uid="{0F62BF31-CD5B-4B07-B89E-B8D7D2607FD3}"/>
    <cellStyle name="Normal 42 3 2 5" xfId="50327" xr:uid="{9DCEE2BC-A8F3-424E-BAB9-2542C1BDB360}"/>
    <cellStyle name="Normal 42 3 2 5 2" xfId="50328" xr:uid="{CD30E448-FC3F-4DA0-BFF0-9FC292290567}"/>
    <cellStyle name="Normal 42 3 2 5 2 2" xfId="50329" xr:uid="{FBD75965-9819-448A-A505-F15BF2644F3A}"/>
    <cellStyle name="Normal 42 3 2 5 3" xfId="50330" xr:uid="{AF181979-6760-49AB-9DC9-A41596E5F30E}"/>
    <cellStyle name="Normal 42 3 2 6" xfId="50331" xr:uid="{FAAB6C11-A77B-4D85-99D8-D07F6F9FD3D0}"/>
    <cellStyle name="Normal 42 3 2 6 2" xfId="50332" xr:uid="{5934E26E-DAD3-41D5-BE55-EAEA5798F7BA}"/>
    <cellStyle name="Normal 42 3 2 7" xfId="50333" xr:uid="{16515758-0622-4B54-BAFB-230963733ED6}"/>
    <cellStyle name="Normal 42 3 2 8" xfId="50334" xr:uid="{5DE515E6-D196-4BD0-8B9E-FBB9DE4EA50F}"/>
    <cellStyle name="Normal 42 3 3" xfId="50335" xr:uid="{139DD480-CE0C-4A83-9667-4F64FB23094B}"/>
    <cellStyle name="Normal 42 3 3 2" xfId="50336" xr:uid="{B6BC3D46-734A-400A-9393-02F70448F4A5}"/>
    <cellStyle name="Normal 42 3 3 2 2" xfId="50337" xr:uid="{C65A8550-7384-4096-9B59-9EEEBABB6B46}"/>
    <cellStyle name="Normal 42 3 3 2 2 2" xfId="50338" xr:uid="{48C9B49B-45F1-4037-B8DB-97B425A32F08}"/>
    <cellStyle name="Normal 42 3 3 2 2 2 2" xfId="50339" xr:uid="{9B0A125E-9883-4315-81BC-232338FD9C5A}"/>
    <cellStyle name="Normal 42 3 3 2 2 2 2 2" xfId="50340" xr:uid="{D68EEC93-5ADD-4F8A-BC16-FF643460C7FC}"/>
    <cellStyle name="Normal 42 3 3 2 2 2 3" xfId="50341" xr:uid="{18390A37-9FF1-4BEB-9D0B-BC780B471819}"/>
    <cellStyle name="Normal 42 3 3 2 2 3" xfId="50342" xr:uid="{12DA52EA-2558-4FB1-9263-9ADFA0DCC10C}"/>
    <cellStyle name="Normal 42 3 3 2 2 3 2" xfId="50343" xr:uid="{B9CF94EE-0DDA-435A-9335-6ACB5B7F40E2}"/>
    <cellStyle name="Normal 42 3 3 2 2 4" xfId="50344" xr:uid="{859A7DDE-D94A-426A-A931-0335C0234F06}"/>
    <cellStyle name="Normal 42 3 3 2 3" xfId="50345" xr:uid="{2A2B3B37-3088-4BAD-9023-FE4B9B6950B7}"/>
    <cellStyle name="Normal 42 3 3 2 3 2" xfId="50346" xr:uid="{0E71B70D-DB98-4718-BFE6-2F88B64D27B2}"/>
    <cellStyle name="Normal 42 3 3 2 3 2 2" xfId="27048" xr:uid="{0ECBED07-004B-426B-9449-CFEBFA6FD4B4}"/>
    <cellStyle name="Normal 42 3 3 2 3 3" xfId="50347" xr:uid="{D31BF1C3-27ED-45B6-94C3-8E7EC2170B93}"/>
    <cellStyle name="Normal 42 3 3 2 4" xfId="50348" xr:uid="{5D808B54-079B-426B-BCF8-671659E968A0}"/>
    <cellStyle name="Normal 42 3 3 2 4 2" xfId="50349" xr:uid="{54B7E6CB-75FC-4D9D-B06A-277607252EC1}"/>
    <cellStyle name="Normal 42 3 3 2 5" xfId="50350" xr:uid="{4FD1CEAB-2B01-442C-873C-CE6B8AF98BEA}"/>
    <cellStyle name="Normal 42 3 3 3" xfId="50351" xr:uid="{6D5F42E6-7ECC-4C9E-BC60-8AAD15025D21}"/>
    <cellStyle name="Normal 42 3 3 3 2" xfId="50352" xr:uid="{45EBC554-1E6F-4351-B996-7375A7607C98}"/>
    <cellStyle name="Normal 42 3 3 3 2 2" xfId="50353" xr:uid="{D846478D-ACAA-4218-8218-CB3C601C3B65}"/>
    <cellStyle name="Normal 42 3 3 3 2 2 2" xfId="50354" xr:uid="{25394AE0-B689-4C22-B13B-2401FD81EE4C}"/>
    <cellStyle name="Normal 42 3 3 3 2 3" xfId="50355" xr:uid="{D2181226-C4F9-46F8-B9E6-942A3EC60F36}"/>
    <cellStyle name="Normal 42 3 3 3 3" xfId="50356" xr:uid="{5FF8F4BD-B579-4E0F-BED9-6762835469AF}"/>
    <cellStyle name="Normal 42 3 3 3 3 2" xfId="50357" xr:uid="{5DFF799E-1EBE-46F2-88F6-51CC3EAB7443}"/>
    <cellStyle name="Normal 42 3 3 3 4" xfId="50358" xr:uid="{678FED34-0D25-4652-A7F1-9EF6247EC35D}"/>
    <cellStyle name="Normal 42 3 3 4" xfId="50359" xr:uid="{56415B8D-5ABA-4C1E-8A48-DBCA459CD385}"/>
    <cellStyle name="Normal 42 3 3 4 2" xfId="50360" xr:uid="{B3501D3B-8474-4962-8E84-837175E6F8FB}"/>
    <cellStyle name="Normal 42 3 3 4 2 2" xfId="50361" xr:uid="{4A7DF244-1E56-4FD2-9414-BDDC05BE7947}"/>
    <cellStyle name="Normal 42 3 3 4 3" xfId="50362" xr:uid="{C8F51A7E-D297-4495-B08A-BA2FD0D06E1F}"/>
    <cellStyle name="Normal 42 3 3 5" xfId="50363" xr:uid="{33F0F24E-8C84-4FB3-9FDF-C01017F21CD1}"/>
    <cellStyle name="Normal 42 3 3 5 2" xfId="50364" xr:uid="{75F9EEA4-35AA-4769-A64D-71130C2551A0}"/>
    <cellStyle name="Normal 42 3 3 6" xfId="50365" xr:uid="{345F6421-28F6-4C4B-858E-BF156931B383}"/>
    <cellStyle name="Normal 42 3 3 7" xfId="50366" xr:uid="{52B90CCF-D3C5-4193-8458-AA469F18A4DC}"/>
    <cellStyle name="Normal 42 3 4" xfId="50367" xr:uid="{0A8B051E-A744-45AA-93BB-8F7A32AD8D9B}"/>
    <cellStyle name="Normal 42 3 4 2" xfId="50368" xr:uid="{617AAC93-F4FA-4387-903B-7E4A0194690F}"/>
    <cellStyle name="Normal 42 3 4 2 2" xfId="50369" xr:uid="{719CA003-887D-465F-8DED-92E57399001B}"/>
    <cellStyle name="Normal 42 3 4 2 2 2" xfId="50370" xr:uid="{C59CB96C-9B1A-490C-BC4B-481C3339EDC6}"/>
    <cellStyle name="Normal 42 3 4 2 2 2 2" xfId="50371" xr:uid="{CCB515D4-0FB1-455D-BAB5-7F95C22615C2}"/>
    <cellStyle name="Normal 42 3 4 2 2 3" xfId="50372" xr:uid="{AAFF8A3D-7AB7-42AC-8FEC-669E20D392A2}"/>
    <cellStyle name="Normal 42 3 4 2 3" xfId="50373" xr:uid="{179A923A-22C5-482A-91E8-C89C8D85BB2A}"/>
    <cellStyle name="Normal 42 3 4 2 3 2" xfId="50374" xr:uid="{CB09DA1F-40A2-4525-BBDF-ECC3C7A562A0}"/>
    <cellStyle name="Normal 42 3 4 2 4" xfId="50375" xr:uid="{60CE7081-7971-478A-B833-4F2C7381DBF7}"/>
    <cellStyle name="Normal 42 3 4 3" xfId="50376" xr:uid="{063B0D8B-44A4-46C3-AB49-55AA8EC3FF80}"/>
    <cellStyle name="Normal 42 3 4 3 2" xfId="50377" xr:uid="{8FD95FC0-FFD9-45CE-9BF2-7E4192109BF1}"/>
    <cellStyle name="Normal 42 3 4 3 2 2" xfId="50378" xr:uid="{EB637A36-C712-463A-A911-4E1F4040D1F1}"/>
    <cellStyle name="Normal 42 3 4 3 3" xfId="50379" xr:uid="{5E1024CC-91C8-4E4A-BB9E-F64CF14576CD}"/>
    <cellStyle name="Normal 42 3 4 4" xfId="50380" xr:uid="{8F0D2DF2-7479-4B76-BA89-535CCF60F3BB}"/>
    <cellStyle name="Normal 42 3 4 4 2" xfId="50381" xr:uid="{C24DD0FB-695E-4193-B983-C528DEC74F71}"/>
    <cellStyle name="Normal 42 3 4 5" xfId="50382" xr:uid="{5BD676FF-334F-4E8B-AD87-C47F9CBC0B91}"/>
    <cellStyle name="Normal 42 3 5" xfId="50383" xr:uid="{EED4F150-F057-43C9-8970-D8DA0449FC9A}"/>
    <cellStyle name="Normal 42 3 5 2" xfId="50384" xr:uid="{7EF27FFF-60D2-4705-A4BD-065D75A6334E}"/>
    <cellStyle name="Normal 42 3 5 2 2" xfId="50385" xr:uid="{B17EE3C3-3F23-44E3-8A9C-67DD7690D5F5}"/>
    <cellStyle name="Normal 42 3 5 2 2 2" xfId="50386" xr:uid="{D0FA2688-58C9-4C46-A596-29DF8BBB7B6A}"/>
    <cellStyle name="Normal 42 3 5 2 3" xfId="50387" xr:uid="{9B741DB4-5740-4C02-8A28-88CA8F1F4803}"/>
    <cellStyle name="Normal 42 3 5 3" xfId="50388" xr:uid="{FC305BF0-7C7E-4EA7-9328-58CB135E393A}"/>
    <cellStyle name="Normal 42 3 5 3 2" xfId="50389" xr:uid="{BE9A8F6A-1E07-44AA-8D67-1AF33FDF45F5}"/>
    <cellStyle name="Normal 42 3 5 4" xfId="50390" xr:uid="{AB653B8B-D219-4671-AA2B-9EA8EABD015C}"/>
    <cellStyle name="Normal 42 3 6" xfId="50391" xr:uid="{26BAEBD7-3627-4699-ADF4-21D3FFF4F29A}"/>
    <cellStyle name="Normal 42 3 6 2" xfId="50392" xr:uid="{3955B3CF-265F-4526-80AB-AC735B461900}"/>
    <cellStyle name="Normal 42 3 6 2 2" xfId="50393" xr:uid="{FEA51A5B-8A5D-44F6-9391-DC23260ED203}"/>
    <cellStyle name="Normal 42 3 6 3" xfId="50394" xr:uid="{A3D086EB-441D-4C37-B2B0-9F535402A743}"/>
    <cellStyle name="Normal 42 3 7" xfId="50395" xr:uid="{E77D380A-2348-497E-A588-2229404F80BD}"/>
    <cellStyle name="Normal 42 3 7 2" xfId="50396" xr:uid="{14EEE2DF-AF7C-48DD-9369-D1345AC7252B}"/>
    <cellStyle name="Normal 42 3 8" xfId="50397" xr:uid="{53DFCB45-1871-4F9D-BEF4-028126CCAEFD}"/>
    <cellStyle name="Normal 42 3 9" xfId="50398" xr:uid="{3AA0311B-0B39-4C4C-9A91-E5DE5ACCC68E}"/>
    <cellStyle name="Normal 42 4" xfId="49649" xr:uid="{C2C8EF9E-6AF7-4432-8D47-484C5860C58B}"/>
    <cellStyle name="Normal 42 4 2" xfId="50399" xr:uid="{6B3035B1-E64D-417D-91B0-0B8DA9F1CAAF}"/>
    <cellStyle name="Normal 42 4 2 2" xfId="50400" xr:uid="{406CF740-80CF-4ED1-945F-B1B2DAB39B33}"/>
    <cellStyle name="Normal 42 4 2 2 2" xfId="50401" xr:uid="{AD902E3C-1695-42DF-99A8-0CFD704E8160}"/>
    <cellStyle name="Normal 42 4 2 2 2 2" xfId="50402" xr:uid="{0B33FCC7-7C42-4803-A308-172E1F9A5C38}"/>
    <cellStyle name="Normal 42 4 2 2 2 2 2" xfId="50403" xr:uid="{5484DAB8-300C-4171-8BE2-8774840CDA66}"/>
    <cellStyle name="Normal 42 4 2 2 2 2 2 2" xfId="50404" xr:uid="{A9E19BCC-F614-4923-AABA-F06CD4954969}"/>
    <cellStyle name="Normal 42 4 2 2 2 2 3" xfId="50405" xr:uid="{311861BB-42FA-4EF6-AE7E-55177C7DACA8}"/>
    <cellStyle name="Normal 42 4 2 2 2 3" xfId="50406" xr:uid="{1A5040FB-0378-49B2-A964-E5D39E35627E}"/>
    <cellStyle name="Normal 42 4 2 2 2 3 2" xfId="50407" xr:uid="{7F2C228A-601C-4B4F-90AB-96CC3D7ED56A}"/>
    <cellStyle name="Normal 42 4 2 2 2 4" xfId="50408" xr:uid="{BF8A22F7-02FF-4E1A-A20E-8FCD1D1FB493}"/>
    <cellStyle name="Normal 42 4 2 2 3" xfId="50409" xr:uid="{B23458F5-DB80-4C0E-8624-995A48FD2722}"/>
    <cellStyle name="Normal 42 4 2 2 3 2" xfId="50410" xr:uid="{165E04BD-78B7-4551-8F99-22F5AC8FA78F}"/>
    <cellStyle name="Normal 42 4 2 2 3 2 2" xfId="50411" xr:uid="{4C2C8F11-9A5A-47DE-B926-598D29B6BD76}"/>
    <cellStyle name="Normal 42 4 2 2 3 3" xfId="50412" xr:uid="{B3BE26FF-9256-44B2-BE25-7262AB89BE77}"/>
    <cellStyle name="Normal 42 4 2 2 4" xfId="50413" xr:uid="{77305E4A-727C-4CD4-B315-BD8015402158}"/>
    <cellStyle name="Normal 42 4 2 2 4 2" xfId="50414" xr:uid="{B2ADE954-13D4-4D48-A066-E91FD12A9779}"/>
    <cellStyle name="Normal 42 4 2 2 5" xfId="50415" xr:uid="{D03A3738-D82C-49B9-8A56-CA683E7C63B5}"/>
    <cellStyle name="Normal 42 4 2 3" xfId="50416" xr:uid="{640297EB-2FA9-49FE-9C89-2EFAEF9779C4}"/>
    <cellStyle name="Normal 42 4 2 3 2" xfId="50417" xr:uid="{8AE95C1A-BBF3-46DE-A2F6-9BA7713A915A}"/>
    <cellStyle name="Normal 42 4 2 3 2 2" xfId="50418" xr:uid="{E5A82F37-0F7B-4E03-88F7-964632E4CE92}"/>
    <cellStyle name="Normal 42 4 2 3 2 2 2" xfId="50419" xr:uid="{E3E8A255-F8B2-4D7A-9FDD-6FDF3302AB5F}"/>
    <cellStyle name="Normal 42 4 2 3 2 3" xfId="50420" xr:uid="{2DB6C44F-C339-404A-87F8-E204D8397F52}"/>
    <cellStyle name="Normal 42 4 2 3 3" xfId="50421" xr:uid="{5A1406A9-EEC3-48AB-A7D0-AE0D41F940A8}"/>
    <cellStyle name="Normal 42 4 2 3 3 2" xfId="50422" xr:uid="{16DAC4E9-5E79-4B9A-ABA1-42803316F626}"/>
    <cellStyle name="Normal 42 4 2 3 4" xfId="50423" xr:uid="{6E23168F-C1D1-4F42-949F-46E326F316BF}"/>
    <cellStyle name="Normal 42 4 2 4" xfId="50424" xr:uid="{0F4B1FDD-6AE8-492B-ACAA-7A7EF7B0FABE}"/>
    <cellStyle name="Normal 42 4 2 4 2" xfId="50425" xr:uid="{744BA193-6C92-4A55-B093-45DF750D4BB3}"/>
    <cellStyle name="Normal 42 4 2 4 2 2" xfId="50426" xr:uid="{3AAAFA27-D016-49CF-9BDC-E6AE292AA3B3}"/>
    <cellStyle name="Normal 42 4 2 4 3" xfId="50427" xr:uid="{6FEE84C1-16D2-4BE8-9F24-9E091C809D87}"/>
    <cellStyle name="Normal 42 4 2 5" xfId="50428" xr:uid="{FA0B6199-4DFD-4516-B8C8-423CC66B474E}"/>
    <cellStyle name="Normal 42 4 2 5 2" xfId="50429" xr:uid="{44FE3779-F36B-4EAF-ACD5-E31FD03B679A}"/>
    <cellStyle name="Normal 42 4 2 6" xfId="50430" xr:uid="{485F8A12-CAE2-41A6-B2E3-54DCAD8EC0FA}"/>
    <cellStyle name="Normal 42 4 2 7" xfId="50431" xr:uid="{A6D9D059-7AD7-46AF-82E5-F44C2BA42364}"/>
    <cellStyle name="Normal 42 4 3" xfId="50432" xr:uid="{C1787021-2449-45BA-80B2-698F3175A4D6}"/>
    <cellStyle name="Normal 42 4 3 2" xfId="50433" xr:uid="{DFB6092E-40C3-415C-B1E6-65736C675592}"/>
    <cellStyle name="Normal 42 4 3 2 2" xfId="50434" xr:uid="{6275BBBF-6EE2-451D-8DB0-8487BBB3B002}"/>
    <cellStyle name="Normal 42 4 3 2 2 2" xfId="50435" xr:uid="{4154BC8A-47BC-4173-A5B7-60F55B9DD1AC}"/>
    <cellStyle name="Normal 42 4 3 2 2 2 2" xfId="50436" xr:uid="{09F388FC-6913-4573-844A-D05527EC4CC1}"/>
    <cellStyle name="Normal 42 4 3 2 2 3" xfId="50437" xr:uid="{1016363C-BA7D-453D-B19C-C388C9164A56}"/>
    <cellStyle name="Normal 42 4 3 2 3" xfId="50438" xr:uid="{B56E4D0D-85F2-4D30-AF02-42C392B98F0A}"/>
    <cellStyle name="Normal 42 4 3 2 3 2" xfId="50439" xr:uid="{B164CD11-7C90-4FA1-9FBE-9D546ADAA62E}"/>
    <cellStyle name="Normal 42 4 3 2 4" xfId="50440" xr:uid="{813AEEC1-FCD1-4D28-BF56-E58178CCACA5}"/>
    <cellStyle name="Normal 42 4 3 3" xfId="50441" xr:uid="{11E8799B-90A2-4DAF-90F2-C4B0C03D1D4F}"/>
    <cellStyle name="Normal 42 4 3 3 2" xfId="50442" xr:uid="{7D2A5CBE-FC28-4C21-9B0C-EA91CFD3418E}"/>
    <cellStyle name="Normal 42 4 3 3 2 2" xfId="50443" xr:uid="{29113234-3969-45F9-947B-AB8397894CC2}"/>
    <cellStyle name="Normal 42 4 3 3 3" xfId="50444" xr:uid="{6CE91C59-99AA-406A-8A6C-8DBCB2C081F2}"/>
    <cellStyle name="Normal 42 4 3 4" xfId="50445" xr:uid="{C797CD78-AE30-459F-B3EE-A498B587D04C}"/>
    <cellStyle name="Normal 42 4 3 4 2" xfId="50446" xr:uid="{8E25E38E-7FBD-4998-878E-2EA9D9F64461}"/>
    <cellStyle name="Normal 42 4 3 5" xfId="50447" xr:uid="{25E917B4-CAA0-4ADE-BE65-D13C7A957D83}"/>
    <cellStyle name="Normal 42 4 4" xfId="50448" xr:uid="{E104E608-21F9-4436-AE40-0F24070F03C3}"/>
    <cellStyle name="Normal 42 4 4 2" xfId="50449" xr:uid="{E03F0651-BCBC-4D6B-AAAB-DE0ED5B44146}"/>
    <cellStyle name="Normal 42 4 4 2 2" xfId="50450" xr:uid="{D3B828A3-6134-4995-8FF5-DD41BE0D029A}"/>
    <cellStyle name="Normal 42 4 4 2 2 2" xfId="50451" xr:uid="{8958080B-65AC-4B6D-AD6D-F67D56B0D682}"/>
    <cellStyle name="Normal 42 4 4 2 3" xfId="50452" xr:uid="{32E19F22-B8A5-4D5E-B575-456DCA22C544}"/>
    <cellStyle name="Normal 42 4 4 3" xfId="50453" xr:uid="{EE7B0738-585C-4559-842F-DA54EC500208}"/>
    <cellStyle name="Normal 42 4 4 3 2" xfId="50454" xr:uid="{CA6E3A6D-DEE9-4489-B7E7-270783D6AD6D}"/>
    <cellStyle name="Normal 42 4 4 4" xfId="50455" xr:uid="{C7334683-271C-4CFE-B4CF-85018E25ED66}"/>
    <cellStyle name="Normal 42 4 5" xfId="50456" xr:uid="{373197C7-B1F3-4F8E-9EB5-FD417D636E46}"/>
    <cellStyle name="Normal 42 4 5 2" xfId="50457" xr:uid="{E3079F2E-B003-423F-BE90-A9E62DE1B1D2}"/>
    <cellStyle name="Normal 42 4 5 2 2" xfId="18285" xr:uid="{752B5E20-E4A5-4DA1-8C27-E5DF79BBCA81}"/>
    <cellStyle name="Normal 42 4 5 3" xfId="50458" xr:uid="{A5702F38-17F0-446D-B616-0A5CCF4DDF37}"/>
    <cellStyle name="Normal 42 4 6" xfId="50459" xr:uid="{FD157259-31A7-4118-B038-8DFBB8533699}"/>
    <cellStyle name="Normal 42 4 6 2" xfId="50460" xr:uid="{219401FD-EFB9-40B2-8601-D3EAB1D2646D}"/>
    <cellStyle name="Normal 42 4 7" xfId="50461" xr:uid="{AF9956C7-347B-4BBA-98A4-B728C2FD38BE}"/>
    <cellStyle name="Normal 42 4 8" xfId="50462" xr:uid="{A5C1AA41-A81E-4944-85CB-50FBAEDC1C49}"/>
    <cellStyle name="Normal 42 5" xfId="49651" xr:uid="{3767A3CB-45DD-45D2-BBA1-8CB4796B76D8}"/>
    <cellStyle name="Normal 42 5 2" xfId="50463" xr:uid="{4404AA33-DB67-4E30-BCDE-3525033E0F83}"/>
    <cellStyle name="Normal 42 5 2 2" xfId="50464" xr:uid="{2EC0F5E1-88E1-4441-81D2-D9AD5C3D17C7}"/>
    <cellStyle name="Normal 42 5 2 2 2" xfId="50465" xr:uid="{30700B77-038C-4E3B-8E25-EC24184AE59F}"/>
    <cellStyle name="Normal 42 5 2 2 2 2" xfId="50466" xr:uid="{4D843735-DA69-4BCB-858A-D5162F4BDEB0}"/>
    <cellStyle name="Normal 42 5 2 2 2 2 2" xfId="50467" xr:uid="{EB6414A3-DB00-449B-B5A4-81CB4B5FB78A}"/>
    <cellStyle name="Normal 42 5 2 2 2 3" xfId="50468" xr:uid="{A46B3E88-E817-4DC6-BDF7-050630272404}"/>
    <cellStyle name="Normal 42 5 2 2 3" xfId="50469" xr:uid="{A464EA37-2759-49A0-9F47-1690F590AD14}"/>
    <cellStyle name="Normal 42 5 2 2 3 2" xfId="50470" xr:uid="{B23507FD-6BFD-4254-854F-0A2F175279DA}"/>
    <cellStyle name="Normal 42 5 2 2 4" xfId="50471" xr:uid="{CE152F2D-5035-4210-9AB7-5E2E0CA24C6F}"/>
    <cellStyle name="Normal 42 5 2 3" xfId="50472" xr:uid="{735841CD-0E95-4F0D-A15A-AE248D4CDE1D}"/>
    <cellStyle name="Normal 42 5 2 3 2" xfId="50473" xr:uid="{8D79DB6B-F4CF-4C86-8BCC-4890E1D0F8AA}"/>
    <cellStyle name="Normal 42 5 2 3 2 2" xfId="50474" xr:uid="{1B4585FC-59CC-4328-AF80-405C2F314E4B}"/>
    <cellStyle name="Normal 42 5 2 3 3" xfId="50475" xr:uid="{0C40122B-4546-4E4F-8330-7400F21ED359}"/>
    <cellStyle name="Normal 42 5 2 4" xfId="50476" xr:uid="{4E06432E-57CA-43EA-ACCD-C04C83077233}"/>
    <cellStyle name="Normal 42 5 2 4 2" xfId="50477" xr:uid="{82672190-B952-4238-A085-E44CD37661EA}"/>
    <cellStyle name="Normal 42 5 2 5" xfId="50478" xr:uid="{B1C1FCEB-B3A6-464E-87C1-82F2B7E5DF2B}"/>
    <cellStyle name="Normal 42 5 3" xfId="50479" xr:uid="{A1D980C4-1696-4C74-868D-A8AB38F69C83}"/>
    <cellStyle name="Normal 42 5 3 2" xfId="50480" xr:uid="{2FB0A9F2-97F0-4B4E-884C-B8F3F94A5801}"/>
    <cellStyle name="Normal 42 5 3 2 2" xfId="50481" xr:uid="{42A87916-78AC-4B3A-B8AB-F0C17DCE7D01}"/>
    <cellStyle name="Normal 42 5 3 2 2 2" xfId="50482" xr:uid="{5F31B32B-2C6A-416C-B85A-5DA105C603BC}"/>
    <cellStyle name="Normal 42 5 3 2 3" xfId="50483" xr:uid="{51511798-CCFA-45EC-8E84-E93CA5AA56CD}"/>
    <cellStyle name="Normal 42 5 3 3" xfId="50484" xr:uid="{FC0A7B0C-55D1-42A0-94C3-9D2FC49A8C44}"/>
    <cellStyle name="Normal 42 5 3 3 2" xfId="50485" xr:uid="{1E9B78D9-F8D5-4606-87A0-D15480BBB7FA}"/>
    <cellStyle name="Normal 42 5 3 4" xfId="50486" xr:uid="{15E8EECC-ABEB-4469-BF2F-76C81F70FF52}"/>
    <cellStyle name="Normal 42 5 4" xfId="50487" xr:uid="{26D48AAC-155A-488C-9547-BB76E7EB57BC}"/>
    <cellStyle name="Normal 42 5 4 2" xfId="50488" xr:uid="{D62FF4C3-2A64-428F-945E-21ADD7CDB373}"/>
    <cellStyle name="Normal 42 5 4 2 2" xfId="50489" xr:uid="{4361DAAB-8CDA-41FC-8F41-01E08A20FF53}"/>
    <cellStyle name="Normal 42 5 4 3" xfId="50490" xr:uid="{4AD3A8BD-0CBF-42E6-9E9D-5BD421C38F1B}"/>
    <cellStyle name="Normal 42 5 5" xfId="50491" xr:uid="{1C81A5A5-42A8-47CF-AE32-F08AD3A1139A}"/>
    <cellStyle name="Normal 42 5 5 2" xfId="50492" xr:uid="{5164FB74-75BC-4996-8E21-BA20684C08AA}"/>
    <cellStyle name="Normal 42 5 6" xfId="50493" xr:uid="{B4D4755B-F355-45D1-A7C9-E213FDE2140E}"/>
    <cellStyle name="Normal 42 5 7" xfId="50494" xr:uid="{F1151127-0C9F-42DC-B73E-CC72ACA9DA30}"/>
    <cellStyle name="Normal 42 6" xfId="50495" xr:uid="{3ABD9B01-D1AE-4816-A847-7AB91D58C74E}"/>
    <cellStyle name="Normal 42 6 2" xfId="50496" xr:uid="{69CB827A-7A23-4905-8C14-91A768FC35C7}"/>
    <cellStyle name="Normal 42 6 2 2" xfId="50497" xr:uid="{0B4A7F83-CA0E-4265-9A76-697FE391D95F}"/>
    <cellStyle name="Normal 42 6 2 2 2" xfId="50498" xr:uid="{34398397-2F36-4B30-A118-E72F1A2223A9}"/>
    <cellStyle name="Normal 42 6 2 2 2 2" xfId="50499" xr:uid="{71DBD273-3669-455A-8A3F-689BB52C73C3}"/>
    <cellStyle name="Normal 42 6 2 2 3" xfId="50500" xr:uid="{4A2DBB17-6FE8-4A17-8D51-CD192231FA5E}"/>
    <cellStyle name="Normal 42 6 2 3" xfId="50501" xr:uid="{FFBFC325-B917-460E-B649-0138E6901BE8}"/>
    <cellStyle name="Normal 42 6 2 3 2" xfId="50502" xr:uid="{EB9AE9E0-ED40-4FFA-A79C-E4565F3F3D68}"/>
    <cellStyle name="Normal 42 6 2 4" xfId="50503" xr:uid="{87A86A76-A0ED-40CB-AE49-274E38A41CB4}"/>
    <cellStyle name="Normal 42 6 3" xfId="50504" xr:uid="{D4A701C6-2F91-4593-8529-04DB7EB71D66}"/>
    <cellStyle name="Normal 42 6 3 2" xfId="50505" xr:uid="{B5F04B7E-3D74-4961-BEA2-666B4393AC87}"/>
    <cellStyle name="Normal 42 6 3 2 2" xfId="50506" xr:uid="{44A9A8B6-9D00-4927-9940-028685B6AF7E}"/>
    <cellStyle name="Normal 42 6 3 3" xfId="50507" xr:uid="{F81096E4-BDCE-4BF6-8E0C-8DE10B9DBF16}"/>
    <cellStyle name="Normal 42 6 4" xfId="50508" xr:uid="{04E9A247-7005-4DB9-B7CA-B025C11677E8}"/>
    <cellStyle name="Normal 42 6 4 2" xfId="50509" xr:uid="{8442B823-F63C-4216-ADBE-69B15E9008A3}"/>
    <cellStyle name="Normal 42 6 5" xfId="50510" xr:uid="{BB4BC8FD-34E1-495B-B7D8-A6443EC89FBE}"/>
    <cellStyle name="Normal 42 7" xfId="50511" xr:uid="{6C3A8F4D-1438-475F-9771-30D982187DC2}"/>
    <cellStyle name="Normal 42 7 2" xfId="50512" xr:uid="{D48B8631-CA98-4D95-8D7F-12C8F447FD78}"/>
    <cellStyle name="Normal 42 7 2 2" xfId="50513" xr:uid="{658773CC-B5EF-4B29-B1A6-F4C922CE37F8}"/>
    <cellStyle name="Normal 42 7 2 2 2" xfId="50514" xr:uid="{C69AFE65-82BA-4845-A1A8-B36E255CECC7}"/>
    <cellStyle name="Normal 42 7 2 3" xfId="50515" xr:uid="{D075BFF1-00BE-4B0F-BEE6-B56D1E76736D}"/>
    <cellStyle name="Normal 42 7 3" xfId="50516" xr:uid="{A37A6D6F-9EEC-4D3F-8C4E-4A1D2AE0EBDE}"/>
    <cellStyle name="Normal 42 7 3 2" xfId="50517" xr:uid="{586BFA22-131F-442D-BF07-1E13E9E6B2A9}"/>
    <cellStyle name="Normal 42 7 4" xfId="50518" xr:uid="{E938B2C1-5520-401A-AF58-EB84AC9D1676}"/>
    <cellStyle name="Normal 42 8" xfId="50519" xr:uid="{013FFC00-8417-45DB-B045-91EE602A1CB5}"/>
    <cellStyle name="Normal 42 8 2" xfId="50520" xr:uid="{F6C415D6-1C84-4AC2-85F2-F88A0E1F7F30}"/>
    <cellStyle name="Normal 42 8 2 2" xfId="50521" xr:uid="{86CA24E9-6E80-4EAE-A652-84181C032F0A}"/>
    <cellStyle name="Normal 42 8 3" xfId="50522" xr:uid="{8B80C84C-EA0C-4EE6-BABC-D010C444DFAA}"/>
    <cellStyle name="Normal 42 9" xfId="50523" xr:uid="{733B4716-934A-470A-B3D5-C9032FA0A17A}"/>
    <cellStyle name="Normal 42 9 2" xfId="50524" xr:uid="{92C6FD05-E88F-4315-AAA8-6B0A53C5B26F}"/>
    <cellStyle name="Normal 420" xfId="49623" xr:uid="{67281672-12BD-44D4-AB54-9F73F8CCDAE3}"/>
    <cellStyle name="Normal 420 2" xfId="49653" xr:uid="{F48E6D54-08AC-4A41-A35C-35DB6F8D09CF}"/>
    <cellStyle name="Normal 421" xfId="49627" xr:uid="{C268D0C0-5DF0-4C5A-A291-1E9E458830CF}"/>
    <cellStyle name="Normal 421 2" xfId="49656" xr:uid="{074EBACC-B3F1-4738-993E-D0D25D02B34E}"/>
    <cellStyle name="Normal 422" xfId="49631" xr:uid="{B7329BD9-84B1-487B-92EF-19B29D183988}"/>
    <cellStyle name="Normal 422 2" xfId="49659" xr:uid="{BA805FB0-9589-4C3B-9072-612B89498315}"/>
    <cellStyle name="Normal 423" xfId="44333" xr:uid="{CC2894A4-2D53-4120-A4DE-3C11B1AF043F}"/>
    <cellStyle name="Normal 423 2" xfId="49662" xr:uid="{E05A465B-99D5-4860-B954-2F0FEA6C19C2}"/>
    <cellStyle name="Normal 424" xfId="49635" xr:uid="{404114C7-3EC2-422B-87EE-E9CBAF7D002B}"/>
    <cellStyle name="Normal 424 2" xfId="49665" xr:uid="{A4E5E28C-65B6-4ADD-A6D7-88A575F552F9}"/>
    <cellStyle name="Normal 425" xfId="49669" xr:uid="{F6DDF2AA-14F1-4402-A999-44195EEDE47C}"/>
    <cellStyle name="Normal 425 2" xfId="49673" xr:uid="{E20E16B5-68D8-4D2C-9CE7-F2BC6400C272}"/>
    <cellStyle name="Normal 426" xfId="49677" xr:uid="{7992BBA7-2ED3-4E6F-8094-9276D473CA19}"/>
    <cellStyle name="Normal 426 2" xfId="49681" xr:uid="{BF757C0E-807A-47ED-9D9F-C567AD5106B8}"/>
    <cellStyle name="Normal 427" xfId="49685" xr:uid="{2CAAFEC9-9333-4152-A3D5-6556728EDA15}"/>
    <cellStyle name="Normal 427 2" xfId="49689" xr:uid="{D7FAE90F-0504-4B7B-81BF-0FF190E779AF}"/>
    <cellStyle name="Normal 428" xfId="49693" xr:uid="{E1075C09-DC18-4820-9E8E-3F3839BE8E6A}"/>
    <cellStyle name="Normal 428 2" xfId="49697" xr:uid="{33873A7F-EA2B-4783-8407-CB0626D9B76F}"/>
    <cellStyle name="Normal 429" xfId="49701" xr:uid="{6EB99FA1-DC15-4AB0-B3E3-EA3F47AF273D}"/>
    <cellStyle name="Normal 429 2" xfId="49705" xr:uid="{05759C3B-0120-4F8A-AC39-493F42DAE775}"/>
    <cellStyle name="Normal 43" xfId="49708" xr:uid="{6C85A3B0-B9F6-42DF-A0E4-2D8A87CEBB7E}"/>
    <cellStyle name="Normal 43 2" xfId="49018" xr:uid="{05730355-EED0-477C-AB5A-AEEBEF5362D0}"/>
    <cellStyle name="Normal 43 2 2" xfId="49021" xr:uid="{9D6B7BF1-702F-41B6-BFA3-6B26FCF0DFDC}"/>
    <cellStyle name="Normal 430" xfId="49668" xr:uid="{1E0A6F81-453C-4EB8-8BF2-A9CD0C1548B1}"/>
    <cellStyle name="Normal 430 2" xfId="49672" xr:uid="{DF96B9D6-66C2-4B46-A3AB-063C8E4BDF7B}"/>
    <cellStyle name="Normal 431" xfId="49676" xr:uid="{EFE724DD-1CAD-4915-BEC9-60E28280E35E}"/>
    <cellStyle name="Normal 431 2" xfId="49680" xr:uid="{12F22C79-2A5E-49A8-98B8-5AF2291C244F}"/>
    <cellStyle name="Normal 432" xfId="49684" xr:uid="{0BE253DD-9B8D-4F92-A2FB-1290811D7694}"/>
    <cellStyle name="Normal 432 2" xfId="49688" xr:uid="{A3CB015A-06CE-4B72-B8E9-F22BA7B24F0C}"/>
    <cellStyle name="Normal 433" xfId="49692" xr:uid="{67070766-BF4B-422C-A43E-7C5AD2E862B3}"/>
    <cellStyle name="Normal 433 2" xfId="49696" xr:uid="{ECF9AF2B-6CF0-4795-B0CA-930B7CE5E4F0}"/>
    <cellStyle name="Normal 434" xfId="49700" xr:uid="{75453F7C-48BA-448F-AF68-E8C4FDF468FF}"/>
    <cellStyle name="Normal 434 2" xfId="49704" xr:uid="{C06D86E5-8F29-4AC3-A2B3-F79B70DB20F4}"/>
    <cellStyle name="Normal 435" xfId="49711" xr:uid="{8012ADBB-EA81-4BC9-87DD-4BE5B0EBC8A5}"/>
    <cellStyle name="Normal 435 2" xfId="49715" xr:uid="{CD4D9679-2420-4400-B4AD-35FCAE7F5A61}"/>
    <cellStyle name="Normal 436" xfId="49719" xr:uid="{26890B1A-4566-4C34-9B9C-4EF319C59FC9}"/>
    <cellStyle name="Normal 436 2" xfId="49723" xr:uid="{C62D72CC-2C68-4387-B4DA-A12348580BB0}"/>
    <cellStyle name="Normal 437" xfId="49728" xr:uid="{BA07F799-C6C6-4090-984B-97A0043CB17E}"/>
    <cellStyle name="Normal 437 2" xfId="49733" xr:uid="{0CAF30FC-492B-4D82-81C3-00595F2E6D70}"/>
    <cellStyle name="Normal 438" xfId="49738" xr:uid="{E0782E65-D5F1-4070-BDBD-943A4BE00DC2}"/>
    <cellStyle name="Normal 438 2" xfId="49743" xr:uid="{066CD9E8-6ECB-416C-80D3-6C2054396CAB}"/>
    <cellStyle name="Normal 439" xfId="49748" xr:uid="{65D9497E-2FAE-434D-AA9C-F79A172D243C}"/>
    <cellStyle name="Normal 439 2" xfId="49753" xr:uid="{D0583ACF-7D0C-4C87-AD97-B2D23F9AFA99}"/>
    <cellStyle name="Normal 44" xfId="49756" xr:uid="{E5A34567-1FAD-4711-B4BE-7216E38B1772}"/>
    <cellStyle name="Normal 44 10" xfId="50525" xr:uid="{5281B856-ED44-4C2B-9AAF-AD0BEC8C07C0}"/>
    <cellStyle name="Normal 44 11" xfId="50526" xr:uid="{4EA19FBE-44DB-4DC4-9A12-719F35B39F94}"/>
    <cellStyle name="Normal 44 12" xfId="50527" xr:uid="{6638139D-ECFD-44B6-86C0-2E033B3AECA1}"/>
    <cellStyle name="Normal 44 2" xfId="49052" xr:uid="{45A169CD-B86C-435A-B560-DEA6867757F0}"/>
    <cellStyle name="Normal 44 2 10" xfId="50528" xr:uid="{82634E14-21C7-40C7-A35A-D7740624BD39}"/>
    <cellStyle name="Normal 44 2 11" xfId="50529" xr:uid="{FE329F1A-4255-4CD8-BDA3-09728A5B2D7A}"/>
    <cellStyle name="Normal 44 2 12" xfId="50530" xr:uid="{CACE3461-957C-4788-9F4A-EC8DB6F94C22}"/>
    <cellStyle name="Normal 44 2 2" xfId="49055" xr:uid="{C4128983-A31F-4A42-AF16-1F1C55425A8F}"/>
    <cellStyle name="Normal 44 2 2 10" xfId="50531" xr:uid="{30A527E3-53A2-4383-AC8A-50FDE4E292E6}"/>
    <cellStyle name="Normal 44 2 2 2" xfId="49058" xr:uid="{E44DFB25-988C-490C-8C5D-CD9856322D5A}"/>
    <cellStyle name="Normal 44 2 2 2 2" xfId="50532" xr:uid="{D21E67DF-480B-4A4B-83F7-A9C31ADFD247}"/>
    <cellStyle name="Normal 44 2 2 2 2 2" xfId="50533" xr:uid="{0D274F65-EB7A-48D1-8BC7-4343A8DB6D76}"/>
    <cellStyle name="Normal 44 2 2 2 2 2 2" xfId="50534" xr:uid="{3F6A4215-4B19-4B56-9392-C733CC905DAB}"/>
    <cellStyle name="Normal 44 2 2 2 2 2 2 2" xfId="50535" xr:uid="{333048B8-51DD-49C6-8A2D-A66558BE223E}"/>
    <cellStyle name="Normal 44 2 2 2 2 2 2 2 2" xfId="50536" xr:uid="{021079DF-9E0A-4333-8748-271E123B219B}"/>
    <cellStyle name="Normal 44 2 2 2 2 2 2 2 2 2" xfId="50537" xr:uid="{54A0B9F5-6B00-4A92-9DF7-A84EF7782AE3}"/>
    <cellStyle name="Normal 44 2 2 2 2 2 2 2 3" xfId="50538" xr:uid="{E4F34299-0E3D-430A-AF55-B8C27F541B08}"/>
    <cellStyle name="Normal 44 2 2 2 2 2 2 3" xfId="50539" xr:uid="{B186A4F6-AC7E-4AA9-A793-446BB258914B}"/>
    <cellStyle name="Normal 44 2 2 2 2 2 2 3 2" xfId="50540" xr:uid="{5B7101B2-A00E-4BC0-A37E-3FA080322B0C}"/>
    <cellStyle name="Normal 44 2 2 2 2 2 2 4" xfId="50541" xr:uid="{8F6F30EE-1CCD-40DE-A81F-81AC0FB4846E}"/>
    <cellStyle name="Normal 44 2 2 2 2 2 3" xfId="50542" xr:uid="{9CDE0A68-4768-4C87-A138-A50988CE6F80}"/>
    <cellStyle name="Normal 44 2 2 2 2 2 3 2" xfId="50543" xr:uid="{E5601DF0-8988-4A91-B963-D55809B8FDBC}"/>
    <cellStyle name="Normal 44 2 2 2 2 2 3 2 2" xfId="50544" xr:uid="{4CAA1A5A-0511-4018-9B15-C64381D12A58}"/>
    <cellStyle name="Normal 44 2 2 2 2 2 3 3" xfId="50545" xr:uid="{5A1C8A85-5378-43F4-87D0-C33287C67671}"/>
    <cellStyle name="Normal 44 2 2 2 2 2 4" xfId="50546" xr:uid="{DF2F0B9B-766B-4959-8709-B9B22C0E0FD4}"/>
    <cellStyle name="Normal 44 2 2 2 2 2 4 2" xfId="50547" xr:uid="{3646218C-B975-4554-AD7B-D2B4BE06B801}"/>
    <cellStyle name="Normal 44 2 2 2 2 2 5" xfId="50548" xr:uid="{59211F71-867D-4519-9B51-2B9EF3D80138}"/>
    <cellStyle name="Normal 44 2 2 2 2 3" xfId="50549" xr:uid="{B02A99F0-4F6C-4D48-B1E2-FDEC08D88BE1}"/>
    <cellStyle name="Normal 44 2 2 2 2 3 2" xfId="50550" xr:uid="{2B273B19-0608-4878-A3CB-B15D3D52CDC0}"/>
    <cellStyle name="Normal 44 2 2 2 2 3 2 2" xfId="50551" xr:uid="{9A39ED44-410B-423B-A2FF-EB9D51C5B798}"/>
    <cellStyle name="Normal 44 2 2 2 2 3 2 2 2" xfId="50552" xr:uid="{257E39D8-5AA9-4579-9B91-9B40AC237FD1}"/>
    <cellStyle name="Normal 44 2 2 2 2 3 2 3" xfId="50553" xr:uid="{1D68CB5C-FE6B-4B38-9E30-FAF7EFFCD9B4}"/>
    <cellStyle name="Normal 44 2 2 2 2 3 3" xfId="50554" xr:uid="{128AECA7-31F2-421B-844B-D4DBF462FF85}"/>
    <cellStyle name="Normal 44 2 2 2 2 3 3 2" xfId="50555" xr:uid="{B78A56DC-2617-4CC6-B053-87C4148CCB7A}"/>
    <cellStyle name="Normal 44 2 2 2 2 3 4" xfId="50556" xr:uid="{992127DB-4CF1-48E0-97C8-6AC48086FD61}"/>
    <cellStyle name="Normal 44 2 2 2 2 4" xfId="50557" xr:uid="{150FB52E-EFCE-4414-9473-3D14B218B0CC}"/>
    <cellStyle name="Normal 44 2 2 2 2 4 2" xfId="50558" xr:uid="{03298845-C5A9-49E0-AFF9-8A2E471852E0}"/>
    <cellStyle name="Normal 44 2 2 2 2 4 2 2" xfId="50559" xr:uid="{D625336E-136D-4FFB-9E36-F9C409D065D9}"/>
    <cellStyle name="Normal 44 2 2 2 2 4 3" xfId="50560" xr:uid="{C7CBC0D9-6CCD-4661-A81F-C150856CBD8D}"/>
    <cellStyle name="Normal 44 2 2 2 2 5" xfId="50561" xr:uid="{E840073E-FC8A-4D6C-BEC2-C5704E2B9C38}"/>
    <cellStyle name="Normal 44 2 2 2 2 5 2" xfId="50562" xr:uid="{4CAC7A9E-4A7A-4865-BF93-C40412027481}"/>
    <cellStyle name="Normal 44 2 2 2 2 6" xfId="50563" xr:uid="{A021B16F-141D-46CB-820F-09AB727F2661}"/>
    <cellStyle name="Normal 44 2 2 2 2 7" xfId="50564" xr:uid="{8E2FCD57-06BC-4848-A521-C135B1CAC428}"/>
    <cellStyle name="Normal 44 2 2 2 3" xfId="50565" xr:uid="{91007BC1-6C98-4E4D-9294-3235188C2755}"/>
    <cellStyle name="Normal 44 2 2 2 3 2" xfId="50566" xr:uid="{7C64E5F8-563A-407E-863B-9878442EB1F9}"/>
    <cellStyle name="Normal 44 2 2 2 3 2 2" xfId="50567" xr:uid="{B4898333-5B89-4323-BB8F-33FA3397D58D}"/>
    <cellStyle name="Normal 44 2 2 2 3 2 2 2" xfId="50568" xr:uid="{40E6E808-F51A-42B6-9CDE-9E19552CCC5F}"/>
    <cellStyle name="Normal 44 2 2 2 3 2 2 2 2" xfId="50569" xr:uid="{AA232F10-80C2-4180-B16F-C09FECC8A26F}"/>
    <cellStyle name="Normal 44 2 2 2 3 2 2 3" xfId="50570" xr:uid="{BD3CA3F7-D6BA-424B-BA7B-3BE783AF030A}"/>
    <cellStyle name="Normal 44 2 2 2 3 2 3" xfId="50571" xr:uid="{DFF06092-B616-49A0-99DA-A35AD5E20AF0}"/>
    <cellStyle name="Normal 44 2 2 2 3 2 3 2" xfId="50572" xr:uid="{EE44BA07-391A-49A8-A75D-273EFA226648}"/>
    <cellStyle name="Normal 44 2 2 2 3 2 4" xfId="50573" xr:uid="{399DA2BB-A4CB-46F4-94F1-3F4454ABB0AF}"/>
    <cellStyle name="Normal 44 2 2 2 3 3" xfId="50574" xr:uid="{32B8BEEA-D8F2-4B42-ADEE-9BC05BEF86F9}"/>
    <cellStyle name="Normal 44 2 2 2 3 3 2" xfId="50575" xr:uid="{DB80183A-1806-4D8A-8C8D-2404B48413F5}"/>
    <cellStyle name="Normal 44 2 2 2 3 3 2 2" xfId="50576" xr:uid="{526FBD9A-1AA0-4AE6-A669-09D18BFADB2C}"/>
    <cellStyle name="Normal 44 2 2 2 3 3 3" xfId="50577" xr:uid="{046F0EAC-1D63-4FF2-BF8D-BF508A1BE712}"/>
    <cellStyle name="Normal 44 2 2 2 3 4" xfId="50578" xr:uid="{65A9676D-06D7-4D8E-B023-2F78694988F0}"/>
    <cellStyle name="Normal 44 2 2 2 3 4 2" xfId="50579" xr:uid="{80739477-9F7E-4157-BDCB-7C52D6DF9CCA}"/>
    <cellStyle name="Normal 44 2 2 2 3 5" xfId="50580" xr:uid="{D7EE909B-8C39-4CC4-A2D1-15FBD2B9E538}"/>
    <cellStyle name="Normal 44 2 2 2 4" xfId="50581" xr:uid="{C5BA1844-CF79-4021-B190-8ADBD0EB70D0}"/>
    <cellStyle name="Normal 44 2 2 2 4 2" xfId="50582" xr:uid="{521164C9-1921-426C-9E86-7B14487F750E}"/>
    <cellStyle name="Normal 44 2 2 2 4 2 2" xfId="9183" xr:uid="{B278FA64-22C6-4F27-BF7C-A7424464B457}"/>
    <cellStyle name="Normal 44 2 2 2 4 2 2 2" xfId="9186" xr:uid="{20BC1874-E0C5-4F01-BB19-930D27479138}"/>
    <cellStyle name="Normal 44 2 2 2 4 2 3" xfId="9188" xr:uid="{F4D3B9C1-F91C-4301-B0F7-7BC18A129772}"/>
    <cellStyle name="Normal 44 2 2 2 4 3" xfId="50583" xr:uid="{2E223842-624A-49A1-AD5D-96285B342803}"/>
    <cellStyle name="Normal 44 2 2 2 4 3 2" xfId="9193" xr:uid="{A0B77671-B026-42F7-B5E7-AC232E0C93B5}"/>
    <cellStyle name="Normal 44 2 2 2 4 4" xfId="50584" xr:uid="{5EA0A2AA-C394-4807-AD1A-DDA25E54BF74}"/>
    <cellStyle name="Normal 44 2 2 2 5" xfId="50585" xr:uid="{4D8B6E29-F105-4D7F-8C79-AEE853ED64C1}"/>
    <cellStyle name="Normal 44 2 2 2 5 2" xfId="50586" xr:uid="{764C0012-ADBC-458F-BEBB-7842A1917E94}"/>
    <cellStyle name="Normal 44 2 2 2 5 2 2" xfId="9203" xr:uid="{F37F26A6-A610-43FD-A62E-E81804760A7D}"/>
    <cellStyle name="Normal 44 2 2 2 5 3" xfId="50587" xr:uid="{F9C20404-8C93-4940-961F-E3EE1B7BDAD4}"/>
    <cellStyle name="Normal 44 2 2 2 6" xfId="50588" xr:uid="{1A68E724-A171-4C6A-9E14-17D05C0FDD23}"/>
    <cellStyle name="Normal 44 2 2 2 6 2" xfId="50589" xr:uid="{E170C82D-50B6-4449-9A51-7B609151AC3A}"/>
    <cellStyle name="Normal 44 2 2 2 7" xfId="50590" xr:uid="{5BDA4930-30AE-4E54-86D6-A5DD109F0226}"/>
    <cellStyle name="Normal 44 2 2 2 8" xfId="50591" xr:uid="{361B1442-20F8-49ED-B272-8BEBF01BC14D}"/>
    <cellStyle name="Normal 44 2 2 3" xfId="50592" xr:uid="{4DDE23A8-B4BB-4569-9AD8-C8FFE97D8B4A}"/>
    <cellStyle name="Normal 44 2 2 3 2" xfId="50593" xr:uid="{C865D8D7-D115-4345-8512-CE215A713C72}"/>
    <cellStyle name="Normal 44 2 2 3 2 2" xfId="50594" xr:uid="{3B251CC4-8212-438F-B606-364CD487A666}"/>
    <cellStyle name="Normal 44 2 2 3 2 2 2" xfId="50595" xr:uid="{31800515-4EEC-4C18-BD02-8B2ECE2B572A}"/>
    <cellStyle name="Normal 44 2 2 3 2 2 2 2" xfId="50596" xr:uid="{8CD40C72-FFF5-4A7D-B63E-56C92B34FEC3}"/>
    <cellStyle name="Normal 44 2 2 3 2 2 2 2 2" xfId="50597" xr:uid="{C6B19BEC-D76B-4580-8F0B-8199FDA1170A}"/>
    <cellStyle name="Normal 44 2 2 3 2 2 2 3" xfId="50598" xr:uid="{8C2575BB-3EF1-462B-9E72-B8EBE12B47D0}"/>
    <cellStyle name="Normal 44 2 2 3 2 2 3" xfId="50599" xr:uid="{81A78A47-01B0-47E2-8E4C-1ABDD684DEDA}"/>
    <cellStyle name="Normal 44 2 2 3 2 2 3 2" xfId="50600" xr:uid="{D4AEE491-B636-4607-8234-1D02C32D6A74}"/>
    <cellStyle name="Normal 44 2 2 3 2 2 4" xfId="50601" xr:uid="{B02F90C4-123D-4BF4-A725-CEFF9991E25B}"/>
    <cellStyle name="Normal 44 2 2 3 2 3" xfId="50602" xr:uid="{DE02CFA9-599B-4F6D-B9BD-D2B90F423A41}"/>
    <cellStyle name="Normal 44 2 2 3 2 3 2" xfId="50603" xr:uid="{F7BD9192-505D-423C-AC2F-E96FE44F3F16}"/>
    <cellStyle name="Normal 44 2 2 3 2 3 2 2" xfId="50604" xr:uid="{3797B043-77A0-4C30-A540-5423C84AF119}"/>
    <cellStyle name="Normal 44 2 2 3 2 3 3" xfId="50605" xr:uid="{60427CFD-C657-4108-BFFF-B8451AA71D18}"/>
    <cellStyle name="Normal 44 2 2 3 2 4" xfId="50606" xr:uid="{208C6D47-D969-4C4F-90A6-BA230375DF34}"/>
    <cellStyle name="Normal 44 2 2 3 2 4 2" xfId="50607" xr:uid="{6EF51930-F80F-4314-B86E-C76BA650998C}"/>
    <cellStyle name="Normal 44 2 2 3 2 5" xfId="50608" xr:uid="{E2780002-28F5-42A9-A612-153ED34910E7}"/>
    <cellStyle name="Normal 44 2 2 3 3" xfId="50609" xr:uid="{40C9D600-4EF9-44A6-BDBB-8ADB2B797A5C}"/>
    <cellStyle name="Normal 44 2 2 3 3 2" xfId="50610" xr:uid="{6622CA15-B363-452A-BA9A-FE2C2AD0FCBD}"/>
    <cellStyle name="Normal 44 2 2 3 3 2 2" xfId="50611" xr:uid="{09A3A781-16E2-4CD4-8F07-2B277FFCDDEC}"/>
    <cellStyle name="Normal 44 2 2 3 3 2 2 2" xfId="50612" xr:uid="{50E8B6E2-9F4D-450E-961C-6562D541A310}"/>
    <cellStyle name="Normal 44 2 2 3 3 2 3" xfId="50613" xr:uid="{E5E2FB9F-0046-4F90-8003-011A39D6C087}"/>
    <cellStyle name="Normal 44 2 2 3 3 3" xfId="50614" xr:uid="{59105D15-5DF3-4E94-B656-1BAD0DCCEE5D}"/>
    <cellStyle name="Normal 44 2 2 3 3 3 2" xfId="50615" xr:uid="{F20C2D76-28D6-42CF-A6C5-59F0FDDC6BB3}"/>
    <cellStyle name="Normal 44 2 2 3 3 4" xfId="50616" xr:uid="{008155C2-1419-4BC3-BF43-8900E767AFF2}"/>
    <cellStyle name="Normal 44 2 2 3 4" xfId="50617" xr:uid="{50B696D3-97AE-415C-BB83-F79D9AFE5FB9}"/>
    <cellStyle name="Normal 44 2 2 3 4 2" xfId="50618" xr:uid="{F8EBE3DE-43D8-40E2-A0E2-AC08A707CB4A}"/>
    <cellStyle name="Normal 44 2 2 3 4 2 2" xfId="9234" xr:uid="{B6807DFF-2F59-4834-815C-2F06E4035A12}"/>
    <cellStyle name="Normal 44 2 2 3 4 3" xfId="50619" xr:uid="{EB207D37-66B9-4E93-965C-820512A958B8}"/>
    <cellStyle name="Normal 44 2 2 3 5" xfId="50620" xr:uid="{124ED0CB-19D4-4763-A22D-4F46C559D530}"/>
    <cellStyle name="Normal 44 2 2 3 5 2" xfId="50621" xr:uid="{033FAC0F-AD78-494A-A03E-0181F03F0C09}"/>
    <cellStyle name="Normal 44 2 2 3 6" xfId="50622" xr:uid="{2A395BE5-6DD4-47F0-A0DE-D078536FAA22}"/>
    <cellStyle name="Normal 44 2 2 3 7" xfId="50623" xr:uid="{1C43E196-EF3E-44E9-9BFE-80EB8A90B486}"/>
    <cellStyle name="Normal 44 2 2 4" xfId="50624" xr:uid="{DD065D39-744E-4043-ACCB-B16F227C2BBE}"/>
    <cellStyle name="Normal 44 2 2 4 2" xfId="50625" xr:uid="{0462EEB2-ABC8-46C3-9416-604236D055A6}"/>
    <cellStyle name="Normal 44 2 2 4 2 2" xfId="50626" xr:uid="{89153E7F-5D3E-4E98-B841-AB2B23C2CBDA}"/>
    <cellStyle name="Normal 44 2 2 4 2 2 2" xfId="50627" xr:uid="{0A68CC39-7A07-4044-87B0-9198E5C00F58}"/>
    <cellStyle name="Normal 44 2 2 4 2 2 2 2" xfId="50628" xr:uid="{302CFF22-8127-4277-A05C-B3BB1E2A3B5F}"/>
    <cellStyle name="Normal 44 2 2 4 2 2 3" xfId="50629" xr:uid="{C5F35B48-49A3-4CF4-B68F-D4DDC0255B0B}"/>
    <cellStyle name="Normal 44 2 2 4 2 3" xfId="50630" xr:uid="{E1AAE773-A4CC-45DC-80D1-ABF579BBA1D2}"/>
    <cellStyle name="Normal 44 2 2 4 2 3 2" xfId="50631" xr:uid="{23B811E1-A6B5-4AD0-8A8E-9562810E3B78}"/>
    <cellStyle name="Normal 44 2 2 4 2 4" xfId="50632" xr:uid="{6C9E7A28-0659-4106-88FB-F32BCDFF8E5D}"/>
    <cellStyle name="Normal 44 2 2 4 3" xfId="50633" xr:uid="{77635F51-4C2C-442D-8BA0-369DB41D644B}"/>
    <cellStyle name="Normal 44 2 2 4 3 2" xfId="50634" xr:uid="{CACB7A0F-C576-4A71-B913-673AD7C0994A}"/>
    <cellStyle name="Normal 44 2 2 4 3 2 2" xfId="50635" xr:uid="{4796B9C8-3243-41B7-8BC8-E84205827537}"/>
    <cellStyle name="Normal 44 2 2 4 3 3" xfId="50636" xr:uid="{7791E33C-A6B0-494F-A6F1-EE100E7662BC}"/>
    <cellStyle name="Normal 44 2 2 4 4" xfId="38816" xr:uid="{D6FE26FD-C999-4728-AE1F-4C03427CE9F7}"/>
    <cellStyle name="Normal 44 2 2 4 4 2" xfId="50637" xr:uid="{A536FBE2-4CD2-4B44-924A-5FA804B9CCF2}"/>
    <cellStyle name="Normal 44 2 2 4 5" xfId="46645" xr:uid="{C2CCCE62-D73D-4927-ADC4-3717239477B3}"/>
    <cellStyle name="Normal 44 2 2 5" xfId="50638" xr:uid="{D3637794-1C4E-4A7C-AA17-BA0C1F405AF0}"/>
    <cellStyle name="Normal 44 2 2 5 2" xfId="50639" xr:uid="{23451B62-05A7-4552-9D60-2DB16DB1864B}"/>
    <cellStyle name="Normal 44 2 2 5 2 2" xfId="50640" xr:uid="{41D33D14-0A0B-4EF6-8F7F-A53E4ABCE545}"/>
    <cellStyle name="Normal 44 2 2 5 2 2 2" xfId="50641" xr:uid="{0206B833-2D70-4F90-B522-67C0743A7029}"/>
    <cellStyle name="Normal 44 2 2 5 2 3" xfId="50642" xr:uid="{68F6ECC5-3B27-4362-ACD8-5C69EE8CD26C}"/>
    <cellStyle name="Normal 44 2 2 5 3" xfId="50643" xr:uid="{F76BBA41-D6A1-4BD1-9CFE-8718A44C1463}"/>
    <cellStyle name="Normal 44 2 2 5 3 2" xfId="50644" xr:uid="{48226BED-C89F-423B-910D-2391BA5B3008}"/>
    <cellStyle name="Normal 44 2 2 5 4" xfId="50645" xr:uid="{1D181117-D478-4FD2-A5C7-231989664E30}"/>
    <cellStyle name="Normal 44 2 2 6" xfId="50646" xr:uid="{DBBB7B0A-C9ED-4399-87B7-E43A58A2A7FF}"/>
    <cellStyle name="Normal 44 2 2 6 2" xfId="50647" xr:uid="{7349437D-58B0-4FB1-BB38-2BB87B762298}"/>
    <cellStyle name="Normal 44 2 2 6 2 2" xfId="50648" xr:uid="{62176561-16B2-4018-BAF1-188665F5C6BD}"/>
    <cellStyle name="Normal 44 2 2 6 3" xfId="50649" xr:uid="{6D4C0593-4727-4644-B594-B55452C3DA89}"/>
    <cellStyle name="Normal 44 2 2 7" xfId="50650" xr:uid="{E40AA967-C234-4C6E-B530-9CC5041E95A7}"/>
    <cellStyle name="Normal 44 2 2 7 2" xfId="50651" xr:uid="{170FA43F-ECB0-467E-84D4-99E6A28B2C81}"/>
    <cellStyle name="Normal 44 2 2 8" xfId="50652" xr:uid="{FF140B32-092C-49DA-80A2-48CBC85F7D3C}"/>
    <cellStyle name="Normal 44 2 2 9" xfId="50653" xr:uid="{36021F50-FDF5-4A67-A0B2-0974839C860B}"/>
    <cellStyle name="Normal 44 2 3" xfId="49060" xr:uid="{18F5B33A-D02A-4E1A-8E57-CA39D2121C41}"/>
    <cellStyle name="Normal 44 2 3 2" xfId="50654" xr:uid="{23318E20-4095-4E69-A787-388B45FAEE7C}"/>
    <cellStyle name="Normal 44 2 3 2 2" xfId="50655" xr:uid="{605F3B64-5DE3-4ECA-A514-491C99301877}"/>
    <cellStyle name="Normal 44 2 3 2 2 2" xfId="50656" xr:uid="{2FE7B39F-AA63-4278-9A26-0744A2DC9572}"/>
    <cellStyle name="Normal 44 2 3 2 2 2 2" xfId="50661" xr:uid="{98E6C12C-CC62-4937-9C01-9D8FF1BCB0EE}"/>
    <cellStyle name="Normal 44 2 3 2 2 2 2 2" xfId="50666" xr:uid="{959F89F4-1E6F-452D-8704-E26B24ED4A8B}"/>
    <cellStyle name="Normal 44 2 3 2 2 2 2 2 2" xfId="50667" xr:uid="{E59008EC-4320-404F-AAAE-B779BF0D9E4F}"/>
    <cellStyle name="Normal 44 2 3 2 2 2 2 3" xfId="50668" xr:uid="{53A8312F-6C0E-41A4-96D7-040D6DEC27F5}"/>
    <cellStyle name="Normal 44 2 3 2 2 2 3" xfId="50673" xr:uid="{1494E7F5-1DC9-484A-AA90-1387BC2F3A93}"/>
    <cellStyle name="Normal 44 2 3 2 2 2 3 2" xfId="50678" xr:uid="{F3DB6201-021E-4F47-8969-0BBA2AE20719}"/>
    <cellStyle name="Normal 44 2 3 2 2 2 4" xfId="50684" xr:uid="{9B7C1858-347B-4625-BA81-8AF969E62084}"/>
    <cellStyle name="Normal 44 2 3 2 2 3" xfId="50685" xr:uid="{B02B8190-B076-40EA-94A7-51FB624D17D1}"/>
    <cellStyle name="Normal 44 2 3 2 2 3 2" xfId="50690" xr:uid="{95345442-EC00-4308-9C2D-B311C0465E47}"/>
    <cellStyle name="Normal 44 2 3 2 2 3 2 2" xfId="50692" xr:uid="{EBB973EF-7B76-48AF-ABBE-E40D6416F7CB}"/>
    <cellStyle name="Normal 44 2 3 2 2 3 3" xfId="50697" xr:uid="{4BB224AE-7E90-453A-BD16-0E644B53F3C4}"/>
    <cellStyle name="Normal 44 2 3 2 2 4" xfId="50698" xr:uid="{B99AA77B-E99A-4F68-8575-E588448B3D52}"/>
    <cellStyle name="Normal 44 2 3 2 2 4 2" xfId="50703" xr:uid="{56DE5F72-A7BC-40B8-B47B-3C9375D11433}"/>
    <cellStyle name="Normal 44 2 3 2 2 5" xfId="50704" xr:uid="{BA3FF241-ED78-4321-A320-EEA6A528539D}"/>
    <cellStyle name="Normal 44 2 3 2 3" xfId="50705" xr:uid="{BDC98C2F-9B8E-48DB-B42D-41B733DD3D96}"/>
    <cellStyle name="Normal 44 2 3 2 3 2" xfId="50706" xr:uid="{720DD91B-67CF-4DCE-8BA7-D8A95DC52DCC}"/>
    <cellStyle name="Normal 44 2 3 2 3 2 2" xfId="50707" xr:uid="{FF2A5048-5AA8-4380-8131-832C5782F14A}"/>
    <cellStyle name="Normal 44 2 3 2 3 2 2 2" xfId="50708" xr:uid="{ADDD80F5-D302-49D0-940C-0BC089C2A960}"/>
    <cellStyle name="Normal 44 2 3 2 3 2 3" xfId="50709" xr:uid="{F40D9DF9-EC5A-4CD5-90BD-7AE13C16BF54}"/>
    <cellStyle name="Normal 44 2 3 2 3 3" xfId="50710" xr:uid="{DC46B7CB-CAC9-4D83-9519-3F1268AC1146}"/>
    <cellStyle name="Normal 44 2 3 2 3 3 2" xfId="50711" xr:uid="{807B086E-8620-44D9-A589-43462D161B4D}"/>
    <cellStyle name="Normal 44 2 3 2 3 4" xfId="50712" xr:uid="{4C7ACE65-957B-4AB2-BAE6-A6986BADFFAE}"/>
    <cellStyle name="Normal 44 2 3 2 4" xfId="50713" xr:uid="{17983BAF-E704-4495-8D71-859DF2C09141}"/>
    <cellStyle name="Normal 44 2 3 2 4 2" xfId="50714" xr:uid="{ABD8C077-1A5B-45C1-97E7-EC976CB23370}"/>
    <cellStyle name="Normal 44 2 3 2 4 2 2" xfId="9296" xr:uid="{59466DE5-E447-4EF5-B9D6-709CCBDEF1AD}"/>
    <cellStyle name="Normal 44 2 3 2 4 3" xfId="50715" xr:uid="{52D8AF2F-B032-4471-9B1D-CF109ECFAFA9}"/>
    <cellStyle name="Normal 44 2 3 2 5" xfId="50716" xr:uid="{DA0CEA4E-3728-46C0-AE1F-CD064EAF9E78}"/>
    <cellStyle name="Normal 44 2 3 2 5 2" xfId="50717" xr:uid="{1B1B8441-D653-41C7-A24F-B59EC32B8492}"/>
    <cellStyle name="Normal 44 2 3 2 6" xfId="50718" xr:uid="{CC156063-B4EF-4395-8F7D-5C4AA1991B5B}"/>
    <cellStyle name="Normal 44 2 3 2 7" xfId="50719" xr:uid="{16472BE9-F781-40E8-A720-D62862D1BB7F}"/>
    <cellStyle name="Normal 44 2 3 3" xfId="50720" xr:uid="{50F40586-925C-4C71-B7B6-895DE6D730A4}"/>
    <cellStyle name="Normal 44 2 3 3 2" xfId="50721" xr:uid="{90555D07-71E6-48B6-A8BE-4B01204F043B}"/>
    <cellStyle name="Normal 44 2 3 3 2 2" xfId="50722" xr:uid="{3637DF57-FAD6-4A0D-A7C7-495C4107EFB8}"/>
    <cellStyle name="Normal 44 2 3 3 2 2 2" xfId="50723" xr:uid="{5065CA24-C38A-4AC9-9C64-4A9342A4AB48}"/>
    <cellStyle name="Normal 44 2 3 3 2 2 2 2" xfId="50724" xr:uid="{5A0B4D8E-009A-4A1F-B7E6-EB2D61B81BF3}"/>
    <cellStyle name="Normal 44 2 3 3 2 2 3" xfId="50725" xr:uid="{64C5669B-C472-4181-A6D8-55153D50FE8E}"/>
    <cellStyle name="Normal 44 2 3 3 2 3" xfId="50726" xr:uid="{6BB7EDEC-C98B-427B-88E9-2AF98BE89C05}"/>
    <cellStyle name="Normal 44 2 3 3 2 3 2" xfId="50727" xr:uid="{63BA56FE-C80F-412A-8511-D6AA19AFD2E8}"/>
    <cellStyle name="Normal 44 2 3 3 2 4" xfId="50728" xr:uid="{A4FBA390-817E-48DE-B29A-0122D6C76505}"/>
    <cellStyle name="Normal 44 2 3 3 3" xfId="50729" xr:uid="{6E59D6C9-831D-4E00-8CDB-54BAFA4587A3}"/>
    <cellStyle name="Normal 44 2 3 3 3 2" xfId="50730" xr:uid="{BA1DC813-7364-4940-B072-06581D42A635}"/>
    <cellStyle name="Normal 44 2 3 3 3 2 2" xfId="50731" xr:uid="{D14B6FEA-6BF1-420E-A14A-10B6808A8843}"/>
    <cellStyle name="Normal 44 2 3 3 3 3" xfId="50732" xr:uid="{B793C710-61B8-4ED8-9392-EAC46A54C14A}"/>
    <cellStyle name="Normal 44 2 3 3 4" xfId="50733" xr:uid="{D1657717-7619-4425-9B2B-89B00D511CF3}"/>
    <cellStyle name="Normal 44 2 3 3 4 2" xfId="50734" xr:uid="{11BEDE19-AEBC-4451-AA49-FABE808612DF}"/>
    <cellStyle name="Normal 44 2 3 3 5" xfId="50735" xr:uid="{435E0A68-3425-4B97-A637-1C7F93256C08}"/>
    <cellStyle name="Normal 44 2 3 4" xfId="50736" xr:uid="{12B49071-797A-458A-896B-200A5E98E3AF}"/>
    <cellStyle name="Normal 44 2 3 4 2" xfId="50737" xr:uid="{784FC6F2-4A14-42FC-A541-CE19EF81EC01}"/>
    <cellStyle name="Normal 44 2 3 4 2 2" xfId="41513" xr:uid="{D0C52899-7C5F-4136-8B52-E0A4B5544084}"/>
    <cellStyle name="Normal 44 2 3 4 2 2 2" xfId="41516" xr:uid="{A07F3F6F-D799-4F08-AFD1-6F7AF4E6BA0E}"/>
    <cellStyle name="Normal 44 2 3 4 2 3" xfId="41523" xr:uid="{72D6E19E-FB50-472D-910B-732150980CD8}"/>
    <cellStyle name="Normal 44 2 3 4 3" xfId="50738" xr:uid="{A34EC935-E304-46C2-82F9-9CF001ACDB41}"/>
    <cellStyle name="Normal 44 2 3 4 3 2" xfId="50739" xr:uid="{DA2E4622-7335-4980-B437-C7960CEC54E5}"/>
    <cellStyle name="Normal 44 2 3 4 4" xfId="50740" xr:uid="{AC417EA6-5486-48F6-8670-9CCC3B318232}"/>
    <cellStyle name="Normal 44 2 3 5" xfId="50741" xr:uid="{B421553E-514A-45A9-BBAE-727E50BA78FD}"/>
    <cellStyle name="Normal 44 2 3 5 2" xfId="50742" xr:uid="{1C9743E9-A892-414C-A17F-3E07A4F18EF5}"/>
    <cellStyle name="Normal 44 2 3 5 2 2" xfId="50743" xr:uid="{548E6D82-0741-426B-9146-5FAEA0B15B25}"/>
    <cellStyle name="Normal 44 2 3 5 3" xfId="50744" xr:uid="{52FD7E9B-6FCA-4666-96D1-68E86FD9D48A}"/>
    <cellStyle name="Normal 44 2 3 6" xfId="50745" xr:uid="{D6739B87-5C0B-441A-865D-D9DD08BBF08B}"/>
    <cellStyle name="Normal 44 2 3 6 2" xfId="50746" xr:uid="{9338A45A-827A-4045-8CC9-99B1F62935EA}"/>
    <cellStyle name="Normal 44 2 3 7" xfId="50747" xr:uid="{EC0CE2FA-D40D-4096-B70C-3A67BB4CEB35}"/>
    <cellStyle name="Normal 44 2 3 8" xfId="50748" xr:uid="{9F2E4224-49DB-46F9-AB03-623E1AEAA79E}"/>
    <cellStyle name="Normal 44 2 4" xfId="50749" xr:uid="{C2292DCD-DA8C-4FB5-BB30-B4A853B1F745}"/>
    <cellStyle name="Normal 44 2 4 2" xfId="50750" xr:uid="{393398AB-9103-40FA-AE61-E31968C8F57A}"/>
    <cellStyle name="Normal 44 2 4 2 2" xfId="18497" xr:uid="{F161EEF8-856F-433C-B092-77B76BFD4E3C}"/>
    <cellStyle name="Normal 44 2 4 2 2 2" xfId="50751" xr:uid="{04A93E26-3625-4195-AA4E-28C56B7431E6}"/>
    <cellStyle name="Normal 44 2 4 2 2 2 2" xfId="50752" xr:uid="{5DF27E52-0606-485F-9975-93EF76624E82}"/>
    <cellStyle name="Normal 44 2 4 2 2 2 2 2" xfId="50753" xr:uid="{6537C448-BCA1-4350-BE3F-2BE03F707218}"/>
    <cellStyle name="Normal 44 2 4 2 2 2 3" xfId="50754" xr:uid="{B22DF248-3E08-4BAF-86D4-CB92D6B8ACA4}"/>
    <cellStyle name="Normal 44 2 4 2 2 3" xfId="50755" xr:uid="{A895423F-89EC-4321-BCC2-3BD1604624C5}"/>
    <cellStyle name="Normal 44 2 4 2 2 3 2" xfId="50756" xr:uid="{5F4CBEA3-4A4D-456E-BDC2-7F014C0FE7AF}"/>
    <cellStyle name="Normal 44 2 4 2 2 4" xfId="50757" xr:uid="{74971B70-02C1-478D-A333-19AE1F11F1B6}"/>
    <cellStyle name="Normal 44 2 4 2 3" xfId="18499" xr:uid="{B14DFC3C-5B56-4D85-99E2-D485A2A00D23}"/>
    <cellStyle name="Normal 44 2 4 2 3 2" xfId="50758" xr:uid="{D9749951-820A-4A83-A8D9-73149EFE58FA}"/>
    <cellStyle name="Normal 44 2 4 2 3 2 2" xfId="50759" xr:uid="{464336D7-2A7B-44BC-A61C-C98582EAEBDF}"/>
    <cellStyle name="Normal 44 2 4 2 3 3" xfId="50760" xr:uid="{333253C8-A383-48A6-BFDD-D3E7E291AE46}"/>
    <cellStyle name="Normal 44 2 4 2 4" xfId="18522" xr:uid="{07E6C3FC-5E0A-46AD-A263-F74FCBCF695F}"/>
    <cellStyle name="Normal 44 2 4 2 4 2" xfId="50761" xr:uid="{23EA41F7-7CBB-427C-9C0C-BC1EB20093BF}"/>
    <cellStyle name="Normal 44 2 4 2 5" xfId="18539" xr:uid="{4D6B1071-87F6-446C-BC41-DEE1F1814FF1}"/>
    <cellStyle name="Normal 44 2 4 3" xfId="50762" xr:uid="{E7F444B6-F69B-4C92-B10F-C63117E523A5}"/>
    <cellStyle name="Normal 44 2 4 3 2" xfId="18618" xr:uid="{23507F86-7088-4678-8B47-2836758103B5}"/>
    <cellStyle name="Normal 44 2 4 3 2 2" xfId="50763" xr:uid="{204EE955-38BD-4B90-8E3F-0769E0DB7B50}"/>
    <cellStyle name="Normal 44 2 4 3 2 2 2" xfId="50764" xr:uid="{210C14BA-5571-41FE-BBAF-C387A85A78DD}"/>
    <cellStyle name="Normal 44 2 4 3 2 3" xfId="50765" xr:uid="{58649964-DCFF-4FF5-8263-97A2D4D53861}"/>
    <cellStyle name="Normal 44 2 4 3 3" xfId="12139" xr:uid="{17CEA61D-0280-4338-B75E-FE19133670F2}"/>
    <cellStyle name="Normal 44 2 4 3 3 2" xfId="50766" xr:uid="{DB7F8AFB-314B-4793-AB17-8074959AB16B}"/>
    <cellStyle name="Normal 44 2 4 3 4" xfId="18622" xr:uid="{071625AB-68EB-4AC9-A6EE-1710DF327697}"/>
    <cellStyle name="Normal 44 2 4 4" xfId="50767" xr:uid="{D47CD016-83D0-4205-A7D4-FED95A93B1E8}"/>
    <cellStyle name="Normal 44 2 4 4 2" xfId="50768" xr:uid="{B0F111B9-D1FE-4C88-8DB8-6B17CACC7895}"/>
    <cellStyle name="Normal 44 2 4 4 2 2" xfId="50769" xr:uid="{E508628E-4E26-4A02-89BA-EAEB880F5270}"/>
    <cellStyle name="Normal 44 2 4 4 3" xfId="50770" xr:uid="{9669C697-0106-4345-B44F-916B273364D2}"/>
    <cellStyle name="Normal 44 2 4 5" xfId="50771" xr:uid="{20796927-FB47-4489-B64E-ED468B75E06D}"/>
    <cellStyle name="Normal 44 2 4 5 2" xfId="50772" xr:uid="{007121B2-8867-4582-9544-0AED44D9F288}"/>
    <cellStyle name="Normal 44 2 4 6" xfId="50773" xr:uid="{DF1B162F-2E67-4143-9F3D-7391A06AF007}"/>
    <cellStyle name="Normal 44 2 4 7" xfId="50774" xr:uid="{FFA7F760-A1C5-43D3-BE83-1AD48498DC55}"/>
    <cellStyle name="Normal 44 2 5" xfId="50775" xr:uid="{02F6906F-2899-4CBC-9C02-06E7B74DADA1}"/>
    <cellStyle name="Normal 44 2 5 2" xfId="50776" xr:uid="{1CE3A747-8DB6-4A2B-A795-21CAF4D7857F}"/>
    <cellStyle name="Normal 44 2 5 2 2" xfId="50777" xr:uid="{EB96377E-BDEE-4ACF-AA43-49AA61E8AC67}"/>
    <cellStyle name="Normal 44 2 5 2 2 2" xfId="50778" xr:uid="{FC0C5E38-BF7A-4078-83E0-88927534E1AE}"/>
    <cellStyle name="Normal 44 2 5 2 2 2 2" xfId="50779" xr:uid="{9C691AA1-7F52-4EC9-B3A0-C9C57C406ECF}"/>
    <cellStyle name="Normal 44 2 5 2 2 3" xfId="50780" xr:uid="{AFD8B83D-AA0E-4E11-8BAD-C937FFDF6A72}"/>
    <cellStyle name="Normal 44 2 5 2 3" xfId="50781" xr:uid="{19C2AD77-48AE-4CFE-BC0F-D8C1F6794B2A}"/>
    <cellStyle name="Normal 44 2 5 2 3 2" xfId="50782" xr:uid="{3B0B1C32-157E-4FB2-A0E1-86597055F42D}"/>
    <cellStyle name="Normal 44 2 5 2 4" xfId="50783" xr:uid="{CA9FAE22-FD7D-49E8-AE4B-5ACFB31DABE0}"/>
    <cellStyle name="Normal 44 2 5 3" xfId="50784" xr:uid="{4046238E-95CC-4E01-9DAC-F7161CDF5294}"/>
    <cellStyle name="Normal 44 2 5 3 2" xfId="50785" xr:uid="{48191C8F-CAEC-456D-957A-FCEF2A20CFE6}"/>
    <cellStyle name="Normal 44 2 5 3 2 2" xfId="50786" xr:uid="{CE166E5D-D049-4B35-929B-C33C5FF57CA4}"/>
    <cellStyle name="Normal 44 2 5 3 3" xfId="50787" xr:uid="{AECD114E-37EE-4524-9C94-ABE13C97CFAC}"/>
    <cellStyle name="Normal 44 2 5 4" xfId="50788" xr:uid="{8ED2B104-F966-45B9-8D0C-5A8A04102AC4}"/>
    <cellStyle name="Normal 44 2 5 4 2" xfId="50789" xr:uid="{2E3DE79D-E4D5-4031-978B-A2F71935755A}"/>
    <cellStyle name="Normal 44 2 5 5" xfId="50790" xr:uid="{E2A86161-9C0B-40BE-881F-047D19A56A47}"/>
    <cellStyle name="Normal 44 2 6" xfId="50791" xr:uid="{BE0560AC-E0A8-41D7-A8CA-2192BA6E2AAE}"/>
    <cellStyle name="Normal 44 2 6 2" xfId="50792" xr:uid="{25528A6D-4F88-4E0C-A35C-71B3AABD49B9}"/>
    <cellStyle name="Normal 44 2 6 2 2" xfId="50793" xr:uid="{DF3CD20A-2B58-471A-8BF7-16563105526F}"/>
    <cellStyle name="Normal 44 2 6 2 2 2" xfId="50794" xr:uid="{8F64AF89-D02C-4A00-B62F-1C814F548CF3}"/>
    <cellStyle name="Normal 44 2 6 2 3" xfId="50795" xr:uid="{973F3D29-F476-4102-A2C9-359D376441CB}"/>
    <cellStyle name="Normal 44 2 6 3" xfId="50796" xr:uid="{B6D48BEC-90FE-4A32-B50C-21223B912FE5}"/>
    <cellStyle name="Normal 44 2 6 3 2" xfId="50797" xr:uid="{B5F99707-32ED-4E65-AC32-14F0E3821CAC}"/>
    <cellStyle name="Normal 44 2 6 4" xfId="50798" xr:uid="{B907F83B-D4F2-4601-BE5B-A73438ABBF22}"/>
    <cellStyle name="Normal 44 2 7" xfId="50799" xr:uid="{18D6FDF0-5D38-4FD2-8FBA-AE4708376B59}"/>
    <cellStyle name="Normal 44 2 7 2" xfId="50800" xr:uid="{F74F307F-5CE4-4E2C-9F5F-E1DFD3A2C701}"/>
    <cellStyle name="Normal 44 2 7 2 2" xfId="50801" xr:uid="{09091440-077F-4F56-A23B-35887EDDDCD9}"/>
    <cellStyle name="Normal 44 2 7 3" xfId="50802" xr:uid="{04F0C4B7-711D-4637-9CD9-01B1C7BC8364}"/>
    <cellStyle name="Normal 44 2 8" xfId="50803" xr:uid="{3D168741-9A34-4FDA-B872-317AA112946A}"/>
    <cellStyle name="Normal 44 2 8 2" xfId="50804" xr:uid="{DCE2B616-8918-4D0B-BB75-35607D8C6FAA}"/>
    <cellStyle name="Normal 44 2 9" xfId="50805" xr:uid="{B700736E-4F29-4137-A157-2A32B220BCAC}"/>
    <cellStyle name="Normal 44 3" xfId="49062" xr:uid="{C18B7889-CDD0-46F9-ADF7-3155A9615E88}"/>
    <cellStyle name="Normal 44 3 10" xfId="50806" xr:uid="{DA2735CD-E1CF-4EEF-9E63-16FBE2A5167A}"/>
    <cellStyle name="Normal 44 3 2" xfId="49065" xr:uid="{D240E366-046D-474B-A7CE-2DCD83F33365}"/>
    <cellStyle name="Normal 44 3 2 2" xfId="50807" xr:uid="{9335708E-1B1A-4ACB-BFCC-9796A39C1E5D}"/>
    <cellStyle name="Normal 44 3 2 2 2" xfId="32824" xr:uid="{B89C2D59-D3B7-4D85-90B4-CCF105854E30}"/>
    <cellStyle name="Normal 44 3 2 2 2 2" xfId="44515" xr:uid="{869ABBC6-FA3F-45D1-B70C-7973B4554003}"/>
    <cellStyle name="Normal 44 3 2 2 2 2 2" xfId="50808" xr:uid="{5B60B63E-5424-416F-8A42-82911B08FA4D}"/>
    <cellStyle name="Normal 44 3 2 2 2 2 2 2" xfId="50809" xr:uid="{C9B0BC63-E987-4F99-BEB6-19A5A79F2214}"/>
    <cellStyle name="Normal 44 3 2 2 2 2 2 2 2" xfId="50810" xr:uid="{1BF36367-CBE1-40BD-A4B1-AB8FFC084A94}"/>
    <cellStyle name="Normal 44 3 2 2 2 2 2 3" xfId="50811" xr:uid="{1400F897-F8BF-4C9A-8E6A-28B913AB1379}"/>
    <cellStyle name="Normal 44 3 2 2 2 2 3" xfId="50812" xr:uid="{FCBC576A-873A-4BE4-BAB5-8B928EEBECFB}"/>
    <cellStyle name="Normal 44 3 2 2 2 2 3 2" xfId="29079" xr:uid="{C9DEADB5-78E9-41FD-883F-D5D0F68D27A2}"/>
    <cellStyle name="Normal 44 3 2 2 2 2 4" xfId="50813" xr:uid="{19ADE484-DC89-4E23-A94E-1A53D2EADB0D}"/>
    <cellStyle name="Normal 44 3 2 2 2 3" xfId="50814" xr:uid="{386D9B2B-C987-4918-9D1F-7AB1CA6AE470}"/>
    <cellStyle name="Normal 44 3 2 2 2 3 2" xfId="50815" xr:uid="{ECB3A113-BB90-44C0-BC20-96F4C49EFCC4}"/>
    <cellStyle name="Normal 44 3 2 2 2 3 2 2" xfId="50816" xr:uid="{0A6D090D-740B-4512-9900-6C0360B065AC}"/>
    <cellStyle name="Normal 44 3 2 2 2 3 3" xfId="50817" xr:uid="{D9E82C56-7063-4D23-BF6A-E2F42DE11433}"/>
    <cellStyle name="Normal 44 3 2 2 2 4" xfId="50818" xr:uid="{048F31F3-0199-465E-B308-F3A4CCEA0714}"/>
    <cellStyle name="Normal 44 3 2 2 2 4 2" xfId="50819" xr:uid="{73ADF388-813B-4376-BF13-5B960B7658AE}"/>
    <cellStyle name="Normal 44 3 2 2 2 5" xfId="50820" xr:uid="{CCE99F37-C489-4692-A2A1-66B5313C4149}"/>
    <cellStyle name="Normal 44 3 2 2 3" xfId="44517" xr:uid="{C3F681B1-978F-4E0F-8508-DC83DD7B4F19}"/>
    <cellStyle name="Normal 44 3 2 2 3 2" xfId="50821" xr:uid="{2C62C023-6FAC-4D18-ABF2-E3B8EBB31C1E}"/>
    <cellStyle name="Normal 44 3 2 2 3 2 2" xfId="50822" xr:uid="{C3333600-6720-4F67-8213-EA724782E3D7}"/>
    <cellStyle name="Normal 44 3 2 2 3 2 2 2" xfId="26143" xr:uid="{ABD997D0-C09E-4F00-8439-D7F1EA30515F}"/>
    <cellStyle name="Normal 44 3 2 2 3 2 3" xfId="50823" xr:uid="{A6D419D9-5A5C-49AA-875B-760C91D8630D}"/>
    <cellStyle name="Normal 44 3 2 2 3 3" xfId="50824" xr:uid="{80B2BA9C-88B9-4745-BDE5-0ABB959458C7}"/>
    <cellStyle name="Normal 44 3 2 2 3 3 2" xfId="50825" xr:uid="{2655928B-C133-48DD-B012-E3DC87E92E61}"/>
    <cellStyle name="Normal 44 3 2 2 3 4" xfId="50826" xr:uid="{FA4C934A-E9D6-4839-A526-256CC61D86B8}"/>
    <cellStyle name="Normal 44 3 2 2 4" xfId="44519" xr:uid="{6D317EC3-CA64-4779-83DE-F25A19F61DF5}"/>
    <cellStyle name="Normal 44 3 2 2 4 2" xfId="50827" xr:uid="{F65E31D3-265C-4301-8552-0E2E9313DDA6}"/>
    <cellStyle name="Normal 44 3 2 2 4 2 2" xfId="9827" xr:uid="{BCCB1283-C8F5-44DC-8E1D-21CAE4611CEC}"/>
    <cellStyle name="Normal 44 3 2 2 4 3" xfId="50828" xr:uid="{C8F02FE1-DB61-4249-B2ED-5F198ACFC912}"/>
    <cellStyle name="Normal 44 3 2 2 5" xfId="50829" xr:uid="{76F7FB6A-53D6-4B67-9290-CDA4AECBB910}"/>
    <cellStyle name="Normal 44 3 2 2 5 2" xfId="50830" xr:uid="{CFD8E29A-8711-470E-B7A7-49A295E9C66B}"/>
    <cellStyle name="Normal 44 3 2 2 6" xfId="50831" xr:uid="{43E96FDA-ACAF-4A93-A655-3A2C2816BE07}"/>
    <cellStyle name="Normal 44 3 2 2 7" xfId="36564" xr:uid="{2A1976B6-5273-4865-AD2E-C155DFBF65AF}"/>
    <cellStyle name="Normal 44 3 2 3" xfId="50832" xr:uid="{FE5D1ED5-ED20-433E-B55A-D19763C193A5}"/>
    <cellStyle name="Normal 44 3 2 3 2" xfId="32844" xr:uid="{C5698ECC-2A71-47A6-AFB4-EDAE292A1838}"/>
    <cellStyle name="Normal 44 3 2 3 2 2" xfId="50833" xr:uid="{FCD22E62-00FA-44B3-8177-EE8F54EA687B}"/>
    <cellStyle name="Normal 44 3 2 3 2 2 2" xfId="50834" xr:uid="{F26D3824-BB4A-4B79-BD48-0866F6B23756}"/>
    <cellStyle name="Normal 44 3 2 3 2 2 2 2" xfId="50835" xr:uid="{A6EA521E-9538-4FA1-9AFB-F87A9B629533}"/>
    <cellStyle name="Normal 44 3 2 3 2 2 3" xfId="50836" xr:uid="{6F6D7710-85A8-47D9-8D05-FD2A9948C571}"/>
    <cellStyle name="Normal 44 3 2 3 2 3" xfId="50837" xr:uid="{5FAFB420-64DD-470C-9FAB-B1A55FFF824E}"/>
    <cellStyle name="Normal 44 3 2 3 2 3 2" xfId="50838" xr:uid="{5BCB48F7-B391-4E84-84BF-280305E614A9}"/>
    <cellStyle name="Normal 44 3 2 3 2 4" xfId="50839" xr:uid="{2E8925B0-20D3-46BF-8CD2-BD3FEB43E77E}"/>
    <cellStyle name="Normal 44 3 2 3 3" xfId="44550" xr:uid="{BACE0EBA-8E50-4F2B-9318-7BE434871F12}"/>
    <cellStyle name="Normal 44 3 2 3 3 2" xfId="50840" xr:uid="{E49BB137-108C-45A3-9EF0-0566E75FA498}"/>
    <cellStyle name="Normal 44 3 2 3 3 2 2" xfId="50841" xr:uid="{BEFAAAC1-6A27-4E31-801B-1B5037354CEC}"/>
    <cellStyle name="Normal 44 3 2 3 3 3" xfId="50842" xr:uid="{BD375F8F-BACE-4E56-AC0F-ECC6CABC1E0F}"/>
    <cellStyle name="Normal 44 3 2 3 4" xfId="50843" xr:uid="{CBEF9EC4-ED71-4DE8-AF42-DBDA61769953}"/>
    <cellStyle name="Normal 44 3 2 3 4 2" xfId="50844" xr:uid="{55B60343-CF7E-4016-A2D6-303D7F80FCD6}"/>
    <cellStyle name="Normal 44 3 2 3 5" xfId="50845" xr:uid="{CFDEA9C5-E77B-46E8-BFFE-B0295F9B4C35}"/>
    <cellStyle name="Normal 44 3 2 4" xfId="50846" xr:uid="{D275EB9D-2476-4625-90CA-0CBCBD259ED9}"/>
    <cellStyle name="Normal 44 3 2 4 2" xfId="30077" xr:uid="{3E7B7145-D9C8-480E-B9A8-4DFF570B34D7}"/>
    <cellStyle name="Normal 44 3 2 4 2 2" xfId="50847" xr:uid="{CF078849-39BC-4E2B-B3AA-95882904FA1E}"/>
    <cellStyle name="Normal 44 3 2 4 2 2 2" xfId="50848" xr:uid="{3F16FB5A-0169-46C9-A2A5-0F6605D76F20}"/>
    <cellStyle name="Normal 44 3 2 4 2 3" xfId="50849" xr:uid="{EC9D92D7-A2E4-4D42-8324-B17E18BF2EF4}"/>
    <cellStyle name="Normal 44 3 2 4 3" xfId="50850" xr:uid="{8D26A575-7EB4-44CD-BB89-D7A9670014E9}"/>
    <cellStyle name="Normal 44 3 2 4 3 2" xfId="50851" xr:uid="{7D5148AD-1930-46E2-9A36-1F2D37868FCD}"/>
    <cellStyle name="Normal 44 3 2 4 4" xfId="50852" xr:uid="{DD54685D-60CF-4541-9362-E8DAB5DE1385}"/>
    <cellStyle name="Normal 44 3 2 5" xfId="50853" xr:uid="{56FB2015-FD43-4ABE-A1BF-D388B3B100F1}"/>
    <cellStyle name="Normal 44 3 2 5 2" xfId="30086" xr:uid="{C6C9590A-279E-448B-A852-7C072E844B53}"/>
    <cellStyle name="Normal 44 3 2 5 2 2" xfId="50854" xr:uid="{BBB8C16C-BFD4-45EE-AF78-5CF7FEDC9D4A}"/>
    <cellStyle name="Normal 44 3 2 5 3" xfId="50855" xr:uid="{6C3CD944-BB90-4A3F-8F79-A179B91FBFC8}"/>
    <cellStyle name="Normal 44 3 2 6" xfId="50856" xr:uid="{E1BE8551-7483-4EBC-8F88-604DF45C4B8D}"/>
    <cellStyle name="Normal 44 3 2 6 2" xfId="32918" xr:uid="{FA1AE299-9B2F-4DDF-9610-B4FDADF8A9A6}"/>
    <cellStyle name="Normal 44 3 2 7" xfId="50857" xr:uid="{79582FE4-94B4-4C0D-AEE5-D0A13123C8B0}"/>
    <cellStyle name="Normal 44 3 2 8" xfId="50858" xr:uid="{4987480E-6FCB-4D66-8A3F-C28A1E3762FE}"/>
    <cellStyle name="Normal 44 3 3" xfId="50859" xr:uid="{B7DEA1BC-4BC1-46F4-94A8-791A1731BE05}"/>
    <cellStyle name="Normal 44 3 3 2" xfId="50860" xr:uid="{E8FF0F8D-DD10-4D28-8B38-430EF8A2424B}"/>
    <cellStyle name="Normal 44 3 3 2 2" xfId="38154" xr:uid="{3092184B-E0ED-4DC1-B493-3C7421F9B0B1}"/>
    <cellStyle name="Normal 44 3 3 2 2 2" xfId="50861" xr:uid="{9097CA49-F954-44AB-A17C-B3E26846F71C}"/>
    <cellStyle name="Normal 44 3 3 2 2 2 2" xfId="35280" xr:uid="{C1FA1377-5511-4AEB-B968-121E45C0C8CF}"/>
    <cellStyle name="Normal 44 3 3 2 2 2 2 2" xfId="50862" xr:uid="{5CDDBBDC-D1E5-4BCE-9459-1A3B8B283D1E}"/>
    <cellStyle name="Normal 44 3 3 2 2 2 3" xfId="35285" xr:uid="{76B3B03B-4D1E-415A-9E0C-2E1C7A4BCFFA}"/>
    <cellStyle name="Normal 44 3 3 2 2 3" xfId="50863" xr:uid="{3F5EB000-290C-4AAA-B10B-780B54C0716E}"/>
    <cellStyle name="Normal 44 3 3 2 2 3 2" xfId="50864" xr:uid="{559FD522-E758-4704-BBBF-60EF6FE1ED75}"/>
    <cellStyle name="Normal 44 3 3 2 2 4" xfId="50865" xr:uid="{182B29EE-7244-4304-A65E-99C397C6CCEF}"/>
    <cellStyle name="Normal 44 3 3 2 3" xfId="45037" xr:uid="{7BD609F4-F2D0-4550-A719-EF7BEACA31A6}"/>
    <cellStyle name="Normal 44 3 3 2 3 2" xfId="50866" xr:uid="{2C1CE10D-B2A0-448B-B9EA-175CA2AAF069}"/>
    <cellStyle name="Normal 44 3 3 2 3 2 2" xfId="50867" xr:uid="{E57188A5-34DD-41ED-AC25-B965AA061495}"/>
    <cellStyle name="Normal 44 3 3 2 3 3" xfId="50868" xr:uid="{716DD6FC-23BC-40FF-92DA-02E730E63F71}"/>
    <cellStyle name="Normal 44 3 3 2 4" xfId="50869" xr:uid="{00BFE9FD-0EBD-4871-9975-1C532DA55271}"/>
    <cellStyle name="Normal 44 3 3 2 4 2" xfId="50870" xr:uid="{C06CA3CC-A835-4925-BACF-851A896CD5F9}"/>
    <cellStyle name="Normal 44 3 3 2 5" xfId="50871" xr:uid="{61C2D152-2DE4-43D1-920D-85020EFA0B56}"/>
    <cellStyle name="Normal 44 3 3 3" xfId="50872" xr:uid="{740A8F55-977A-40ED-914A-8E6C57A4F8F1}"/>
    <cellStyle name="Normal 44 3 3 3 2" xfId="21746" xr:uid="{5B44A40F-146A-4739-97F2-8AEBF87BD177}"/>
    <cellStyle name="Normal 44 3 3 3 2 2" xfId="50873" xr:uid="{F62F3C19-4294-4161-9B9D-48574CB215C8}"/>
    <cellStyle name="Normal 44 3 3 3 2 2 2" xfId="50874" xr:uid="{702691BC-8F5E-401C-951E-AA21271E4B4A}"/>
    <cellStyle name="Normal 44 3 3 3 2 3" xfId="50875" xr:uid="{CC8EA9A3-877A-41E0-9D25-0B0C3B03EC10}"/>
    <cellStyle name="Normal 44 3 3 3 3" xfId="50876" xr:uid="{4B5572CD-853F-418A-8181-F565D1EFC86D}"/>
    <cellStyle name="Normal 44 3 3 3 3 2" xfId="50877" xr:uid="{2D40D9C4-D8C6-4B4E-AFC2-5A515F97436D}"/>
    <cellStyle name="Normal 44 3 3 3 4" xfId="50878" xr:uid="{AC7104D4-0462-4D95-9733-7A2D0D9AAD0E}"/>
    <cellStyle name="Normal 44 3 3 4" xfId="50879" xr:uid="{B10CDF3A-2D0F-4DA9-B7A8-29A1E2DFA7B4}"/>
    <cellStyle name="Normal 44 3 3 4 2" xfId="38182" xr:uid="{FC4944F0-C777-4C17-975F-3257E82F37D5}"/>
    <cellStyle name="Normal 44 3 3 4 2 2" xfId="50880" xr:uid="{A55BE25C-9469-4B63-B8D8-57628DE2BF89}"/>
    <cellStyle name="Normal 44 3 3 4 3" xfId="50881" xr:uid="{7E59C45F-296C-48E5-9381-04B1EE09D7BA}"/>
    <cellStyle name="Normal 44 3 3 5" xfId="50882" xr:uid="{09B1A791-658B-4B17-BAED-F5785EC28BDA}"/>
    <cellStyle name="Normal 44 3 3 5 2" xfId="38199" xr:uid="{EE259E11-D6F4-4BB2-A6EE-49402821514D}"/>
    <cellStyle name="Normal 44 3 3 6" xfId="50883" xr:uid="{B509E0A7-1AF9-443F-A03C-AB17E5D869D1}"/>
    <cellStyle name="Normal 44 3 3 7" xfId="50884" xr:uid="{746B7DC0-A04A-4B96-A6B6-0F83CC0C0539}"/>
    <cellStyle name="Normal 44 3 4" xfId="50885" xr:uid="{6B16718A-ACDF-4DFB-96F4-4B5CD9E9A6D9}"/>
    <cellStyle name="Normal 44 3 4 2" xfId="26543" xr:uid="{74AA3485-2DDC-4D64-9F13-B1BF0EED63CC}"/>
    <cellStyle name="Normal 44 3 4 2 2" xfId="50886" xr:uid="{439076EF-E74D-4A5B-9768-B332EE071E46}"/>
    <cellStyle name="Normal 44 3 4 2 2 2" xfId="50887" xr:uid="{5F7EDEBF-F2DB-430F-99BA-8A6770D9F1C0}"/>
    <cellStyle name="Normal 44 3 4 2 2 2 2" xfId="50888" xr:uid="{01138CEE-6CE0-49A5-A2D4-A0A718E9D1D6}"/>
    <cellStyle name="Normal 44 3 4 2 2 3" xfId="50889" xr:uid="{7F038929-D0D3-4327-BB9E-A42C35A0DE8F}"/>
    <cellStyle name="Normal 44 3 4 2 3" xfId="50890" xr:uid="{D03AC1B9-F5E3-4BC8-9F72-B10697FC5EBA}"/>
    <cellStyle name="Normal 44 3 4 2 3 2" xfId="50891" xr:uid="{CC204C82-49C0-4F1F-87D1-69B66831D09B}"/>
    <cellStyle name="Normal 44 3 4 2 4" xfId="50892" xr:uid="{B02DEC70-C355-4429-A935-98C929832AD1}"/>
    <cellStyle name="Normal 44 3 4 3" xfId="50893" xr:uid="{9CC0037E-40DC-4A59-B057-4322A9831765}"/>
    <cellStyle name="Normal 44 3 4 3 2" xfId="50894" xr:uid="{BDE1EB20-3F5B-4DC8-8570-E5A204E2B69E}"/>
    <cellStyle name="Normal 44 3 4 3 2 2" xfId="50895" xr:uid="{F7BDDFCA-1F73-4FA8-9F5F-BAC53D0CFDE0}"/>
    <cellStyle name="Normal 44 3 4 3 3" xfId="50896" xr:uid="{7F0027FC-2F32-4656-AACC-FD97FEB7F06E}"/>
    <cellStyle name="Normal 44 3 4 4" xfId="50897" xr:uid="{D547711E-3707-49F0-82E4-C70E3AB8600F}"/>
    <cellStyle name="Normal 44 3 4 4 2" xfId="50898" xr:uid="{F6DAE1B7-6561-4EC9-A994-00C6818247F1}"/>
    <cellStyle name="Normal 44 3 4 5" xfId="50899" xr:uid="{A51132DE-F928-4E0A-87C6-0FE36351A9E5}"/>
    <cellStyle name="Normal 44 3 5" xfId="50900" xr:uid="{C903E7CC-C3E5-4AEF-A69D-C0B87DCF2A60}"/>
    <cellStyle name="Normal 44 3 5 2" xfId="50901" xr:uid="{B2A8271D-3E22-416D-B221-55F7E86546A6}"/>
    <cellStyle name="Normal 44 3 5 2 2" xfId="50902" xr:uid="{F67638D9-082E-4A85-BE48-A9FF9D401418}"/>
    <cellStyle name="Normal 44 3 5 2 2 2" xfId="50903" xr:uid="{DAB96FBA-9448-4733-87E4-9666348C1FC6}"/>
    <cellStyle name="Normal 44 3 5 2 3" xfId="50904" xr:uid="{94C9AE12-800F-4642-8BFC-2E18F6BA048D}"/>
    <cellStyle name="Normal 44 3 5 3" xfId="50905" xr:uid="{1FB7643E-2115-40E1-B677-E6B985432A85}"/>
    <cellStyle name="Normal 44 3 5 3 2" xfId="50906" xr:uid="{4563F7EB-EB58-40A4-B2B4-C17409D9D6B7}"/>
    <cellStyle name="Normal 44 3 5 4" xfId="50907" xr:uid="{9AB2ACA0-C527-4B1F-9E1E-D7E887E5FD4F}"/>
    <cellStyle name="Normal 44 3 6" xfId="50908" xr:uid="{3FBB760A-1403-45C4-A4CB-E027A4D0C4BE}"/>
    <cellStyle name="Normal 44 3 6 2" xfId="50909" xr:uid="{ED4681E8-B3BC-473E-99C8-59BD191E8883}"/>
    <cellStyle name="Normal 44 3 6 2 2" xfId="50910" xr:uid="{4CF5C8DA-1340-4485-AD6A-D5E05D5D8671}"/>
    <cellStyle name="Normal 44 3 6 3" xfId="50911" xr:uid="{7021DD15-BBA8-4671-B21C-F53B68828F61}"/>
    <cellStyle name="Normal 44 3 7" xfId="50912" xr:uid="{DACB5C7F-0B0A-45D6-AEBF-CC8C59D6792B}"/>
    <cellStyle name="Normal 44 3 7 2" xfId="50913" xr:uid="{3D9B073A-6435-467A-A6A2-640DF9699A11}"/>
    <cellStyle name="Normal 44 3 8" xfId="50914" xr:uid="{B5445BF4-1C9D-4678-A1E5-250B2327A678}"/>
    <cellStyle name="Normal 44 3 9" xfId="50915" xr:uid="{A74BE73C-D61C-4664-9138-8F03B8588BDE}"/>
    <cellStyle name="Normal 44 4" xfId="49068" xr:uid="{8C15EE89-74F1-4F3A-8699-C983D956EEF9}"/>
    <cellStyle name="Normal 44 4 2" xfId="50916" xr:uid="{CB4B98EA-9B03-4959-A7CB-66A1CD3D4DD9}"/>
    <cellStyle name="Normal 44 4 2 2" xfId="50917" xr:uid="{14A3CFA0-F266-49C5-9DDC-30249AC0A074}"/>
    <cellStyle name="Normal 44 4 2 2 2" xfId="46065" xr:uid="{F63DD8B3-F94D-426A-B78C-4BD879DFA94F}"/>
    <cellStyle name="Normal 44 4 2 2 2 2" xfId="50918" xr:uid="{39B2ACA6-A67A-4CB4-A471-069E56261067}"/>
    <cellStyle name="Normal 44 4 2 2 2 2 2" xfId="50919" xr:uid="{D5BB526E-216B-4E5A-B592-FD36D6013FCB}"/>
    <cellStyle name="Normal 44 4 2 2 2 2 2 2" xfId="50920" xr:uid="{7718E870-8159-4D57-8AC5-EBC953A0F5C7}"/>
    <cellStyle name="Normal 44 4 2 2 2 2 3" xfId="21720" xr:uid="{48D84FC3-8086-462C-A48C-B118F5F7EBB9}"/>
    <cellStyle name="Normal 44 4 2 2 2 3" xfId="50921" xr:uid="{71E93797-1560-4FAE-82A1-89199BBE5F94}"/>
    <cellStyle name="Normal 44 4 2 2 2 3 2" xfId="50922" xr:uid="{C4F5C228-1BF7-4D85-8B0A-D63E6D5B7538}"/>
    <cellStyle name="Normal 44 4 2 2 2 4" xfId="50923" xr:uid="{C7904241-79D8-4C09-914E-A495B9F488D9}"/>
    <cellStyle name="Normal 44 4 2 2 3" xfId="46067" xr:uid="{C164B67A-661A-4C7C-A4BB-A7AB3D320D0C}"/>
    <cellStyle name="Normal 44 4 2 2 3 2" xfId="50924" xr:uid="{662E893F-7DC8-4A68-A01E-5876AA548229}"/>
    <cellStyle name="Normal 44 4 2 2 3 2 2" xfId="50925" xr:uid="{3D98C3AF-4F1A-4DC0-9967-62AD6F4AD91E}"/>
    <cellStyle name="Normal 44 4 2 2 3 3" xfId="50926" xr:uid="{3CA280D0-635E-45AD-B768-E341B1A3E988}"/>
    <cellStyle name="Normal 44 4 2 2 4" xfId="50927" xr:uid="{E2B8C09A-6F29-4927-B386-219436E4B27E}"/>
    <cellStyle name="Normal 44 4 2 2 4 2" xfId="50928" xr:uid="{85310A40-85FA-4717-8F13-190D3F5DF3DA}"/>
    <cellStyle name="Normal 44 4 2 2 5" xfId="50929" xr:uid="{86FC0FCD-0301-489C-958D-4084727E1162}"/>
    <cellStyle name="Normal 44 4 2 3" xfId="50930" xr:uid="{7A7C597B-6EA6-473F-AC65-1C877FD7DB0F}"/>
    <cellStyle name="Normal 44 4 2 3 2" xfId="50931" xr:uid="{525C35F0-1C7E-4429-88CD-6E3B2DF39870}"/>
    <cellStyle name="Normal 44 4 2 3 2 2" xfId="50932" xr:uid="{E00EC92F-B590-4326-BA8C-B5241F365018}"/>
    <cellStyle name="Normal 44 4 2 3 2 2 2" xfId="50933" xr:uid="{D01EE8CE-3472-4120-B797-93B55FD9AEA6}"/>
    <cellStyle name="Normal 44 4 2 3 2 3" xfId="50934" xr:uid="{3526968C-CE8F-47CF-8C7E-DAFAD1C95FB4}"/>
    <cellStyle name="Normal 44 4 2 3 3" xfId="50935" xr:uid="{BA5D9907-2A23-4492-8EE9-5E19761E7195}"/>
    <cellStyle name="Normal 44 4 2 3 3 2" xfId="50936" xr:uid="{7D192280-627E-4B50-B9D6-14779E53B3F2}"/>
    <cellStyle name="Normal 44 4 2 3 4" xfId="50937" xr:uid="{F5CD4D31-B239-429F-B86B-1052007B9601}"/>
    <cellStyle name="Normal 44 4 2 4" xfId="50938" xr:uid="{35CE4C4B-95E6-4B62-BD37-6361E2AA0BF7}"/>
    <cellStyle name="Normal 44 4 2 4 2" xfId="50939" xr:uid="{BCCD96CD-C609-4A74-B0F2-B31AFA05AE78}"/>
    <cellStyle name="Normal 44 4 2 4 2 2" xfId="50940" xr:uid="{4CBF64AC-A050-4103-AE3A-D695CE96EEA6}"/>
    <cellStyle name="Normal 44 4 2 4 3" xfId="50941" xr:uid="{35E70DE3-87B7-476A-AD24-82D0E3E85FE6}"/>
    <cellStyle name="Normal 44 4 2 5" xfId="50942" xr:uid="{D27AF4E7-A9BB-41D1-8889-D0FECD911AB5}"/>
    <cellStyle name="Normal 44 4 2 5 2" xfId="50943" xr:uid="{B081A96E-40B1-481D-94EB-EEEEB45B5874}"/>
    <cellStyle name="Normal 44 4 2 6" xfId="40716" xr:uid="{D6616350-BE54-434C-B23D-566015C8362F}"/>
    <cellStyle name="Normal 44 4 2 7" xfId="40719" xr:uid="{CBB5F17B-E343-41E2-8EF5-74758E092B42}"/>
    <cellStyle name="Normal 44 4 3" xfId="50944" xr:uid="{81F699F7-2FE8-4374-AF14-8F94BF3E001B}"/>
    <cellStyle name="Normal 44 4 3 2" xfId="50945" xr:uid="{786861D8-974A-4C89-93CB-D63E0D765D3C}"/>
    <cellStyle name="Normal 44 4 3 2 2" xfId="50946" xr:uid="{F13A8737-2AA0-47F0-9D4A-76C5B68666FF}"/>
    <cellStyle name="Normal 44 4 3 2 2 2" xfId="50947" xr:uid="{9BD0FA78-B9DA-4E61-B3F5-5BE1465C78C4}"/>
    <cellStyle name="Normal 44 4 3 2 2 2 2" xfId="50948" xr:uid="{BFD66E43-B0FD-498E-BFA0-E09F6B4D843F}"/>
    <cellStyle name="Normal 44 4 3 2 2 3" xfId="50949" xr:uid="{68907D38-247D-4177-A59A-3FB42E982EB2}"/>
    <cellStyle name="Normal 44 4 3 2 3" xfId="32240" xr:uid="{40A3081E-C916-4099-9CCA-F7F16A84C3BF}"/>
    <cellStyle name="Normal 44 4 3 2 3 2" xfId="50950" xr:uid="{59639989-DFCA-415D-B902-E7D69BDC5746}"/>
    <cellStyle name="Normal 44 4 3 2 4" xfId="32242" xr:uid="{D6DA156B-B0EA-42EA-9F76-86EAA70B22F9}"/>
    <cellStyle name="Normal 44 4 3 3" xfId="50951" xr:uid="{A46CA707-E1B9-460E-9B54-576B8C523A39}"/>
    <cellStyle name="Normal 44 4 3 3 2" xfId="50952" xr:uid="{EA905C80-8DCE-42C4-8C63-9016BF3C20B3}"/>
    <cellStyle name="Normal 44 4 3 3 2 2" xfId="50953" xr:uid="{E565C292-77EA-4E9A-888B-FDF540568187}"/>
    <cellStyle name="Normal 44 4 3 3 3" xfId="50954" xr:uid="{932C437A-7BC4-4518-A111-87C436F6A335}"/>
    <cellStyle name="Normal 44 4 3 4" xfId="50955" xr:uid="{A223B410-8E83-4918-A6E1-D9D1C43C92C4}"/>
    <cellStyle name="Normal 44 4 3 4 2" xfId="50956" xr:uid="{D8C22187-28B5-4934-8ECF-1238554D30ED}"/>
    <cellStyle name="Normal 44 4 3 5" xfId="50957" xr:uid="{4A1E26C0-5E75-45BC-991E-E346ABFB276D}"/>
    <cellStyle name="Normal 44 4 4" xfId="50958" xr:uid="{5CE16542-38B3-4E55-B73F-6711E0BEB9B1}"/>
    <cellStyle name="Normal 44 4 4 2" xfId="50960" xr:uid="{0D1C7A0B-5FBD-4892-9709-15A417E947F9}"/>
    <cellStyle name="Normal 44 4 4 2 2" xfId="50961" xr:uid="{E2EB24E0-48EB-46F8-ACB7-EE1C830D3398}"/>
    <cellStyle name="Normal 44 4 4 2 2 2" xfId="50962" xr:uid="{7A5C6972-A359-4E82-83C7-0BC0D7560D1A}"/>
    <cellStyle name="Normal 44 4 4 2 3" xfId="50963" xr:uid="{7DD4E554-3CE6-4A44-A43F-171A9644FA41}"/>
    <cellStyle name="Normal 44 4 4 3" xfId="50965" xr:uid="{E34F3952-C380-43CD-8302-CB0A269F9065}"/>
    <cellStyle name="Normal 44 4 4 3 2" xfId="50966" xr:uid="{D7498CB8-6EBE-4601-AFF4-D0737DF8D3C8}"/>
    <cellStyle name="Normal 44 4 4 4" xfId="50968" xr:uid="{BE5BE82C-0A87-4C2D-88B7-B405E5CD601A}"/>
    <cellStyle name="Normal 44 4 5" xfId="50969" xr:uid="{1429668D-1EE3-4D99-9771-21CE6BCB4D4F}"/>
    <cellStyle name="Normal 44 4 5 2" xfId="50970" xr:uid="{FBE5C930-84F1-43E2-9A89-83BF4B33A885}"/>
    <cellStyle name="Normal 44 4 5 2 2" xfId="50971" xr:uid="{EC2416C6-20B1-4639-809D-B38C0815DA17}"/>
    <cellStyle name="Normal 44 4 5 3" xfId="50972" xr:uid="{4A79A24D-36E3-4627-9147-FACAE706D2D3}"/>
    <cellStyle name="Normal 44 4 6" xfId="50973" xr:uid="{06534061-7C7E-466C-8FB9-29F74832D418}"/>
    <cellStyle name="Normal 44 4 6 2" xfId="50974" xr:uid="{4B2DB9BD-CF4C-49BF-8FEF-44E5148A14CC}"/>
    <cellStyle name="Normal 44 4 7" xfId="3663" xr:uid="{6F539C6D-975A-4528-8359-D58CD6E9FAE8}"/>
    <cellStyle name="Normal 44 4 8" xfId="3675" xr:uid="{4EAF3778-8D8C-4BB1-89DB-C2E5130F2407}"/>
    <cellStyle name="Normal 44 5" xfId="49758" xr:uid="{D3C46980-0C93-4AC6-A7F3-431545BD26F9}"/>
    <cellStyle name="Normal 44 5 2" xfId="50975" xr:uid="{B0506770-05C0-4ABE-BB2B-46C496BF5D58}"/>
    <cellStyle name="Normal 44 5 2 2" xfId="50976" xr:uid="{D10CBA68-1DC4-44FD-997C-F0D5416F3AA9}"/>
    <cellStyle name="Normal 44 5 2 2 2" xfId="50977" xr:uid="{4FAB8A0C-B0D2-42B1-80A0-DC7A161716DF}"/>
    <cellStyle name="Normal 44 5 2 2 2 2" xfId="50978" xr:uid="{4476EAFD-4C60-426F-8757-B6982599F6E4}"/>
    <cellStyle name="Normal 44 5 2 2 2 2 2" xfId="50979" xr:uid="{8093B918-8C0B-4DD4-970A-A6F3FFCBBE74}"/>
    <cellStyle name="Normal 44 5 2 2 2 3" xfId="50980" xr:uid="{10CCE35F-3183-4E2B-B4D4-BC48A11B7523}"/>
    <cellStyle name="Normal 44 5 2 2 3" xfId="50981" xr:uid="{59AE9891-1C6F-401A-89AE-AD7ADCE28511}"/>
    <cellStyle name="Normal 44 5 2 2 3 2" xfId="50982" xr:uid="{88AB58F0-E5EF-432C-B3CD-52393B487453}"/>
    <cellStyle name="Normal 44 5 2 2 4" xfId="50983" xr:uid="{1537899D-7082-4094-A747-4FDB5A84CD9C}"/>
    <cellStyle name="Normal 44 5 2 3" xfId="50984" xr:uid="{046A3CC1-6282-46D0-85EA-AD26FF42F628}"/>
    <cellStyle name="Normal 44 5 2 3 2" xfId="50985" xr:uid="{B29621AB-59B1-4C36-A2E2-9108EB171179}"/>
    <cellStyle name="Normal 44 5 2 3 2 2" xfId="50986" xr:uid="{2A55EB38-A2F7-463E-BF1D-37719319CFE1}"/>
    <cellStyle name="Normal 44 5 2 3 3" xfId="50987" xr:uid="{2CBA158F-3937-4A78-AABA-C30928C6D313}"/>
    <cellStyle name="Normal 44 5 2 4" xfId="50988" xr:uid="{0A14933B-4A41-49AC-8566-05301DB5C074}"/>
    <cellStyle name="Normal 44 5 2 4 2" xfId="50989" xr:uid="{39FA7DEB-3FD2-456A-BCFA-2F2DA7E9CF8F}"/>
    <cellStyle name="Normal 44 5 2 5" xfId="50990" xr:uid="{CA7ABB67-5909-41B7-8705-00F41E6812C9}"/>
    <cellStyle name="Normal 44 5 3" xfId="50991" xr:uid="{1A600AB2-6E75-4A14-B280-7F7FB6429DBC}"/>
    <cellStyle name="Normal 44 5 3 2" xfId="50992" xr:uid="{FE389978-5986-400B-82B6-1E4FB96162E9}"/>
    <cellStyle name="Normal 44 5 3 2 2" xfId="50993" xr:uid="{42F24D51-B9A2-4E0A-BBDE-F4619454B0E3}"/>
    <cellStyle name="Normal 44 5 3 2 2 2" xfId="50994" xr:uid="{DBF32D27-2D68-43EC-99B3-A78EC2DC732D}"/>
    <cellStyle name="Normal 44 5 3 2 3" xfId="50996" xr:uid="{A409DF62-1AF9-4347-958E-46B7C45A466F}"/>
    <cellStyle name="Normal 44 5 3 3" xfId="50997" xr:uid="{4E39F758-EE43-4628-B3E5-271B1C764128}"/>
    <cellStyle name="Normal 44 5 3 3 2" xfId="50998" xr:uid="{3F013DA8-E8B2-4886-BE3A-3DA4DA437E42}"/>
    <cellStyle name="Normal 44 5 3 4" xfId="50999" xr:uid="{745BA73E-678F-4CA4-9B91-6258E9A9DA90}"/>
    <cellStyle name="Normal 44 5 4" xfId="51000" xr:uid="{44F0A1CD-561F-4E25-B405-8E8B3261B106}"/>
    <cellStyle name="Normal 44 5 4 2" xfId="51001" xr:uid="{5BDAF73F-EFCF-4700-956C-C73DB9FB0612}"/>
    <cellStyle name="Normal 44 5 4 2 2" xfId="51002" xr:uid="{413F3CA5-FE8D-4B02-ABCA-13422320BFB6}"/>
    <cellStyle name="Normal 44 5 4 3" xfId="51003" xr:uid="{0E2AF84C-AE94-49BA-B242-CA32CDCF3902}"/>
    <cellStyle name="Normal 44 5 5" xfId="51004" xr:uid="{197D2B8E-DADE-494E-8055-6CFF13DD3640}"/>
    <cellStyle name="Normal 44 5 5 2" xfId="51005" xr:uid="{A0915ACD-50C6-4B18-966B-898037979925}"/>
    <cellStyle name="Normal 44 5 6" xfId="51006" xr:uid="{A56CB0B4-8BB1-44D5-84F3-ADB73DB1D38D}"/>
    <cellStyle name="Normal 44 5 7" xfId="1816" xr:uid="{7F52186F-07F1-4AF4-87C7-ED19E40EFEF1}"/>
    <cellStyle name="Normal 44 6" xfId="51007" xr:uid="{D637CAE8-284D-43D7-9949-254B1684F97F}"/>
    <cellStyle name="Normal 44 6 2" xfId="51008" xr:uid="{2AA8A40D-E5FC-4E2A-9C4A-8E1A73A74851}"/>
    <cellStyle name="Normal 44 6 2 2" xfId="51009" xr:uid="{1037F693-3036-4C66-B4E3-DB4D6E43668B}"/>
    <cellStyle name="Normal 44 6 2 2 2" xfId="51010" xr:uid="{D57224D4-2262-482E-816E-6CE910281368}"/>
    <cellStyle name="Normal 44 6 2 2 2 2" xfId="51011" xr:uid="{676C740C-E835-43F5-B299-E8A4DBE563B7}"/>
    <cellStyle name="Normal 44 6 2 2 3" xfId="51012" xr:uid="{9CADDDC7-46DE-4BF3-B64D-9782D2F5D8B2}"/>
    <cellStyle name="Normal 44 6 2 3" xfId="51013" xr:uid="{AE4BF6C1-6492-476D-80BA-34B6BD3EC52C}"/>
    <cellStyle name="Normal 44 6 2 3 2" xfId="51014" xr:uid="{6865C851-B84D-49B4-A2FC-1BFC76F5E840}"/>
    <cellStyle name="Normal 44 6 2 4" xfId="41534" xr:uid="{DC2CB12A-C0DB-4A50-A6E9-B34D4AB72D2B}"/>
    <cellStyle name="Normal 44 6 3" xfId="51015" xr:uid="{A45BC22C-5287-4AEC-8D50-457DEE7DAE9E}"/>
    <cellStyle name="Normal 44 6 3 2" xfId="51016" xr:uid="{15767CF8-DF1A-4076-8F8E-71C7D39815C9}"/>
    <cellStyle name="Normal 44 6 3 2 2" xfId="51017" xr:uid="{5018F332-79F3-4F0C-90D1-15BA7FA6F726}"/>
    <cellStyle name="Normal 44 6 3 3" xfId="51018" xr:uid="{F071E30D-FADF-4028-AA91-CCD240D9E193}"/>
    <cellStyle name="Normal 44 6 4" xfId="51019" xr:uid="{D02BEC7F-321D-4C7F-AA02-E515BAC0BD1B}"/>
    <cellStyle name="Normal 44 6 4 2" xfId="51020" xr:uid="{BF77543C-1D07-4F15-A75B-85E0DDBEC9CC}"/>
    <cellStyle name="Normal 44 6 5" xfId="51021" xr:uid="{751FFD46-79CD-4D2B-B38A-84604FAEE2A3}"/>
    <cellStyle name="Normal 44 7" xfId="51022" xr:uid="{8F919422-F20D-4FDD-A5E9-6E8366F650C3}"/>
    <cellStyle name="Normal 44 7 2" xfId="51023" xr:uid="{CC817765-86E0-4322-9C73-58DA43BB7873}"/>
    <cellStyle name="Normal 44 7 2 2" xfId="51024" xr:uid="{A0C683DC-AC10-4D3F-9135-7121538DAD2A}"/>
    <cellStyle name="Normal 44 7 2 2 2" xfId="51025" xr:uid="{CC7BC157-F30C-4E33-95F0-DD2FFE6738DE}"/>
    <cellStyle name="Normal 44 7 2 3" xfId="51026" xr:uid="{C31AFE23-4639-47D9-8BF8-91E974067DE9}"/>
    <cellStyle name="Normal 44 7 3" xfId="51027" xr:uid="{E0FE3EA4-96CD-43DD-958A-4E4D4D6356AD}"/>
    <cellStyle name="Normal 44 7 3 2" xfId="51028" xr:uid="{B45A80C6-FD63-4C4A-8FFE-E12C6EF73A1F}"/>
    <cellStyle name="Normal 44 7 4" xfId="51029" xr:uid="{14CE4954-817A-4562-83AE-ED35362831EA}"/>
    <cellStyle name="Normal 44 8" xfId="51030" xr:uid="{A812594B-FA0B-4C90-A751-CFC58BF1032D}"/>
    <cellStyle name="Normal 44 8 2" xfId="51031" xr:uid="{3BB83D47-38CB-4CBB-B79C-717C35BA192C}"/>
    <cellStyle name="Normal 44 8 2 2" xfId="51032" xr:uid="{FF30C6D9-95F0-4164-B7CB-42289236FF99}"/>
    <cellStyle name="Normal 44 8 3" xfId="51033" xr:uid="{067850B2-7B28-40F4-9DDF-F77C5C2E8B93}"/>
    <cellStyle name="Normal 44 9" xfId="51034" xr:uid="{5547A6F0-1443-4ED3-9F45-DCA7888967FC}"/>
    <cellStyle name="Normal 44 9 2" xfId="51035" xr:uid="{FC75EAB9-4A50-4D63-B0F7-A1ED5F68470D}"/>
    <cellStyle name="Normal 440" xfId="49710" xr:uid="{E7AA0F89-099F-4AA4-9529-C705BA3BE777}"/>
    <cellStyle name="Normal 440 2" xfId="49714" xr:uid="{A0241A4F-0D20-488F-B974-A3D88973950A}"/>
    <cellStyle name="Normal 441" xfId="49718" xr:uid="{6E12C896-8576-4852-9511-5CBCB3BC3E3F}"/>
    <cellStyle name="Normal 441 2" xfId="49722" xr:uid="{0EAE1B17-D8E9-4C25-91B6-7F085A78A8C3}"/>
    <cellStyle name="Normal 442" xfId="49727" xr:uid="{E0708310-D3DA-4D80-80C0-3D5B85BCE542}"/>
    <cellStyle name="Normal 442 2" xfId="49732" xr:uid="{1812A3AB-CA92-457F-B49B-7995C2A7BDB1}"/>
    <cellStyle name="Normal 443" xfId="49737" xr:uid="{67DA73B0-5FB1-4661-B2A4-76370A0E6C11}"/>
    <cellStyle name="Normal 443 2" xfId="49742" xr:uid="{4144BC46-2CE4-47E4-A9AA-189F108605CD}"/>
    <cellStyle name="Normal 444" xfId="49747" xr:uid="{F2B98BC1-1927-4C80-9DE1-5C8B7B52E4BC}"/>
    <cellStyle name="Normal 444 2" xfId="49752" xr:uid="{6A19749B-4D55-4B0F-81E5-9DA1D1CBD2EF}"/>
    <cellStyle name="Normal 445" xfId="49763" xr:uid="{D4E83A96-B00A-4489-AA38-366017256AAB}"/>
    <cellStyle name="Normal 445 2" xfId="49768" xr:uid="{DDC171AF-8251-48FC-8306-66E6720D755B}"/>
    <cellStyle name="Normal 446" xfId="49773" xr:uid="{B737DE2B-9959-42C5-B564-862F46E46CDC}"/>
    <cellStyle name="Normal 446 2" xfId="49778" xr:uid="{059F23E5-E06E-4DAC-BBDD-C57A4109AA7B}"/>
    <cellStyle name="Normal 447" xfId="28476" xr:uid="{46181AC7-1E18-4556-8D8E-0FDD0EA2DEBE}"/>
    <cellStyle name="Normal 447 2" xfId="28483" xr:uid="{431E6071-9480-4DB8-ADB9-A298A811552B}"/>
    <cellStyle name="Normal 448" xfId="13943" xr:uid="{597C585B-3177-4C4A-B9C6-D3CC7E4F82DC}"/>
    <cellStyle name="Normal 448 2" xfId="13953" xr:uid="{265CA071-1A67-44EB-BAB5-A21ED0A48DD7}"/>
    <cellStyle name="Normal 449" xfId="9624" xr:uid="{9BA53327-18CC-4E71-8B8A-45A5BDEA7A3F}"/>
    <cellStyle name="Normal 449 2" xfId="7663" xr:uid="{1B231B11-0A18-45CD-ABB4-7EB1B5C35D6D}"/>
    <cellStyle name="Normal 45" xfId="51037" xr:uid="{08A4FD8E-D438-4AE2-92FD-F684C574A989}"/>
    <cellStyle name="Normal 45 10" xfId="51038" xr:uid="{21F3380A-7524-4C29-A1A2-B6AB87DF1A72}"/>
    <cellStyle name="Normal 45 11" xfId="51039" xr:uid="{AD54BE1A-6661-4189-86BC-1132B47F2FD6}"/>
    <cellStyle name="Normal 45 12" xfId="51040" xr:uid="{3DF3870D-30F1-4D3D-B00B-EEC3880F1DC6}"/>
    <cellStyle name="Normal 45 2" xfId="48083" xr:uid="{4C9767A2-BED2-4273-96E5-164ABDB70F0F}"/>
    <cellStyle name="Normal 45 2 10" xfId="51041" xr:uid="{23272EF1-45E3-4CD0-866E-1F99C54ABC0C}"/>
    <cellStyle name="Normal 45 2 11" xfId="51042" xr:uid="{CDD6DB82-1099-4382-9ED1-F31F7B75FC63}"/>
    <cellStyle name="Normal 45 2 12" xfId="51043" xr:uid="{F703DA57-C90C-4A07-AC8E-BD1159545AE7}"/>
    <cellStyle name="Normal 45 2 2" xfId="49076" xr:uid="{DAA45323-7DCF-4A10-BCE2-DD63797534AA}"/>
    <cellStyle name="Normal 45 2 2 10" xfId="51044" xr:uid="{42C1E93B-0A34-4B4F-98BC-49014BCED356}"/>
    <cellStyle name="Normal 45 2 2 2" xfId="51046" xr:uid="{7B6ABFEB-5444-4B39-A4A1-E6AFD76F7C75}"/>
    <cellStyle name="Normal 45 2 2 2 2" xfId="51047" xr:uid="{10AFFBC1-52C0-43FA-873C-9AC69664F92B}"/>
    <cellStyle name="Normal 45 2 2 2 2 2" xfId="51048" xr:uid="{91B87770-39E8-48D8-BAB1-2F6314A97178}"/>
    <cellStyle name="Normal 45 2 2 2 2 2 2" xfId="51049" xr:uid="{57CB0CCD-4707-4EE9-B269-E80D82A06610}"/>
    <cellStyle name="Normal 45 2 2 2 2 2 2 2" xfId="51050" xr:uid="{9CB9FA3B-B820-41C8-BF99-238A692E46E1}"/>
    <cellStyle name="Normal 45 2 2 2 2 2 2 2 2" xfId="51051" xr:uid="{04BBA2CE-4257-4173-ADB7-983CC264D6F4}"/>
    <cellStyle name="Normal 45 2 2 2 2 2 2 2 2 2" xfId="51052" xr:uid="{01969A83-D8D4-418B-9270-53B9996F127E}"/>
    <cellStyle name="Normal 45 2 2 2 2 2 2 2 3" xfId="51053" xr:uid="{97411B6A-D93C-4563-8265-E2DD243ED269}"/>
    <cellStyle name="Normal 45 2 2 2 2 2 2 3" xfId="51054" xr:uid="{F1893E9A-D9AB-4930-A923-3FC0077EE8F7}"/>
    <cellStyle name="Normal 45 2 2 2 2 2 2 3 2" xfId="51055" xr:uid="{3B8880BB-BFA9-43CF-9DF6-190FFD008D27}"/>
    <cellStyle name="Normal 45 2 2 2 2 2 2 4" xfId="51056" xr:uid="{7A376917-7A95-4EC6-ADD8-FAD84C29CDC1}"/>
    <cellStyle name="Normal 45 2 2 2 2 2 3" xfId="4048" xr:uid="{180F8ECA-BCA3-4DD3-9136-18A47CDD51A1}"/>
    <cellStyle name="Normal 45 2 2 2 2 2 3 2" xfId="5293" xr:uid="{59F32E68-1185-43A8-AD29-2238A8CDDA35}"/>
    <cellStyle name="Normal 45 2 2 2 2 2 3 2 2" xfId="51057" xr:uid="{00707FF0-95EE-4A28-AE03-F34C0C01EB8C}"/>
    <cellStyle name="Normal 45 2 2 2 2 2 3 3" xfId="51058" xr:uid="{E8976BB4-EDCE-43B6-84EC-E51576F25C65}"/>
    <cellStyle name="Normal 45 2 2 2 2 2 4" xfId="5303" xr:uid="{41836063-D9AD-4B78-A6B6-CD6C50A08604}"/>
    <cellStyle name="Normal 45 2 2 2 2 2 4 2" xfId="51059" xr:uid="{14DDD117-AA92-4626-A1C6-AA57D3605F80}"/>
    <cellStyle name="Normal 45 2 2 2 2 2 5" xfId="51060" xr:uid="{D3064DAC-505F-4D16-8B1B-211B76747EC6}"/>
    <cellStyle name="Normal 45 2 2 2 2 3" xfId="51061" xr:uid="{DC823CD2-44D5-407A-A5E6-16DECD46EF24}"/>
    <cellStyle name="Normal 45 2 2 2 2 3 2" xfId="51062" xr:uid="{3AB5D8C2-FCE0-4094-B338-C5C51803E99E}"/>
    <cellStyle name="Normal 45 2 2 2 2 3 2 2" xfId="51063" xr:uid="{223A9650-6913-41C4-8E7F-4FCF88E12679}"/>
    <cellStyle name="Normal 45 2 2 2 2 3 2 2 2" xfId="51064" xr:uid="{0CCAF9CB-3641-4561-BA27-1997B8C9EAA4}"/>
    <cellStyle name="Normal 45 2 2 2 2 3 2 3" xfId="51065" xr:uid="{8C9A0ED1-CCAA-4AA7-9BE7-733BAA856CE0}"/>
    <cellStyle name="Normal 45 2 2 2 2 3 3" xfId="4411" xr:uid="{313CCDCF-C8CC-454D-AAE7-789C5EB6FEA5}"/>
    <cellStyle name="Normal 45 2 2 2 2 3 3 2" xfId="51066" xr:uid="{B66C70BC-E833-4378-9616-7897B6129459}"/>
    <cellStyle name="Normal 45 2 2 2 2 3 4" xfId="51067" xr:uid="{C0342F6A-BE25-4D40-B5CE-F578DE57EBE0}"/>
    <cellStyle name="Normal 45 2 2 2 2 4" xfId="51068" xr:uid="{8BA154C6-82B1-40B3-8D81-CB4F219CA0DC}"/>
    <cellStyle name="Normal 45 2 2 2 2 4 2" xfId="51069" xr:uid="{AAF02B3C-E2F1-4F9A-A73C-58B3CAD8C331}"/>
    <cellStyle name="Normal 45 2 2 2 2 4 2 2" xfId="51070" xr:uid="{F6BB9DDA-1076-41B6-B4A3-4609E415D694}"/>
    <cellStyle name="Normal 45 2 2 2 2 4 3" xfId="51071" xr:uid="{1E12F409-7345-4A45-BC44-AADA11AA4D19}"/>
    <cellStyle name="Normal 45 2 2 2 2 5" xfId="51072" xr:uid="{903CC6EB-6738-4CE6-988F-267E447AEB14}"/>
    <cellStyle name="Normal 45 2 2 2 2 5 2" xfId="32562" xr:uid="{B44A40E2-5605-40BC-B7AE-C8CB39CC6B0F}"/>
    <cellStyle name="Normal 45 2 2 2 2 6" xfId="51073" xr:uid="{D2077F94-F92B-4628-961D-D41B0FF9924D}"/>
    <cellStyle name="Normal 45 2 2 2 2 7" xfId="51074" xr:uid="{2F98162E-FAE7-4427-959D-D8422CBB4B90}"/>
    <cellStyle name="Normal 45 2 2 2 3" xfId="51075" xr:uid="{D9BBFFBD-6A7A-46CB-9BAE-2940CB93E416}"/>
    <cellStyle name="Normal 45 2 2 2 3 2" xfId="51076" xr:uid="{4F7A0F46-9E86-43C2-BE29-4E87CBD945F2}"/>
    <cellStyle name="Normal 45 2 2 2 3 2 2" xfId="51077" xr:uid="{F231CF19-A54C-4AD1-80DA-B28B94B9F3FB}"/>
    <cellStyle name="Normal 45 2 2 2 3 2 2 2" xfId="51078" xr:uid="{C0AFE1FF-3D37-464E-A532-70FA9B0430DF}"/>
    <cellStyle name="Normal 45 2 2 2 3 2 2 2 2" xfId="51079" xr:uid="{FA98307C-185B-45F9-9F74-D9EEF671EA4D}"/>
    <cellStyle name="Normal 45 2 2 2 3 2 2 3" xfId="51080" xr:uid="{BBDE3074-2E2A-44B0-B30C-82A75D83647A}"/>
    <cellStyle name="Normal 45 2 2 2 3 2 3" xfId="5311" xr:uid="{813A36D4-5986-4637-A8A7-711EDF32A1BF}"/>
    <cellStyle name="Normal 45 2 2 2 3 2 3 2" xfId="51081" xr:uid="{0644291B-7A4F-4372-B92C-BC1F50452E07}"/>
    <cellStyle name="Normal 45 2 2 2 3 2 4" xfId="51082" xr:uid="{38554C80-81FF-4FD8-AC25-C432FC23FF33}"/>
    <cellStyle name="Normal 45 2 2 2 3 3" xfId="51083" xr:uid="{ECDB2525-07FD-4C96-BB03-704F8A5350BC}"/>
    <cellStyle name="Normal 45 2 2 2 3 3 2" xfId="51084" xr:uid="{2EBB9CCC-2674-4B8E-B979-5BCBF26DBE60}"/>
    <cellStyle name="Normal 45 2 2 2 3 3 2 2" xfId="51085" xr:uid="{36B113DE-70DA-472F-A93E-69B30D874746}"/>
    <cellStyle name="Normal 45 2 2 2 3 3 3" xfId="51086" xr:uid="{C4C9BB98-FD5D-456D-9845-E25C5DB2B433}"/>
    <cellStyle name="Normal 45 2 2 2 3 4" xfId="51087" xr:uid="{CB3ACDFD-68B9-43B2-989A-2B7A58CD4F57}"/>
    <cellStyle name="Normal 45 2 2 2 3 4 2" xfId="51088" xr:uid="{EF6BB1AD-785B-4DB1-9BE0-7716B234EAFC}"/>
    <cellStyle name="Normal 45 2 2 2 3 5" xfId="51089" xr:uid="{85FDEB93-612B-4B0C-8F91-EE2D77798037}"/>
    <cellStyle name="Normal 45 2 2 2 4" xfId="51090" xr:uid="{AEEC12D9-585A-42A0-A73D-D41EBD33C5EA}"/>
    <cellStyle name="Normal 45 2 2 2 4 2" xfId="51091" xr:uid="{160A408C-5563-4175-94A5-B8B347CFE1DA}"/>
    <cellStyle name="Normal 45 2 2 2 4 2 2" xfId="12741" xr:uid="{F6000275-DC28-4951-9644-AD020767F74C}"/>
    <cellStyle name="Normal 45 2 2 2 4 2 2 2" xfId="12743" xr:uid="{393B2B0B-E3CC-41FA-BE51-E9B388C043BB}"/>
    <cellStyle name="Normal 45 2 2 2 4 2 3" xfId="12747" xr:uid="{40A1A73F-DC7E-495E-B2F7-D43B3EA6D688}"/>
    <cellStyle name="Normal 45 2 2 2 4 3" xfId="51092" xr:uid="{C4CF22F3-FE4D-43E6-86B0-2CC3A20FDBF1}"/>
    <cellStyle name="Normal 45 2 2 2 4 3 2" xfId="12752" xr:uid="{E9A2ACBE-5DFE-4D51-929F-A54FDBDEE90D}"/>
    <cellStyle name="Normal 45 2 2 2 4 4" xfId="51093" xr:uid="{C607C96E-F160-4EF7-AF89-4446E48F5C2A}"/>
    <cellStyle name="Normal 45 2 2 2 5" xfId="51094" xr:uid="{AD462129-250E-49BC-AF07-84A820592092}"/>
    <cellStyle name="Normal 45 2 2 2 5 2" xfId="51095" xr:uid="{DAA01E47-C259-40C9-8A48-E07550F0994F}"/>
    <cellStyle name="Normal 45 2 2 2 5 2 2" xfId="12766" xr:uid="{D9E859EF-7D23-40FA-B59C-3AADF659676E}"/>
    <cellStyle name="Normal 45 2 2 2 5 3" xfId="51096" xr:uid="{4E3FBBCF-17B0-49EA-BE44-FAE813F43B84}"/>
    <cellStyle name="Normal 45 2 2 2 6" xfId="37681" xr:uid="{25D77229-A6C1-4F6B-ADD6-DB151B989B03}"/>
    <cellStyle name="Normal 45 2 2 2 6 2" xfId="37683" xr:uid="{4819F668-3771-4E8D-8EDD-47FB72E299C7}"/>
    <cellStyle name="Normal 45 2 2 2 7" xfId="37685" xr:uid="{83B8504E-724A-4E83-806C-DA764EBA29A7}"/>
    <cellStyle name="Normal 45 2 2 2 8" xfId="51097" xr:uid="{93848BC7-BCE1-4BF3-9361-D3D04B64DB16}"/>
    <cellStyle name="Normal 45 2 2 3" xfId="51098" xr:uid="{CBDE112C-07F0-4505-BD30-5D404D5E720D}"/>
    <cellStyle name="Normal 45 2 2 3 2" xfId="51099" xr:uid="{68D79680-D382-45D1-9DF6-C67F63979987}"/>
    <cellStyle name="Normal 45 2 2 3 2 2" xfId="51100" xr:uid="{C4967029-2012-48B4-ABB1-18949128E6AD}"/>
    <cellStyle name="Normal 45 2 2 3 2 2 2" xfId="51101" xr:uid="{F494952A-9C59-4311-BC4F-30A0DAF2202E}"/>
    <cellStyle name="Normal 45 2 2 3 2 2 2 2" xfId="51102" xr:uid="{B1EC0423-DD44-4F64-A8D2-D1D38A7D7C94}"/>
    <cellStyle name="Normal 45 2 2 3 2 2 2 2 2" xfId="51103" xr:uid="{1E445093-304A-4838-89C8-F7BE374DC249}"/>
    <cellStyle name="Normal 45 2 2 3 2 2 2 3" xfId="51104" xr:uid="{271E00B4-C118-46BF-9882-DD78F66CACE1}"/>
    <cellStyle name="Normal 45 2 2 3 2 2 3" xfId="5336" xr:uid="{F5863843-8A79-49DE-962E-11ECA6E0F922}"/>
    <cellStyle name="Normal 45 2 2 3 2 2 3 2" xfId="51105" xr:uid="{A7C911BC-81FB-43E2-B5D2-9708ADBF214A}"/>
    <cellStyle name="Normal 45 2 2 3 2 2 4" xfId="51106" xr:uid="{7FADAAF3-1052-49BF-87B1-7EC766214F67}"/>
    <cellStyle name="Normal 45 2 2 3 2 3" xfId="51107" xr:uid="{BF14CABD-50D3-4C91-A595-57C6B752B501}"/>
    <cellStyle name="Normal 45 2 2 3 2 3 2" xfId="51108" xr:uid="{EF6426BB-63E7-4298-8FEB-C6152EEE2706}"/>
    <cellStyle name="Normal 45 2 2 3 2 3 2 2" xfId="27814" xr:uid="{3C60AE30-35E4-4DBA-93B3-C1DF8E89494C}"/>
    <cellStyle name="Normal 45 2 2 3 2 3 3" xfId="51109" xr:uid="{323F252E-D32B-42C7-9531-9FC3DBECA41F}"/>
    <cellStyle name="Normal 45 2 2 3 2 4" xfId="51110" xr:uid="{11EB4D89-9A36-4D47-9C44-7E9739195635}"/>
    <cellStyle name="Normal 45 2 2 3 2 4 2" xfId="51111" xr:uid="{03A8F047-0504-4EDF-9F10-45E501189A6E}"/>
    <cellStyle name="Normal 45 2 2 3 2 5" xfId="51112" xr:uid="{829C3CEF-1ACF-4B30-B5F8-15708D76922A}"/>
    <cellStyle name="Normal 45 2 2 3 3" xfId="51113" xr:uid="{8CFC57B0-7B3C-4C65-A905-79D195E40753}"/>
    <cellStyle name="Normal 45 2 2 3 3 2" xfId="51114" xr:uid="{8ECA0EEF-A790-4F37-A02E-CFE4336665D6}"/>
    <cellStyle name="Normal 45 2 2 3 3 2 2" xfId="51115" xr:uid="{A35EF49E-A670-4097-B2D6-0FBCAA3D8764}"/>
    <cellStyle name="Normal 45 2 2 3 3 2 2 2" xfId="51116" xr:uid="{A30DC30B-6AD0-44A3-BD0B-C7B73D7170BB}"/>
    <cellStyle name="Normal 45 2 2 3 3 2 3" xfId="51117" xr:uid="{83341F1B-D005-4C5C-AB63-E4EA9D2DF94D}"/>
    <cellStyle name="Normal 45 2 2 3 3 3" xfId="51118" xr:uid="{2B21DC1B-BAD1-4BD4-9617-E93A2C77009B}"/>
    <cellStyle name="Normal 45 2 2 3 3 3 2" xfId="51119" xr:uid="{CA624C02-CDEE-478C-A24F-B722C2B6DAF3}"/>
    <cellStyle name="Normal 45 2 2 3 3 4" xfId="51120" xr:uid="{70CADF86-32B7-4479-A38F-DCCA7906F230}"/>
    <cellStyle name="Normal 45 2 2 3 4" xfId="51121" xr:uid="{36D022B0-A69D-4F57-B651-DEDA868DD1A4}"/>
    <cellStyle name="Normal 45 2 2 3 4 2" xfId="51122" xr:uid="{C0DC5120-8FF7-41E8-B929-EB19402970CD}"/>
    <cellStyle name="Normal 45 2 2 3 4 2 2" xfId="12790" xr:uid="{507AB33A-7F7F-466D-93C1-E6D9642ACD22}"/>
    <cellStyle name="Normal 45 2 2 3 4 3" xfId="51123" xr:uid="{9704BABD-CECD-4FDD-9509-AFD6F9988E5F}"/>
    <cellStyle name="Normal 45 2 2 3 5" xfId="51124" xr:uid="{B6736BD0-8EFC-4073-B7A2-662D8663A561}"/>
    <cellStyle name="Normal 45 2 2 3 5 2" xfId="51125" xr:uid="{657FC00D-CD23-4F34-85B3-0C6E66E85DF1}"/>
    <cellStyle name="Normal 45 2 2 3 6" xfId="37688" xr:uid="{ADAA4132-2CB0-468B-A7E4-C3DCF1D0FB38}"/>
    <cellStyle name="Normal 45 2 2 3 7" xfId="51126" xr:uid="{A394414F-085A-46CA-B499-2B98455715BA}"/>
    <cellStyle name="Normal 45 2 2 4" xfId="51127" xr:uid="{5A5526BF-76F9-4EF1-87DC-FED8EC40AB75}"/>
    <cellStyle name="Normal 45 2 2 4 2" xfId="51128" xr:uid="{D6AF6BE0-DCE5-4114-8E49-415D070D9F21}"/>
    <cellStyle name="Normal 45 2 2 4 2 2" xfId="51129" xr:uid="{0EB0FEC7-6C23-4F4D-92E6-1923DB5636B6}"/>
    <cellStyle name="Normal 45 2 2 4 2 2 2" xfId="51130" xr:uid="{399712EE-DB53-46CA-980D-7B3D96AB2210}"/>
    <cellStyle name="Normal 45 2 2 4 2 2 2 2" xfId="51131" xr:uid="{18BC702B-5C40-4D9A-BD20-0FD6C4CC4F82}"/>
    <cellStyle name="Normal 45 2 2 4 2 2 3" xfId="51132" xr:uid="{59D5CDBA-3F09-42AB-B34D-60BDA309D4A8}"/>
    <cellStyle name="Normal 45 2 2 4 2 3" xfId="51133" xr:uid="{CAA0BFA1-AAD1-4606-94E0-F8D27B34BAD1}"/>
    <cellStyle name="Normal 45 2 2 4 2 3 2" xfId="51134" xr:uid="{AB1D22A5-8562-4371-801B-86BA0627E2A3}"/>
    <cellStyle name="Normal 45 2 2 4 2 4" xfId="51135" xr:uid="{E260BDFB-17CF-4D27-B096-56164CF29692}"/>
    <cellStyle name="Normal 45 2 2 4 3" xfId="51136" xr:uid="{759C5062-EFA5-49AE-A4F5-53862F5484F4}"/>
    <cellStyle name="Normal 45 2 2 4 3 2" xfId="51137" xr:uid="{42EF3EA5-8A96-4111-BCB4-BF7BFFD58FF3}"/>
    <cellStyle name="Normal 45 2 2 4 3 2 2" xfId="51138" xr:uid="{CD826D5F-DCF2-4FCA-9298-301D2ED9309E}"/>
    <cellStyle name="Normal 45 2 2 4 3 3" xfId="51139" xr:uid="{FFF7E739-4614-4B25-9DA5-3C3FB7896D58}"/>
    <cellStyle name="Normal 45 2 2 4 4" xfId="51140" xr:uid="{E4E2265A-312B-4FA2-8071-6AECF611CE0C}"/>
    <cellStyle name="Normal 45 2 2 4 4 2" xfId="51141" xr:uid="{BE7955AE-AE74-4E1C-8732-0B2406C6241E}"/>
    <cellStyle name="Normal 45 2 2 4 5" xfId="51142" xr:uid="{B7FD90D9-08AF-47A9-B367-4177B3B4BD93}"/>
    <cellStyle name="Normal 45 2 2 5" xfId="51143" xr:uid="{540DE6ED-C34D-4C76-805D-69E6B8EF93B3}"/>
    <cellStyle name="Normal 45 2 2 5 2" xfId="51144" xr:uid="{90CF6DA9-8DAA-47DB-9D2B-6503C133B94C}"/>
    <cellStyle name="Normal 45 2 2 5 2 2" xfId="51145" xr:uid="{BB17C266-FD4D-4EB2-81C1-526256AC86E7}"/>
    <cellStyle name="Normal 45 2 2 5 2 2 2" xfId="51146" xr:uid="{03B0F4C9-A8D3-4D6C-BCB1-BC78958E87DD}"/>
    <cellStyle name="Normal 45 2 2 5 2 3" xfId="51147" xr:uid="{E42B85C6-08AC-4DB0-ADB6-AC2C57A5D538}"/>
    <cellStyle name="Normal 45 2 2 5 3" xfId="51148" xr:uid="{D01A027F-0327-4342-BB34-B0CD0AF7FEB2}"/>
    <cellStyle name="Normal 45 2 2 5 3 2" xfId="51149" xr:uid="{E668ABE5-F2BB-4B4F-ADAB-86B444422535}"/>
    <cellStyle name="Normal 45 2 2 5 4" xfId="51150" xr:uid="{27A35F39-52DA-430F-979C-57FA9339D3D9}"/>
    <cellStyle name="Normal 45 2 2 6" xfId="51151" xr:uid="{6164FE8B-12DF-49E7-A818-FB1D7243C628}"/>
    <cellStyle name="Normal 45 2 2 6 2" xfId="51152" xr:uid="{D1FB3605-7B5C-4966-AFF0-6D71CC4CDCB3}"/>
    <cellStyle name="Normal 45 2 2 6 2 2" xfId="51153" xr:uid="{F918691C-BC32-489E-8C59-F75297502FDC}"/>
    <cellStyle name="Normal 45 2 2 6 3" xfId="51154" xr:uid="{22280F84-6A85-4695-A9AF-71D69588B42E}"/>
    <cellStyle name="Normal 45 2 2 7" xfId="51155" xr:uid="{C6A92E4A-DE74-4D07-9144-E1E0543F002C}"/>
    <cellStyle name="Normal 45 2 2 7 2" xfId="51156" xr:uid="{C09D7FF9-5A16-4D04-869D-FE2C676A9B1E}"/>
    <cellStyle name="Normal 45 2 2 8" xfId="51157" xr:uid="{FFDFD736-3B34-49D8-8687-1A924D0E7F94}"/>
    <cellStyle name="Normal 45 2 2 9" xfId="51158" xr:uid="{889A03A8-960C-47A3-9050-FF89FDE9D3EA}"/>
    <cellStyle name="Normal 45 2 3" xfId="51160" xr:uid="{D6184CD9-F40C-427C-8D79-91FC8F3D6C4E}"/>
    <cellStyle name="Normal 45 2 3 2" xfId="51161" xr:uid="{F4BEC156-E663-4561-B5D7-BA717D0659F1}"/>
    <cellStyle name="Normal 45 2 3 2 2" xfId="51162" xr:uid="{10131E3F-C167-401A-98F5-8E3D458FE8C0}"/>
    <cellStyle name="Normal 45 2 3 2 2 2" xfId="51163" xr:uid="{12DB66A5-8711-47E4-92ED-B251F9BEBC40}"/>
    <cellStyle name="Normal 45 2 3 2 2 2 2" xfId="51164" xr:uid="{2938C4B9-A8C5-4C92-B1CA-505A51BBA80D}"/>
    <cellStyle name="Normal 45 2 3 2 2 2 2 2" xfId="51165" xr:uid="{6B751960-2348-4DCD-80E0-C3261A3F7EA8}"/>
    <cellStyle name="Normal 45 2 3 2 2 2 2 2 2" xfId="51166" xr:uid="{88BEDCFF-DC77-40E3-89C2-2A3F76F205CF}"/>
    <cellStyle name="Normal 45 2 3 2 2 2 2 3" xfId="51167" xr:uid="{A6F95C96-01AB-4B5B-8825-776B740EB1A3}"/>
    <cellStyle name="Normal 45 2 3 2 2 2 3" xfId="3014" xr:uid="{197CD318-73A1-4456-996E-72BED2FAD477}"/>
    <cellStyle name="Normal 45 2 3 2 2 2 3 2" xfId="51168" xr:uid="{94D24A62-3409-41FD-BAD3-548B086EFBC1}"/>
    <cellStyle name="Normal 45 2 3 2 2 2 4" xfId="51169" xr:uid="{90A5E275-AF84-497A-B4FE-5EE822FAEF94}"/>
    <cellStyle name="Normal 45 2 3 2 2 3" xfId="51170" xr:uid="{93FC224A-5BB1-4133-975B-3C96935EA37A}"/>
    <cellStyle name="Normal 45 2 3 2 2 3 2" xfId="51171" xr:uid="{6763F66C-6CCF-41EB-9942-D8D14BAEA9D2}"/>
    <cellStyle name="Normal 45 2 3 2 2 3 2 2" xfId="51172" xr:uid="{3487A045-7E6E-4A09-9AAE-25AC67844924}"/>
    <cellStyle name="Normal 45 2 3 2 2 3 3" xfId="51173" xr:uid="{9C8B8DF4-F0B9-426B-A28B-00A17A50E861}"/>
    <cellStyle name="Normal 45 2 3 2 2 4" xfId="3021" xr:uid="{519EA221-68A5-4EF1-8532-27C5B37841E2}"/>
    <cellStyle name="Normal 45 2 3 2 2 4 2" xfId="4665" xr:uid="{AE294C5F-DAFC-4113-99DB-807B21933BFD}"/>
    <cellStyle name="Normal 45 2 3 2 2 5" xfId="4671" xr:uid="{98E1FA1C-C885-4E3A-92CF-EA3FEA8332AD}"/>
    <cellStyle name="Normal 45 2 3 2 3" xfId="51174" xr:uid="{FE12AF7F-ABC2-4B78-A21F-9E41135E948E}"/>
    <cellStyle name="Normal 45 2 3 2 3 2" xfId="51175" xr:uid="{C550D923-5613-4709-99EB-0E141CE82DA9}"/>
    <cellStyle name="Normal 45 2 3 2 3 2 2" xfId="51176" xr:uid="{3EC3BE2F-7667-450D-B5DF-FF0375448FF7}"/>
    <cellStyle name="Normal 45 2 3 2 3 2 2 2" xfId="51177" xr:uid="{96D4FAE1-D758-462B-BE99-053B12D99142}"/>
    <cellStyle name="Normal 45 2 3 2 3 2 3" xfId="51178" xr:uid="{106C0D1E-372B-4FFF-A2D2-8D7DD91619CA}"/>
    <cellStyle name="Normal 45 2 3 2 3 3" xfId="51179" xr:uid="{2357F405-A3CF-49C9-9987-D4F846A91473}"/>
    <cellStyle name="Normal 45 2 3 2 3 3 2" xfId="51180" xr:uid="{0FF20B0F-03FC-48AD-92BE-4FCF898E16A8}"/>
    <cellStyle name="Normal 45 2 3 2 3 4" xfId="4679" xr:uid="{119130D4-6E9E-4212-BB88-142F85DDB333}"/>
    <cellStyle name="Normal 45 2 3 2 4" xfId="51181" xr:uid="{8F1956B3-007D-4369-828C-95F0783ABCCF}"/>
    <cellStyle name="Normal 45 2 3 2 4 2" xfId="51182" xr:uid="{14AE2E2A-DCE6-4458-B6CA-5CF8EB16330D}"/>
    <cellStyle name="Normal 45 2 3 2 4 2 2" xfId="12849" xr:uid="{E8486322-C40B-470E-9A01-5692ABF1CAC9}"/>
    <cellStyle name="Normal 45 2 3 2 4 3" xfId="51183" xr:uid="{BF3320D6-C233-4279-AA65-6A3B482F0DDA}"/>
    <cellStyle name="Normal 45 2 3 2 5" xfId="51184" xr:uid="{2776FE03-8AF2-44DB-8C77-6B0B3DD83E06}"/>
    <cellStyle name="Normal 45 2 3 2 5 2" xfId="51185" xr:uid="{F1ECD319-C481-4194-B1D8-563DDE92C494}"/>
    <cellStyle name="Normal 45 2 3 2 6" xfId="37717" xr:uid="{60034759-F2E6-4A32-A58C-F99E1C785186}"/>
    <cellStyle name="Normal 45 2 3 2 7" xfId="51186" xr:uid="{BD138C54-3FEF-452E-A66E-935F177C894D}"/>
    <cellStyle name="Normal 45 2 3 3" xfId="51187" xr:uid="{4C1203AB-FC19-44E1-B475-AAD76871F741}"/>
    <cellStyle name="Normal 45 2 3 3 2" xfId="51188" xr:uid="{8C3C93BF-E6ED-443F-A934-A29EE45B996C}"/>
    <cellStyle name="Normal 45 2 3 3 2 2" xfId="51189" xr:uid="{34BA7A19-41D3-4144-AD20-DD73F95042DF}"/>
    <cellStyle name="Normal 45 2 3 3 2 2 2" xfId="51190" xr:uid="{2CDD8C21-4237-4CEB-95A0-CC90D7A565A5}"/>
    <cellStyle name="Normal 45 2 3 3 2 2 2 2" xfId="51191" xr:uid="{57AB0548-7157-4C6D-8DE0-D9CC5E9B27C2}"/>
    <cellStyle name="Normal 45 2 3 3 2 2 3" xfId="51192" xr:uid="{DDAE0BC3-6F39-40F4-A09D-AE99665B1803}"/>
    <cellStyle name="Normal 45 2 3 3 2 3" xfId="51193" xr:uid="{20BC5041-09F9-442F-8B29-8D14835AC5F5}"/>
    <cellStyle name="Normal 45 2 3 3 2 3 2" xfId="51194" xr:uid="{E6B3FB41-AFCC-486C-97B5-60D09128C321}"/>
    <cellStyle name="Normal 45 2 3 3 2 4" xfId="4706" xr:uid="{1C786416-FF77-4A99-B165-9AF29403570E}"/>
    <cellStyle name="Normal 45 2 3 3 3" xfId="51195" xr:uid="{CFF0EFE2-1EF6-4D70-960A-B53860F91F06}"/>
    <cellStyle name="Normal 45 2 3 3 3 2" xfId="51196" xr:uid="{318A75D3-E173-4F8D-9470-736A087CBE7A}"/>
    <cellStyle name="Normal 45 2 3 3 3 2 2" xfId="51197" xr:uid="{9C9AE39C-C02C-40CE-8F1F-D75CF2FC90A2}"/>
    <cellStyle name="Normal 45 2 3 3 3 3" xfId="51198" xr:uid="{27679684-CE1A-4C75-81B7-B9B3C16F57F3}"/>
    <cellStyle name="Normal 45 2 3 3 4" xfId="51199" xr:uid="{BAE177F6-6692-42B2-8602-2D4C738DB1EE}"/>
    <cellStyle name="Normal 45 2 3 3 4 2" xfId="51200" xr:uid="{ABBEB3B7-E987-4101-9537-7F0808F791F3}"/>
    <cellStyle name="Normal 45 2 3 3 5" xfId="51201" xr:uid="{F3962130-3BB0-4466-97D8-8554EEF480EC}"/>
    <cellStyle name="Normal 45 2 3 4" xfId="51202" xr:uid="{65038B2F-7404-4FE9-8CAC-D2D39DDB8859}"/>
    <cellStyle name="Normal 45 2 3 4 2" xfId="51203" xr:uid="{C9E945D0-3D84-4DDF-9F39-C8421AC774C3}"/>
    <cellStyle name="Normal 45 2 3 4 2 2" xfId="51204" xr:uid="{884620AD-34DD-4D69-98B6-2C3B6D93D3BA}"/>
    <cellStyle name="Normal 45 2 3 4 2 2 2" xfId="51205" xr:uid="{BB685944-AC38-4ECC-909C-2D4F7CDECABD}"/>
    <cellStyle name="Normal 45 2 3 4 2 3" xfId="51206" xr:uid="{44817C5F-BD20-4B36-B103-F08A56946C56}"/>
    <cellStyle name="Normal 45 2 3 4 3" xfId="51207" xr:uid="{87526941-A1F6-479B-9883-79057BCBE13D}"/>
    <cellStyle name="Normal 45 2 3 4 3 2" xfId="51208" xr:uid="{8D053CD7-E559-4C6F-90E7-AEF96013FB66}"/>
    <cellStyle name="Normal 45 2 3 4 4" xfId="51209" xr:uid="{7AB7BE52-6E72-4E43-9532-1DC0B04A4076}"/>
    <cellStyle name="Normal 45 2 3 5" xfId="51210" xr:uid="{CBA947E1-B980-4D39-973E-8D42DA76A9B5}"/>
    <cellStyle name="Normal 45 2 3 5 2" xfId="51211" xr:uid="{1C55B773-6C6B-4B21-815B-78E8FBD49504}"/>
    <cellStyle name="Normal 45 2 3 5 2 2" xfId="51212" xr:uid="{602B7F35-BC59-47DF-8E75-E72513505381}"/>
    <cellStyle name="Normal 45 2 3 5 3" xfId="51213" xr:uid="{2EA8179F-6F71-4FC3-A8CE-BCE8DB6DD6D5}"/>
    <cellStyle name="Normal 45 2 3 6" xfId="51214" xr:uid="{DDEF4ED2-FB95-4D6B-BD14-BD293B376F84}"/>
    <cellStyle name="Normal 45 2 3 6 2" xfId="51215" xr:uid="{558430C8-5946-415B-8F31-FB009A3DFCCF}"/>
    <cellStyle name="Normal 45 2 3 7" xfId="51216" xr:uid="{4D50B7CB-4B19-4040-9CAB-6E8E6336B167}"/>
    <cellStyle name="Normal 45 2 3 8" xfId="51217" xr:uid="{71C5E64E-CE2A-40C1-B587-48651F772AD6}"/>
    <cellStyle name="Normal 45 2 4" xfId="51218" xr:uid="{3AF14D26-7A1D-441B-B2B5-6CA04F08C0E1}"/>
    <cellStyle name="Normal 45 2 4 2" xfId="51219" xr:uid="{E005D462-E31D-4191-AB64-0DF9EA1C0B5C}"/>
    <cellStyle name="Normal 45 2 4 2 2" xfId="51220" xr:uid="{C701B5FF-9554-41C0-AC84-71CD109B6D40}"/>
    <cellStyle name="Normal 45 2 4 2 2 2" xfId="51221" xr:uid="{69720DCB-BBA3-4255-8A44-3DE562B5CB25}"/>
    <cellStyle name="Normal 45 2 4 2 2 2 2" xfId="51222" xr:uid="{15A19ECC-BF37-4358-816E-94909E70AC4D}"/>
    <cellStyle name="Normal 45 2 4 2 2 2 2 2" xfId="51223" xr:uid="{AF416B0F-9BBE-4319-AD07-7C31DA042D8D}"/>
    <cellStyle name="Normal 45 2 4 2 2 2 3" xfId="51224" xr:uid="{D5A1EC43-1987-4134-98F3-F9A0373B41A6}"/>
    <cellStyle name="Normal 45 2 4 2 2 3" xfId="51225" xr:uid="{4D74084F-0263-456F-AEA8-1B36A23CB4A5}"/>
    <cellStyle name="Normal 45 2 4 2 2 3 2" xfId="51226" xr:uid="{51925BB5-BB65-4737-BCD2-F31EF1E36EC4}"/>
    <cellStyle name="Normal 45 2 4 2 2 4" xfId="4789" xr:uid="{51446B99-BD1B-4D00-8354-33007B70FAE5}"/>
    <cellStyle name="Normal 45 2 4 2 3" xfId="51227" xr:uid="{6643DCC2-EEEF-4F6D-AB77-6DCD73876979}"/>
    <cellStyle name="Normal 45 2 4 2 3 2" xfId="51228" xr:uid="{53D03D4D-D995-449F-9B5C-ECD12C7221C3}"/>
    <cellStyle name="Normal 45 2 4 2 3 2 2" xfId="51229" xr:uid="{F59C5000-7D93-413D-AFAB-BBDCBB8697AB}"/>
    <cellStyle name="Normal 45 2 4 2 3 3" xfId="51230" xr:uid="{351FEABB-6B8C-44B9-9410-BAE0CBCAD747}"/>
    <cellStyle name="Normal 45 2 4 2 4" xfId="51231" xr:uid="{AE9A697E-26EE-412D-8193-90A88270696A}"/>
    <cellStyle name="Normal 45 2 4 2 4 2" xfId="51232" xr:uid="{1A256C04-61E2-49E5-BA37-FCB95A2BB8BA}"/>
    <cellStyle name="Normal 45 2 4 2 5" xfId="51233" xr:uid="{1F495DEE-8A4B-4926-8843-F7F7355069AA}"/>
    <cellStyle name="Normal 45 2 4 3" xfId="51234" xr:uid="{00D56369-748A-402E-B960-D7BCEF206541}"/>
    <cellStyle name="Normal 45 2 4 3 2" xfId="51235" xr:uid="{BE5B9D21-A3AC-4B2A-86B8-4FFEC6F3D2A3}"/>
    <cellStyle name="Normal 45 2 4 3 2 2" xfId="51236" xr:uid="{7E7A5358-D778-4F52-971A-743CB0E0E719}"/>
    <cellStyle name="Normal 45 2 4 3 2 2 2" xfId="51237" xr:uid="{766703C9-9BFF-4625-B267-AD87BC37C5EC}"/>
    <cellStyle name="Normal 45 2 4 3 2 3" xfId="51238" xr:uid="{5DAAA7FE-9945-43C0-B637-E19070D1EDAB}"/>
    <cellStyle name="Normal 45 2 4 3 3" xfId="51239" xr:uid="{D8F0B76A-A7A4-4001-AFF2-C2C8D413C3D7}"/>
    <cellStyle name="Normal 45 2 4 3 3 2" xfId="51240" xr:uid="{C9DBF162-F931-4EDE-97A8-B524B3F3551A}"/>
    <cellStyle name="Normal 45 2 4 3 4" xfId="51241" xr:uid="{C07DD059-F08D-47AA-9A7A-1BF91056CB2A}"/>
    <cellStyle name="Normal 45 2 4 4" xfId="51242" xr:uid="{6639D05A-01D3-44FC-BC69-63EE1F6D3EB5}"/>
    <cellStyle name="Normal 45 2 4 4 2" xfId="17808" xr:uid="{4E8C4FA0-BD61-4D72-9384-9DEF98E63C98}"/>
    <cellStyle name="Normal 45 2 4 4 2 2" xfId="51243" xr:uid="{643568F6-F35C-4B8D-BCC8-2F62FBB0372E}"/>
    <cellStyle name="Normal 45 2 4 4 3" xfId="18795" xr:uid="{A5AA2C02-4757-46B6-B425-EB254C2E7E93}"/>
    <cellStyle name="Normal 45 2 4 5" xfId="51244" xr:uid="{DA827DB1-008C-4BD7-ABE5-84201754A858}"/>
    <cellStyle name="Normal 45 2 4 5 2" xfId="51245" xr:uid="{000A8955-0713-4562-81DC-7915B420A1D6}"/>
    <cellStyle name="Normal 45 2 4 6" xfId="51246" xr:uid="{948D13F3-C726-47FB-92F0-52279F894E77}"/>
    <cellStyle name="Normal 45 2 4 7" xfId="51247" xr:uid="{E3CD80D9-A181-41CC-BD45-5C8D604DC92E}"/>
    <cellStyle name="Normal 45 2 5" xfId="51248" xr:uid="{5F703B9B-E959-43C6-86C9-4D2AB7E623F0}"/>
    <cellStyle name="Normal 45 2 5 2" xfId="51249" xr:uid="{B1852DA3-AC64-4774-A27E-C6B5CB5672A0}"/>
    <cellStyle name="Normal 45 2 5 2 2" xfId="51250" xr:uid="{B890C1D3-B963-42E8-ADA9-BDDA290B2E38}"/>
    <cellStyle name="Normal 45 2 5 2 2 2" xfId="51251" xr:uid="{62F51681-040F-41B5-A907-F9F6D4F91B0A}"/>
    <cellStyle name="Normal 45 2 5 2 2 2 2" xfId="51252" xr:uid="{97E634E1-FDBD-4663-A6AC-6D4C8741EECF}"/>
    <cellStyle name="Normal 45 2 5 2 2 3" xfId="51253" xr:uid="{FB5B4D75-8411-4D8A-9C67-3A9B12705F61}"/>
    <cellStyle name="Normal 45 2 5 2 3" xfId="51254" xr:uid="{DE3F8596-9E7F-4F63-B5B7-85DFBF3E6234}"/>
    <cellStyle name="Normal 45 2 5 2 3 2" xfId="51255" xr:uid="{B172D74D-CEDD-4C7E-BA3D-3BC62D319CE0}"/>
    <cellStyle name="Normal 45 2 5 2 4" xfId="51256" xr:uid="{52478178-F0D1-42E7-85AE-69ADD7F90387}"/>
    <cellStyle name="Normal 45 2 5 3" xfId="51257" xr:uid="{DBD062E2-2A33-49B7-BB5C-0DD4EEA43BE0}"/>
    <cellStyle name="Normal 45 2 5 3 2" xfId="51258" xr:uid="{DD66C391-B946-4BB5-AF1C-523EDED0B95B}"/>
    <cellStyle name="Normal 45 2 5 3 2 2" xfId="51259" xr:uid="{403CC0D4-4CF6-4393-AC09-83A85531DA9D}"/>
    <cellStyle name="Normal 45 2 5 3 3" xfId="51260" xr:uid="{7708F425-343A-4CDE-A8CF-5CBE453822F2}"/>
    <cellStyle name="Normal 45 2 5 4" xfId="51261" xr:uid="{374E06A8-2AD4-4A06-A7DE-F4BF832F6EC1}"/>
    <cellStyle name="Normal 45 2 5 4 2" xfId="19050" xr:uid="{9C67E3A1-FA53-4800-8347-C6B78E162044}"/>
    <cellStyle name="Normal 45 2 5 5" xfId="51262" xr:uid="{40F52C72-377D-40F3-BB7F-3751266B3271}"/>
    <cellStyle name="Normal 45 2 6" xfId="51263" xr:uid="{8B801037-E65E-44B4-BC2E-A6F6A9640455}"/>
    <cellStyle name="Normal 45 2 6 2" xfId="51264" xr:uid="{FDB94AE9-7E73-4500-8E3C-6DE0FE08F5C1}"/>
    <cellStyle name="Normal 45 2 6 2 2" xfId="51265" xr:uid="{7BE5748A-914E-47E2-ABC9-A7E4205D5FE0}"/>
    <cellStyle name="Normal 45 2 6 2 2 2" xfId="51266" xr:uid="{4072B0A3-9850-4134-95B2-3CA04F38D942}"/>
    <cellStyle name="Normal 45 2 6 2 3" xfId="51267" xr:uid="{10564E75-5103-47CC-8D53-B703848CE38B}"/>
    <cellStyle name="Normal 45 2 6 3" xfId="51268" xr:uid="{5AED6437-3227-4B08-937D-3E08BBD9BD8E}"/>
    <cellStyle name="Normal 45 2 6 3 2" xfId="51269" xr:uid="{D5DE2D6B-13E2-48C2-8DB3-F49143E003C7}"/>
    <cellStyle name="Normal 45 2 6 4" xfId="51270" xr:uid="{C6524160-3144-4EB0-91B4-76FE8CCCC48D}"/>
    <cellStyle name="Normal 45 2 7" xfId="51271" xr:uid="{3C22FCE8-D723-47A8-802E-D00D46C5FA4C}"/>
    <cellStyle name="Normal 45 2 7 2" xfId="51272" xr:uid="{2368BD20-FE83-404C-87ED-06E380931BED}"/>
    <cellStyle name="Normal 45 2 7 2 2" xfId="51273" xr:uid="{1E5FC232-5757-481C-8F1E-8AADEA03D1C8}"/>
    <cellStyle name="Normal 45 2 7 3" xfId="51274" xr:uid="{7367EDB1-D5F6-41CC-9286-D40DE9344BDC}"/>
    <cellStyle name="Normal 45 2 8" xfId="51275" xr:uid="{85501797-6BDE-426A-9526-DE4443E4A0F8}"/>
    <cellStyle name="Normal 45 2 8 2" xfId="51276" xr:uid="{746D2968-6B81-4C74-A528-00AAD12568E0}"/>
    <cellStyle name="Normal 45 2 9" xfId="51277" xr:uid="{A2A6981E-46DE-4C6F-BA58-C5A4844D5B45}"/>
    <cellStyle name="Normal 45 3" xfId="49079" xr:uid="{78058FCC-1481-43EF-BB1F-8548C766E2AD}"/>
    <cellStyle name="Normal 45 3 10" xfId="50995" xr:uid="{EDE85E4A-F1DD-49F5-B572-BD944E6CCCA5}"/>
    <cellStyle name="Normal 45 3 2" xfId="51278" xr:uid="{36F000D1-0BCE-4328-80A2-808CA9B48593}"/>
    <cellStyle name="Normal 45 3 2 2" xfId="51279" xr:uid="{B440942E-D43B-4B79-8C93-E8CE0BB301F4}"/>
    <cellStyle name="Normal 45 3 2 2 2" xfId="51280" xr:uid="{4688F7B8-CD1D-4216-81FB-01ADE4DBCFB2}"/>
    <cellStyle name="Normal 45 3 2 2 2 2" xfId="51281" xr:uid="{0F19CB21-6AD9-4D25-B092-CCB532FCADEA}"/>
    <cellStyle name="Normal 45 3 2 2 2 2 2" xfId="51282" xr:uid="{0CE44EAB-8ECD-41C5-9EE2-7D081C054876}"/>
    <cellStyle name="Normal 45 3 2 2 2 2 2 2" xfId="51283" xr:uid="{F423302A-635F-4790-BA7F-D64F4D71A87A}"/>
    <cellStyle name="Normal 45 3 2 2 2 2 2 2 2" xfId="51284" xr:uid="{C1293475-6953-438C-A9F8-5CE25048FA8B}"/>
    <cellStyle name="Normal 45 3 2 2 2 2 2 3" xfId="26181" xr:uid="{F27C0CC7-6138-4120-8237-8E01EF4FBF59}"/>
    <cellStyle name="Normal 45 3 2 2 2 2 3" xfId="5258" xr:uid="{6BF9D1BB-4B77-46A7-97C1-495A81174C3A}"/>
    <cellStyle name="Normal 45 3 2 2 2 2 3 2" xfId="51285" xr:uid="{F2BD0CA1-58B5-48DD-BE76-725F26AD1BEA}"/>
    <cellStyle name="Normal 45 3 2 2 2 2 4" xfId="51286" xr:uid="{7148335C-5678-4E84-8E91-6411AD6A796B}"/>
    <cellStyle name="Normal 45 3 2 2 2 3" xfId="51287" xr:uid="{71E569EF-A253-4545-912A-36AB480878F9}"/>
    <cellStyle name="Normal 45 3 2 2 2 3 2" xfId="51288" xr:uid="{5B58D75A-2A81-4616-9166-B10444ECC770}"/>
    <cellStyle name="Normal 45 3 2 2 2 3 2 2" xfId="2126" xr:uid="{FD51258C-6C0B-480D-8BF7-86FCFF8B2028}"/>
    <cellStyle name="Normal 45 3 2 2 2 3 3" xfId="51289" xr:uid="{4D911A09-AE8A-48A7-BC0E-8E6F771E96A4}"/>
    <cellStyle name="Normal 45 3 2 2 2 4" xfId="42307" xr:uid="{B7F9F6D9-8789-4167-870E-40337FB96CB3}"/>
    <cellStyle name="Normal 45 3 2 2 2 4 2" xfId="42309" xr:uid="{66E54B2D-81C5-4B25-944D-55EB68D597B9}"/>
    <cellStyle name="Normal 45 3 2 2 2 5" xfId="42311" xr:uid="{AA3EA67B-AA45-4C9E-AE49-EAB5EB018731}"/>
    <cellStyle name="Normal 45 3 2 2 3" xfId="51290" xr:uid="{073933DF-B1B7-4EC0-8C12-06536E0D6B65}"/>
    <cellStyle name="Normal 45 3 2 2 3 2" xfId="51291" xr:uid="{FDC4E5DF-AE19-4FC8-8CF4-8D8DFA41D1AE}"/>
    <cellStyle name="Normal 45 3 2 2 3 2 2" xfId="51292" xr:uid="{EB909D0F-4B23-48B0-82B3-2CD18202A066}"/>
    <cellStyle name="Normal 45 3 2 2 3 2 2 2" xfId="27412" xr:uid="{3A878338-1ADF-4FC3-B668-F673A91945EB}"/>
    <cellStyle name="Normal 45 3 2 2 3 2 3" xfId="51293" xr:uid="{4A509A6F-35D7-4B21-B0D5-14BE07569782}"/>
    <cellStyle name="Normal 45 3 2 2 3 3" xfId="51294" xr:uid="{E20829AB-2CEF-4D8B-9DA1-D1785112CBEB}"/>
    <cellStyle name="Normal 45 3 2 2 3 3 2" xfId="51295" xr:uid="{85B10725-69F7-4176-9885-0F8648C6E321}"/>
    <cellStyle name="Normal 45 3 2 2 3 4" xfId="42314" xr:uid="{79298A1D-0A2E-40E3-A76A-6E1573BFDFC2}"/>
    <cellStyle name="Normal 45 3 2 2 4" xfId="51296" xr:uid="{E1B43DDC-CFA6-4648-B9D4-24F502A3A312}"/>
    <cellStyle name="Normal 45 3 2 2 4 2" xfId="51297" xr:uid="{2623CF39-D8CF-4CF7-AE5D-5A20DE45F116}"/>
    <cellStyle name="Normal 45 3 2 2 4 2 2" xfId="13375" xr:uid="{249747C2-8528-4426-9D87-FECEBC6B0F0D}"/>
    <cellStyle name="Normal 45 3 2 2 4 3" xfId="51298" xr:uid="{070DDDB5-503C-4A6A-BA43-53489BDAF676}"/>
    <cellStyle name="Normal 45 3 2 2 5" xfId="51299" xr:uid="{E58A11E5-FADC-4795-8D23-E690EE81DDE0}"/>
    <cellStyle name="Normal 45 3 2 2 5 2" xfId="51300" xr:uid="{03745354-9932-483C-B616-0EA471CE5F09}"/>
    <cellStyle name="Normal 45 3 2 2 6" xfId="37790" xr:uid="{113E0836-D456-4435-B9B3-01BE4FAEB963}"/>
    <cellStyle name="Normal 45 3 2 2 7" xfId="51301" xr:uid="{BD214F6E-143A-44AC-AEDD-708E4B5B502F}"/>
    <cellStyle name="Normal 45 3 2 3" xfId="51302" xr:uid="{3DE610E5-9E41-4C5D-BB18-C73521E84FF2}"/>
    <cellStyle name="Normal 45 3 2 3 2" xfId="51303" xr:uid="{74124676-B5E7-4CC9-81A9-BA285D6151C7}"/>
    <cellStyle name="Normal 45 3 2 3 2 2" xfId="51304" xr:uid="{46BF4976-4806-49B8-8BD9-65FC08F38D5A}"/>
    <cellStyle name="Normal 45 3 2 3 2 2 2" xfId="51305" xr:uid="{C3CE3243-DA33-468D-A421-D28FDC3A5947}"/>
    <cellStyle name="Normal 45 3 2 3 2 2 2 2" xfId="51306" xr:uid="{88ED2816-3DAF-4CF7-9D8B-FCD6F434AD92}"/>
    <cellStyle name="Normal 45 3 2 3 2 2 3" xfId="51307" xr:uid="{C7C73DE5-E289-4012-AD1C-25874D6837A6}"/>
    <cellStyle name="Normal 45 3 2 3 2 3" xfId="51308" xr:uid="{17FACEBB-A2B2-497E-AF04-04BDABD25D87}"/>
    <cellStyle name="Normal 45 3 2 3 2 3 2" xfId="51309" xr:uid="{0B93ACBF-4914-46EA-8B64-4E957D7D9C5B}"/>
    <cellStyle name="Normal 45 3 2 3 2 4" xfId="51310" xr:uid="{1C4F54B4-52E2-4C70-A281-5D1F68662017}"/>
    <cellStyle name="Normal 45 3 2 3 3" xfId="51311" xr:uid="{B7BDD925-7BD3-4B62-8C5E-020C58C49E49}"/>
    <cellStyle name="Normal 45 3 2 3 3 2" xfId="51312" xr:uid="{A6B00E9D-B699-4403-8DC7-C4FFDD70B529}"/>
    <cellStyle name="Normal 45 3 2 3 3 2 2" xfId="51313" xr:uid="{793C0B81-1DE5-4518-A88A-CEBC9491A012}"/>
    <cellStyle name="Normal 45 3 2 3 3 3" xfId="51314" xr:uid="{99C79F5F-5305-4DF4-8B74-B141E4F5751A}"/>
    <cellStyle name="Normal 45 3 2 3 4" xfId="51315" xr:uid="{E8BCE760-8EA0-41A2-AEAB-339B26B7B976}"/>
    <cellStyle name="Normal 45 3 2 3 4 2" xfId="51316" xr:uid="{B059A90C-C306-4F45-9154-E8CBB5957514}"/>
    <cellStyle name="Normal 45 3 2 3 5" xfId="51317" xr:uid="{983F86D8-F41C-41E5-9A35-0506449A9CBF}"/>
    <cellStyle name="Normal 45 3 2 4" xfId="51318" xr:uid="{CDF4E98A-96B8-4CA8-BD52-AB4EEE5BE12D}"/>
    <cellStyle name="Normal 45 3 2 4 2" xfId="51319" xr:uid="{3423AAD7-79A3-4D68-B76A-9D67A0839999}"/>
    <cellStyle name="Normal 45 3 2 4 2 2" xfId="51320" xr:uid="{079D0E20-41AD-4E1C-B21E-3E5B28F3CF72}"/>
    <cellStyle name="Normal 45 3 2 4 2 2 2" xfId="51321" xr:uid="{1CED28EA-4904-4ABB-B461-C6C6A39416DF}"/>
    <cellStyle name="Normal 45 3 2 4 2 3" xfId="51322" xr:uid="{2CAC971C-BAAD-4914-BDE6-9CADBC3BAAF3}"/>
    <cellStyle name="Normal 45 3 2 4 3" xfId="51323" xr:uid="{9DCD63AA-8BAF-4B9C-95B6-DDCCDCAF523E}"/>
    <cellStyle name="Normal 45 3 2 4 3 2" xfId="51324" xr:uid="{B4F8BCB1-6FDE-423E-8C9D-4AA1D5CC114F}"/>
    <cellStyle name="Normal 45 3 2 4 4" xfId="51325" xr:uid="{F0976613-4290-4C86-B649-D7E0724EF155}"/>
    <cellStyle name="Normal 45 3 2 5" xfId="51326" xr:uid="{393CB4E7-9391-4930-9D1C-B80AD09BCC6C}"/>
    <cellStyle name="Normal 45 3 2 5 2" xfId="51327" xr:uid="{A921D1A0-0F05-4C00-96D1-3535D38A8F33}"/>
    <cellStyle name="Normal 45 3 2 5 2 2" xfId="51328" xr:uid="{28DC3E2B-79FA-4783-8307-EE6132177FBE}"/>
    <cellStyle name="Normal 45 3 2 5 3" xfId="51329" xr:uid="{3522AD8E-666E-4F8C-91F6-3FC39BFBD2F6}"/>
    <cellStyle name="Normal 45 3 2 6" xfId="51330" xr:uid="{77A2A9D0-5D41-411A-B96E-A883AB9E34F3}"/>
    <cellStyle name="Normal 45 3 2 6 2" xfId="51331" xr:uid="{278F0BF3-2E27-443C-B966-BC724524D24A}"/>
    <cellStyle name="Normal 45 3 2 7" xfId="51332" xr:uid="{73561C9F-6F71-483D-8E50-4FEA104BE01C}"/>
    <cellStyle name="Normal 45 3 2 8" xfId="51333" xr:uid="{CBBFDC98-7EB7-420D-B855-0D85B4CF7EA7}"/>
    <cellStyle name="Normal 45 3 3" xfId="51334" xr:uid="{D4FB2EAD-22F0-4623-AA7F-11DBE011A4B0}"/>
    <cellStyle name="Normal 45 3 3 2" xfId="51335" xr:uid="{1A9C1F67-AE33-4EAD-8809-0BE0F59E293F}"/>
    <cellStyle name="Normal 45 3 3 2 2" xfId="51336" xr:uid="{38B972F9-5D4C-4FFE-A1BE-20F055C162F5}"/>
    <cellStyle name="Normal 45 3 3 2 2 2" xfId="51337" xr:uid="{3C20A5C1-5CB3-45F9-8A53-30EEB8AEFBE7}"/>
    <cellStyle name="Normal 45 3 3 2 2 2 2" xfId="51338" xr:uid="{BF7A2BC7-9DB3-41E0-8E90-D044464EFA48}"/>
    <cellStyle name="Normal 45 3 3 2 2 2 2 2" xfId="51339" xr:uid="{5978E026-6947-4DF0-8BB0-B97E45EF75BB}"/>
    <cellStyle name="Normal 45 3 3 2 2 2 3" xfId="51340" xr:uid="{F7B78090-6FBE-4D18-88B0-444A37FA0B00}"/>
    <cellStyle name="Normal 45 3 3 2 2 3" xfId="51341" xr:uid="{E016FD3E-14B9-4CD2-A84A-34F83B7EB006}"/>
    <cellStyle name="Normal 45 3 3 2 2 3 2" xfId="51342" xr:uid="{CFD27486-80D7-4016-AC9A-C5A3A9D47C57}"/>
    <cellStyle name="Normal 45 3 3 2 2 4" xfId="5090" xr:uid="{94727296-180A-49CE-8771-A94FA933283E}"/>
    <cellStyle name="Normal 45 3 3 2 3" xfId="51343" xr:uid="{07F3BE98-2430-47A6-97A1-6F68A97B231C}"/>
    <cellStyle name="Normal 45 3 3 2 3 2" xfId="51344" xr:uid="{E88602A0-C120-4BE7-839A-78E432E7B211}"/>
    <cellStyle name="Normal 45 3 3 2 3 2 2" xfId="51345" xr:uid="{B70B4B44-B0AE-4C9D-9FE4-5282EA695B59}"/>
    <cellStyle name="Normal 45 3 3 2 3 3" xfId="51346" xr:uid="{AE023712-95F4-4EF7-ACD8-9CCC50922BA6}"/>
    <cellStyle name="Normal 45 3 3 2 4" xfId="51347" xr:uid="{75167C44-E058-47EA-A254-C077CA3C8842}"/>
    <cellStyle name="Normal 45 3 3 2 4 2" xfId="51348" xr:uid="{E3B9D4D6-7004-4C73-B08D-C1F4C7182A74}"/>
    <cellStyle name="Normal 45 3 3 2 5" xfId="51349" xr:uid="{24AA7E22-BA62-432B-8F1F-F2EC08812E24}"/>
    <cellStyle name="Normal 45 3 3 3" xfId="51350" xr:uid="{837B1A9B-008E-48E4-BA36-DD85BFA5A5F2}"/>
    <cellStyle name="Normal 45 3 3 3 2" xfId="51351" xr:uid="{8F646DA3-A923-4B34-A28D-7C5C666F2CC6}"/>
    <cellStyle name="Normal 45 3 3 3 2 2" xfId="51352" xr:uid="{60A4C314-444C-4C4B-A482-E1B7DD09C2A8}"/>
    <cellStyle name="Normal 45 3 3 3 2 2 2" xfId="51353" xr:uid="{C5D2106C-D6EA-4728-85FB-C6F5B46D32EE}"/>
    <cellStyle name="Normal 45 3 3 3 2 3" xfId="51354" xr:uid="{24F043AA-0AA4-4B19-861B-67690BFF9A40}"/>
    <cellStyle name="Normal 45 3 3 3 3" xfId="51355" xr:uid="{C8B2C08D-32FC-48AA-9B6C-0199E1A81A68}"/>
    <cellStyle name="Normal 45 3 3 3 3 2" xfId="51356" xr:uid="{F7B56D50-0B81-449C-890A-B5F89543976B}"/>
    <cellStyle name="Normal 45 3 3 3 4" xfId="51357" xr:uid="{2DFB9C91-ADCE-475F-B832-86AA104B1EDC}"/>
    <cellStyle name="Normal 45 3 3 4" xfId="51358" xr:uid="{A7429625-B132-4C36-93DD-7ABFE7D6A3BE}"/>
    <cellStyle name="Normal 45 3 3 4 2" xfId="51359" xr:uid="{5BBE7590-C4C1-4B5E-BCBD-464E177B1558}"/>
    <cellStyle name="Normal 45 3 3 4 2 2" xfId="51360" xr:uid="{8F75CE70-2B97-49B8-88A8-8CCEC33EF248}"/>
    <cellStyle name="Normal 45 3 3 4 3" xfId="51361" xr:uid="{443B4FA7-0CE7-42CE-9DEC-326823496653}"/>
    <cellStyle name="Normal 45 3 3 5" xfId="51362" xr:uid="{73727378-A09F-47AC-9A1A-065E776F88C3}"/>
    <cellStyle name="Normal 45 3 3 5 2" xfId="51363" xr:uid="{F1289AB6-7116-4EA4-9D70-92D703B7E308}"/>
    <cellStyle name="Normal 45 3 3 6" xfId="51364" xr:uid="{276F021B-EAD6-4A18-979B-198EF4F9F57D}"/>
    <cellStyle name="Normal 45 3 3 7" xfId="51365" xr:uid="{D00297CF-4635-4CD1-86F7-373ABE5972DF}"/>
    <cellStyle name="Normal 45 3 4" xfId="51366" xr:uid="{C2247E94-91A9-4576-9EC5-AC9B6D989DE0}"/>
    <cellStyle name="Normal 45 3 4 2" xfId="51367" xr:uid="{4E501EF1-3AFC-429E-A48D-43B2ADD2336D}"/>
    <cellStyle name="Normal 45 3 4 2 2" xfId="51368" xr:uid="{2C814BC0-2B9D-4FA7-9C44-4CCEA9462A48}"/>
    <cellStyle name="Normal 45 3 4 2 2 2" xfId="51369" xr:uid="{011DD75F-90CC-418E-8DA0-CEFA384A15DF}"/>
    <cellStyle name="Normal 45 3 4 2 2 2 2" xfId="51370" xr:uid="{8E852A37-A16E-4F73-9715-5367C1F9029D}"/>
    <cellStyle name="Normal 45 3 4 2 2 3" xfId="51371" xr:uid="{D362564E-483B-4E36-9822-9E5297B0D518}"/>
    <cellStyle name="Normal 45 3 4 2 3" xfId="51372" xr:uid="{AE1C74B8-20BC-4416-A4FD-7131C08D1B9F}"/>
    <cellStyle name="Normal 45 3 4 2 3 2" xfId="51373" xr:uid="{F1012CD9-D756-4E19-B490-DDCE0DC79D05}"/>
    <cellStyle name="Normal 45 3 4 2 4" xfId="51374" xr:uid="{918C32D2-ADF6-49D5-8B49-6A3B537CB5B4}"/>
    <cellStyle name="Normal 45 3 4 3" xfId="51375" xr:uid="{AFD40BC1-FD58-487D-B2C2-31B2267038D0}"/>
    <cellStyle name="Normal 45 3 4 3 2" xfId="51376" xr:uid="{89BFED0A-0348-4E48-84B3-E838309FFBCB}"/>
    <cellStyle name="Normal 45 3 4 3 2 2" xfId="51377" xr:uid="{8C385C5E-65CF-48E2-A53D-F4A31B5FDE22}"/>
    <cellStyle name="Normal 45 3 4 3 3" xfId="51378" xr:uid="{55659CA0-41E2-4A4E-8C76-A6F403F65E4B}"/>
    <cellStyle name="Normal 45 3 4 4" xfId="51379" xr:uid="{215F1FB2-043F-4230-BB05-CF79BC0DB746}"/>
    <cellStyle name="Normal 45 3 4 4 2" xfId="51380" xr:uid="{90E77B7F-675F-4627-AB27-117F18C21F04}"/>
    <cellStyle name="Normal 45 3 4 5" xfId="51381" xr:uid="{23019A95-1E19-4E37-804B-0B2F514D65F9}"/>
    <cellStyle name="Normal 45 3 5" xfId="51382" xr:uid="{F8B15ADE-6F3C-433C-8876-D3113888CBBF}"/>
    <cellStyle name="Normal 45 3 5 2" xfId="51383" xr:uid="{AFF3A33D-7532-4BF8-887A-0D2D3890CA11}"/>
    <cellStyle name="Normal 45 3 5 2 2" xfId="51384" xr:uid="{5A87F46D-7144-464C-A099-099B1C3DD753}"/>
    <cellStyle name="Normal 45 3 5 2 2 2" xfId="51385" xr:uid="{7D8ABE6C-8BE6-4C4A-A92B-1FE3C082C3B5}"/>
    <cellStyle name="Normal 45 3 5 2 3" xfId="51386" xr:uid="{EC30B772-128B-4BEC-82C9-439FC2B1837F}"/>
    <cellStyle name="Normal 45 3 5 3" xfId="51387" xr:uid="{4F3E2BBB-9F4A-44C5-B2CF-861927880C81}"/>
    <cellStyle name="Normal 45 3 5 3 2" xfId="51388" xr:uid="{07F46DEA-3FCC-4F1B-AB1F-5A9DEC7DDC52}"/>
    <cellStyle name="Normal 45 3 5 4" xfId="51389" xr:uid="{A96D75B2-C99F-4565-ABF1-B843468BD102}"/>
    <cellStyle name="Normal 45 3 6" xfId="51390" xr:uid="{FE59B624-587E-4FC9-8593-6558946ADEB9}"/>
    <cellStyle name="Normal 45 3 6 2" xfId="51391" xr:uid="{1BAA50C1-9427-4661-A397-5B47C2FE8B85}"/>
    <cellStyle name="Normal 45 3 6 2 2" xfId="2248" xr:uid="{C2BC871C-2D8B-4BCE-811C-B0847D335353}"/>
    <cellStyle name="Normal 45 3 6 3" xfId="51392" xr:uid="{9465A7AB-063A-4640-9E7F-6CFEA29D8ED5}"/>
    <cellStyle name="Normal 45 3 7" xfId="51393" xr:uid="{295BD321-C526-4590-81C4-CEDF2B9E78DC}"/>
    <cellStyle name="Normal 45 3 7 2" xfId="51394" xr:uid="{C0D990ED-7E7A-4F26-8961-92F07F9762F8}"/>
    <cellStyle name="Normal 45 3 8" xfId="51395" xr:uid="{0490AFC9-2ACD-4EE1-95F6-A91764BA18B2}"/>
    <cellStyle name="Normal 45 3 9" xfId="51396" xr:uid="{E5B6083A-B116-4E25-A9C7-BC866A392D74}"/>
    <cellStyle name="Normal 45 4" xfId="51398" xr:uid="{F0CA5DA1-CC30-437C-A544-80932BDBCF98}"/>
    <cellStyle name="Normal 45 4 2" xfId="51399" xr:uid="{16949C28-7CEE-41B2-9070-45708C48221E}"/>
    <cellStyle name="Normal 45 4 2 2" xfId="51400" xr:uid="{2CD86F44-E08A-46D1-8E0A-69BC0E143C29}"/>
    <cellStyle name="Normal 45 4 2 2 2" xfId="31173" xr:uid="{5E40CC38-DA7A-4F9E-80E7-A6ACE6005798}"/>
    <cellStyle name="Normal 45 4 2 2 2 2" xfId="31175" xr:uid="{EE9D2A0A-75F3-4D4E-BDAF-57583B25CEBB}"/>
    <cellStyle name="Normal 45 4 2 2 2 2 2" xfId="31177" xr:uid="{9AB76A78-3BDA-458B-B6B8-F830BDD224D8}"/>
    <cellStyle name="Normal 45 4 2 2 2 2 2 2" xfId="31179" xr:uid="{3582E64A-EE9A-460A-980A-62FA5BD7C96E}"/>
    <cellStyle name="Normal 45 4 2 2 2 2 3" xfId="31181" xr:uid="{4203DC23-B3D0-4A19-9601-1AD7263B478E}"/>
    <cellStyle name="Normal 45 4 2 2 2 3" xfId="31183" xr:uid="{C77254B5-3BFE-4A92-AD85-FC0DECF37782}"/>
    <cellStyle name="Normal 45 4 2 2 2 3 2" xfId="31185" xr:uid="{089175EE-2E49-4ABB-9B32-2E78CFABC908}"/>
    <cellStyle name="Normal 45 4 2 2 2 4" xfId="31187" xr:uid="{2DAA22AE-4FB2-4F84-B956-71AB4FBD6E93}"/>
    <cellStyle name="Normal 45 4 2 2 3" xfId="4927" xr:uid="{B5B02C5C-B7FC-408D-AAAE-47A1D095483E}"/>
    <cellStyle name="Normal 45 4 2 2 3 2" xfId="4933" xr:uid="{359441BA-1B3C-46D1-9AF1-CC0239F3A996}"/>
    <cellStyle name="Normal 45 4 2 2 3 2 2" xfId="31189" xr:uid="{72FEA857-7A8E-48EC-ADA4-BE3C8494B5EE}"/>
    <cellStyle name="Normal 45 4 2 2 3 3" xfId="31191" xr:uid="{E3AC7055-F78E-4E85-B62C-B040F5BB1F90}"/>
    <cellStyle name="Normal 45 4 2 2 4" xfId="4936" xr:uid="{BC60336F-D462-48C9-BEF9-F6460B09359B}"/>
    <cellStyle name="Normal 45 4 2 2 4 2" xfId="31193" xr:uid="{530E4F51-6F0A-482C-AA05-75A6FAD2FD34}"/>
    <cellStyle name="Normal 45 4 2 2 5" xfId="31196" xr:uid="{C8A499F3-68BF-4A2F-B868-F130F90C3846}"/>
    <cellStyle name="Normal 45 4 2 3" xfId="51401" xr:uid="{9E096869-B92F-4512-9666-35D0632AAE3B}"/>
    <cellStyle name="Normal 45 4 2 3 2" xfId="31255" xr:uid="{B7A95B46-8848-407B-AA94-CF1AE271759E}"/>
    <cellStyle name="Normal 45 4 2 3 2 2" xfId="31257" xr:uid="{49DDE031-29F5-42E9-A917-524F66B304B4}"/>
    <cellStyle name="Normal 45 4 2 3 2 2 2" xfId="31259" xr:uid="{CC4A858B-F807-47FF-B9D0-765F49FF38FC}"/>
    <cellStyle name="Normal 45 4 2 3 2 3" xfId="31261" xr:uid="{4BDDB693-D10F-43DE-A1BE-C3FE3FBF6B85}"/>
    <cellStyle name="Normal 45 4 2 3 3" xfId="4941" xr:uid="{E1AEC560-2A01-41CB-8878-0F86C5237047}"/>
    <cellStyle name="Normal 45 4 2 3 3 2" xfId="31263" xr:uid="{65032021-CB98-49D4-AFF5-3DE52F770CED}"/>
    <cellStyle name="Normal 45 4 2 3 4" xfId="31265" xr:uid="{07C8E418-CF5D-4110-8ACE-9916E2EC29CE}"/>
    <cellStyle name="Normal 45 4 2 4" xfId="51402" xr:uid="{BFB0D00D-8C12-4406-A4A9-4E2CF0F236EF}"/>
    <cellStyle name="Normal 45 4 2 4 2" xfId="28640" xr:uid="{0B080C99-7424-4269-8830-7ACED2C66E73}"/>
    <cellStyle name="Normal 45 4 2 4 2 2" xfId="31298" xr:uid="{7A7EAEE3-EB29-49BB-8F6E-650039B13546}"/>
    <cellStyle name="Normal 45 4 2 4 3" xfId="31300" xr:uid="{12B0B1DE-0F0D-4C09-A5B2-E409A7821BA7}"/>
    <cellStyle name="Normal 45 4 2 5" xfId="51403" xr:uid="{700A4B79-E5C3-4C6D-A1BB-41D5C16B96BD}"/>
    <cellStyle name="Normal 45 4 2 5 2" xfId="31324" xr:uid="{BC7136A3-C392-4A6C-8553-F6E5D9BA6408}"/>
    <cellStyle name="Normal 45 4 2 6" xfId="40772" xr:uid="{6FF972EB-8A7B-4B2C-9DE6-9D1C2F86607C}"/>
    <cellStyle name="Normal 45 4 2 7" xfId="51404" xr:uid="{18CD13F5-581E-466B-BFC0-2D75D73147D8}"/>
    <cellStyle name="Normal 45 4 3" xfId="51405" xr:uid="{22F20974-89FF-450D-A288-08A2CCEB9033}"/>
    <cellStyle name="Normal 45 4 3 2" xfId="51406" xr:uid="{DACDF0B8-9237-4266-AEF7-B83EED065123}"/>
    <cellStyle name="Normal 45 4 3 2 2" xfId="31668" xr:uid="{9BC156E0-2550-4241-A0BD-AFB88CC87344}"/>
    <cellStyle name="Normal 45 4 3 2 2 2" xfId="25936" xr:uid="{324CF43C-97FF-410D-A361-0FCE0553D4B3}"/>
    <cellStyle name="Normal 45 4 3 2 2 2 2" xfId="25942" xr:uid="{90D2F15E-1471-4826-80DC-74F84626EEBE}"/>
    <cellStyle name="Normal 45 4 3 2 2 3" xfId="25949" xr:uid="{ADB514B0-14FE-4FAC-A745-CF8BC4F42631}"/>
    <cellStyle name="Normal 45 4 3 2 3" xfId="2359" xr:uid="{AF93FDBE-D5C3-4F0C-86B2-CDD735CBA6EA}"/>
    <cellStyle name="Normal 45 4 3 2 3 2" xfId="31672" xr:uid="{74EEF1A6-880E-4593-96A0-5595D06C6372}"/>
    <cellStyle name="Normal 45 4 3 2 4" xfId="31676" xr:uid="{4B410CF6-A1F1-40E5-9596-E8E466FB9036}"/>
    <cellStyle name="Normal 45 4 3 3" xfId="51407" xr:uid="{30FDAD33-26DF-48B2-A1C4-9004772B7DBA}"/>
    <cellStyle name="Normal 45 4 3 3 2" xfId="31729" xr:uid="{B3BDE9C6-6960-4569-BD98-D5F2E461FE28}"/>
    <cellStyle name="Normal 45 4 3 3 2 2" xfId="31731" xr:uid="{D08E4EC8-3BC2-47B8-89DD-87BE152F810C}"/>
    <cellStyle name="Normal 45 4 3 3 3" xfId="31735" xr:uid="{3F267F7F-C74D-4866-8AC2-EE2148F90B66}"/>
    <cellStyle name="Normal 45 4 3 4" xfId="51408" xr:uid="{5E6E65F0-FE32-439D-9E55-2E96C9FB92D7}"/>
    <cellStyle name="Normal 45 4 3 4 2" xfId="31769" xr:uid="{A3B6D460-9D54-4A64-BC09-D07D1EFC41E1}"/>
    <cellStyle name="Normal 45 4 3 5" xfId="51409" xr:uid="{0143280D-64CD-4DD9-BF74-4DC6D08F7BB1}"/>
    <cellStyle name="Normal 45 4 4" xfId="51410" xr:uid="{4B9DF2CF-01EC-46D5-B6DC-8ED49F7ADFB2}"/>
    <cellStyle name="Normal 45 4 4 2" xfId="51411" xr:uid="{E7D86D22-4A69-40FD-A0BE-AB02AA076735}"/>
    <cellStyle name="Normal 45 4 4 2 2" xfId="51412" xr:uid="{C800586E-1736-447B-AC37-A734DF6B0B99}"/>
    <cellStyle name="Normal 45 4 4 2 2 2" xfId="51413" xr:uid="{85CA807B-73D6-4072-AB37-61E749A2F193}"/>
    <cellStyle name="Normal 45 4 4 2 3" xfId="51414" xr:uid="{C6507054-9195-4751-82DD-F167D9BCEF50}"/>
    <cellStyle name="Normal 45 4 4 3" xfId="51415" xr:uid="{788A9211-F955-4A87-A1A5-A66942865B44}"/>
    <cellStyle name="Normal 45 4 4 3 2" xfId="51416" xr:uid="{20461025-5431-44B3-ADE1-F897BD11DC31}"/>
    <cellStyle name="Normal 45 4 4 4" xfId="51417" xr:uid="{0A53529B-E75D-45F2-9352-9FCCDE24812C}"/>
    <cellStyle name="Normal 45 4 5" xfId="51418" xr:uid="{EC3C0577-D84E-4C21-8C7B-AE66F836C2CC}"/>
    <cellStyle name="Normal 45 4 5 2" xfId="51419" xr:uid="{529D4261-74F9-46F3-AAFF-6CCC6739FD90}"/>
    <cellStyle name="Normal 45 4 5 2 2" xfId="51420" xr:uid="{6F88ABA5-49D6-4040-A46C-903A218F2CE3}"/>
    <cellStyle name="Normal 45 4 5 3" xfId="51421" xr:uid="{DD7E947D-6FD8-433E-AA56-7A90CF05ECB8}"/>
    <cellStyle name="Normal 45 4 6" xfId="51422" xr:uid="{A533AE64-A367-474B-9EFE-CE3F4C58F892}"/>
    <cellStyle name="Normal 45 4 6 2" xfId="51423" xr:uid="{E482BA42-2917-4A9F-B3D2-01E2881D225A}"/>
    <cellStyle name="Normal 45 4 7" xfId="2870" xr:uid="{A8914290-9971-402C-8573-7ACCAA320EED}"/>
    <cellStyle name="Normal 45 4 8" xfId="3284" xr:uid="{A0DC3AC7-0671-4406-B6C8-A52C364659C1}"/>
    <cellStyle name="Normal 45 5" xfId="46102" xr:uid="{F6C4E8A3-13E8-44C5-B75E-FAD33C862D20}"/>
    <cellStyle name="Normal 45 5 2" xfId="46104" xr:uid="{C6A76BB9-707C-4E97-A723-87ECA6DC8CFE}"/>
    <cellStyle name="Normal 45 5 2 2" xfId="46106" xr:uid="{8BB130A6-777E-4D27-A811-232BD45CC567}"/>
    <cellStyle name="Normal 45 5 2 2 2" xfId="46108" xr:uid="{B88B8E35-C401-4322-A5E6-95F376A2C309}"/>
    <cellStyle name="Normal 45 5 2 2 2 2" xfId="46110" xr:uid="{C57BD5D2-343D-4FD1-A9CA-6B15BCF600A0}"/>
    <cellStyle name="Normal 45 5 2 2 2 2 2" xfId="46112" xr:uid="{9AFA363F-0785-402D-90AC-2D5441BF037F}"/>
    <cellStyle name="Normal 45 5 2 2 2 3" xfId="46114" xr:uid="{1E0BB2A3-E328-4ECA-9167-0EF11AA7B954}"/>
    <cellStyle name="Normal 45 5 2 2 3" xfId="46116" xr:uid="{C31A1CD6-D335-4459-9D2F-B16EC0A3056E}"/>
    <cellStyle name="Normal 45 5 2 2 3 2" xfId="46118" xr:uid="{8C16D289-6411-446A-B184-5248CEAF9F89}"/>
    <cellStyle name="Normal 45 5 2 2 4" xfId="44646" xr:uid="{8B575904-CB72-4A0F-B75A-8FDA9801CC50}"/>
    <cellStyle name="Normal 45 5 2 3" xfId="689" xr:uid="{5078E025-4202-45AF-9C79-4BA283ABA230}"/>
    <cellStyle name="Normal 45 5 2 3 2" xfId="46120" xr:uid="{5F1BFF86-54DC-470C-93A4-94F1EEC3CC51}"/>
    <cellStyle name="Normal 45 5 2 3 2 2" xfId="46122" xr:uid="{524DCCFB-DFAA-4064-8E24-9C79AAF2E0DE}"/>
    <cellStyle name="Normal 45 5 2 3 3" xfId="46124" xr:uid="{53EFF9FB-C52B-4C14-9585-887BA464C16A}"/>
    <cellStyle name="Normal 45 5 2 4" xfId="1423" xr:uid="{C67E0266-CFF7-4AFB-A9F3-37FD5D24120B}"/>
    <cellStyle name="Normal 45 5 2 4 2" xfId="46126" xr:uid="{4325D2B6-AED4-4C84-B382-379B20569D54}"/>
    <cellStyle name="Normal 45 5 2 5" xfId="1323" xr:uid="{0A3F85DA-E4D0-42DA-97BC-F8DED8FDAD86}"/>
    <cellStyle name="Normal 45 5 3" xfId="46128" xr:uid="{48836B1C-DE95-4636-BA90-458304989321}"/>
    <cellStyle name="Normal 45 5 3 2" xfId="18355" xr:uid="{70B210BA-B1A6-4CC9-A414-0F69B0DCF375}"/>
    <cellStyle name="Normal 45 5 3 2 2" xfId="46130" xr:uid="{88C741ED-86D3-45C6-92D5-83507917F795}"/>
    <cellStyle name="Normal 45 5 3 2 2 2" xfId="46132" xr:uid="{AFC205EC-9D19-409C-A61C-127331D036CB}"/>
    <cellStyle name="Normal 45 5 3 2 3" xfId="46134" xr:uid="{26857F55-7700-47C6-B1B0-3F0758F23A7F}"/>
    <cellStyle name="Normal 45 5 3 3" xfId="18359" xr:uid="{65C89C6F-7AAB-4B27-8F29-50D5317C4D7F}"/>
    <cellStyle name="Normal 45 5 3 3 2" xfId="46136" xr:uid="{7C976B3E-78E7-49E9-8AB1-CC1E63F85115}"/>
    <cellStyle name="Normal 45 5 3 4" xfId="18364" xr:uid="{5033A103-7553-44FC-A3FB-9BC36BFED6E1}"/>
    <cellStyle name="Normal 45 5 4" xfId="46138" xr:uid="{C369DBC1-5078-4F23-96A3-15B1D44703F1}"/>
    <cellStyle name="Normal 45 5 4 2" xfId="18428" xr:uid="{238E2F4D-B0E1-4182-B457-5DDB2329D673}"/>
    <cellStyle name="Normal 45 5 4 2 2" xfId="46140" xr:uid="{AC15BDEF-C28C-48EF-B9E5-DED32B32E02F}"/>
    <cellStyle name="Normal 45 5 4 3" xfId="46142" xr:uid="{F4BBCAF0-AEE5-4A24-A774-8375CB4DF9A4}"/>
    <cellStyle name="Normal 45 5 5" xfId="46144" xr:uid="{D8CEEB92-DF8E-4D13-86F0-38EC770EAED5}"/>
    <cellStyle name="Normal 45 5 5 2" xfId="46146" xr:uid="{B09E98BE-ECA3-4D0B-BBB3-1AC2966D9EB7}"/>
    <cellStyle name="Normal 45 5 6" xfId="46148" xr:uid="{6E34FF57-ADA7-4FFC-B3E1-12FB6E47DB8D}"/>
    <cellStyle name="Normal 45 5 7" xfId="3598" xr:uid="{450A65C0-A7A0-4F89-8BE9-7CACF5775EB2}"/>
    <cellStyle name="Normal 45 6" xfId="46150" xr:uid="{BDD9A3FC-4D1F-46CB-8682-231B644DBEA9}"/>
    <cellStyle name="Normal 45 6 2" xfId="46152" xr:uid="{32B1420E-013B-4E01-9493-4D98ED57A866}"/>
    <cellStyle name="Normal 45 6 2 2" xfId="46154" xr:uid="{38F83255-D5C9-44F8-B628-B0F7109BD0D2}"/>
    <cellStyle name="Normal 45 6 2 2 2" xfId="46156" xr:uid="{4450CC33-1A47-4483-A078-1059125EC0E0}"/>
    <cellStyle name="Normal 45 6 2 2 2 2" xfId="46158" xr:uid="{1355E322-7D08-4F82-BE86-0E5437C6FD22}"/>
    <cellStyle name="Normal 45 6 2 2 3" xfId="46160" xr:uid="{AC70C7A5-0EFD-4AA3-9B49-07C6FA5F6EE9}"/>
    <cellStyle name="Normal 45 6 2 3" xfId="1511" xr:uid="{5278AEED-10F9-492D-97AE-6262544FBCC2}"/>
    <cellStyle name="Normal 45 6 2 3 2" xfId="46162" xr:uid="{A3D19424-E8A5-4717-9763-6A2B8B5D4C95}"/>
    <cellStyle name="Normal 45 6 2 4" xfId="1515" xr:uid="{8C0E335D-EA2F-4365-A477-5DE9165B31AF}"/>
    <cellStyle name="Normal 45 6 3" xfId="46164" xr:uid="{FACD2F86-2905-4804-A9C1-E8FBC81E0BA0}"/>
    <cellStyle name="Normal 45 6 3 2" xfId="4770" xr:uid="{D5DBF0CC-ECE1-4258-9156-6A8C01E0F00D}"/>
    <cellStyle name="Normal 45 6 3 2 2" xfId="46166" xr:uid="{80DB7624-5FF8-4CD7-8A89-D37A432A44F3}"/>
    <cellStyle name="Normal 45 6 3 3" xfId="4794" xr:uid="{5FF36483-C13E-4C9F-8AA3-CF634A629BA4}"/>
    <cellStyle name="Normal 45 6 4" xfId="46168" xr:uid="{F4ABAE8E-CDB5-414B-BBAE-D77E3B4B0030}"/>
    <cellStyle name="Normal 45 6 4 2" xfId="4829" xr:uid="{C1378556-47AB-4B7F-8427-08E3A3635C8C}"/>
    <cellStyle name="Normal 45 6 5" xfId="46170" xr:uid="{746CBA99-BE13-498B-80F5-7687A3B12124}"/>
    <cellStyle name="Normal 45 7" xfId="46172" xr:uid="{35098AC9-E029-422D-8747-E3AA88362330}"/>
    <cellStyle name="Normal 45 7 2" xfId="46174" xr:uid="{8799ACED-D7B3-4098-9641-6F567410FABD}"/>
    <cellStyle name="Normal 45 7 2 2" xfId="46176" xr:uid="{6290E2D3-C7DA-43A1-ABEB-D770DE94704F}"/>
    <cellStyle name="Normal 45 7 2 2 2" xfId="46178" xr:uid="{9301CD97-A703-489A-BA9D-7E18FD2A96F0}"/>
    <cellStyle name="Normal 45 7 2 3" xfId="46180" xr:uid="{3373E4D4-D109-4835-8850-2BB0263506B9}"/>
    <cellStyle name="Normal 45 7 3" xfId="46182" xr:uid="{D14B15F8-B569-47E2-AACE-48A65922349B}"/>
    <cellStyle name="Normal 45 7 3 2" xfId="46184" xr:uid="{C7FB9970-35C0-4724-A38B-F7513D9D8BB6}"/>
    <cellStyle name="Normal 45 7 4" xfId="46186" xr:uid="{02DDB9CE-78A9-440F-A2AC-BAA83FEE0143}"/>
    <cellStyle name="Normal 45 8" xfId="46188" xr:uid="{D75017B8-05EB-4B00-852B-0B056C9D2CD1}"/>
    <cellStyle name="Normal 45 8 2" xfId="46190" xr:uid="{F31A02B2-4339-410F-8161-70AF699502B1}"/>
    <cellStyle name="Normal 45 8 2 2" xfId="46192" xr:uid="{CDBB5CB9-8B4F-4F00-9236-D717E16D6C9D}"/>
    <cellStyle name="Normal 45 8 3" xfId="46194" xr:uid="{80523C9B-C6FE-40C4-9A32-3F822959C9EF}"/>
    <cellStyle name="Normal 45 9" xfId="46196" xr:uid="{CA52F307-B265-472C-A693-5FB3CA14B799}"/>
    <cellStyle name="Normal 45 9 2" xfId="46198" xr:uid="{FEC904DC-E78D-4AF2-B6D4-DA13E7A64BFA}"/>
    <cellStyle name="Normal 450" xfId="49762" xr:uid="{AA2F9362-6F54-4688-9EC0-4E1EA1CC1097}"/>
    <cellStyle name="Normal 450 2" xfId="49767" xr:uid="{0FC317A9-BF79-41D3-B653-4EA89CB3DF82}"/>
    <cellStyle name="Normal 451" xfId="49772" xr:uid="{5E012280-42A8-4BD6-9B2E-78894CDF1468}"/>
    <cellStyle name="Normal 451 2" xfId="49777" xr:uid="{75505965-6ACF-469B-945A-918148CE98E3}"/>
    <cellStyle name="Normal 452" xfId="28475" xr:uid="{C98419E3-459D-42F6-9358-BDD4AA8C5779}"/>
    <cellStyle name="Normal 452 2" xfId="28482" xr:uid="{644C427C-908C-4436-BE0F-BD9A80F41A4D}"/>
    <cellStyle name="Normal 453" xfId="13942" xr:uid="{FC801C54-2E6E-4FA1-B24B-6A30F669CD2A}"/>
    <cellStyle name="Normal 453 2" xfId="13952" xr:uid="{F3ED9D78-3AFD-4AA5-82CA-7D76CF987272}"/>
    <cellStyle name="Normal 454" xfId="9623" xr:uid="{3DE8EE9E-DE61-440C-A288-BAC14DA5639A}"/>
    <cellStyle name="Normal 454 2" xfId="7662" xr:uid="{FBB0BC2D-965D-413D-AD55-B8EE14F38468}"/>
    <cellStyle name="Normal 455" xfId="9633" xr:uid="{B012F6A5-553B-41D7-A9C6-46B0B0D5C747}"/>
    <cellStyle name="Normal 455 2" xfId="45412" xr:uid="{D250C62A-6875-4B0D-A499-51B760DF27AE}"/>
    <cellStyle name="Normal 456" xfId="51427" xr:uid="{94755787-DF14-449D-A4AF-A74D8EC9A783}"/>
    <cellStyle name="Normal 456 2" xfId="45456" xr:uid="{92F76DD4-3F12-4E50-A0D1-C1AE8645D3DF}"/>
    <cellStyle name="Normal 457" xfId="51431" xr:uid="{97F66BBB-75CD-4BF0-B634-58559E1EF8EA}"/>
    <cellStyle name="Normal 457 2" xfId="45479" xr:uid="{1BB330B6-B388-46D9-AFEB-5AACC4FB8A80}"/>
    <cellStyle name="Normal 458" xfId="51435" xr:uid="{F5EBAB61-42F7-4707-8F81-948007242113}"/>
    <cellStyle name="Normal 458 2" xfId="51439" xr:uid="{C9FC06C4-1366-41CA-8C3A-3438655F5D23}"/>
    <cellStyle name="Normal 459" xfId="51443" xr:uid="{A3E614A0-3E4B-48D4-AD1E-60A6832EBEBF}"/>
    <cellStyle name="Normal 459 2" xfId="51447" xr:uid="{271F8071-FFAF-45B0-B665-91B41B540217}"/>
    <cellStyle name="Normal 46" xfId="51449" xr:uid="{85A519F1-8471-458F-B9A3-1C776EF8842D}"/>
    <cellStyle name="Normal 46 10" xfId="51450" xr:uid="{920C37DF-4D67-4A59-B8C8-D8B8A32225DB}"/>
    <cellStyle name="Normal 46 11" xfId="51451" xr:uid="{7D2681D2-CC9F-4045-B142-5BDB323674B3}"/>
    <cellStyle name="Normal 46 12" xfId="51452" xr:uid="{56198398-4630-4E9B-88EE-AB9C247B8399}"/>
    <cellStyle name="Normal 46 2" xfId="49085" xr:uid="{2CBAAE4B-2BB8-4F3D-A6C0-B0829B29E413}"/>
    <cellStyle name="Normal 46 2 10" xfId="51453" xr:uid="{99B8744F-0BD8-4ACD-9725-278AAF423793}"/>
    <cellStyle name="Normal 46 2 11" xfId="51454" xr:uid="{49482331-A9B9-43F4-B7ED-5CFD862B9120}"/>
    <cellStyle name="Normal 46 2 12" xfId="51455" xr:uid="{34DBF311-97D0-4DB8-9117-6E26D062F703}"/>
    <cellStyle name="Normal 46 2 2" xfId="51457" xr:uid="{4E91C0BC-276E-4AE1-B7DD-2ACE2187F49A}"/>
    <cellStyle name="Normal 46 2 2 10" xfId="51458" xr:uid="{17BA8736-FA61-4D2D-9925-6263BC2DF39A}"/>
    <cellStyle name="Normal 46 2 2 2" xfId="31131" xr:uid="{1473F60D-99A9-4C15-9CD5-0DB6483F452C}"/>
    <cellStyle name="Normal 46 2 2 2 2" xfId="51459" xr:uid="{01D38B3F-D632-4F1F-94AD-00E912E111A4}"/>
    <cellStyle name="Normal 46 2 2 2 2 2" xfId="51460" xr:uid="{B9813632-000D-4B78-B0C7-53D28BC85A2C}"/>
    <cellStyle name="Normal 46 2 2 2 2 2 2" xfId="51461" xr:uid="{EC13699D-2A24-4A03-862C-5213C6E15BB3}"/>
    <cellStyle name="Normal 46 2 2 2 2 2 2 2" xfId="51462" xr:uid="{ED2672DA-4B8B-47F6-94ED-67B8056DC6E2}"/>
    <cellStyle name="Normal 46 2 2 2 2 2 2 2 2" xfId="51463" xr:uid="{4797A4F5-3625-4EE0-BEF7-E89E9BA166D9}"/>
    <cellStyle name="Normal 46 2 2 2 2 2 2 2 2 2" xfId="51464" xr:uid="{946B4316-F29B-4A24-A220-694645A82DBF}"/>
    <cellStyle name="Normal 46 2 2 2 2 2 2 2 3" xfId="51465" xr:uid="{4D7BBF46-8FE3-4871-9CB5-8ABCC0035AEE}"/>
    <cellStyle name="Normal 46 2 2 2 2 2 2 3" xfId="51466" xr:uid="{E73F8902-6568-4DE5-8FED-CC2408C2C95A}"/>
    <cellStyle name="Normal 46 2 2 2 2 2 2 3 2" xfId="51467" xr:uid="{3386821C-FD3C-40AD-9339-DA53B581F64A}"/>
    <cellStyle name="Normal 46 2 2 2 2 2 2 4" xfId="51468" xr:uid="{82A28B58-95B1-4790-A81A-6757D9BF5D5B}"/>
    <cellStyle name="Normal 46 2 2 2 2 2 3" xfId="51469" xr:uid="{ABC79995-8ED6-4692-8B7A-F4DF225ED104}"/>
    <cellStyle name="Normal 46 2 2 2 2 2 3 2" xfId="51470" xr:uid="{3375B19A-AE24-4B22-A4D4-6DC9D03308E5}"/>
    <cellStyle name="Normal 46 2 2 2 2 2 3 2 2" xfId="51471" xr:uid="{D228EEE0-5622-4FE3-8448-4AFC4E6F99F3}"/>
    <cellStyle name="Normal 46 2 2 2 2 2 3 3" xfId="51472" xr:uid="{4633B52C-8877-4A6E-ADED-9E2DB1BB7A42}"/>
    <cellStyle name="Normal 46 2 2 2 2 2 4" xfId="51473" xr:uid="{7379B45D-9ECA-44D2-873E-C8664791FE47}"/>
    <cellStyle name="Normal 46 2 2 2 2 2 4 2" xfId="51474" xr:uid="{614705DA-E46C-49FB-BAE5-6CA097C20C74}"/>
    <cellStyle name="Normal 46 2 2 2 2 2 5" xfId="51475" xr:uid="{C5C36A3E-B9D8-4155-A2D9-9C72B5BDBE8C}"/>
    <cellStyle name="Normal 46 2 2 2 2 3" xfId="51476" xr:uid="{42D36A19-3181-462F-9EF3-B92C171003D8}"/>
    <cellStyle name="Normal 46 2 2 2 2 3 2" xfId="51477" xr:uid="{0269DB65-118B-4E39-AF84-790E9AB7BC09}"/>
    <cellStyle name="Normal 46 2 2 2 2 3 2 2" xfId="51478" xr:uid="{A14D4EAD-6E64-4907-A072-04D35E90B805}"/>
    <cellStyle name="Normal 46 2 2 2 2 3 2 2 2" xfId="51479" xr:uid="{D9065567-62CC-4050-B4AC-B41A07223AC7}"/>
    <cellStyle name="Normal 46 2 2 2 2 3 2 3" xfId="51480" xr:uid="{2C12B643-6FEC-4872-A42C-504E2211E8B7}"/>
    <cellStyle name="Normal 46 2 2 2 2 3 3" xfId="51481" xr:uid="{CA19A39F-5A30-44A2-A555-A00D30A14AC7}"/>
    <cellStyle name="Normal 46 2 2 2 2 3 3 2" xfId="51482" xr:uid="{8EEF04FF-D399-4411-A36B-9531565B47B7}"/>
    <cellStyle name="Normal 46 2 2 2 2 3 4" xfId="51483" xr:uid="{A0CFA11E-84CD-4AEC-86D4-6E9C5E50C236}"/>
    <cellStyle name="Normal 46 2 2 2 2 4" xfId="51484" xr:uid="{D0173447-CCE1-4752-9AAE-19CCC9A2AE70}"/>
    <cellStyle name="Normal 46 2 2 2 2 4 2" xfId="51485" xr:uid="{89F644F7-0EC2-4665-A800-2DED39505785}"/>
    <cellStyle name="Normal 46 2 2 2 2 4 2 2" xfId="51486" xr:uid="{99FE350E-680E-407A-873E-DF7328B9C55E}"/>
    <cellStyle name="Normal 46 2 2 2 2 4 3" xfId="51487" xr:uid="{F3C48B84-A090-4D80-A026-6A1634ED35FB}"/>
    <cellStyle name="Normal 46 2 2 2 2 5" xfId="51488" xr:uid="{8DE86CC1-1069-4CA0-A235-C46C81E6EE26}"/>
    <cellStyle name="Normal 46 2 2 2 2 5 2" xfId="51489" xr:uid="{E7301F81-9D2D-443C-ABC0-F2D238566764}"/>
    <cellStyle name="Normal 46 2 2 2 2 6" xfId="51490" xr:uid="{3A947F76-9766-4D13-8C2C-87C31ED6D584}"/>
    <cellStyle name="Normal 46 2 2 2 2 7" xfId="51491" xr:uid="{5C3949AC-C692-453C-BBF8-853335F57889}"/>
    <cellStyle name="Normal 46 2 2 2 3" xfId="51492" xr:uid="{F979A4AF-AF10-4B73-BB24-DE2D37603DDD}"/>
    <cellStyle name="Normal 46 2 2 2 3 2" xfId="51493" xr:uid="{C508DBE2-AC20-48E1-BCA2-3589D88B4AB2}"/>
    <cellStyle name="Normal 46 2 2 2 3 2 2" xfId="51494" xr:uid="{90341132-50DA-487B-BB48-A923A04000EC}"/>
    <cellStyle name="Normal 46 2 2 2 3 2 2 2" xfId="51495" xr:uid="{FE45057C-4E42-453F-B87F-E7B124A99EF0}"/>
    <cellStyle name="Normal 46 2 2 2 3 2 2 2 2" xfId="51496" xr:uid="{3C49FF0A-BC4B-468F-A799-A81F540C10BA}"/>
    <cellStyle name="Normal 46 2 2 2 3 2 2 3" xfId="51497" xr:uid="{E85C4BD3-95E3-4C29-B055-E738EE17DBEF}"/>
    <cellStyle name="Normal 46 2 2 2 3 2 3" xfId="51498" xr:uid="{7EC94920-0EEA-4B53-8FF5-45697FEE7E2C}"/>
    <cellStyle name="Normal 46 2 2 2 3 2 3 2" xfId="51499" xr:uid="{1D77BC97-912F-4306-902C-85806B8077B3}"/>
    <cellStyle name="Normal 46 2 2 2 3 2 4" xfId="51500" xr:uid="{286C3D4C-2693-44E1-9114-2DF44E6D4B17}"/>
    <cellStyle name="Normal 46 2 2 2 3 3" xfId="51501" xr:uid="{74F88CF1-A76A-481D-9D7E-E4738E1663BF}"/>
    <cellStyle name="Normal 46 2 2 2 3 3 2" xfId="51502" xr:uid="{AFEC87C5-1015-49DD-81AE-CE437BE2E0E7}"/>
    <cellStyle name="Normal 46 2 2 2 3 3 2 2" xfId="18899" xr:uid="{A8303DEB-7603-420C-94E4-E8FF28C7AD30}"/>
    <cellStyle name="Normal 46 2 2 2 3 3 3" xfId="51503" xr:uid="{7B69CCCF-D453-4B3E-AB75-119050607FC6}"/>
    <cellStyle name="Normal 46 2 2 2 3 4" xfId="51504" xr:uid="{4C556B8B-577A-4F9B-BF02-9A9ABD7DB973}"/>
    <cellStyle name="Normal 46 2 2 2 3 4 2" xfId="51505" xr:uid="{E584B959-32EE-40FF-8EE9-3CBD7571DF40}"/>
    <cellStyle name="Normal 46 2 2 2 3 5" xfId="51506" xr:uid="{02055B6A-A64F-473C-8B48-6B2FD7326914}"/>
    <cellStyle name="Normal 46 2 2 2 4" xfId="51507" xr:uid="{E6AB9BA5-0C9F-43A7-B38A-AABC98FCF149}"/>
    <cellStyle name="Normal 46 2 2 2 4 2" xfId="51508" xr:uid="{2CEA083D-CA37-4D3D-92FE-AA5E0FE62852}"/>
    <cellStyle name="Normal 46 2 2 2 4 2 2" xfId="15194" xr:uid="{58097028-AEBA-4D30-8B36-B2D479FC2332}"/>
    <cellStyle name="Normal 46 2 2 2 4 2 2 2" xfId="51509" xr:uid="{84205103-B7D0-41EF-9D6D-5EC3A546504E}"/>
    <cellStyle name="Normal 46 2 2 2 4 2 3" xfId="51510" xr:uid="{0E7D0249-0ACE-4B0C-8E44-40B635EAE5D7}"/>
    <cellStyle name="Normal 46 2 2 2 4 3" xfId="51511" xr:uid="{EEB2DD3C-0DFA-4607-ACBA-13D04050EAC2}"/>
    <cellStyle name="Normal 46 2 2 2 4 3 2" xfId="51512" xr:uid="{ADD2FB0B-B92A-460E-8B61-465274F6BFEA}"/>
    <cellStyle name="Normal 46 2 2 2 4 4" xfId="51513" xr:uid="{3578B34E-750C-4D7F-859A-BF41D7853706}"/>
    <cellStyle name="Normal 46 2 2 2 5" xfId="51514" xr:uid="{1D88CC8F-A27C-4DEC-AA57-33589C570562}"/>
    <cellStyle name="Normal 46 2 2 2 5 2" xfId="51515" xr:uid="{0E062A0D-C6A6-49A1-A45D-9F7F17973020}"/>
    <cellStyle name="Normal 46 2 2 2 5 2 2" xfId="51516" xr:uid="{41608CB5-201E-4B0B-A2BC-45B2E09A9B8A}"/>
    <cellStyle name="Normal 46 2 2 2 5 3" xfId="51517" xr:uid="{D95CD65C-A11E-41A8-85DF-55827FDDA137}"/>
    <cellStyle name="Normal 46 2 2 2 6" xfId="37923" xr:uid="{F7FA8F56-3B46-4806-91BB-012FC14C8034}"/>
    <cellStyle name="Normal 46 2 2 2 6 2" xfId="51518" xr:uid="{71843982-D9A1-48D7-AA26-5F8A878C0993}"/>
    <cellStyle name="Normal 46 2 2 2 7" xfId="51519" xr:uid="{961E6303-6EE3-4F4A-8F4E-F8D256255A50}"/>
    <cellStyle name="Normal 46 2 2 2 8" xfId="51520" xr:uid="{08EBFD5B-049D-432E-AEE9-4145217C1F40}"/>
    <cellStyle name="Normal 46 2 2 3" xfId="24072" xr:uid="{06F017A4-22CA-4C9C-8737-775729937B60}"/>
    <cellStyle name="Normal 46 2 2 3 2" xfId="51521" xr:uid="{7C478CBB-BD72-4D5A-95AE-14ACCC6F6E9B}"/>
    <cellStyle name="Normal 46 2 2 3 2 2" xfId="51522" xr:uid="{FCB31ADC-D14B-47E2-98AB-E764B1033193}"/>
    <cellStyle name="Normal 46 2 2 3 2 2 2" xfId="51523" xr:uid="{BBF7B050-1E33-48DF-9CAD-F4D4C7B99D8A}"/>
    <cellStyle name="Normal 46 2 2 3 2 2 2 2" xfId="51524" xr:uid="{F54E1B3C-FE49-45DE-B928-0414030EE2AB}"/>
    <cellStyle name="Normal 46 2 2 3 2 2 2 2 2" xfId="48904" xr:uid="{E34C5D4E-1195-419F-BE6E-38E37DA0B1DB}"/>
    <cellStyle name="Normal 46 2 2 3 2 2 2 3" xfId="51525" xr:uid="{260B06DC-BBD2-43E0-A33F-4321318CC5FA}"/>
    <cellStyle name="Normal 46 2 2 3 2 2 3" xfId="51526" xr:uid="{414AAA7E-52EC-49B1-A651-CF35A10E3C88}"/>
    <cellStyle name="Normal 46 2 2 3 2 2 3 2" xfId="51527" xr:uid="{954F166E-E4D8-4734-B59F-EFBC37366A52}"/>
    <cellStyle name="Normal 46 2 2 3 2 2 4" xfId="51528" xr:uid="{28EBDEBD-99C5-49D5-B44D-3CCF0BC3273D}"/>
    <cellStyle name="Normal 46 2 2 3 2 3" xfId="51529" xr:uid="{6A52E377-DDA5-4578-BDB6-3365B44A5C11}"/>
    <cellStyle name="Normal 46 2 2 3 2 3 2" xfId="51530" xr:uid="{620596E4-0A21-451F-A0E0-CA6281D3A7D9}"/>
    <cellStyle name="Normal 46 2 2 3 2 3 2 2" xfId="51531" xr:uid="{F008F5B5-4E80-4B51-99F2-892A2E37893E}"/>
    <cellStyle name="Normal 46 2 2 3 2 3 3" xfId="51532" xr:uid="{58857F76-013D-499D-88B4-E91A69B770FF}"/>
    <cellStyle name="Normal 46 2 2 3 2 4" xfId="51533" xr:uid="{8E71417B-BB23-4588-9EF1-BD6D1898EA94}"/>
    <cellStyle name="Normal 46 2 2 3 2 4 2" xfId="51534" xr:uid="{72E12FF8-C71F-43D8-8DE2-93BD195AE38B}"/>
    <cellStyle name="Normal 46 2 2 3 2 5" xfId="51535" xr:uid="{1971A9AB-2F11-4AB3-886E-5CD6C46575C8}"/>
    <cellStyle name="Normal 46 2 2 3 3" xfId="51536" xr:uid="{97FD4981-10B8-4AD3-9990-1379576BB35D}"/>
    <cellStyle name="Normal 46 2 2 3 3 2" xfId="51537" xr:uid="{714926BB-FA71-4F4B-A5E8-C93096E306E8}"/>
    <cellStyle name="Normal 46 2 2 3 3 2 2" xfId="51538" xr:uid="{E1D612AD-8C37-45A8-B345-A6323BAA9801}"/>
    <cellStyle name="Normal 46 2 2 3 3 2 2 2" xfId="51539" xr:uid="{4F4261B8-2DCE-4BD9-8B65-0943EEFEC63C}"/>
    <cellStyle name="Normal 46 2 2 3 3 2 3" xfId="51540" xr:uid="{701A0845-6D8F-4E0F-89F9-9A9E8EEB4F25}"/>
    <cellStyle name="Normal 46 2 2 3 3 3" xfId="51541" xr:uid="{6138B15B-5803-44F3-BB3F-0C47C5B5F41B}"/>
    <cellStyle name="Normal 46 2 2 3 3 3 2" xfId="51542" xr:uid="{21812E5B-3002-40C1-A37C-D535D0D6E7C0}"/>
    <cellStyle name="Normal 46 2 2 3 3 4" xfId="51543" xr:uid="{90C52265-79A4-4235-9154-592793AF7302}"/>
    <cellStyle name="Normal 46 2 2 3 4" xfId="51544" xr:uid="{ABD18F8B-4F42-44EC-869B-C93DCC8C2237}"/>
    <cellStyle name="Normal 46 2 2 3 4 2" xfId="51545" xr:uid="{066E737C-30F3-42CA-A70B-6385CB875C5A}"/>
    <cellStyle name="Normal 46 2 2 3 4 2 2" xfId="51546" xr:uid="{A2BF199F-1E0A-4E1B-AA2E-4BF8B0CD28A9}"/>
    <cellStyle name="Normal 46 2 2 3 4 3" xfId="51547" xr:uid="{E6A567AF-2ABE-4065-A78A-4F017912AE57}"/>
    <cellStyle name="Normal 46 2 2 3 5" xfId="51548" xr:uid="{4C98287B-FA3D-43E9-87FD-771B79EE71A7}"/>
    <cellStyle name="Normal 46 2 2 3 5 2" xfId="51549" xr:uid="{3D8AE13D-9B55-42F4-8DD6-8976305D4AD8}"/>
    <cellStyle name="Normal 46 2 2 3 6" xfId="51550" xr:uid="{45012759-7E33-4D9C-85E3-8281F385F3E2}"/>
    <cellStyle name="Normal 46 2 2 3 7" xfId="51551" xr:uid="{C475B0CE-9057-429F-BE49-D6652C37AEFA}"/>
    <cellStyle name="Normal 46 2 2 4" xfId="31037" xr:uid="{89F647A9-1EF0-404E-B941-249F6086516C}"/>
    <cellStyle name="Normal 46 2 2 4 2" xfId="32408" xr:uid="{173E4DDB-1D8F-4F11-8DCD-39EB7380B364}"/>
    <cellStyle name="Normal 46 2 2 4 2 2" xfId="51552" xr:uid="{FE97CDD0-317A-494D-9F31-B9145638BE59}"/>
    <cellStyle name="Normal 46 2 2 4 2 2 2" xfId="51553" xr:uid="{3BAD88FF-9A65-4AEF-B816-BCE5FA8905FB}"/>
    <cellStyle name="Normal 46 2 2 4 2 2 2 2" xfId="51554" xr:uid="{DB68DB4B-CB98-4FE8-ADAF-B938AB9365DB}"/>
    <cellStyle name="Normal 46 2 2 4 2 2 3" xfId="51555" xr:uid="{65F13047-28B9-409D-BFF3-DC5C4DF0A7BC}"/>
    <cellStyle name="Normal 46 2 2 4 2 3" xfId="51556" xr:uid="{F144443F-E16E-43F4-B6D2-80D9798298F5}"/>
    <cellStyle name="Normal 46 2 2 4 2 3 2" xfId="51557" xr:uid="{0D20C614-394C-463A-8C60-68F7F6766AFD}"/>
    <cellStyle name="Normal 46 2 2 4 2 4" xfId="51558" xr:uid="{55ECC874-8B69-417A-B13F-D04DB0D1BE40}"/>
    <cellStyle name="Normal 46 2 2 4 3" xfId="32411" xr:uid="{C0224755-6BE1-4499-8269-76198012E70E}"/>
    <cellStyle name="Normal 46 2 2 4 3 2" xfId="51559" xr:uid="{84E89700-55F6-406D-B3A0-D24837F99CDE}"/>
    <cellStyle name="Normal 46 2 2 4 3 2 2" xfId="51560" xr:uid="{6A4E92FF-19BF-4151-A33E-87126EE49C17}"/>
    <cellStyle name="Normal 46 2 2 4 3 3" xfId="51561" xr:uid="{5B52E10C-F40B-4B51-9C54-F8D9261563AB}"/>
    <cellStyle name="Normal 46 2 2 4 4" xfId="51562" xr:uid="{68AC6AB0-1A7E-4900-AB30-C93F6DF47D59}"/>
    <cellStyle name="Normal 46 2 2 4 4 2" xfId="51563" xr:uid="{A7763EAB-AC5D-4905-9441-094B3D96A315}"/>
    <cellStyle name="Normal 46 2 2 4 5" xfId="51564" xr:uid="{77E8328E-AABB-47E3-B3B6-9BACF1948AB6}"/>
    <cellStyle name="Normal 46 2 2 5" xfId="32413" xr:uid="{948561DB-B554-455D-A07A-FF30665578E1}"/>
    <cellStyle name="Normal 46 2 2 5 2" xfId="51565" xr:uid="{2E58455B-547F-48A5-9541-BA55BD5C0575}"/>
    <cellStyle name="Normal 46 2 2 5 2 2" xfId="51566" xr:uid="{119B0AB6-7298-4E7B-BAAF-F89A76486A36}"/>
    <cellStyle name="Normal 46 2 2 5 2 2 2" xfId="51567" xr:uid="{5C7A5B7A-B3E5-4558-B024-1881883C0819}"/>
    <cellStyle name="Normal 46 2 2 5 2 3" xfId="51568" xr:uid="{C4742931-4F32-44AD-AE6A-BF074D266040}"/>
    <cellStyle name="Normal 46 2 2 5 3" xfId="51569" xr:uid="{33FE1FC2-3A51-4605-B8AD-629463759F8B}"/>
    <cellStyle name="Normal 46 2 2 5 3 2" xfId="51570" xr:uid="{A30D0A75-60E4-422C-8E56-29C3543310FD}"/>
    <cellStyle name="Normal 46 2 2 5 4" xfId="51571" xr:uid="{BD26C1B4-AE3E-45F7-8598-06BDD35BA8ED}"/>
    <cellStyle name="Normal 46 2 2 6" xfId="31688" xr:uid="{31EC8C47-58EB-4D5F-B5A8-C48391A0DBAC}"/>
    <cellStyle name="Normal 46 2 2 6 2" xfId="51572" xr:uid="{A229042C-5DE2-4D4C-9F98-70D85F2F78F3}"/>
    <cellStyle name="Normal 46 2 2 6 2 2" xfId="51573" xr:uid="{DC67A7F8-FD6A-4F23-9F41-0F0EC33D1C78}"/>
    <cellStyle name="Normal 46 2 2 6 3" xfId="51574" xr:uid="{D64AAC09-B6F1-4443-A5A3-AD4CAF109D1B}"/>
    <cellStyle name="Normal 46 2 2 7" xfId="51575" xr:uid="{E8369F29-C0E6-4405-B72E-30D594710A29}"/>
    <cellStyle name="Normal 46 2 2 7 2" xfId="51576" xr:uid="{F2DA7594-FF9A-42D3-9E11-77BD17FEB3D4}"/>
    <cellStyle name="Normal 46 2 2 8" xfId="51577" xr:uid="{9FEC6A1F-1666-4CE2-9F01-1E44818ACBAC}"/>
    <cellStyle name="Normal 46 2 2 9" xfId="51578" xr:uid="{BFBC3008-8CA0-46F6-B1C3-60EDB031A237}"/>
    <cellStyle name="Normal 46 2 3" xfId="51579" xr:uid="{2A34D338-7F4E-4827-A15B-0A43C03B1F50}"/>
    <cellStyle name="Normal 46 2 3 2" xfId="51580" xr:uid="{2EB4F296-4A81-4D69-B953-D74E27899EBB}"/>
    <cellStyle name="Normal 46 2 3 2 2" xfId="51581" xr:uid="{447C7615-8647-413E-935E-F7192BD134F0}"/>
    <cellStyle name="Normal 46 2 3 2 2 2" xfId="51582" xr:uid="{D145A6E7-9730-4D0A-BABE-426DCE9A5AFE}"/>
    <cellStyle name="Normal 46 2 3 2 2 2 2" xfId="51583" xr:uid="{BBDE1E7E-EA1A-4418-B804-0712FB882F15}"/>
    <cellStyle name="Normal 46 2 3 2 2 2 2 2" xfId="51584" xr:uid="{50B0B162-F80B-4A69-8C71-13037F4E01DC}"/>
    <cellStyle name="Normal 46 2 3 2 2 2 2 2 2" xfId="51585" xr:uid="{F1E88A9D-E7DE-4D36-A0A9-60897AF043CF}"/>
    <cellStyle name="Normal 46 2 3 2 2 2 2 3" xfId="51586" xr:uid="{59DA417E-93C6-41E9-81E7-AAB42B8A213A}"/>
    <cellStyle name="Normal 46 2 3 2 2 2 3" xfId="51587" xr:uid="{DAB30D05-48D5-41A1-9DB8-0086DAEB1B39}"/>
    <cellStyle name="Normal 46 2 3 2 2 2 3 2" xfId="51588" xr:uid="{78149927-7876-42FE-9D0C-AEE303D5C203}"/>
    <cellStyle name="Normal 46 2 3 2 2 2 4" xfId="51589" xr:uid="{E014F739-269B-461B-AB2F-98C9946B35B1}"/>
    <cellStyle name="Normal 46 2 3 2 2 3" xfId="51590" xr:uid="{AC0CA2C0-62A9-4B5D-8914-B591BF6AB6FC}"/>
    <cellStyle name="Normal 46 2 3 2 2 3 2" xfId="51591" xr:uid="{46CD355B-40BD-4FA1-B76E-494F78B1874E}"/>
    <cellStyle name="Normal 46 2 3 2 2 3 2 2" xfId="51592" xr:uid="{9B7523BD-D902-45C0-9C28-DDCB9A27F32A}"/>
    <cellStyle name="Normal 46 2 3 2 2 3 3" xfId="51593" xr:uid="{52042912-A20D-496D-88FD-36F1EFCE6131}"/>
    <cellStyle name="Normal 46 2 3 2 2 4" xfId="2387" xr:uid="{A7E9CDAC-F1DD-4C47-90CA-605DD891FEBD}"/>
    <cellStyle name="Normal 46 2 3 2 2 4 2" xfId="2395" xr:uid="{D68BDCC7-6F6B-4B7C-B312-C318E018F933}"/>
    <cellStyle name="Normal 46 2 3 2 2 5" xfId="51594" xr:uid="{7B225D07-9D5A-4C25-8D60-F67B1EE4F7CD}"/>
    <cellStyle name="Normal 46 2 3 2 3" xfId="51595" xr:uid="{94C18735-9843-4B67-B07B-0DC03A33CBA3}"/>
    <cellStyle name="Normal 46 2 3 2 3 2" xfId="51596" xr:uid="{1BE2976A-87C6-438F-9ADD-D19A23760B09}"/>
    <cellStyle name="Normal 46 2 3 2 3 2 2" xfId="51597" xr:uid="{43BCFE4F-4D4D-430D-ACC7-BB9494A2DE3B}"/>
    <cellStyle name="Normal 46 2 3 2 3 2 2 2" xfId="51598" xr:uid="{6ADAC970-B0B5-4F6F-A1D9-54D9DCF6D458}"/>
    <cellStyle name="Normal 46 2 3 2 3 2 3" xfId="51599" xr:uid="{39F87312-8E0C-41C4-9554-FC796D1EC908}"/>
    <cellStyle name="Normal 46 2 3 2 3 3" xfId="51600" xr:uid="{A5631C3A-29FA-4556-979E-CFB9D9140240}"/>
    <cellStyle name="Normal 46 2 3 2 3 3 2" xfId="51601" xr:uid="{A70655C1-D273-41FB-82E3-8C9A4918819E}"/>
    <cellStyle name="Normal 46 2 3 2 3 4" xfId="51602" xr:uid="{5232292C-6C54-49E5-BD59-B321F3A2FCAA}"/>
    <cellStyle name="Normal 46 2 3 2 4" xfId="51603" xr:uid="{7859CEDD-0FC6-4A1B-AC18-3C5664DB23DC}"/>
    <cellStyle name="Normal 46 2 3 2 4 2" xfId="51604" xr:uid="{5FAC9827-302A-4C89-B1B9-B68E2BED7238}"/>
    <cellStyle name="Normal 46 2 3 2 4 2 2" xfId="51605" xr:uid="{0D6D0A3C-6317-4687-AC64-7C9061CC646F}"/>
    <cellStyle name="Normal 46 2 3 2 4 3" xfId="51606" xr:uid="{D7918BBA-805A-48D0-9036-3A89151FC636}"/>
    <cellStyle name="Normal 46 2 3 2 5" xfId="51607" xr:uid="{9959C71C-D144-4587-B98B-5E36FF286E28}"/>
    <cellStyle name="Normal 46 2 3 2 5 2" xfId="51608" xr:uid="{C4E6CB58-F5C6-4461-A48B-8AE415854AF6}"/>
    <cellStyle name="Normal 46 2 3 2 6" xfId="51609" xr:uid="{D04CDA84-00F0-4C7E-BFDC-1703A475B15F}"/>
    <cellStyle name="Normal 46 2 3 2 7" xfId="44362" xr:uid="{8881D2E0-0E7E-4028-9620-AD023CD1BE92}"/>
    <cellStyle name="Normal 46 2 3 3" xfId="51610" xr:uid="{6F45B692-FE5B-4AE1-A8CF-7C5E60165C1C}"/>
    <cellStyle name="Normal 46 2 3 3 2" xfId="51611" xr:uid="{F3698920-C68F-42FB-B82C-35896736C0B8}"/>
    <cellStyle name="Normal 46 2 3 3 2 2" xfId="51612" xr:uid="{EA3AE2CB-C21A-471A-A323-1453B0D41EF2}"/>
    <cellStyle name="Normal 46 2 3 3 2 2 2" xfId="51613" xr:uid="{10EFCD6D-1DFE-4A13-9039-2A42E8BE1F42}"/>
    <cellStyle name="Normal 46 2 3 3 2 2 2 2" xfId="51614" xr:uid="{EF129AC2-20B1-4252-BB8D-A8550B2FE0E5}"/>
    <cellStyle name="Normal 46 2 3 3 2 2 3" xfId="51615" xr:uid="{B9783C62-2C58-4C2C-9D1D-36572DB2D456}"/>
    <cellStyle name="Normal 46 2 3 3 2 3" xfId="51616" xr:uid="{FD63B068-8F5D-4CF9-91CE-FCFC1E66C364}"/>
    <cellStyle name="Normal 46 2 3 3 2 3 2" xfId="51617" xr:uid="{E929FFE3-6C50-4AC5-8203-3401CED9F80E}"/>
    <cellStyle name="Normal 46 2 3 3 2 4" xfId="51618" xr:uid="{1B87F985-952F-4C36-BCC2-DCCF22A64D3E}"/>
    <cellStyle name="Normal 46 2 3 3 3" xfId="51619" xr:uid="{0A676FF1-2C72-4948-93AB-121CB66080A3}"/>
    <cellStyle name="Normal 46 2 3 3 3 2" xfId="51620" xr:uid="{C4F45603-1620-4735-92AB-D6AF5B733EAA}"/>
    <cellStyle name="Normal 46 2 3 3 3 2 2" xfId="51621" xr:uid="{C04EF13F-185A-43DF-987D-72122DA41EA4}"/>
    <cellStyle name="Normal 46 2 3 3 3 3" xfId="51622" xr:uid="{E8D2E91C-659D-4B86-8B3B-822E3F54D100}"/>
    <cellStyle name="Normal 46 2 3 3 4" xfId="51623" xr:uid="{682305B9-F75B-4130-8AE6-852C9B04ADA7}"/>
    <cellStyle name="Normal 46 2 3 3 4 2" xfId="51624" xr:uid="{0DF206DF-B2A9-47D2-B45A-F86AD1D01213}"/>
    <cellStyle name="Normal 46 2 3 3 5" xfId="51625" xr:uid="{0BF5B00A-E3A7-4957-B4A2-E3E0EFA99BED}"/>
    <cellStyle name="Normal 46 2 3 4" xfId="32417" xr:uid="{8DF64145-1C67-41E7-B29E-A3839AFD5A4C}"/>
    <cellStyle name="Normal 46 2 3 4 2" xfId="32420" xr:uid="{A0C918E8-0D33-4D2B-B84A-F8AD69734E17}"/>
    <cellStyle name="Normal 46 2 3 4 2 2" xfId="51626" xr:uid="{4E7120A8-DE27-40E6-8B6C-4ED76C9252CE}"/>
    <cellStyle name="Normal 46 2 3 4 2 2 2" xfId="51627" xr:uid="{2C0B671B-2170-4548-A81D-1205486881B8}"/>
    <cellStyle name="Normal 46 2 3 4 2 3" xfId="51628" xr:uid="{9440F4E6-1D34-40F3-A7C0-60B56E1FA18E}"/>
    <cellStyle name="Normal 46 2 3 4 3" xfId="32423" xr:uid="{3543796C-275D-4ED1-8BEB-424569549A9C}"/>
    <cellStyle name="Normal 46 2 3 4 3 2" xfId="51629" xr:uid="{D620E3B0-C798-4D8A-88C1-399AE8CC8BC6}"/>
    <cellStyle name="Normal 46 2 3 4 4" xfId="51630" xr:uid="{7D9C8A8E-F40A-4CD8-B793-42ED296A2947}"/>
    <cellStyle name="Normal 46 2 3 5" xfId="32425" xr:uid="{B7C47460-DF85-49F3-9522-E4DC93929C3E}"/>
    <cellStyle name="Normal 46 2 3 5 2" xfId="51631" xr:uid="{0CAAE59F-AC78-47BD-BC8C-371AA75C387A}"/>
    <cellStyle name="Normal 46 2 3 5 2 2" xfId="51632" xr:uid="{185C2F97-72C8-48E2-9EAA-ED0CD42BFDF2}"/>
    <cellStyle name="Normal 46 2 3 5 3" xfId="51633" xr:uid="{EF9A36A0-E4DD-4AFF-BA9B-1B44E5596481}"/>
    <cellStyle name="Normal 46 2 3 6" xfId="51634" xr:uid="{FA3C9E92-A337-4CD3-ACDC-90B64F4B2A77}"/>
    <cellStyle name="Normal 46 2 3 6 2" xfId="51635" xr:uid="{7C779AC4-DA70-4DB5-8653-74A69679D025}"/>
    <cellStyle name="Normal 46 2 3 7" xfId="51636" xr:uid="{591950C7-383F-4866-AF9A-8286D82AABDE}"/>
    <cellStyle name="Normal 46 2 3 8" xfId="51637" xr:uid="{E2ED8087-0DAF-4E1B-B372-5BD9036577B7}"/>
    <cellStyle name="Normal 46 2 4" xfId="51638" xr:uid="{15405AB9-C63E-4A45-B3C9-E356E8B937EE}"/>
    <cellStyle name="Normal 46 2 4 2" xfId="51639" xr:uid="{197D3CC0-C306-4E72-8C35-941DBE24F220}"/>
    <cellStyle name="Normal 46 2 4 2 2" xfId="51640" xr:uid="{C9F39715-7A95-4576-AC6C-84003D2E80B9}"/>
    <cellStyle name="Normal 46 2 4 2 2 2" xfId="51641" xr:uid="{D34A0F5F-2E0A-42D9-83F8-308C0EC26DAB}"/>
    <cellStyle name="Normal 46 2 4 2 2 2 2" xfId="51642" xr:uid="{805248EC-542B-4BD8-A4B7-4908F5DFFAF2}"/>
    <cellStyle name="Normal 46 2 4 2 2 2 2 2" xfId="51643" xr:uid="{9ADA5B15-93BF-47F7-9776-262026D6D92B}"/>
    <cellStyle name="Normal 46 2 4 2 2 2 3" xfId="51644" xr:uid="{D5CE9D43-3CDC-44D0-91AE-2ACFA8465305}"/>
    <cellStyle name="Normal 46 2 4 2 2 3" xfId="51645" xr:uid="{189E9042-B91A-4E4C-BBDC-8E07C5492FB6}"/>
    <cellStyle name="Normal 46 2 4 2 2 3 2" xfId="51646" xr:uid="{D4222ABA-EF8B-4A48-95A2-9F8EBE7A0AF2}"/>
    <cellStyle name="Normal 46 2 4 2 2 4" xfId="51647" xr:uid="{42F93CEE-A4E0-4F1A-97C5-09EE03AA8459}"/>
    <cellStyle name="Normal 46 2 4 2 3" xfId="51648" xr:uid="{6E183EBE-CCD0-4035-9ADB-69774B141B5B}"/>
    <cellStyle name="Normal 46 2 4 2 3 2" xfId="51649" xr:uid="{3BE60CA7-FFDF-4B3E-829B-E974A2907AAA}"/>
    <cellStyle name="Normal 46 2 4 2 3 2 2" xfId="51650" xr:uid="{AFA42DA3-C4B1-4013-932C-2DA469C5C90E}"/>
    <cellStyle name="Normal 46 2 4 2 3 3" xfId="51651" xr:uid="{13F1C027-4239-4A0B-B5CF-5BD35B39DF14}"/>
    <cellStyle name="Normal 46 2 4 2 4" xfId="51652" xr:uid="{8966A128-C0D8-4778-98BF-AF6AA0FC6D21}"/>
    <cellStyle name="Normal 46 2 4 2 4 2" xfId="51653" xr:uid="{1D272547-9EC8-440A-8579-79861A7DEA5E}"/>
    <cellStyle name="Normal 46 2 4 2 5" xfId="51654" xr:uid="{32AB85E1-4739-406B-BF0B-C5CA87119E8C}"/>
    <cellStyle name="Normal 46 2 4 3" xfId="51655" xr:uid="{D81A914D-2EE3-427E-9F1D-7C7DADCB808C}"/>
    <cellStyle name="Normal 46 2 4 3 2" xfId="51656" xr:uid="{54B310A5-1E67-49A9-BBE8-86D709ECF69A}"/>
    <cellStyle name="Normal 46 2 4 3 2 2" xfId="51657" xr:uid="{05FC657C-2E0F-425B-AA32-621780B8955A}"/>
    <cellStyle name="Normal 46 2 4 3 2 2 2" xfId="51658" xr:uid="{5090C1BC-DF44-4452-A7D4-EB826C8C8855}"/>
    <cellStyle name="Normal 46 2 4 3 2 3" xfId="51659" xr:uid="{6A604AD1-A9D2-410A-BE59-99881F0D9962}"/>
    <cellStyle name="Normal 46 2 4 3 3" xfId="51660" xr:uid="{2087912A-680D-475B-99D9-41ECC3965890}"/>
    <cellStyle name="Normal 46 2 4 3 3 2" xfId="51661" xr:uid="{EA8476A0-5406-4AF4-9414-DCB7C700CB22}"/>
    <cellStyle name="Normal 46 2 4 3 4" xfId="51662" xr:uid="{333B19F2-6063-43A1-AEA6-9E41C8A040A1}"/>
    <cellStyle name="Normal 46 2 4 4" xfId="11706" xr:uid="{CF025507-2502-44A3-BFD1-0147F5F74722}"/>
    <cellStyle name="Normal 46 2 4 4 2" xfId="11710" xr:uid="{8AB879B8-6CE1-4EB8-9624-D3F06D00E60B}"/>
    <cellStyle name="Normal 46 2 4 4 2 2" xfId="51663" xr:uid="{7EF36080-7346-40E2-BE5C-23DDB222F886}"/>
    <cellStyle name="Normal 46 2 4 4 3" xfId="11715" xr:uid="{FCD61C3D-F5E5-4EE9-88E8-B6CA1825D24B}"/>
    <cellStyle name="Normal 46 2 4 5" xfId="2028" xr:uid="{6B0CB766-B258-459C-9FE3-2D522CD1D114}"/>
    <cellStyle name="Normal 46 2 4 5 2" xfId="51664" xr:uid="{59CC8B7A-C855-4BB8-B5BD-0ADCBD2348D7}"/>
    <cellStyle name="Normal 46 2 4 6" xfId="51665" xr:uid="{FA99565E-6952-4B9D-B01F-FC33E8296619}"/>
    <cellStyle name="Normal 46 2 4 7" xfId="51666" xr:uid="{6F349399-110C-4F2A-A9C0-0D3E2BF5F069}"/>
    <cellStyle name="Normal 46 2 5" xfId="51667" xr:uid="{4BC42934-9785-456D-A3C3-F91E8A28B530}"/>
    <cellStyle name="Normal 46 2 5 2" xfId="51668" xr:uid="{CB937113-452A-43CF-8ED6-12B9C19F82DC}"/>
    <cellStyle name="Normal 46 2 5 2 2" xfId="51669" xr:uid="{018F3A8F-A438-4299-94AA-A887B4A02083}"/>
    <cellStyle name="Normal 46 2 5 2 2 2" xfId="51670" xr:uid="{45E593A6-CBFF-433F-B3FC-BFBE412FD433}"/>
    <cellStyle name="Normal 46 2 5 2 2 2 2" xfId="51671" xr:uid="{0CD2DA12-BD00-49FC-B9E2-849301143B94}"/>
    <cellStyle name="Normal 46 2 5 2 2 3" xfId="51672" xr:uid="{2A77715F-6A1E-497A-955A-6CAC1FA49733}"/>
    <cellStyle name="Normal 46 2 5 2 3" xfId="51673" xr:uid="{9D8B9231-8D8B-4580-86F9-105946A081B4}"/>
    <cellStyle name="Normal 46 2 5 2 3 2" xfId="51674" xr:uid="{FB2D0ACE-8C1D-45AB-BE18-AF277184D900}"/>
    <cellStyle name="Normal 46 2 5 2 4" xfId="51675" xr:uid="{3560044E-B8B4-4F94-AEF4-851EDA9A640F}"/>
    <cellStyle name="Normal 46 2 5 3" xfId="51676" xr:uid="{7A7F7FF5-497D-4EAB-B0FB-214C8BE233C3}"/>
    <cellStyle name="Normal 46 2 5 3 2" xfId="51677" xr:uid="{69AD66B9-CF03-4C69-8B70-E1230E765DEC}"/>
    <cellStyle name="Normal 46 2 5 3 2 2" xfId="11771" xr:uid="{05E6EA91-8E6A-4B93-966C-9887B42D3F7D}"/>
    <cellStyle name="Normal 46 2 5 3 3" xfId="51678" xr:uid="{ABEC0BF8-8C07-43FE-B8A5-7479DF0D25F5}"/>
    <cellStyle name="Normal 46 2 5 4" xfId="11779" xr:uid="{07D069DD-A56A-4DCC-A40C-143AC0E57DEC}"/>
    <cellStyle name="Normal 46 2 5 4 2" xfId="11785" xr:uid="{7E45D527-5194-45E4-BBFA-2DC22EAE1208}"/>
    <cellStyle name="Normal 46 2 5 5" xfId="2040" xr:uid="{94BCD925-96AC-424E-B7CC-88DF22268E23}"/>
    <cellStyle name="Normal 46 2 6" xfId="51679" xr:uid="{A663374A-3771-4A33-91D0-9C2A1884D54E}"/>
    <cellStyle name="Normal 46 2 6 2" xfId="51680" xr:uid="{95E3039C-5FAE-43A2-97F8-A6CA73D858CF}"/>
    <cellStyle name="Normal 46 2 6 2 2" xfId="51681" xr:uid="{B50CE23B-39BD-4034-9961-96213068C89B}"/>
    <cellStyle name="Normal 46 2 6 2 2 2" xfId="51682" xr:uid="{17C66EAE-5B01-435C-8523-1F27D78D4826}"/>
    <cellStyle name="Normal 46 2 6 2 3" xfId="51683" xr:uid="{B0A0E9FE-1CE7-43CD-9167-61D24A609E56}"/>
    <cellStyle name="Normal 46 2 6 3" xfId="51684" xr:uid="{12BA35CC-1412-4EB0-ACE5-DCF24DE64E43}"/>
    <cellStyle name="Normal 46 2 6 3 2" xfId="51685" xr:uid="{7E3A46DD-D55C-4E54-98B5-2DB398E11F9F}"/>
    <cellStyle name="Normal 46 2 6 4" xfId="11818" xr:uid="{3FBB3F8C-39DA-4400-9025-C5D83EB631E0}"/>
    <cellStyle name="Normal 46 2 7" xfId="51686" xr:uid="{BADEC072-13BB-4806-BCA2-5F743F00E950}"/>
    <cellStyle name="Normal 46 2 7 2" xfId="51687" xr:uid="{635271F6-ABC7-4727-84D3-582B672E1CA6}"/>
    <cellStyle name="Normal 46 2 7 2 2" xfId="11830" xr:uid="{B0ECBE56-C601-4A39-B31F-1E0AD8CD8B5E}"/>
    <cellStyle name="Normal 46 2 7 3" xfId="51688" xr:uid="{F9F4729A-B304-410F-958B-685098173FF1}"/>
    <cellStyle name="Normal 46 2 8" xfId="51689" xr:uid="{35C1CD09-3972-414E-A87A-8358A4A91D07}"/>
    <cellStyle name="Normal 46 2 8 2" xfId="51690" xr:uid="{A24CF27C-E2D4-4FFC-92DF-D0A511CC429B}"/>
    <cellStyle name="Normal 46 2 9" xfId="51691" xr:uid="{6777F536-8240-492B-B07F-AB7AC6AA21E2}"/>
    <cellStyle name="Normal 46 3" xfId="51693" xr:uid="{06E39C7A-E3E7-49B5-A8EB-C5BCFB43B657}"/>
    <cellStyle name="Normal 46 3 10" xfId="51694" xr:uid="{DAC1FF64-1D20-4E0A-8830-5BC5A8C46CE7}"/>
    <cellStyle name="Normal 46 3 2" xfId="51695" xr:uid="{37648F24-1E77-4411-88AD-7E75ACE639E1}"/>
    <cellStyle name="Normal 46 3 2 2" xfId="51696" xr:uid="{94093232-9948-4D66-8B0D-1725A64ED313}"/>
    <cellStyle name="Normal 46 3 2 2 2" xfId="51697" xr:uid="{328DB80F-F1D7-46B0-A68C-0AA6BE81FDC9}"/>
    <cellStyle name="Normal 46 3 2 2 2 2" xfId="51698" xr:uid="{FA0B1258-2A6B-41F6-92E2-24EDAA737AFD}"/>
    <cellStyle name="Normal 46 3 2 2 2 2 2" xfId="51699" xr:uid="{CDF1BFC2-094B-46F1-BF8E-AE3878495F06}"/>
    <cellStyle name="Normal 46 3 2 2 2 2 2 2" xfId="51700" xr:uid="{61A95E4F-2B70-4CDA-9CC6-460AF0938B27}"/>
    <cellStyle name="Normal 46 3 2 2 2 2 2 2 2" xfId="51701" xr:uid="{09C4BDF7-98A3-4058-9013-1330D897213C}"/>
    <cellStyle name="Normal 46 3 2 2 2 2 2 3" xfId="31116" xr:uid="{77A0D340-9280-4C69-82C0-210F2790B5A0}"/>
    <cellStyle name="Normal 46 3 2 2 2 2 3" xfId="51702" xr:uid="{12905255-0652-477A-A63D-045E93A005EB}"/>
    <cellStyle name="Normal 46 3 2 2 2 2 3 2" xfId="51703" xr:uid="{BE4E6ADF-E8B8-4604-94B7-105784E2AFC1}"/>
    <cellStyle name="Normal 46 3 2 2 2 2 4" xfId="51704" xr:uid="{A074D0B0-74BE-43B9-BD26-3101F6CF9179}"/>
    <cellStyle name="Normal 46 3 2 2 2 3" xfId="51705" xr:uid="{21668B4C-D84A-4AFD-8B50-BFA32D5AD364}"/>
    <cellStyle name="Normal 46 3 2 2 2 3 2" xfId="51706" xr:uid="{BE40D97F-EA1C-4F61-ADB2-11F96271621E}"/>
    <cellStyle name="Normal 46 3 2 2 2 3 2 2" xfId="51707" xr:uid="{CCDE7E74-81E2-4A83-AD9E-DA573B8372CB}"/>
    <cellStyle name="Normal 46 3 2 2 2 3 3" xfId="51708" xr:uid="{9282DFC8-4174-4195-A2BF-39427828121E}"/>
    <cellStyle name="Normal 46 3 2 2 2 4" xfId="51709" xr:uid="{8DA85EE3-9B9E-4324-A8E0-796A90263D8B}"/>
    <cellStyle name="Normal 46 3 2 2 2 4 2" xfId="51710" xr:uid="{16F9033C-4B89-441E-8705-7C7ABC9EFEE0}"/>
    <cellStyle name="Normal 46 3 2 2 2 5" xfId="51711" xr:uid="{04454D1A-EE2F-45A4-8F5D-DD9275AD1D75}"/>
    <cellStyle name="Normal 46 3 2 2 3" xfId="51712" xr:uid="{D6639CB2-30F7-4AE1-BC06-7034E7624934}"/>
    <cellStyle name="Normal 46 3 2 2 3 2" xfId="51713" xr:uid="{04E3EF59-0614-4CCC-AF1C-3DD7574A0846}"/>
    <cellStyle name="Normal 46 3 2 2 3 2 2" xfId="51714" xr:uid="{5A86487F-935B-4513-A344-DF942078B56F}"/>
    <cellStyle name="Normal 46 3 2 2 3 2 2 2" xfId="51715" xr:uid="{1C0A2D27-F273-45C0-8D7E-907955C67ACE}"/>
    <cellStyle name="Normal 46 3 2 2 3 2 3" xfId="51716" xr:uid="{7791F00C-F9D8-4AFE-90B6-901307553BA4}"/>
    <cellStyle name="Normal 46 3 2 2 3 3" xfId="51717" xr:uid="{26D43E8F-24A9-49FA-8F4B-8D73C73D0E7D}"/>
    <cellStyle name="Normal 46 3 2 2 3 3 2" xfId="51718" xr:uid="{FCB1FB25-B826-450C-B4CE-96E353529369}"/>
    <cellStyle name="Normal 46 3 2 2 3 4" xfId="51719" xr:uid="{5743F8C9-F04E-4A72-9CC4-57278BF7ECBB}"/>
    <cellStyle name="Normal 46 3 2 2 4" xfId="51720" xr:uid="{78E9230B-DC25-4DEE-8FF6-FA2C0BDAB4A2}"/>
    <cellStyle name="Normal 46 3 2 2 4 2" xfId="51721" xr:uid="{AEDA6588-821E-4AB7-BCE9-3BD7A7580971}"/>
    <cellStyle name="Normal 46 3 2 2 4 2 2" xfId="51722" xr:uid="{4FD167CD-3BD0-4602-B9E8-EB7E8E9A817E}"/>
    <cellStyle name="Normal 46 3 2 2 4 3" xfId="51723" xr:uid="{DDC1E0AC-43FF-4B44-ABB5-894401A3BFC4}"/>
    <cellStyle name="Normal 46 3 2 2 5" xfId="51724" xr:uid="{DFA8BB60-CA8C-44F7-8D35-F0975E07BBAA}"/>
    <cellStyle name="Normal 46 3 2 2 5 2" xfId="51725" xr:uid="{C59CD785-B3C4-4434-A47C-C6353922358A}"/>
    <cellStyle name="Normal 46 3 2 2 6" xfId="51726" xr:uid="{AE826ABE-BBEF-4C14-8834-5E5BC90FF6C9}"/>
    <cellStyle name="Normal 46 3 2 2 7" xfId="51727" xr:uid="{E7C6D231-320E-4C41-8673-7A1489F613ED}"/>
    <cellStyle name="Normal 46 3 2 3" xfId="51728" xr:uid="{041E0981-FE8D-4FB2-A376-22AA57C2DA13}"/>
    <cellStyle name="Normal 46 3 2 3 2" xfId="51729" xr:uid="{3E746979-4626-4616-B0C3-1CD2E3B26546}"/>
    <cellStyle name="Normal 46 3 2 3 2 2" xfId="51730" xr:uid="{2963BB8A-3359-4F9A-889C-77E7E7D90D96}"/>
    <cellStyle name="Normal 46 3 2 3 2 2 2" xfId="51731" xr:uid="{B72F7315-7263-462A-8F23-937E8CA5AD28}"/>
    <cellStyle name="Normal 46 3 2 3 2 2 2 2" xfId="51732" xr:uid="{3F82E8B5-3BF8-4C17-81F8-BBDDB1C31850}"/>
    <cellStyle name="Normal 46 3 2 3 2 2 3" xfId="51733" xr:uid="{C2C77E42-401D-4B39-A5E7-A5BA8204A2EE}"/>
    <cellStyle name="Normal 46 3 2 3 2 3" xfId="51734" xr:uid="{6D3BFE6A-D937-4E6F-9031-933991E8CB87}"/>
    <cellStyle name="Normal 46 3 2 3 2 3 2" xfId="51735" xr:uid="{7234C1DB-24B4-4C61-BE4D-9EF9D6F8A2D2}"/>
    <cellStyle name="Normal 46 3 2 3 2 4" xfId="51736" xr:uid="{5855ED59-209F-437D-ADC4-6A0C34DBDAA9}"/>
    <cellStyle name="Normal 46 3 2 3 3" xfId="51737" xr:uid="{442C5E2F-68B8-44FE-8A86-48772B61DEEB}"/>
    <cellStyle name="Normal 46 3 2 3 3 2" xfId="51738" xr:uid="{EC153599-2CAF-48B6-BE14-E75E4390422A}"/>
    <cellStyle name="Normal 46 3 2 3 3 2 2" xfId="51739" xr:uid="{933FB7DB-CE5C-45C8-B046-EBB92CD27ABB}"/>
    <cellStyle name="Normal 46 3 2 3 3 3" xfId="51740" xr:uid="{056EBB12-4AFF-4C11-B842-A294BD03E379}"/>
    <cellStyle name="Normal 46 3 2 3 4" xfId="51741" xr:uid="{607202C1-B657-4B81-A5A6-F99FE9C6B690}"/>
    <cellStyle name="Normal 46 3 2 3 4 2" xfId="51742" xr:uid="{B2EF3160-A2FB-4F40-AB59-D8067209AA41}"/>
    <cellStyle name="Normal 46 3 2 3 5" xfId="51743" xr:uid="{39ED49DF-87E4-4914-B7F9-ED9DAD75E197}"/>
    <cellStyle name="Normal 46 3 2 4" xfId="32756" xr:uid="{DC0C8287-092E-4D64-B4B6-386B80F2DBFB}"/>
    <cellStyle name="Normal 46 3 2 4 2" xfId="17021" xr:uid="{0CD5DE48-4C8E-48AD-ADD8-5479E1BF823C}"/>
    <cellStyle name="Normal 46 3 2 4 2 2" xfId="51744" xr:uid="{03C59CD7-8567-4059-873A-AAF6A6DCAE79}"/>
    <cellStyle name="Normal 46 3 2 4 2 2 2" xfId="51745" xr:uid="{63DA18A9-37AF-4F04-9A4E-72AB402D26BA}"/>
    <cellStyle name="Normal 46 3 2 4 2 3" xfId="51746" xr:uid="{B8468AC8-3268-4403-B5CB-88A149213ACC}"/>
    <cellStyle name="Normal 46 3 2 4 3" xfId="51747" xr:uid="{CCB2BDF1-0A52-46AF-AB14-F1C0DDD7CB3D}"/>
    <cellStyle name="Normal 46 3 2 4 3 2" xfId="51748" xr:uid="{59C1CF07-6889-490A-A777-237E78C96DD0}"/>
    <cellStyle name="Normal 46 3 2 4 4" xfId="51749" xr:uid="{01871378-5217-41FB-8F29-5C8E889DF6AD}"/>
    <cellStyle name="Normal 46 3 2 5" xfId="32760" xr:uid="{2383DBC3-913E-4731-9071-83388A6A8489}"/>
    <cellStyle name="Normal 46 3 2 5 2" xfId="51750" xr:uid="{8ADD05B7-2FED-41F7-9702-517112DB7C5D}"/>
    <cellStyle name="Normal 46 3 2 5 2 2" xfId="51751" xr:uid="{0225E349-806F-41BA-8772-99DD83E2CC40}"/>
    <cellStyle name="Normal 46 3 2 5 3" xfId="51752" xr:uid="{F0C3DC13-D714-43D7-98ED-8A90D6EED699}"/>
    <cellStyle name="Normal 46 3 2 6" xfId="51753" xr:uid="{25CAB53A-C164-4888-BCCA-76A2D1A55008}"/>
    <cellStyle name="Normal 46 3 2 6 2" xfId="51754" xr:uid="{648B86C3-E90E-4535-81F3-EF180305A3E8}"/>
    <cellStyle name="Normal 46 3 2 7" xfId="51755" xr:uid="{D489E4F0-F77C-4341-97DC-DD680D1E235A}"/>
    <cellStyle name="Normal 46 3 2 8" xfId="51756" xr:uid="{D238CB4F-0B9A-4EE7-94F1-334D1C39E5BC}"/>
    <cellStyle name="Normal 46 3 3" xfId="51757" xr:uid="{2BF467BD-EC27-4011-8392-EE06B720AED0}"/>
    <cellStyle name="Normal 46 3 3 2" xfId="51758" xr:uid="{705A390A-AAC0-46D6-92C0-613BF355DC78}"/>
    <cellStyle name="Normal 46 3 3 2 2" xfId="51759" xr:uid="{B24956A3-551B-4DFA-8748-440588235C84}"/>
    <cellStyle name="Normal 46 3 3 2 2 2" xfId="51760" xr:uid="{EBBED7DE-CED4-4B25-B376-C93ADFE590A9}"/>
    <cellStyle name="Normal 46 3 3 2 2 2 2" xfId="51761" xr:uid="{B3BB9524-3DDA-47B1-B3C4-09B187D4A78F}"/>
    <cellStyle name="Normal 46 3 3 2 2 2 2 2" xfId="51762" xr:uid="{8651F5E0-94CA-4A55-8AD3-5A3BF9D2359C}"/>
    <cellStyle name="Normal 46 3 3 2 2 2 3" xfId="51763" xr:uid="{78B05426-F1D8-4A3A-A41E-280B3547E765}"/>
    <cellStyle name="Normal 46 3 3 2 2 3" xfId="51764" xr:uid="{6A286F8E-832B-4A06-BD19-228A30EBD56D}"/>
    <cellStyle name="Normal 46 3 3 2 2 3 2" xfId="51765" xr:uid="{9345C814-33EC-469D-98B5-396CBA7A3C30}"/>
    <cellStyle name="Normal 46 3 3 2 2 4" xfId="51766" xr:uid="{56CBFA14-F50E-4297-B899-CF585A47534D}"/>
    <cellStyle name="Normal 46 3 3 2 3" xfId="51767" xr:uid="{170245B3-0491-4AB5-9BD2-3395BF94ECC4}"/>
    <cellStyle name="Normal 46 3 3 2 3 2" xfId="51768" xr:uid="{60191F07-FE4C-41F0-B146-FF6E93710E7F}"/>
    <cellStyle name="Normal 46 3 3 2 3 2 2" xfId="51769" xr:uid="{0C5F0D98-20EC-4188-A997-51AD79E67087}"/>
    <cellStyle name="Normal 46 3 3 2 3 3" xfId="51770" xr:uid="{1989C0D0-E7E3-49B4-9374-C6A60A86CD5C}"/>
    <cellStyle name="Normal 46 3 3 2 4" xfId="51771" xr:uid="{9F4A8E23-8533-41C2-9F67-293BCD1A9C88}"/>
    <cellStyle name="Normal 46 3 3 2 4 2" xfId="51772" xr:uid="{90CE95C1-9060-4E28-8958-F310374C42AB}"/>
    <cellStyle name="Normal 46 3 3 2 5" xfId="51773" xr:uid="{00169A39-3EAE-4E6B-BC55-1FF4340303EF}"/>
    <cellStyle name="Normal 46 3 3 3" xfId="51774" xr:uid="{49A76D2E-B8A0-4CDB-BD56-0B9D67C4A909}"/>
    <cellStyle name="Normal 46 3 3 3 2" xfId="51775" xr:uid="{237E6AB3-90E9-45DA-A000-405A1A48C192}"/>
    <cellStyle name="Normal 46 3 3 3 2 2" xfId="51776" xr:uid="{CFE4B8F3-914B-4EF4-AFE1-7C895B24B2E1}"/>
    <cellStyle name="Normal 46 3 3 3 2 2 2" xfId="51777" xr:uid="{7B317C02-78BB-4CB7-B06E-E93E19E53535}"/>
    <cellStyle name="Normal 46 3 3 3 2 3" xfId="51778" xr:uid="{DE0A31CB-000E-48F4-B3B0-69B58881CE41}"/>
    <cellStyle name="Normal 46 3 3 3 3" xfId="51779" xr:uid="{899395FC-EB43-4E52-BA43-AC1837F6571A}"/>
    <cellStyle name="Normal 46 3 3 3 3 2" xfId="51780" xr:uid="{340625C9-B922-4101-B9CE-BE14DA8391DD}"/>
    <cellStyle name="Normal 46 3 3 3 4" xfId="17785" xr:uid="{48D20C60-3E7E-4E8D-A5AD-FDE00FABF2E3}"/>
    <cellStyle name="Normal 46 3 3 4" xfId="32769" xr:uid="{FD5D188E-BC75-4B2E-86DB-29466BEBA396}"/>
    <cellStyle name="Normal 46 3 3 4 2" xfId="30970" xr:uid="{59FB6E28-C428-47AB-9E17-35265D42069D}"/>
    <cellStyle name="Normal 46 3 3 4 2 2" xfId="51781" xr:uid="{9D7C3003-C862-404B-8044-0E0B9C2AD808}"/>
    <cellStyle name="Normal 46 3 3 4 3" xfId="51782" xr:uid="{E2D990E8-6654-463C-AE1F-9122485EE74A}"/>
    <cellStyle name="Normal 46 3 3 5" xfId="32773" xr:uid="{8C6C7C87-A161-4A84-A26C-4D1D52757505}"/>
    <cellStyle name="Normal 46 3 3 5 2" xfId="51783" xr:uid="{E671981F-A889-4896-A4D2-CF59291665F7}"/>
    <cellStyle name="Normal 46 3 3 6" xfId="51784" xr:uid="{C82F76DE-AD37-4A1D-BF1F-864B50367F4E}"/>
    <cellStyle name="Normal 46 3 3 7" xfId="51785" xr:uid="{AC969EAA-D884-41F3-B07C-C66F6317D4D4}"/>
    <cellStyle name="Normal 46 3 4" xfId="51786" xr:uid="{476EAD2D-B6C9-4701-9EC0-A1E897D1B94A}"/>
    <cellStyle name="Normal 46 3 4 2" xfId="43811" xr:uid="{71F12302-0DF8-406B-9A9F-D59D46C40712}"/>
    <cellStyle name="Normal 46 3 4 2 2" xfId="43813" xr:uid="{EDA72922-4876-44BA-9A6F-653898B956D2}"/>
    <cellStyle name="Normal 46 3 4 2 2 2" xfId="43815" xr:uid="{666FB494-8675-47CD-AB05-277CDD3CAFD9}"/>
    <cellStyle name="Normal 46 3 4 2 2 2 2" xfId="43817" xr:uid="{F5BF819B-55A5-4E58-A4A0-29B8A16F3DAF}"/>
    <cellStyle name="Normal 46 3 4 2 2 3" xfId="43849" xr:uid="{ED253AEE-05A8-45BC-829F-37DD81C35E3C}"/>
    <cellStyle name="Normal 46 3 4 2 3" xfId="43880" xr:uid="{ADB705A0-9F13-4DF1-BC11-710BC3AF033A}"/>
    <cellStyle name="Normal 46 3 4 2 3 2" xfId="43882" xr:uid="{199CB74C-B6B0-485B-B447-E309DD00C417}"/>
    <cellStyle name="Normal 46 3 4 2 4" xfId="43916" xr:uid="{C164FFA6-181D-4B90-888F-7A8C80485CD5}"/>
    <cellStyle name="Normal 46 3 4 3" xfId="43951" xr:uid="{63A1700A-A4F3-4F21-9C33-F72E3E288F89}"/>
    <cellStyle name="Normal 46 3 4 3 2" xfId="43953" xr:uid="{B7BD81D3-F32C-4971-9A7D-10678107C554}"/>
    <cellStyle name="Normal 46 3 4 3 2 2" xfId="43955" xr:uid="{81A57198-D98B-4A3E-94A2-B5A59F056278}"/>
    <cellStyle name="Normal 46 3 4 3 3" xfId="43988" xr:uid="{CD38E61D-2FBB-43A0-A9E1-2DB556F3DBCB}"/>
    <cellStyle name="Normal 46 3 4 4" xfId="11897" xr:uid="{4F103F7D-C602-4756-98B8-EA369E473285}"/>
    <cellStyle name="Normal 46 3 4 4 2" xfId="11904" xr:uid="{6098F1F2-BEFF-4CA0-96DD-8DCFF0B85D41}"/>
    <cellStyle name="Normal 46 3 4 5" xfId="2701" xr:uid="{35363510-B9B0-46BB-81A1-87F719129BF8}"/>
    <cellStyle name="Normal 46 3 5" xfId="51787" xr:uid="{0443A4C8-B27A-4EE9-9CD5-77192F7C14C4}"/>
    <cellStyle name="Normal 46 3 5 2" xfId="44220" xr:uid="{F3249424-E997-49AA-A7B7-4CB0C123A776}"/>
    <cellStyle name="Normal 46 3 5 2 2" xfId="44222" xr:uid="{FE016960-9289-455A-8BFE-1C799D6336F8}"/>
    <cellStyle name="Normal 46 3 5 2 2 2" xfId="44224" xr:uid="{2A49C479-E860-421F-917E-0EFF2BCD334A}"/>
    <cellStyle name="Normal 46 3 5 2 3" xfId="44256" xr:uid="{A7048A2E-B45D-4CF3-890C-F8F1FD5F87C1}"/>
    <cellStyle name="Normal 46 3 5 3" xfId="44290" xr:uid="{D7835820-41A1-4473-84E5-37DCB98CEC28}"/>
    <cellStyle name="Normal 46 3 5 3 2" xfId="44292" xr:uid="{602979A9-597F-40C4-B712-D4D797662446}"/>
    <cellStyle name="Normal 46 3 5 4" xfId="11939" xr:uid="{FF168B80-703B-4B40-9B93-82B4DD2DD2F2}"/>
    <cellStyle name="Normal 46 3 6" xfId="51788" xr:uid="{879776B5-6815-4900-84B5-01621480AD33}"/>
    <cellStyle name="Normal 46 3 6 2" xfId="44418" xr:uid="{019429B2-398C-4778-94DF-4CFE63B7B015}"/>
    <cellStyle name="Normal 46 3 6 2 2" xfId="44420" xr:uid="{55DBE1CB-B98C-4628-B78A-5FBE4433EFB8}"/>
    <cellStyle name="Normal 46 3 6 3" xfId="44452" xr:uid="{A45505D0-2F15-4994-8B43-0B8312FEF1A4}"/>
    <cellStyle name="Normal 46 3 7" xfId="51789" xr:uid="{B5171E27-78EA-4CA4-9CC5-185A5B12EE85}"/>
    <cellStyle name="Normal 46 3 7 2" xfId="44497" xr:uid="{C87E62AC-8CAE-4728-AF6C-31290E1906DD}"/>
    <cellStyle name="Normal 46 3 8" xfId="51790" xr:uid="{F98F383F-3A10-4E65-90BB-29A3E4FE290F}"/>
    <cellStyle name="Normal 46 3 9" xfId="51791" xr:uid="{565A45B7-2481-452A-95BD-9A234A4663EE}"/>
    <cellStyle name="Normal 46 4" xfId="51793" xr:uid="{45217F40-28A7-41B3-9FA3-CFB97043D6A5}"/>
    <cellStyle name="Normal 46 4 2" xfId="51794" xr:uid="{5C673F43-8F6B-4193-A462-A8962194A064}"/>
    <cellStyle name="Normal 46 4 2 2" xfId="51795" xr:uid="{BC22BB48-6CE9-4AD1-BBA4-1E70384D6556}"/>
    <cellStyle name="Normal 46 4 2 2 2" xfId="51796" xr:uid="{37D4F777-EB59-4027-8FDC-8C58C6E925F6}"/>
    <cellStyle name="Normal 46 4 2 2 2 2" xfId="51797" xr:uid="{48C0933A-C539-488B-86CF-506C3727061B}"/>
    <cellStyle name="Normal 46 4 2 2 2 2 2" xfId="51798" xr:uid="{02DD9984-4D54-4530-85A7-BC23E5CD894A}"/>
    <cellStyle name="Normal 46 4 2 2 2 2 2 2" xfId="51799" xr:uid="{0BB0CA8F-4AD0-40B8-891E-5725D586EBCA}"/>
    <cellStyle name="Normal 46 4 2 2 2 2 3" xfId="51800" xr:uid="{0FCF2F4C-669D-42D1-ACA8-9ECB7DFE4896}"/>
    <cellStyle name="Normal 46 4 2 2 2 3" xfId="51801" xr:uid="{FA4162CF-9D47-4BA5-91F0-0EBE669BD603}"/>
    <cellStyle name="Normal 46 4 2 2 2 3 2" xfId="51802" xr:uid="{D82C0EED-5205-496C-A9B9-D0F555586B65}"/>
    <cellStyle name="Normal 46 4 2 2 2 4" xfId="51803" xr:uid="{676CB4A0-4BBE-47A2-8CB6-EEA510B48F83}"/>
    <cellStyle name="Normal 46 4 2 2 3" xfId="51804" xr:uid="{D70918ED-028C-4F3E-BCD8-7E621B0514AB}"/>
    <cellStyle name="Normal 46 4 2 2 3 2" xfId="51805" xr:uid="{D16B56DC-4BF5-4AE9-8627-EF43EE6A719E}"/>
    <cellStyle name="Normal 46 4 2 2 3 2 2" xfId="51806" xr:uid="{40135478-033F-4C2D-A463-17F907AED168}"/>
    <cellStyle name="Normal 46 4 2 2 3 3" xfId="51807" xr:uid="{F059B752-A770-407B-9A89-9F60810B253F}"/>
    <cellStyle name="Normal 46 4 2 2 4" xfId="44719" xr:uid="{ECB59A3E-B59D-41B3-9E23-CDAFBADCABDE}"/>
    <cellStyle name="Normal 46 4 2 2 4 2" xfId="51808" xr:uid="{D24FFC7F-5C4C-49AB-B995-7ABF02B91A28}"/>
    <cellStyle name="Normal 46 4 2 2 5" xfId="51809" xr:uid="{9E0BBEB7-FD69-4E4C-B5C8-23F6CB1D32DB}"/>
    <cellStyle name="Normal 46 4 2 3" xfId="51810" xr:uid="{D822C26D-0497-4AC6-A5CE-5EE7E466399D}"/>
    <cellStyle name="Normal 46 4 2 3 2" xfId="51811" xr:uid="{015FD11E-7C94-4309-8952-22DFB8F7034F}"/>
    <cellStyle name="Normal 46 4 2 3 2 2" xfId="51812" xr:uid="{AED2C6AB-13CD-4099-B4D5-B0ABE98CF0C6}"/>
    <cellStyle name="Normal 46 4 2 3 2 2 2" xfId="51813" xr:uid="{46DF605D-8DAB-4FA1-B350-D1A8AF2A5CAB}"/>
    <cellStyle name="Normal 46 4 2 3 2 3" xfId="51814" xr:uid="{6E8D6B72-38AD-4E76-80DE-D1938F3E334B}"/>
    <cellStyle name="Normal 46 4 2 3 3" xfId="51815" xr:uid="{93404EFF-B756-409B-90AE-EB9F62C9F64C}"/>
    <cellStyle name="Normal 46 4 2 3 3 2" xfId="51816" xr:uid="{5185BF8A-876A-49D8-83C5-4DF5DC48EB99}"/>
    <cellStyle name="Normal 46 4 2 3 4" xfId="51817" xr:uid="{3B42CBC1-112A-42D5-8C9E-61D54857BEFD}"/>
    <cellStyle name="Normal 46 4 2 4" xfId="28343" xr:uid="{608CC935-DBBF-440E-BD7A-5060748E744C}"/>
    <cellStyle name="Normal 46 4 2 4 2" xfId="28351" xr:uid="{D8B84E1A-02CA-47CA-AE9C-9BA3C8535F6E}"/>
    <cellStyle name="Normal 46 4 2 4 2 2" xfId="28358" xr:uid="{5B53E783-B7AB-4325-A18B-553A176DFC4A}"/>
    <cellStyle name="Normal 46 4 2 4 3" xfId="28360" xr:uid="{3D619B65-EC05-4CAA-A75F-9E1935ECA34D}"/>
    <cellStyle name="Normal 46 4 2 5" xfId="28363" xr:uid="{3E471DD5-11C8-4E34-AF78-A3A2502C0B40}"/>
    <cellStyle name="Normal 46 4 2 5 2" xfId="28370" xr:uid="{455885F0-2122-4DAE-84A6-B3C22D75A79E}"/>
    <cellStyle name="Normal 46 4 2 6" xfId="28372" xr:uid="{C7E08A97-E973-4A6B-855A-08E49971C07F}"/>
    <cellStyle name="Normal 46 4 2 7" xfId="51818" xr:uid="{1BA9BCF4-2B10-4640-9928-79DAF0D99591}"/>
    <cellStyle name="Normal 46 4 3" xfId="51819" xr:uid="{AA4A5EAA-88F1-4BE5-8859-B1B4ED72A7CD}"/>
    <cellStyle name="Normal 46 4 3 2" xfId="51820" xr:uid="{2C734DD1-8968-419A-8DFC-0663F990AAEF}"/>
    <cellStyle name="Normal 46 4 3 2 2" xfId="51821" xr:uid="{7E65DC74-2031-49DD-A947-8944B9DB8BCD}"/>
    <cellStyle name="Normal 46 4 3 2 2 2" xfId="51822" xr:uid="{2D00CDE1-7232-44F8-8E76-631A2F1A3A3D}"/>
    <cellStyle name="Normal 46 4 3 2 2 2 2" xfId="51823" xr:uid="{50222E76-9C9C-4A44-8187-7678638D9266}"/>
    <cellStyle name="Normal 46 4 3 2 2 3" xfId="51824" xr:uid="{08F8608D-1AC1-4878-B95B-C063A473B648}"/>
    <cellStyle name="Normal 46 4 3 2 3" xfId="51825" xr:uid="{E0DE0902-66A9-465C-B194-075FC4BF4BCA}"/>
    <cellStyle name="Normal 46 4 3 2 3 2" xfId="51826" xr:uid="{D2FB6B53-140C-4720-A2A0-F417BB5FE31C}"/>
    <cellStyle name="Normal 46 4 3 2 4" xfId="51827" xr:uid="{39581AD6-D28B-4E7A-9355-4AA2289BC9EC}"/>
    <cellStyle name="Normal 46 4 3 3" xfId="51828" xr:uid="{9783A95D-0279-4F14-AB58-D769F3DB85E6}"/>
    <cellStyle name="Normal 46 4 3 3 2" xfId="51829" xr:uid="{6782D4C6-0453-4D55-8EC6-E9FA7C356EE5}"/>
    <cellStyle name="Normal 46 4 3 3 2 2" xfId="51830" xr:uid="{F8D9C257-692B-452F-A391-E558412188E3}"/>
    <cellStyle name="Normal 46 4 3 3 3" xfId="51831" xr:uid="{4C524599-7B68-4476-9EB4-B33990A08A8F}"/>
    <cellStyle name="Normal 46 4 3 4" xfId="28381" xr:uid="{10511114-50E8-49B0-AA2C-6156FECE015C}"/>
    <cellStyle name="Normal 46 4 3 4 2" xfId="28388" xr:uid="{6A1C57F7-2F4E-41C1-9E23-0A53310D68C1}"/>
    <cellStyle name="Normal 46 4 3 5" xfId="28395" xr:uid="{0ECEFD55-F714-4BF4-B40C-DC89C5F0405E}"/>
    <cellStyle name="Normal 46 4 4" xfId="51832" xr:uid="{86528454-823F-4C0B-A631-B4D72E01E13B}"/>
    <cellStyle name="Normal 46 4 4 2" xfId="44689" xr:uid="{A2190858-C109-490A-92B4-AB1E59CFABBF}"/>
    <cellStyle name="Normal 46 4 4 2 2" xfId="44691" xr:uid="{2591008C-590A-414C-96BD-02B6DD848BF7}"/>
    <cellStyle name="Normal 46 4 4 2 2 2" xfId="44693" xr:uid="{68976FCB-F9D2-4193-8BB1-F5434139DF33}"/>
    <cellStyle name="Normal 46 4 4 2 3" xfId="44725" xr:uid="{92C56AD2-CF05-4977-B468-877F48F40ABC}"/>
    <cellStyle name="Normal 46 4 4 3" xfId="44759" xr:uid="{36EF8A67-6134-40C8-9B59-67E1F1A16A90}"/>
    <cellStyle name="Normal 46 4 4 3 2" xfId="44761" xr:uid="{D83EA56E-2F7B-440A-BB1B-070977103F14}"/>
    <cellStyle name="Normal 46 4 4 4" xfId="12028" xr:uid="{32C2F692-ACB1-4FAC-B00E-BD107598E5FA}"/>
    <cellStyle name="Normal 46 4 5" xfId="51833" xr:uid="{9610D77B-7D32-4846-8586-BDFAC290904E}"/>
    <cellStyle name="Normal 46 4 5 2" xfId="44887" xr:uid="{0CACB592-05FD-48F9-B939-C0BBF75D98AC}"/>
    <cellStyle name="Normal 46 4 5 2 2" xfId="44889" xr:uid="{717FD28B-6CD3-4943-B35C-D0B4F89918A5}"/>
    <cellStyle name="Normal 46 4 5 3" xfId="12045" xr:uid="{1F180143-9F0C-42FC-9D7F-32375F8C31DD}"/>
    <cellStyle name="Normal 46 4 6" xfId="51834" xr:uid="{0C2F3C03-6D48-41E9-B366-24A9231205A5}"/>
    <cellStyle name="Normal 46 4 6 2" xfId="44981" xr:uid="{FFFD877E-A88D-4725-9994-79BD733D1618}"/>
    <cellStyle name="Normal 46 4 7" xfId="3968" xr:uid="{B02E5E71-7D1F-4C45-8B23-833FC1291D07}"/>
    <cellStyle name="Normal 46 4 8" xfId="51835" xr:uid="{8791C465-58B9-44FF-B63E-08EA440B15D4}"/>
    <cellStyle name="Normal 46 5" xfId="46206" xr:uid="{1B9B08B4-C2EB-4638-9581-4C9F129BCA05}"/>
    <cellStyle name="Normal 46 5 2" xfId="46209" xr:uid="{A8DF0EB8-A222-49AF-8DF8-6A637FAC1F6F}"/>
    <cellStyle name="Normal 46 5 2 2" xfId="46211" xr:uid="{A9717467-10A0-4D14-A533-5FCB4C1F3AFE}"/>
    <cellStyle name="Normal 46 5 2 2 2" xfId="46213" xr:uid="{5A317B7A-85C1-4D8C-8D21-8F3DB33C967C}"/>
    <cellStyle name="Normal 46 5 2 2 2 2" xfId="46215" xr:uid="{B9E3728B-4AFB-42F1-98A7-FE1B8765E8C4}"/>
    <cellStyle name="Normal 46 5 2 2 2 2 2" xfId="51836" xr:uid="{410EC128-B4B7-41DB-8829-03F53EF3B85D}"/>
    <cellStyle name="Normal 46 5 2 2 2 3" xfId="51837" xr:uid="{56447D60-070F-4B14-949D-3230C9A51823}"/>
    <cellStyle name="Normal 46 5 2 2 3" xfId="46217" xr:uid="{EEA9E1EC-74BB-405A-8022-C2F890259AA3}"/>
    <cellStyle name="Normal 46 5 2 2 3 2" xfId="51838" xr:uid="{3085C2BF-9BB2-4DF9-B1B1-4A527CBD8661}"/>
    <cellStyle name="Normal 46 5 2 2 4" xfId="51839" xr:uid="{50FE282D-07C9-4F6C-9DD5-1A24AAF157BB}"/>
    <cellStyle name="Normal 46 5 2 3" xfId="46219" xr:uid="{762A034F-EB96-4049-A8D7-89416853ADB2}"/>
    <cellStyle name="Normal 46 5 2 3 2" xfId="46221" xr:uid="{13C1E200-1862-4EB7-963E-E4A40577C771}"/>
    <cellStyle name="Normal 46 5 2 3 2 2" xfId="51840" xr:uid="{359E8ED2-7CEA-4F60-B9C3-5960D7AF6C6F}"/>
    <cellStyle name="Normal 46 5 2 3 3" xfId="51841" xr:uid="{56B2FB61-A17A-4D7D-8280-917FDDD868FF}"/>
    <cellStyle name="Normal 46 5 2 4" xfId="28440" xr:uid="{C54EF0B1-FFFF-4CCF-BF9B-FA9C022DE743}"/>
    <cellStyle name="Normal 46 5 2 4 2" xfId="28446" xr:uid="{C1F3D80D-ED79-4172-8323-97CB6A56BD9C}"/>
    <cellStyle name="Normal 46 5 2 5" xfId="28449" xr:uid="{9E187BF3-BBEF-4B0F-9D6E-2D50F5637B6B}"/>
    <cellStyle name="Normal 46 5 3" xfId="46223" xr:uid="{A68C46E7-3A5C-45FA-984D-28311C915296}"/>
    <cellStyle name="Normal 46 5 3 2" xfId="46225" xr:uid="{287E1E49-3BAE-4B36-8979-A608C278AE2E}"/>
    <cellStyle name="Normal 46 5 3 2 2" xfId="46227" xr:uid="{8812EF0D-A4AC-4631-8827-918E86131B0E}"/>
    <cellStyle name="Normal 46 5 3 2 2 2" xfId="28742" xr:uid="{E21FC999-60AC-4D11-B235-81DB8B4727F8}"/>
    <cellStyle name="Normal 46 5 3 2 3" xfId="51842" xr:uid="{A25566DE-869F-4482-B33D-45FE32050D06}"/>
    <cellStyle name="Normal 46 5 3 3" xfId="46229" xr:uid="{0DC224DA-AC1C-4161-8283-0FA931678CFA}"/>
    <cellStyle name="Normal 46 5 3 3 2" xfId="51843" xr:uid="{DE90A03B-A75C-4DD7-8778-0A7D99D28A59}"/>
    <cellStyle name="Normal 46 5 3 4" xfId="28461" xr:uid="{78FB121F-14B1-4CE2-945E-3DFFD10EE4FE}"/>
    <cellStyle name="Normal 46 5 4" xfId="46231" xr:uid="{A3AD39D7-1DA1-4895-8792-8CCC138A8B56}"/>
    <cellStyle name="Normal 46 5 4 2" xfId="45131" xr:uid="{A5F5917A-C485-4B63-87FD-45FB665A8157}"/>
    <cellStyle name="Normal 46 5 4 2 2" xfId="45134" xr:uid="{CD397271-3585-444A-A542-661333F33AF7}"/>
    <cellStyle name="Normal 46 5 4 3" xfId="45167" xr:uid="{89265AAD-08A3-43CD-914E-E9A5CB14D358}"/>
    <cellStyle name="Normal 46 5 5" xfId="46233" xr:uid="{AA8DFE6E-FA68-46F5-AA7E-127E6EC2D937}"/>
    <cellStyle name="Normal 46 5 5 2" xfId="45235" xr:uid="{6D5D7D26-BD3F-4909-A9AB-D24BD13863A4}"/>
    <cellStyle name="Normal 46 5 6" xfId="51844" xr:uid="{B9E8E92C-1344-4F0F-84EC-280990DE7DB2}"/>
    <cellStyle name="Normal 46 5 7" xfId="51845" xr:uid="{BBAC9869-9211-4B09-8B25-D7FD87A86F06}"/>
    <cellStyle name="Normal 46 6" xfId="46236" xr:uid="{C467B4CB-B4F8-40C4-BA4D-68B27C2476F1}"/>
    <cellStyle name="Normal 46 6 2" xfId="46238" xr:uid="{9578D3B6-4870-409E-9053-5A4CD04F03BA}"/>
    <cellStyle name="Normal 46 6 2 2" xfId="46240" xr:uid="{EE540311-46D2-4B83-AD60-FF87AEFB4513}"/>
    <cellStyle name="Normal 46 6 2 2 2" xfId="46242" xr:uid="{74010922-D12C-4AE3-A8D1-605950F85802}"/>
    <cellStyle name="Normal 46 6 2 2 2 2" xfId="51846" xr:uid="{75D8947D-C65C-4F07-85A1-9122E2C493F3}"/>
    <cellStyle name="Normal 46 6 2 2 3" xfId="51847" xr:uid="{2B7CF791-3B03-4230-87F2-2B9862B549C6}"/>
    <cellStyle name="Normal 46 6 2 3" xfId="46244" xr:uid="{5AB54AD3-5ED1-45AD-B97E-65509D3B1E6C}"/>
    <cellStyle name="Normal 46 6 2 3 2" xfId="51848" xr:uid="{558827B9-A43F-448A-9940-880B42D0E643}"/>
    <cellStyle name="Normal 46 6 2 4" xfId="13951" xr:uid="{89164535-EA47-4619-836F-25DF7D114C73}"/>
    <cellStyle name="Normal 46 6 3" xfId="46246" xr:uid="{69DDD3E5-8CB6-4AAD-8631-15E3030B6661}"/>
    <cellStyle name="Normal 46 6 3 2" xfId="46248" xr:uid="{0E2DD73D-BA0F-40DE-A9E4-D22FE9011435}"/>
    <cellStyle name="Normal 46 6 3 2 2" xfId="51849" xr:uid="{D827B79F-6B6B-4334-B6E2-D1F6F06E4CBE}"/>
    <cellStyle name="Normal 46 6 3 3" xfId="51850" xr:uid="{A9DBD396-D9F4-49F3-93EF-C6DA9B1F56EB}"/>
    <cellStyle name="Normal 46 6 4" xfId="46250" xr:uid="{583C4077-5B46-4F47-B208-4C274F73E488}"/>
    <cellStyle name="Normal 46 6 4 2" xfId="45379" xr:uid="{DF200677-BA5E-4D2C-9C5C-DE4800C3675E}"/>
    <cellStyle name="Normal 46 6 5" xfId="51851" xr:uid="{383B49BC-ACEF-4CBA-B71F-097981CDC245}"/>
    <cellStyle name="Normal 46 7" xfId="46252" xr:uid="{06404069-CDA4-4FA0-BCBC-E484EBBBE87E}"/>
    <cellStyle name="Normal 46 7 2" xfId="46254" xr:uid="{5EAA6D2D-1153-497D-A087-CDAA7C1F50E9}"/>
    <cellStyle name="Normal 46 7 2 2" xfId="46256" xr:uid="{8075A790-62F9-42CC-A4F7-56A964962BC1}"/>
    <cellStyle name="Normal 46 7 2 2 2" xfId="51852" xr:uid="{3C0754B7-C53F-4F3B-8471-00EAFE5B46D6}"/>
    <cellStyle name="Normal 46 7 2 3" xfId="51853" xr:uid="{6D0313BA-DA40-4EF9-8023-CFA700CD5670}"/>
    <cellStyle name="Normal 46 7 3" xfId="46258" xr:uid="{98581AF4-CA76-4F75-A66F-D058802528E6}"/>
    <cellStyle name="Normal 46 7 3 2" xfId="51854" xr:uid="{A6A6A487-A29F-4691-AF95-98D053780A37}"/>
    <cellStyle name="Normal 46 7 4" xfId="51855" xr:uid="{2B86E57A-3FC7-41C5-8CA1-6B7DB36688CA}"/>
    <cellStyle name="Normal 46 8" xfId="46260" xr:uid="{F8643058-C2B3-41E1-B064-8ACB22FCBD77}"/>
    <cellStyle name="Normal 46 8 2" xfId="46262" xr:uid="{EB57FB87-85FA-448F-9643-94D920838292}"/>
    <cellStyle name="Normal 46 8 2 2" xfId="51856" xr:uid="{8EB949B9-65B6-4C47-8EA4-C3D2AA312B31}"/>
    <cellStyle name="Normal 46 8 3" xfId="51857" xr:uid="{1D2E82E9-3CF6-4A6D-9FF6-4F3CDE76CD32}"/>
    <cellStyle name="Normal 46 9" xfId="46264" xr:uid="{0A2BB251-4116-4621-82D6-C62FADDA3DB1}"/>
    <cellStyle name="Normal 46 9 2" xfId="51858" xr:uid="{49554584-8FB9-4C6C-A12E-64DB8BB2D5D6}"/>
    <cellStyle name="Normal 460" xfId="9632" xr:uid="{CE76A47F-177D-49AF-A10F-B0D65052126D}"/>
    <cellStyle name="Normal 460 2" xfId="45411" xr:uid="{D0BF000E-048C-4E17-AE19-10378C9DA990}"/>
    <cellStyle name="Normal 461" xfId="51426" xr:uid="{68611A4D-24DC-400C-B14C-10E5977227DB}"/>
    <cellStyle name="Normal 461 2" xfId="45455" xr:uid="{95B3D247-E571-4E52-90ED-879CDFAC421A}"/>
    <cellStyle name="Normal 462" xfId="51430" xr:uid="{747FA52B-A554-49FF-8E06-9495D94CE845}"/>
    <cellStyle name="Normal 462 2" xfId="45478" xr:uid="{296CAAB5-E7D8-4A13-9D3C-B3686369A221}"/>
    <cellStyle name="Normal 463" xfId="51434" xr:uid="{1E535C49-4808-419C-BA0A-0CB89551A05D}"/>
    <cellStyle name="Normal 463 2" xfId="51438" xr:uid="{CCFE9112-91C3-423F-B15D-6DF3F3214B5C}"/>
    <cellStyle name="Normal 464" xfId="51442" xr:uid="{0529A8E3-27CA-4091-95B2-8375443428D5}"/>
    <cellStyle name="Normal 464 2" xfId="51446" xr:uid="{14987BE3-C042-4A8D-A91C-BC5350D21022}"/>
    <cellStyle name="Normal 465" xfId="51862" xr:uid="{D70B8173-13E2-4651-807D-E597735FC2EA}"/>
    <cellStyle name="Normal 465 2" xfId="51866" xr:uid="{3725FDD7-608D-4BEC-BD6A-31BF6B1ED6F6}"/>
    <cellStyle name="Normal 466" xfId="51870" xr:uid="{3FEE0A75-1104-4E47-B135-7C9B8FF5A30E}"/>
    <cellStyle name="Normal 466 2" xfId="51874" xr:uid="{83A08D24-A73D-453D-A177-653B9C32750D}"/>
    <cellStyle name="Normal 467" xfId="51878" xr:uid="{41BEB65C-14C3-4608-929F-41F89BA8AF5B}"/>
    <cellStyle name="Normal 467 2" xfId="51882" xr:uid="{BE817ECA-CC49-4949-85D1-0364B6EBCB40}"/>
    <cellStyle name="Normal 468" xfId="51886" xr:uid="{A212087F-1859-40C5-82D3-9031406219DE}"/>
    <cellStyle name="Normal 468 2" xfId="51890" xr:uid="{5A45B3F1-3028-4061-8EC4-8FE29F399CE3}"/>
    <cellStyle name="Normal 469" xfId="51894" xr:uid="{772010DF-05EF-472E-818F-65A2C843D5CE}"/>
    <cellStyle name="Normal 469 2" xfId="51898" xr:uid="{4A44A6C7-C208-4C9A-9681-3499E42FA9E5}"/>
    <cellStyle name="Normal 47" xfId="51900" xr:uid="{3FB15278-71D5-42A4-830C-92329F1D1552}"/>
    <cellStyle name="Normal 47 10" xfId="51902" xr:uid="{16C5E47E-4A87-4F08-843C-B82622E049A6}"/>
    <cellStyle name="Normal 47 11" xfId="51903" xr:uid="{C245228E-B68A-4A04-92B2-6EA4A97DA18D}"/>
    <cellStyle name="Normal 47 12" xfId="51904" xr:uid="{2588941B-6795-4199-89BE-7DC34B6A3B5B}"/>
    <cellStyle name="Normal 47 2" xfId="51906" xr:uid="{DAABC84C-A175-43A2-8BBC-930B045A20EA}"/>
    <cellStyle name="Normal 47 2 10" xfId="51907" xr:uid="{0A52B9FE-9E7A-4D60-A268-4214F6890CD1}"/>
    <cellStyle name="Normal 47 2 11" xfId="51908" xr:uid="{32D15FA2-740D-417D-B670-5C5253B71036}"/>
    <cellStyle name="Normal 47 2 2" xfId="51910" xr:uid="{84A4305F-0D33-4556-B777-0B7A78EB84FC}"/>
    <cellStyle name="Normal 47 2 2 10" xfId="47000" xr:uid="{01485410-2258-4628-8747-6A08D82CFC7F}"/>
    <cellStyle name="Normal 47 2 2 2" xfId="51912" xr:uid="{CC42E2B6-3E3F-4C10-B383-7FCD0DBD3628}"/>
    <cellStyle name="Normal 47 2 2 2 2" xfId="51914" xr:uid="{1463A298-BC76-4FA9-9EF9-CBE9F094DE7A}"/>
    <cellStyle name="Normal 47 2 2 2 2 2" xfId="51916" xr:uid="{79BDCECC-97E5-4084-BEA2-152C7C28ED3F}"/>
    <cellStyle name="Normal 47 2 2 2 2 2 2" xfId="51918" xr:uid="{F31BCA21-0BD8-4A4F-BA25-56F9F2891FB7}"/>
    <cellStyle name="Normal 47 2 2 2 2 2 2 2" xfId="51920" xr:uid="{C861BAA9-A6C6-4BC4-9FB1-FBEBC25E4BE3}"/>
    <cellStyle name="Normal 47 2 2 2 2 2 2 2 2" xfId="31451" xr:uid="{1D811BBA-CF23-4FD2-A3E7-91847F9907F8}"/>
    <cellStyle name="Normal 47 2 2 2 2 2 2 2 2 2" xfId="51921" xr:uid="{CE11A3E5-0130-4CA4-BCEC-C9120B77CD3E}"/>
    <cellStyle name="Normal 47 2 2 2 2 2 2 2 3" xfId="51922" xr:uid="{B4F57CF3-C4DE-4440-AC91-B1AF803E0F24}"/>
    <cellStyle name="Normal 47 2 2 2 2 2 2 3" xfId="51923" xr:uid="{5B10FE80-BC57-4B45-A108-EB3DCAFBB55A}"/>
    <cellStyle name="Normal 47 2 2 2 2 2 2 3 2" xfId="51924" xr:uid="{34BA3DD9-C354-4CAF-812E-C7E2D1EAA383}"/>
    <cellStyle name="Normal 47 2 2 2 2 2 2 4" xfId="51925" xr:uid="{DDBEFDD9-F9E4-4902-B391-9A9A9660F923}"/>
    <cellStyle name="Normal 47 2 2 2 2 2 3" xfId="51927" xr:uid="{35512368-0F9C-4C0E-8C9F-7B8C11ED81B8}"/>
    <cellStyle name="Normal 47 2 2 2 2 2 3 2" xfId="51928" xr:uid="{068BB897-2E9B-46CD-895B-1E4AE17AC3A5}"/>
    <cellStyle name="Normal 47 2 2 2 2 2 3 2 2" xfId="51929" xr:uid="{95CCDF2E-FF56-4689-895B-58D7FE8D5A02}"/>
    <cellStyle name="Normal 47 2 2 2 2 2 3 3" xfId="51930" xr:uid="{89A0953D-25E9-44C0-A71C-8EB2EECCD7CA}"/>
    <cellStyle name="Normal 47 2 2 2 2 2 4" xfId="51931" xr:uid="{3DDDEEA0-3CB8-4B81-9CF7-F78CCFF28E02}"/>
    <cellStyle name="Normal 47 2 2 2 2 2 4 2" xfId="51932" xr:uid="{3DDA43E3-155C-4E9B-8B92-F06DF474D6E4}"/>
    <cellStyle name="Normal 47 2 2 2 2 2 5" xfId="51933" xr:uid="{969300A9-8DC7-42F9-917E-026CF66107C2}"/>
    <cellStyle name="Normal 47 2 2 2 2 3" xfId="51935" xr:uid="{4D8E8C85-F43E-4ECF-85CE-3CF5B02FC0B8}"/>
    <cellStyle name="Normal 47 2 2 2 2 3 2" xfId="51937" xr:uid="{42391B13-F3AF-449C-872D-692A8DC64526}"/>
    <cellStyle name="Normal 47 2 2 2 2 3 2 2" xfId="51938" xr:uid="{1931E29B-90E4-4527-8534-6FEA7E91388B}"/>
    <cellStyle name="Normal 47 2 2 2 2 3 2 2 2" xfId="51939" xr:uid="{EE51A8FF-CAAD-47E7-B3FA-C1B22574A36B}"/>
    <cellStyle name="Normal 47 2 2 2 2 3 2 3" xfId="51940" xr:uid="{6F7ACD03-3452-41DA-B1E4-7B2647CD94CB}"/>
    <cellStyle name="Normal 47 2 2 2 2 3 3" xfId="51941" xr:uid="{FEA9C549-C58E-4F77-8449-01130B6533DA}"/>
    <cellStyle name="Normal 47 2 2 2 2 3 3 2" xfId="51942" xr:uid="{85820345-A2C8-4D3D-AFA8-EB91F6D30607}"/>
    <cellStyle name="Normal 47 2 2 2 2 3 4" xfId="51943" xr:uid="{D8887441-B375-41E4-9F1B-70F2BA3DEB64}"/>
    <cellStyle name="Normal 47 2 2 2 2 4" xfId="51945" xr:uid="{566A6F1C-A003-48B5-96EB-030C1DC545F9}"/>
    <cellStyle name="Normal 47 2 2 2 2 4 2" xfId="51946" xr:uid="{5E4AFC53-F9E9-4DBB-9482-4403BBF5EFE0}"/>
    <cellStyle name="Normal 47 2 2 2 2 4 2 2" xfId="51947" xr:uid="{34AFD92A-666F-416E-8A62-DCDC33336536}"/>
    <cellStyle name="Normal 47 2 2 2 2 4 3" xfId="51948" xr:uid="{0BB30660-2BD7-4A67-B12F-B4FFD9F38AC2}"/>
    <cellStyle name="Normal 47 2 2 2 2 5" xfId="51949" xr:uid="{3973DB04-B6DD-4818-941E-C55357EC739F}"/>
    <cellStyle name="Normal 47 2 2 2 2 5 2" xfId="51950" xr:uid="{7D30E903-D599-4810-B65A-7BCD9FB8C104}"/>
    <cellStyle name="Normal 47 2 2 2 2 6" xfId="51951" xr:uid="{ECDAFAA0-9EC5-49D9-851C-3E8A62AAEAB6}"/>
    <cellStyle name="Normal 47 2 2 2 2 7" xfId="51952" xr:uid="{00C724A8-6CA2-4C08-947C-FDF5C0EAD58E}"/>
    <cellStyle name="Normal 47 2 2 2 3" xfId="51954" xr:uid="{D5EDDA2A-FED8-497E-8DA5-B5B299540AC4}"/>
    <cellStyle name="Normal 47 2 2 2 3 2" xfId="51956" xr:uid="{209C1B29-DB00-4BFD-834C-5C02D7AB829C}"/>
    <cellStyle name="Normal 47 2 2 2 3 2 2" xfId="51958" xr:uid="{92141FCC-F4FF-474D-BA2B-46F72E2B9A73}"/>
    <cellStyle name="Normal 47 2 2 2 3 2 2 2" xfId="51959" xr:uid="{71D91DF6-8078-4088-9614-9FE24D379076}"/>
    <cellStyle name="Normal 47 2 2 2 3 2 2 2 2" xfId="51960" xr:uid="{5416A032-E2A5-41CD-ACF1-34F237D04F58}"/>
    <cellStyle name="Normal 47 2 2 2 3 2 2 3" xfId="51961" xr:uid="{876DC4EF-719C-4915-93A7-A0B5BEE9768A}"/>
    <cellStyle name="Normal 47 2 2 2 3 2 3" xfId="51962" xr:uid="{C9061511-F054-492E-9286-26F55D417761}"/>
    <cellStyle name="Normal 47 2 2 2 3 2 3 2" xfId="51963" xr:uid="{B6886BB4-92E3-4766-BB1F-194E95B65BB4}"/>
    <cellStyle name="Normal 47 2 2 2 3 2 4" xfId="51964" xr:uid="{3C42A595-5ADA-4E6E-BFDB-3E0CDC0E92EB}"/>
    <cellStyle name="Normal 47 2 2 2 3 3" xfId="51966" xr:uid="{D5463400-619B-4B00-A132-39F442F0C14F}"/>
    <cellStyle name="Normal 47 2 2 2 3 3 2" xfId="51967" xr:uid="{11CEAB48-45E5-4B3A-965D-71CED3694B76}"/>
    <cellStyle name="Normal 47 2 2 2 3 3 2 2" xfId="51968" xr:uid="{6AFE0612-CA2F-4352-BEAC-79ACF03E2AD5}"/>
    <cellStyle name="Normal 47 2 2 2 3 3 3" xfId="51969" xr:uid="{65881FEF-F937-4AAC-922A-F9644CC6DD8C}"/>
    <cellStyle name="Normal 47 2 2 2 3 4" xfId="51970" xr:uid="{A5A3AACF-6774-4022-B01A-E877A65E277A}"/>
    <cellStyle name="Normal 47 2 2 2 3 4 2" xfId="51971" xr:uid="{D4DE8DE7-F879-4B87-B254-9834060B1587}"/>
    <cellStyle name="Normal 47 2 2 2 3 5" xfId="51972" xr:uid="{441FB04C-FF95-4BE1-B3AA-496B5F3B1156}"/>
    <cellStyle name="Normal 47 2 2 2 4" xfId="51974" xr:uid="{4771B5DF-447E-49BE-9251-9F1CB92DDA42}"/>
    <cellStyle name="Normal 47 2 2 2 4 2" xfId="51976" xr:uid="{44682E20-F43F-40CC-8487-EB312CFC862D}"/>
    <cellStyle name="Normal 47 2 2 2 4 2 2" xfId="51977" xr:uid="{8401502B-178E-4BF8-9D68-A5E778E23B3D}"/>
    <cellStyle name="Normal 47 2 2 2 4 2 2 2" xfId="51978" xr:uid="{1ED515FD-86FC-4387-8337-D4BF1EEE8A80}"/>
    <cellStyle name="Normal 47 2 2 2 4 2 3" xfId="51979" xr:uid="{1FC9D6AE-6BA7-42F7-A5F9-40D5759A505B}"/>
    <cellStyle name="Normal 47 2 2 2 4 3" xfId="51980" xr:uid="{0FDE86DA-1698-4AC7-A793-F39FB4B70313}"/>
    <cellStyle name="Normal 47 2 2 2 4 3 2" xfId="51981" xr:uid="{3B4E62C0-2E49-4C7F-9410-0C0AE8F5233C}"/>
    <cellStyle name="Normal 47 2 2 2 4 4" xfId="51982" xr:uid="{E574CDA2-B2DB-4C30-B273-C98643CB2378}"/>
    <cellStyle name="Normal 47 2 2 2 5" xfId="51984" xr:uid="{651FF39E-C4C4-437D-A17D-9369663BDAC4}"/>
    <cellStyle name="Normal 47 2 2 2 5 2" xfId="51985" xr:uid="{E40AAEF5-C858-4157-90D8-1F3E2BE256D6}"/>
    <cellStyle name="Normal 47 2 2 2 5 2 2" xfId="51986" xr:uid="{338E158A-32BF-452F-8A3F-7D5193284CE9}"/>
    <cellStyle name="Normal 47 2 2 2 5 3" xfId="51987" xr:uid="{25859EE2-3491-430A-874D-B3DC929EAB8B}"/>
    <cellStyle name="Normal 47 2 2 2 6" xfId="51988" xr:uid="{CC557E11-1733-42E4-A766-1BA2B84E100E}"/>
    <cellStyle name="Normal 47 2 2 2 6 2" xfId="51989" xr:uid="{515DAE75-F71A-4469-9ED4-BDF2AA79A4A9}"/>
    <cellStyle name="Normal 47 2 2 2 7" xfId="51990" xr:uid="{720066E0-C0A5-48F0-B21E-D8FC696EC14F}"/>
    <cellStyle name="Normal 47 2 2 2 8" xfId="51991" xr:uid="{32A713A0-557C-4FDA-A5E3-B21357E0F7B4}"/>
    <cellStyle name="Normal 47 2 2 3" xfId="51993" xr:uid="{93786CA7-A917-40BB-AB31-4284AAC41E5B}"/>
    <cellStyle name="Normal 47 2 2 3 2" xfId="51995" xr:uid="{0A483807-967D-4CF9-9A1A-407091F1200C}"/>
    <cellStyle name="Normal 47 2 2 3 2 2" xfId="51997" xr:uid="{452A3C38-8E9D-46FD-B173-72F821854858}"/>
    <cellStyle name="Normal 47 2 2 3 2 2 2" xfId="51999" xr:uid="{4A3DC756-F131-4B48-866F-DA121DEC4DA0}"/>
    <cellStyle name="Normal 47 2 2 3 2 2 2 2" xfId="52000" xr:uid="{67C759EB-9733-42D6-9109-204107E281BB}"/>
    <cellStyle name="Normal 47 2 2 3 2 2 2 2 2" xfId="52001" xr:uid="{2E65C1B2-AD11-4502-94E4-60FAA77EC04D}"/>
    <cellStyle name="Normal 47 2 2 3 2 2 2 3" xfId="52002" xr:uid="{17B8F2AC-428D-4945-ADB0-5C3E0BF5A1F4}"/>
    <cellStyle name="Normal 47 2 2 3 2 2 3" xfId="52003" xr:uid="{26734815-9F5E-4F05-8FDD-88BAA0449462}"/>
    <cellStyle name="Normal 47 2 2 3 2 2 3 2" xfId="52004" xr:uid="{DC160092-D1D4-4B67-880D-6CCB4FA28654}"/>
    <cellStyle name="Normal 47 2 2 3 2 2 4" xfId="52005" xr:uid="{B0670AB1-C732-431F-85FD-871ED4A89D5F}"/>
    <cellStyle name="Normal 47 2 2 3 2 3" xfId="52007" xr:uid="{639362AD-3939-4EAB-89BC-D5B9CA54DC9E}"/>
    <cellStyle name="Normal 47 2 2 3 2 3 2" xfId="52008" xr:uid="{78B22DEF-1837-44AA-A110-78122ED63F18}"/>
    <cellStyle name="Normal 47 2 2 3 2 3 2 2" xfId="52009" xr:uid="{7B38A322-5AF6-4C40-B9E5-D1441AC85C7B}"/>
    <cellStyle name="Normal 47 2 2 3 2 3 3" xfId="52010" xr:uid="{54FC9837-403F-48C9-AC4D-22B532367916}"/>
    <cellStyle name="Normal 47 2 2 3 2 4" xfId="52011" xr:uid="{3375EA40-29F0-4068-9BA9-88B57E24EBCE}"/>
    <cellStyle name="Normal 47 2 2 3 2 4 2" xfId="52012" xr:uid="{C6FC971C-7A28-41B3-B177-D201C4997D7A}"/>
    <cellStyle name="Normal 47 2 2 3 2 5" xfId="52013" xr:uid="{657ADBFB-CCF9-45F1-80AA-71254FDCBE53}"/>
    <cellStyle name="Normal 47 2 2 3 3" xfId="52015" xr:uid="{7931254C-C98B-4879-8D1A-95CBF307C95F}"/>
    <cellStyle name="Normal 47 2 2 3 3 2" xfId="52017" xr:uid="{42D240F4-5FCA-4A02-9A8E-95F5EDEF4668}"/>
    <cellStyle name="Normal 47 2 2 3 3 2 2" xfId="52018" xr:uid="{E1E566F3-5A0A-4B7D-837F-A756C2DC4E00}"/>
    <cellStyle name="Normal 47 2 2 3 3 2 2 2" xfId="52019" xr:uid="{2F1CCFB1-AE63-4A1B-A566-A76BCDBA1115}"/>
    <cellStyle name="Normal 47 2 2 3 3 2 3" xfId="52020" xr:uid="{030315B1-B4BD-4458-811C-AF0EC1841854}"/>
    <cellStyle name="Normal 47 2 2 3 3 3" xfId="52021" xr:uid="{A1638097-D1CF-445F-B357-A14B785D08C7}"/>
    <cellStyle name="Normal 47 2 2 3 3 3 2" xfId="52022" xr:uid="{31051162-DA3C-4842-A72B-79FF9CFDC821}"/>
    <cellStyle name="Normal 47 2 2 3 3 4" xfId="52023" xr:uid="{8E987006-5134-48FC-9021-F10FD04202F3}"/>
    <cellStyle name="Normal 47 2 2 3 4" xfId="52025" xr:uid="{FDB60E8E-7452-491B-953F-91EA5F65C34C}"/>
    <cellStyle name="Normal 47 2 2 3 4 2" xfId="52026" xr:uid="{C5D6058C-9450-4E3B-8C1C-515139980667}"/>
    <cellStyle name="Normal 47 2 2 3 4 2 2" xfId="52027" xr:uid="{F9A5CAA4-E707-4B7E-954D-FE3BD70D0D27}"/>
    <cellStyle name="Normal 47 2 2 3 4 3" xfId="52028" xr:uid="{8FE3D516-143B-4570-BC68-26CD22D93B5A}"/>
    <cellStyle name="Normal 47 2 2 3 5" xfId="52029" xr:uid="{436935CA-1995-4DC6-8332-64D1724FF98F}"/>
    <cellStyle name="Normal 47 2 2 3 5 2" xfId="52030" xr:uid="{8FE482E1-F70D-42C8-A319-13B4031828CD}"/>
    <cellStyle name="Normal 47 2 2 3 6" xfId="52031" xr:uid="{30808C94-4CE7-429B-890A-06D15520CA8F}"/>
    <cellStyle name="Normal 47 2 2 3 7" xfId="52032" xr:uid="{F816BD6C-DC5C-4FD7-9B68-EE4429F7C0C5}"/>
    <cellStyle name="Normal 47 2 2 4" xfId="52034" xr:uid="{BCB0756C-6A0F-4595-861E-B1F8B40106E0}"/>
    <cellStyle name="Normal 47 2 2 4 2" xfId="52036" xr:uid="{8C27F625-0AC6-4001-8C41-D0985A2C9BFB}"/>
    <cellStyle name="Normal 47 2 2 4 2 2" xfId="52038" xr:uid="{E86D7CDF-BD82-462C-8205-30C1D426D8DA}"/>
    <cellStyle name="Normal 47 2 2 4 2 2 2" xfId="52039" xr:uid="{14A8FA9B-3CB9-4823-80FE-FA107E3C9EBA}"/>
    <cellStyle name="Normal 47 2 2 4 2 2 2 2" xfId="52040" xr:uid="{5BCFBFBE-D774-439F-B681-B24FE8CDD7CD}"/>
    <cellStyle name="Normal 47 2 2 4 2 2 3" xfId="52041" xr:uid="{7B84CD04-2E12-4942-8F26-153285298C0F}"/>
    <cellStyle name="Normal 47 2 2 4 2 3" xfId="52042" xr:uid="{72E98FE2-729C-480F-A712-F436DD4CD054}"/>
    <cellStyle name="Normal 47 2 2 4 2 3 2" xfId="52043" xr:uid="{B9BCED4B-E51B-4195-AADC-E30725CBC45F}"/>
    <cellStyle name="Normal 47 2 2 4 2 4" xfId="52044" xr:uid="{C242637D-C822-451E-B6D8-F8B64E3CE748}"/>
    <cellStyle name="Normal 47 2 2 4 3" xfId="52046" xr:uid="{3B0E6106-9132-41FB-8A3B-591AB4A274CB}"/>
    <cellStyle name="Normal 47 2 2 4 3 2" xfId="52047" xr:uid="{F19AD7CF-7B57-4F5C-84F4-5F00443D5BE2}"/>
    <cellStyle name="Normal 47 2 2 4 3 2 2" xfId="52048" xr:uid="{52F91A86-6C6A-4170-A374-5454C06F836D}"/>
    <cellStyle name="Normal 47 2 2 4 3 3" xfId="52049" xr:uid="{E966CC1A-1ADF-4945-AF6F-D7B794664FE2}"/>
    <cellStyle name="Normal 47 2 2 4 4" xfId="52050" xr:uid="{C05EE4B1-C3BF-4039-96D9-0A1AEBA4833C}"/>
    <cellStyle name="Normal 47 2 2 4 4 2" xfId="52051" xr:uid="{BA3FB387-61A0-416F-B826-C8D122204832}"/>
    <cellStyle name="Normal 47 2 2 4 5" xfId="52052" xr:uid="{C103C6FD-BBAE-4320-8EA2-E05EAF9D6231}"/>
    <cellStyle name="Normal 47 2 2 5" xfId="52054" xr:uid="{AADFC8E4-C9AF-4E01-B469-02174D424E91}"/>
    <cellStyle name="Normal 47 2 2 5 2" xfId="52056" xr:uid="{411BBAE1-B6AF-451D-9CAF-B6787B19785D}"/>
    <cellStyle name="Normal 47 2 2 5 2 2" xfId="52057" xr:uid="{77DF171F-4438-4E94-BE38-AA587FAA5858}"/>
    <cellStyle name="Normal 47 2 2 5 2 2 2" xfId="52058" xr:uid="{5807C693-DCE0-481D-A9C5-6509EA01ABA5}"/>
    <cellStyle name="Normal 47 2 2 5 2 3" xfId="52059" xr:uid="{0D7B9A9E-C535-401F-BFF8-618764014DF0}"/>
    <cellStyle name="Normal 47 2 2 5 3" xfId="52060" xr:uid="{112AF15B-BB50-4C75-B9C0-BAB2BE42B350}"/>
    <cellStyle name="Normal 47 2 2 5 3 2" xfId="52061" xr:uid="{06B7B20D-B75F-4DF3-9A73-0B7F6C22CE6F}"/>
    <cellStyle name="Normal 47 2 2 5 4" xfId="52062" xr:uid="{F5A55EEF-8B0D-4932-82C2-1509F31B076C}"/>
    <cellStyle name="Normal 47 2 2 6" xfId="52064" xr:uid="{B564D2ED-4689-40DE-9F0B-672987326294}"/>
    <cellStyle name="Normal 47 2 2 6 2" xfId="52065" xr:uid="{6C6ADAB4-D73F-4D0F-9035-8C94CFDE0635}"/>
    <cellStyle name="Normal 47 2 2 6 2 2" xfId="52066" xr:uid="{0F843EF4-1402-4C92-882D-96B575BB4A84}"/>
    <cellStyle name="Normal 47 2 2 6 3" xfId="52067" xr:uid="{A3707464-1371-4415-B95C-C752E787A286}"/>
    <cellStyle name="Normal 47 2 2 7" xfId="52069" xr:uid="{1E20BEFA-5AD6-4F25-BA32-60144237BF7A}"/>
    <cellStyle name="Normal 47 2 2 7 2" xfId="52070" xr:uid="{4C588237-D921-4F79-91A7-EDEF744B96E0}"/>
    <cellStyle name="Normal 47 2 2 8" xfId="52072" xr:uid="{1282330D-AEFE-4E13-BE93-7AD9DEF77EDA}"/>
    <cellStyle name="Normal 47 2 2 9" xfId="52073" xr:uid="{FB5D5811-4FAA-428F-9F87-AD96C8439174}"/>
    <cellStyle name="Normal 47 2 3" xfId="52075" xr:uid="{466B9E3F-8286-4C7B-99E3-89515740DD6C}"/>
    <cellStyle name="Normal 47 2 3 2" xfId="52077" xr:uid="{D6843BC3-0089-4856-A1CC-EE19948BDC7A}"/>
    <cellStyle name="Normal 47 2 3 2 2" xfId="52079" xr:uid="{F393EC69-45B2-4A97-94B8-376D7D9AD071}"/>
    <cellStyle name="Normal 47 2 3 2 2 2" xfId="52081" xr:uid="{F233D8C5-F9A5-49E2-8F9A-3C4756B93EE5}"/>
    <cellStyle name="Normal 47 2 3 2 2 2 2" xfId="52083" xr:uid="{293CAFC4-BAD7-4CD9-9232-F4D8B1F5F00A}"/>
    <cellStyle name="Normal 47 2 3 2 2 2 2 2" xfId="52084" xr:uid="{CFD05C78-995F-4A97-830C-F348F2F67A61}"/>
    <cellStyle name="Normal 47 2 3 2 2 2 2 2 2" xfId="13686" xr:uid="{0A5C286E-4874-43EE-BE1E-67437AA6C641}"/>
    <cellStyle name="Normal 47 2 3 2 2 2 2 3" xfId="16138" xr:uid="{7DC3A7B8-1540-4DB5-BF6A-D2D7A93271BB}"/>
    <cellStyle name="Normal 47 2 3 2 2 2 3" xfId="52085" xr:uid="{F7C78DEB-A6D2-4A04-B645-25B7C46CF683}"/>
    <cellStyle name="Normal 47 2 3 2 2 2 3 2" xfId="52086" xr:uid="{9FFB8BCC-B26C-4C2C-8DD0-482D055103C8}"/>
    <cellStyle name="Normal 47 2 3 2 2 2 4" xfId="52087" xr:uid="{660BDB71-E124-4DF2-B118-BB6A5B3FF6B7}"/>
    <cellStyle name="Normal 47 2 3 2 2 3" xfId="52089" xr:uid="{233B619F-C93D-441E-893C-40889FC4732E}"/>
    <cellStyle name="Normal 47 2 3 2 2 3 2" xfId="52090" xr:uid="{6159DB5E-E40B-4F85-92C3-D1BEBD1C9926}"/>
    <cellStyle name="Normal 47 2 3 2 2 3 2 2" xfId="52091" xr:uid="{544DAEE8-E69F-45C3-8ECC-B500CAEE1665}"/>
    <cellStyle name="Normal 47 2 3 2 2 3 3" xfId="52092" xr:uid="{1D37FDAD-FB8D-4291-89B5-92871CC4D917}"/>
    <cellStyle name="Normal 47 2 3 2 2 4" xfId="52093" xr:uid="{C7536B34-3663-49CA-8E84-C41B94B9C2D6}"/>
    <cellStyle name="Normal 47 2 3 2 2 4 2" xfId="52094" xr:uid="{5948E9D9-BD01-43A1-888C-B54EAEAD6738}"/>
    <cellStyle name="Normal 47 2 3 2 2 5" xfId="52095" xr:uid="{0F08E025-922D-4F3F-8E04-9376379CA520}"/>
    <cellStyle name="Normal 47 2 3 2 3" xfId="52097" xr:uid="{522628C0-E7DD-4E9D-A431-B15C22B1D60A}"/>
    <cellStyle name="Normal 47 2 3 2 3 2" xfId="52099" xr:uid="{8385064B-0801-4A39-BA2E-59349DE12687}"/>
    <cellStyle name="Normal 47 2 3 2 3 2 2" xfId="52100" xr:uid="{F12658D8-0EE9-4964-846B-D413AD023239}"/>
    <cellStyle name="Normal 47 2 3 2 3 2 2 2" xfId="52101" xr:uid="{3926F4C9-FBBF-4DFE-8709-EE195F92B1E5}"/>
    <cellStyle name="Normal 47 2 3 2 3 2 3" xfId="52102" xr:uid="{BB2ACF70-4021-49F7-878C-B9F55900BA64}"/>
    <cellStyle name="Normal 47 2 3 2 3 3" xfId="52103" xr:uid="{19BF7235-C262-4012-BDB7-C60F95CADD6C}"/>
    <cellStyle name="Normal 47 2 3 2 3 3 2" xfId="52104" xr:uid="{54AE2804-C191-4031-867C-61A5AD207966}"/>
    <cellStyle name="Normal 47 2 3 2 3 4" xfId="52105" xr:uid="{237BC76A-82F9-452D-93F6-E5E655668210}"/>
    <cellStyle name="Normal 47 2 3 2 4" xfId="52107" xr:uid="{3FB42869-AAE2-4668-9A93-FEEB7A725078}"/>
    <cellStyle name="Normal 47 2 3 2 4 2" xfId="52108" xr:uid="{05B89F85-1268-4580-AA2B-094B35E48C02}"/>
    <cellStyle name="Normal 47 2 3 2 4 2 2" xfId="52109" xr:uid="{A56147CA-C478-448A-9F11-96B25B5D51CA}"/>
    <cellStyle name="Normal 47 2 3 2 4 3" xfId="52110" xr:uid="{FDD66465-17A8-4F89-BE95-BFB7F93F8E45}"/>
    <cellStyle name="Normal 47 2 3 2 5" xfId="52111" xr:uid="{1A2C61B0-8915-4C69-B679-AD917F70041C}"/>
    <cellStyle name="Normal 47 2 3 2 5 2" xfId="52112" xr:uid="{302EAAE6-A6B4-4675-8B77-F362D98DDBF9}"/>
    <cellStyle name="Normal 47 2 3 2 6" xfId="52113" xr:uid="{A5CD5021-02C4-4F49-8E30-C22B6F2D47C0}"/>
    <cellStyle name="Normal 47 2 3 2 7" xfId="52114" xr:uid="{1982B013-7E87-40EE-ABAC-8D5F3875FC00}"/>
    <cellStyle name="Normal 47 2 3 3" xfId="52116" xr:uid="{437C8DEB-3491-47D4-9ED6-98933444402F}"/>
    <cellStyle name="Normal 47 2 3 3 2" xfId="52118" xr:uid="{7BD4C8C6-6E27-423D-8449-1153F7090FB3}"/>
    <cellStyle name="Normal 47 2 3 3 2 2" xfId="22104" xr:uid="{7EE0FFC5-161E-4F0E-BB17-DF76EAE64A89}"/>
    <cellStyle name="Normal 47 2 3 3 2 2 2" xfId="52119" xr:uid="{2518B3A5-D275-4C99-B3B8-150A39999850}"/>
    <cellStyle name="Normal 47 2 3 3 2 2 2 2" xfId="52120" xr:uid="{9FA6DADF-31BA-49D3-AAB3-1685DA0418EE}"/>
    <cellStyle name="Normal 47 2 3 3 2 2 3" xfId="52121" xr:uid="{C492D24E-432C-4090-9B2B-900183296AE7}"/>
    <cellStyle name="Normal 47 2 3 3 2 3" xfId="52122" xr:uid="{FF81C7E6-9AC3-42F3-B5FD-012B6ED99FE0}"/>
    <cellStyle name="Normal 47 2 3 3 2 3 2" xfId="52123" xr:uid="{4E50E07A-4407-4B99-A01A-5C1AE18F2DA1}"/>
    <cellStyle name="Normal 47 2 3 3 2 4" xfId="52124" xr:uid="{D8F57594-61AA-451D-A5C1-20DD8C5A3A97}"/>
    <cellStyle name="Normal 47 2 3 3 3" xfId="52126" xr:uid="{23109793-4DC8-4958-BEF9-767E9E147AFC}"/>
    <cellStyle name="Normal 47 2 3 3 3 2" xfId="52127" xr:uid="{05CA857B-7861-4B28-9445-C7707E03E776}"/>
    <cellStyle name="Normal 47 2 3 3 3 2 2" xfId="52128" xr:uid="{1575FACD-E6D1-49E9-A399-90971B99061D}"/>
    <cellStyle name="Normal 47 2 3 3 3 3" xfId="52129" xr:uid="{AA5EA58F-B873-4BA6-B426-609C4781BF37}"/>
    <cellStyle name="Normal 47 2 3 3 4" xfId="52130" xr:uid="{B96D4975-38CA-48F3-8F52-A01D47877458}"/>
    <cellStyle name="Normal 47 2 3 3 4 2" xfId="52131" xr:uid="{CE87AA1D-3447-4036-A588-386B0432E21D}"/>
    <cellStyle name="Normal 47 2 3 3 5" xfId="52132" xr:uid="{8A4DEA96-AE32-4A50-8956-8987F2C870E2}"/>
    <cellStyle name="Normal 47 2 3 4" xfId="52134" xr:uid="{6039056B-463B-43FB-9320-3A93C7B58FEF}"/>
    <cellStyle name="Normal 47 2 3 4 2" xfId="52136" xr:uid="{CE530E1F-6DBC-4425-AABD-451EBA4D0644}"/>
    <cellStyle name="Normal 47 2 3 4 2 2" xfId="52137" xr:uid="{71B39096-9EFD-41D2-8456-A2CD29A58D2F}"/>
    <cellStyle name="Normal 47 2 3 4 2 2 2" xfId="52138" xr:uid="{54390A63-2300-4E22-92F8-2DC99C75D435}"/>
    <cellStyle name="Normal 47 2 3 4 2 3" xfId="52139" xr:uid="{3B2D76E8-415B-46C5-A3B0-596EDD88A842}"/>
    <cellStyle name="Normal 47 2 3 4 3" xfId="52140" xr:uid="{44FD2EC1-708D-49B7-98D1-7FF64EADE8A1}"/>
    <cellStyle name="Normal 47 2 3 4 3 2" xfId="52141" xr:uid="{48A97A47-3F33-47D6-AE6C-892071982A31}"/>
    <cellStyle name="Normal 47 2 3 4 4" xfId="52142" xr:uid="{E6FD60AD-F70A-4D1D-8039-3329BA4EAA93}"/>
    <cellStyle name="Normal 47 2 3 5" xfId="52144" xr:uid="{00C51533-2D30-4F9C-A154-3E615DB41413}"/>
    <cellStyle name="Normal 47 2 3 5 2" xfId="52145" xr:uid="{D1F45670-0BAA-4A47-8B36-853C4B36EEF4}"/>
    <cellStyle name="Normal 47 2 3 5 2 2" xfId="52146" xr:uid="{6A19BED4-5263-4117-A2B2-EC9C0D139273}"/>
    <cellStyle name="Normal 47 2 3 5 3" xfId="52147" xr:uid="{82F0D3C3-F193-47A1-B1C5-210F70DBD108}"/>
    <cellStyle name="Normal 47 2 3 6" xfId="52148" xr:uid="{BCBCD142-5ACB-46CE-B1D2-C48288B2701D}"/>
    <cellStyle name="Normal 47 2 3 6 2" xfId="52149" xr:uid="{D1630812-BC96-4ED7-8080-C79FC6F4296F}"/>
    <cellStyle name="Normal 47 2 3 7" xfId="52150" xr:uid="{20C4BDFA-85F4-480F-BCA2-D2B48DA6C1A6}"/>
    <cellStyle name="Normal 47 2 3 8" xfId="52151" xr:uid="{FB8FEBBC-3CF0-4AEF-9419-7133AD8C0B11}"/>
    <cellStyle name="Normal 47 2 4" xfId="52153" xr:uid="{5585D409-B482-4D0E-B16F-AB375AB4B3B7}"/>
    <cellStyle name="Normal 47 2 4 2" xfId="52155" xr:uid="{BA98489D-251D-4029-A1BF-6F853F04286A}"/>
    <cellStyle name="Normal 47 2 4 2 2" xfId="52157" xr:uid="{6928878F-1B0E-4B82-863B-044F4745B9AA}"/>
    <cellStyle name="Normal 47 2 4 2 2 2" xfId="52159" xr:uid="{B91C1EC1-7BB3-472E-98A1-E212022A7772}"/>
    <cellStyle name="Normal 47 2 4 2 2 2 2" xfId="52160" xr:uid="{0B90E937-352C-4680-B99B-BB8BF5DF6BA4}"/>
    <cellStyle name="Normal 47 2 4 2 2 2 2 2" xfId="52161" xr:uid="{ACFC0C6B-3443-4C69-90D1-6B1AF396B771}"/>
    <cellStyle name="Normal 47 2 4 2 2 2 3" xfId="52162" xr:uid="{6EB789D0-2AAA-411A-B4A3-09BE4038A942}"/>
    <cellStyle name="Normal 47 2 4 2 2 3" xfId="52163" xr:uid="{15BA9AB1-F17F-49CE-8302-A18C77117DD5}"/>
    <cellStyle name="Normal 47 2 4 2 2 3 2" xfId="52164" xr:uid="{BFC18736-CF83-4CDD-8DAB-032CE840DDC0}"/>
    <cellStyle name="Normal 47 2 4 2 2 4" xfId="52165" xr:uid="{85338907-3652-4BCA-B3F4-F25FFAF6B2F3}"/>
    <cellStyle name="Normal 47 2 4 2 3" xfId="52167" xr:uid="{7BCE791D-FA67-4B8C-A4DE-646AC9FEF7C3}"/>
    <cellStyle name="Normal 47 2 4 2 3 2" xfId="52168" xr:uid="{7C1B117B-444D-4D38-85F0-9AEF2CD2FA1F}"/>
    <cellStyle name="Normal 47 2 4 2 3 2 2" xfId="52169" xr:uid="{C6964488-539A-4EF9-96C1-0970737CF40E}"/>
    <cellStyle name="Normal 47 2 4 2 3 3" xfId="52170" xr:uid="{599983FA-94B7-426D-B9BB-C24990CADB13}"/>
    <cellStyle name="Normal 47 2 4 2 4" xfId="52171" xr:uid="{062F83D9-E686-4C02-8CE9-ED3121F51108}"/>
    <cellStyle name="Normal 47 2 4 2 4 2" xfId="52172" xr:uid="{FE203EA6-51C6-41C5-B876-0B4DF1D9CB3C}"/>
    <cellStyle name="Normal 47 2 4 2 5" xfId="52173" xr:uid="{AF0ABF0E-FE77-48DD-B81A-8D243654A489}"/>
    <cellStyle name="Normal 47 2 4 3" xfId="52175" xr:uid="{2F67904F-AEFB-44AE-A924-099CB7199010}"/>
    <cellStyle name="Normal 47 2 4 3 2" xfId="52177" xr:uid="{EC634C1E-D063-4029-91A2-9FB3C8844956}"/>
    <cellStyle name="Normal 47 2 4 3 2 2" xfId="52178" xr:uid="{6B69C7BB-E229-4F18-A6A3-A0E7093454BB}"/>
    <cellStyle name="Normal 47 2 4 3 2 2 2" xfId="52179" xr:uid="{9E4782A3-CCD9-4F68-9D4E-B98ECCA31503}"/>
    <cellStyle name="Normal 47 2 4 3 2 3" xfId="52180" xr:uid="{B721EB12-56A4-449B-AF06-B6629EEACA7F}"/>
    <cellStyle name="Normal 47 2 4 3 3" xfId="52181" xr:uid="{8695C2A4-9EFD-496F-9F5C-68F2EFBA5DC3}"/>
    <cellStyle name="Normal 47 2 4 3 3 2" xfId="52182" xr:uid="{5C63B56C-3690-4FFE-B840-8980EAD9ECB7}"/>
    <cellStyle name="Normal 47 2 4 3 4" xfId="52183" xr:uid="{D8320E19-D95F-4F87-89A1-987F3DAD9105}"/>
    <cellStyle name="Normal 47 2 4 4" xfId="52185" xr:uid="{EF9B16A6-9CAB-4E79-9320-3BAA6DE087B5}"/>
    <cellStyle name="Normal 47 2 4 4 2" xfId="52186" xr:uid="{F0C549C6-7965-43DF-A56F-80495F074EDF}"/>
    <cellStyle name="Normal 47 2 4 4 2 2" xfId="52187" xr:uid="{7F56D0DC-C629-48F1-8920-2A9C5DAC8ECE}"/>
    <cellStyle name="Normal 47 2 4 4 3" xfId="52188" xr:uid="{BF5EE2C6-1BC7-4F5D-A676-FEAE256498A4}"/>
    <cellStyle name="Normal 47 2 4 5" xfId="52189" xr:uid="{815001AB-12AD-4D1B-A778-7962E4223EAD}"/>
    <cellStyle name="Normal 47 2 4 5 2" xfId="52190" xr:uid="{D6C06BFB-8725-49E2-AA78-EB3FECB0C827}"/>
    <cellStyle name="Normal 47 2 4 6" xfId="52191" xr:uid="{771A5F94-2F8E-4B5C-9292-ACAB3A2FE289}"/>
    <cellStyle name="Normal 47 2 4 7" xfId="52192" xr:uid="{3E0BC307-849B-456B-8449-8E0D25624274}"/>
    <cellStyle name="Normal 47 2 5" xfId="52194" xr:uid="{4368946D-666C-447A-A906-32879994904A}"/>
    <cellStyle name="Normal 47 2 5 2" xfId="52196" xr:uid="{FE684B32-ED4B-405F-909E-AAFBB5F59C18}"/>
    <cellStyle name="Normal 47 2 5 2 2" xfId="52198" xr:uid="{E95FEF62-4962-4B7C-8776-9B378B6210F7}"/>
    <cellStyle name="Normal 47 2 5 2 2 2" xfId="52199" xr:uid="{DB40733E-23A4-49F8-88DF-AD1E973E4B74}"/>
    <cellStyle name="Normal 47 2 5 2 2 2 2" xfId="52200" xr:uid="{2ED9B594-8873-4765-8E67-E15D52F6F70D}"/>
    <cellStyle name="Normal 47 2 5 2 2 3" xfId="52201" xr:uid="{15DFA384-E5FB-4B30-817C-F75C2587EB9B}"/>
    <cellStyle name="Normal 47 2 5 2 3" xfId="52202" xr:uid="{BF359B2D-3E56-4546-8281-C562134AD87F}"/>
    <cellStyle name="Normal 47 2 5 2 3 2" xfId="52203" xr:uid="{FE226CBD-D009-48AB-9EE5-923769142C51}"/>
    <cellStyle name="Normal 47 2 5 2 4" xfId="52204" xr:uid="{979C6C3A-6C06-46BC-B2FC-03B3796793DD}"/>
    <cellStyle name="Normal 47 2 5 3" xfId="52206" xr:uid="{63E878EB-3A49-4E23-B825-096191E96146}"/>
    <cellStyle name="Normal 47 2 5 3 2" xfId="52207" xr:uid="{7D7A7770-2B32-49AE-81E1-4CD164970386}"/>
    <cellStyle name="Normal 47 2 5 3 2 2" xfId="52208" xr:uid="{133F7C0F-91A8-41DC-9CEB-77FEDEADDF57}"/>
    <cellStyle name="Normal 47 2 5 3 3" xfId="52209" xr:uid="{A1ABBBB0-EE7F-4F16-B8C3-0E11EF9D930B}"/>
    <cellStyle name="Normal 47 2 5 4" xfId="52210" xr:uid="{F0E9358E-F7A6-4086-A465-AE7A1F122A05}"/>
    <cellStyle name="Normal 47 2 5 4 2" xfId="52211" xr:uid="{37C2161D-6B06-4616-BDD3-4A5C11D1FD63}"/>
    <cellStyle name="Normal 47 2 5 5" xfId="52212" xr:uid="{05B680E8-120B-47D1-80F0-B804D70A65EE}"/>
    <cellStyle name="Normal 47 2 6" xfId="52214" xr:uid="{F2E96660-E508-4020-996A-B7BF8D7EA5BD}"/>
    <cellStyle name="Normal 47 2 6 2" xfId="52216" xr:uid="{DF21F102-DC9A-43D2-B67C-CB8CF8744AA5}"/>
    <cellStyle name="Normal 47 2 6 2 2" xfId="52217" xr:uid="{12370FD3-1563-4696-AA02-A8EF5E4440DE}"/>
    <cellStyle name="Normal 47 2 6 2 2 2" xfId="52218" xr:uid="{1F51FF96-E001-4D9B-B99F-BA105E8397B0}"/>
    <cellStyle name="Normal 47 2 6 2 3" xfId="2067" xr:uid="{01A81751-0309-48D0-AB60-778782E6EBBB}"/>
    <cellStyle name="Normal 47 2 6 3" xfId="52219" xr:uid="{FFBE8DF6-36C3-4BCA-ABC2-8FE0E6766C63}"/>
    <cellStyle name="Normal 47 2 6 3 2" xfId="52220" xr:uid="{F2F26C2E-03D1-45AF-B8AB-30E4239E0121}"/>
    <cellStyle name="Normal 47 2 6 4" xfId="52221" xr:uid="{EF795992-379D-4D4F-8256-B1CE9AFEDF7E}"/>
    <cellStyle name="Normal 47 2 7" xfId="52223" xr:uid="{683E681C-731D-4CCD-AB64-33C0361145F9}"/>
    <cellStyle name="Normal 47 2 7 2" xfId="52224" xr:uid="{EB75BF4B-14EC-4753-8C08-6CEB7FF9A181}"/>
    <cellStyle name="Normal 47 2 7 2 2" xfId="33484" xr:uid="{ACF4B6B1-EE80-4549-A961-D54BCACFFA14}"/>
    <cellStyle name="Normal 47 2 7 3" xfId="52225" xr:uid="{7E9C3C5E-5569-483F-B500-BC4AE312DF93}"/>
    <cellStyle name="Normal 47 2 8" xfId="52227" xr:uid="{8DA1600E-DB64-4E00-BA86-F068E077503B}"/>
    <cellStyle name="Normal 47 2 8 2" xfId="52228" xr:uid="{BB3737D9-951B-4137-B6AF-F6F943C4801C}"/>
    <cellStyle name="Normal 47 2 9" xfId="52230" xr:uid="{051AA23E-6CDE-429C-B59A-98ACA19F4968}"/>
    <cellStyle name="Normal 47 3" xfId="52232" xr:uid="{9076BF4C-0584-4D98-8D16-0561996AFC83}"/>
    <cellStyle name="Normal 47 3 10" xfId="52233" xr:uid="{2EC9E3EB-25CE-40BE-8E1A-D0AD15C17A23}"/>
    <cellStyle name="Normal 47 3 2" xfId="52235" xr:uid="{A35B49AF-9C08-43B5-811D-F095663D2A70}"/>
    <cellStyle name="Normal 47 3 2 2" xfId="52237" xr:uid="{9ABEE672-A4AF-4081-8E4B-D75090BBB97D}"/>
    <cellStyle name="Normal 47 3 2 2 2" xfId="52239" xr:uid="{844E619B-1C68-4DA0-AC01-BDCA66327F5F}"/>
    <cellStyle name="Normal 47 3 2 2 2 2" xfId="52241" xr:uid="{D1F410C8-BAA7-4FE3-964C-07EF1B585862}"/>
    <cellStyle name="Normal 47 3 2 2 2 2 2" xfId="52243" xr:uid="{C552C29A-74BC-4128-BCAF-4DD9E34C9EEB}"/>
    <cellStyle name="Normal 47 3 2 2 2 2 2 2" xfId="52244" xr:uid="{9F71696C-0D2E-4DD3-AEF9-310A2111E5BD}"/>
    <cellStyle name="Normal 47 3 2 2 2 2 2 2 2" xfId="29660" xr:uid="{1C654F4D-9BA8-4BFD-9753-0558BAA99C15}"/>
    <cellStyle name="Normal 47 3 2 2 2 2 2 3" xfId="52245" xr:uid="{54F63B68-29A5-4162-9C88-95F88E0ACC78}"/>
    <cellStyle name="Normal 47 3 2 2 2 2 3" xfId="52246" xr:uid="{6195CD40-4985-4567-834B-67B0786229EA}"/>
    <cellStyle name="Normal 47 3 2 2 2 2 3 2" xfId="52247" xr:uid="{75B1464E-9233-42C8-8A23-F5CEC3053146}"/>
    <cellStyle name="Normal 47 3 2 2 2 2 4" xfId="22123" xr:uid="{A61380E8-9554-40E4-B350-64AF7675FC32}"/>
    <cellStyle name="Normal 47 3 2 2 2 3" xfId="6186" xr:uid="{C842F41D-C481-4A59-9CC6-AC9CBF312348}"/>
    <cellStyle name="Normal 47 3 2 2 2 3 2" xfId="33049" xr:uid="{8CB25270-F8F3-4D05-9B5C-3F7DB8576DCE}"/>
    <cellStyle name="Normal 47 3 2 2 2 3 2 2" xfId="52248" xr:uid="{2901787E-0D0A-4920-8586-5D5017D458A2}"/>
    <cellStyle name="Normal 47 3 2 2 2 3 3" xfId="52249" xr:uid="{DF027B06-8122-4753-AF45-C62C406D5742}"/>
    <cellStyle name="Normal 47 3 2 2 2 4" xfId="33052" xr:uid="{1518BBEC-6BAE-42CC-8B53-65880C1E7A38}"/>
    <cellStyle name="Normal 47 3 2 2 2 4 2" xfId="52250" xr:uid="{C8582B70-3606-4816-B4DD-052EBB8F4466}"/>
    <cellStyle name="Normal 47 3 2 2 2 5" xfId="52251" xr:uid="{AD9F6DCD-08A6-4935-8E72-4105FD92064C}"/>
    <cellStyle name="Normal 47 3 2 2 3" xfId="52253" xr:uid="{D871AED6-16A5-4104-8FA6-F21827C0D9B0}"/>
    <cellStyle name="Normal 47 3 2 2 3 2" xfId="52255" xr:uid="{F79DB0B2-794D-4EF3-AF61-BAA89A54491E}"/>
    <cellStyle name="Normal 47 3 2 2 3 2 2" xfId="52256" xr:uid="{FE28C79D-EF22-415B-B1EF-F2C2FAC03EB5}"/>
    <cellStyle name="Normal 47 3 2 2 3 2 2 2" xfId="52257" xr:uid="{836F6DE3-FDB9-4281-AA91-3A1DAA9ED1A5}"/>
    <cellStyle name="Normal 47 3 2 2 3 2 3" xfId="52258" xr:uid="{8612A993-B534-420A-89F6-13DABA9186F1}"/>
    <cellStyle name="Normal 47 3 2 2 3 3" xfId="33055" xr:uid="{782554B4-97DE-4979-AB7F-0893D588E8E2}"/>
    <cellStyle name="Normal 47 3 2 2 3 3 2" xfId="52259" xr:uid="{A531F3C3-B85C-4B96-A49D-357787D21FC5}"/>
    <cellStyle name="Normal 47 3 2 2 3 4" xfId="52260" xr:uid="{80FFDE75-FEDD-4269-AFB5-5BE9A9DE34ED}"/>
    <cellStyle name="Normal 47 3 2 2 4" xfId="52262" xr:uid="{6B8B9B2B-A56A-47C0-B68C-08AAEFAB7E6F}"/>
    <cellStyle name="Normal 47 3 2 2 4 2" xfId="52263" xr:uid="{FB3EE97D-9083-4AC9-ADA2-CD4DEC850A7E}"/>
    <cellStyle name="Normal 47 3 2 2 4 2 2" xfId="52264" xr:uid="{3F9DA277-8C97-4BFD-AECB-682FE81CBD17}"/>
    <cellStyle name="Normal 47 3 2 2 4 3" xfId="52265" xr:uid="{70195A5F-0EFC-43F2-9525-93260FEEBB67}"/>
    <cellStyle name="Normal 47 3 2 2 5" xfId="52266" xr:uid="{7D80F5C9-768F-4E1A-AB8B-65DAD399ED28}"/>
    <cellStyle name="Normal 47 3 2 2 5 2" xfId="52267" xr:uid="{42BB1C1E-D50A-4173-BC42-FD9AD5F67F32}"/>
    <cellStyle name="Normal 47 3 2 2 6" xfId="52268" xr:uid="{9C7AE048-406C-4BF4-B664-BF73240E8395}"/>
    <cellStyle name="Normal 47 3 2 2 7" xfId="52269" xr:uid="{F695575A-ADCF-4BC1-9C96-DA78B59666DE}"/>
    <cellStyle name="Normal 47 3 2 3" xfId="52271" xr:uid="{A8BDE144-F1B0-4783-864F-CA33870BCC72}"/>
    <cellStyle name="Normal 47 3 2 3 2" xfId="52273" xr:uid="{20F53768-FBDB-4278-9B5B-2A51B4925F1A}"/>
    <cellStyle name="Normal 47 3 2 3 2 2" xfId="52275" xr:uid="{70828A00-E68E-4509-8BEE-FC415B568E56}"/>
    <cellStyle name="Normal 47 3 2 3 2 2 2" xfId="52276" xr:uid="{8136CAE8-A129-41E9-B3CD-F431D2E3638D}"/>
    <cellStyle name="Normal 47 3 2 3 2 2 2 2" xfId="52277" xr:uid="{A182B6D8-C754-4D70-AFFB-C513137FD281}"/>
    <cellStyle name="Normal 47 3 2 3 2 2 3" xfId="52278" xr:uid="{D290E09F-2FD8-41AA-88CA-A0A7238B12C3}"/>
    <cellStyle name="Normal 47 3 2 3 2 3" xfId="33060" xr:uid="{26D2FBC6-113D-481F-AE11-4A77AC067927}"/>
    <cellStyle name="Normal 47 3 2 3 2 3 2" xfId="52279" xr:uid="{84E9C130-0DA0-41AB-8CFC-2C68B3C6C697}"/>
    <cellStyle name="Normal 47 3 2 3 2 4" xfId="52280" xr:uid="{3E098EEF-8F14-4683-B632-CEA5C728D62D}"/>
    <cellStyle name="Normal 47 3 2 3 3" xfId="52282" xr:uid="{682AD989-16F4-4FE1-8E45-5ADC73BA0E23}"/>
    <cellStyle name="Normal 47 3 2 3 3 2" xfId="52283" xr:uid="{28ED7294-0C79-4D00-A908-51004C1526C4}"/>
    <cellStyle name="Normal 47 3 2 3 3 2 2" xfId="52284" xr:uid="{9DECE2AF-15BF-40AC-B25C-3321347CF32B}"/>
    <cellStyle name="Normal 47 3 2 3 3 3" xfId="52285" xr:uid="{03F8E23F-8817-4B28-B1C8-694C88EC4F70}"/>
    <cellStyle name="Normal 47 3 2 3 4" xfId="52286" xr:uid="{CC06689A-50BE-4B55-B8DF-6BB424E1ABC7}"/>
    <cellStyle name="Normal 47 3 2 3 4 2" xfId="52287" xr:uid="{2B5B2AE0-6D3D-42E9-BE84-ED58979DAA7E}"/>
    <cellStyle name="Normal 47 3 2 3 5" xfId="52288" xr:uid="{D4507424-67A0-4782-8EA7-CA57503716D1}"/>
    <cellStyle name="Normal 47 3 2 4" xfId="52290" xr:uid="{4681F610-04CF-4B7E-8DD8-E4679FF4EE10}"/>
    <cellStyle name="Normal 47 3 2 4 2" xfId="52292" xr:uid="{32BFD97E-B719-4DAD-9458-F1D674F61DB7}"/>
    <cellStyle name="Normal 47 3 2 4 2 2" xfId="34421" xr:uid="{E9B3A78A-5915-485B-9DFD-96A43227198A}"/>
    <cellStyle name="Normal 47 3 2 4 2 2 2" xfId="52293" xr:uid="{7DBE697E-E776-4F20-B0AF-D96E0CCEC3D0}"/>
    <cellStyle name="Normal 47 3 2 4 2 3" xfId="52294" xr:uid="{F1869D6C-BDC7-4EDB-9DEA-F3671A553DF4}"/>
    <cellStyle name="Normal 47 3 2 4 3" xfId="52295" xr:uid="{9799ABFD-8DF5-460B-9F08-BB49640E5167}"/>
    <cellStyle name="Normal 47 3 2 4 3 2" xfId="52296" xr:uid="{9BF55A84-E920-495E-8134-EAB6BBDE0A91}"/>
    <cellStyle name="Normal 47 3 2 4 4" xfId="52297" xr:uid="{4E102870-4B5D-44EA-8F8B-92905B328927}"/>
    <cellStyle name="Normal 47 3 2 5" xfId="52299" xr:uid="{8F15B129-1FDD-45A4-89EA-7023D7A35906}"/>
    <cellStyle name="Normal 47 3 2 5 2" xfId="52300" xr:uid="{8BC49A1B-7E99-4BF4-87EE-000F0F6F4FE3}"/>
    <cellStyle name="Normal 47 3 2 5 2 2" xfId="52301" xr:uid="{98F73AB6-9DFA-4A6F-ADDD-8BC9D5F1D64D}"/>
    <cellStyle name="Normal 47 3 2 5 3" xfId="52302" xr:uid="{72A54D6D-6CD2-4F33-B2E9-5048F518D987}"/>
    <cellStyle name="Normal 47 3 2 6" xfId="52303" xr:uid="{7750524F-FD90-4C19-BB49-D5E064E19AD4}"/>
    <cellStyle name="Normal 47 3 2 6 2" xfId="52304" xr:uid="{DB372D37-3760-4C17-A08D-914F594788F2}"/>
    <cellStyle name="Normal 47 3 2 7" xfId="52305" xr:uid="{06D0EF71-00D7-4EC2-9E1E-66A7E5A4DB40}"/>
    <cellStyle name="Normal 47 3 2 8" xfId="52306" xr:uid="{258D9D3D-9C1F-48F4-963B-BE3E3E5AAF8B}"/>
    <cellStyle name="Normal 47 3 3" xfId="52308" xr:uid="{D8C79BA3-BB09-4D9F-A78E-959D980C9185}"/>
    <cellStyle name="Normal 47 3 3 2" xfId="52310" xr:uid="{8EB57587-0058-4DA1-A4A9-8C6CDDAFAFAF}"/>
    <cellStyle name="Normal 47 3 3 2 2" xfId="52312" xr:uid="{14A58DFC-AD53-48B7-84C5-81F213A1586F}"/>
    <cellStyle name="Normal 47 3 3 2 2 2" xfId="52314" xr:uid="{4BFB053F-FA08-40A4-80FF-EB29564827AF}"/>
    <cellStyle name="Normal 47 3 3 2 2 2 2" xfId="52315" xr:uid="{E61B833D-F04E-4B37-A370-3ABB02357AF6}"/>
    <cellStyle name="Normal 47 3 3 2 2 2 2 2" xfId="52316" xr:uid="{CC70280F-D126-4998-B8BE-BBF75511C03B}"/>
    <cellStyle name="Normal 47 3 3 2 2 2 3" xfId="52317" xr:uid="{587B4202-298D-48C2-A8B2-95C8E0747C53}"/>
    <cellStyle name="Normal 47 3 3 2 2 3" xfId="17823" xr:uid="{751AB659-A4BE-4A05-AF19-193E5C6A717F}"/>
    <cellStyle name="Normal 47 3 3 2 2 3 2" xfId="52318" xr:uid="{557281BE-4E2A-4E1D-9667-B7C9EBF12878}"/>
    <cellStyle name="Normal 47 3 3 2 2 4" xfId="52319" xr:uid="{91DC6A62-FADF-485E-B84F-71B42E42F9D7}"/>
    <cellStyle name="Normal 47 3 3 2 3" xfId="52321" xr:uid="{86283161-D092-4A07-B30C-85D5521B743E}"/>
    <cellStyle name="Normal 47 3 3 2 3 2" xfId="52322" xr:uid="{0869AE7B-34C4-45CC-A2A7-0385AD1AF21B}"/>
    <cellStyle name="Normal 47 3 3 2 3 2 2" xfId="52323" xr:uid="{077D37FA-57DB-4C53-B827-FE85E064F514}"/>
    <cellStyle name="Normal 47 3 3 2 3 3" xfId="52324" xr:uid="{3A96BAF3-3334-4AD2-8F8C-A8CC52AE4E01}"/>
    <cellStyle name="Normal 47 3 3 2 4" xfId="52325" xr:uid="{05F86F9E-1EC6-4345-B2B7-87A075A65E1B}"/>
    <cellStyle name="Normal 47 3 3 2 4 2" xfId="52326" xr:uid="{45414CF5-6309-4008-8700-1317D81B29C5}"/>
    <cellStyle name="Normal 47 3 3 2 5" xfId="52327" xr:uid="{569A6827-15E3-4761-BBE0-263449E902CF}"/>
    <cellStyle name="Normal 47 3 3 3" xfId="52329" xr:uid="{31A34BCC-2D1F-41B3-A621-0085C886EAA5}"/>
    <cellStyle name="Normal 47 3 3 3 2" xfId="52331" xr:uid="{A4EC68AF-A780-455B-94C7-2CE1014D30D4}"/>
    <cellStyle name="Normal 47 3 3 3 2 2" xfId="52332" xr:uid="{EBA62EDA-AEE4-4DB2-B582-9908A8041B60}"/>
    <cellStyle name="Normal 47 3 3 3 2 2 2" xfId="52333" xr:uid="{436F78E2-3065-4830-AA7D-A41A3C0C21C8}"/>
    <cellStyle name="Normal 47 3 3 3 2 3" xfId="22798" xr:uid="{2C69AE34-55FF-4981-80C0-D779727A647E}"/>
    <cellStyle name="Normal 47 3 3 3 3" xfId="52334" xr:uid="{4B99AFA8-E991-4DE1-BBEB-E46FF6E6164B}"/>
    <cellStyle name="Normal 47 3 3 3 3 2" xfId="52335" xr:uid="{661E3D71-703B-4C8D-8379-8068586759F7}"/>
    <cellStyle name="Normal 47 3 3 3 4" xfId="52336" xr:uid="{380FA427-EF14-4B06-8E18-F8EDA12980BE}"/>
    <cellStyle name="Normal 47 3 3 4" xfId="52338" xr:uid="{CDA4E8B5-9E13-4F1D-A2CD-E1A3A6C34A27}"/>
    <cellStyle name="Normal 47 3 3 4 2" xfId="52339" xr:uid="{5CEA4AF4-43D1-4458-BCF2-5C5C3A35335B}"/>
    <cellStyle name="Normal 47 3 3 4 2 2" xfId="52340" xr:uid="{04D10B32-9FC7-4399-8A66-F01D4EC686D4}"/>
    <cellStyle name="Normal 47 3 3 4 3" xfId="52341" xr:uid="{C3654514-5FD7-4E30-8218-7AFD5EEBFDF6}"/>
    <cellStyle name="Normal 47 3 3 5" xfId="52342" xr:uid="{BE5B5A89-B0C6-4A1B-B33B-3C14D0F0FC3A}"/>
    <cellStyle name="Normal 47 3 3 5 2" xfId="52343" xr:uid="{DC5E5512-AB29-4445-BD39-BBDBFDDF3CFD}"/>
    <cellStyle name="Normal 47 3 3 6" xfId="52344" xr:uid="{E1168DCC-2F54-4C36-9ABD-1D39391C1F15}"/>
    <cellStyle name="Normal 47 3 3 7" xfId="52345" xr:uid="{7438F466-D8E4-469F-ABB7-8BE06BFB97C1}"/>
    <cellStyle name="Normal 47 3 4" xfId="52347" xr:uid="{FD9D438C-C857-45A7-A68B-048335AB864C}"/>
    <cellStyle name="Normal 47 3 4 2" xfId="45712" xr:uid="{39B925AC-72B8-4BC7-B47C-DADB971EC1A8}"/>
    <cellStyle name="Normal 47 3 4 2 2" xfId="45715" xr:uid="{EC987FA3-2A12-40E6-9FD4-49C7F636C84A}"/>
    <cellStyle name="Normal 47 3 4 2 2 2" xfId="45717" xr:uid="{3E142224-F2C8-461D-9B9F-A9898FF34693}"/>
    <cellStyle name="Normal 47 3 4 2 2 2 2" xfId="45719" xr:uid="{99671EF4-6A91-4321-AB4F-07B66CAD7241}"/>
    <cellStyle name="Normal 47 3 4 2 2 3" xfId="45731" xr:uid="{640B5242-52EC-42E8-B951-4E2A1D1EAF8E}"/>
    <cellStyle name="Normal 47 3 4 2 3" xfId="45747" xr:uid="{2202DDEE-27B6-4860-9F3A-4766FB57E1E1}"/>
    <cellStyle name="Normal 47 3 4 2 3 2" xfId="45749" xr:uid="{B8522593-80B9-4874-B21E-6C15DD787B2E}"/>
    <cellStyle name="Normal 47 3 4 2 4" xfId="45764" xr:uid="{304FB91B-EE87-47E4-87B1-8C06CB7E3F04}"/>
    <cellStyle name="Normal 47 3 4 3" xfId="45782" xr:uid="{EBA98F9D-510B-43E2-BB7E-8EE21CF23DE4}"/>
    <cellStyle name="Normal 47 3 4 3 2" xfId="45784" xr:uid="{E53B287C-B70D-48ED-BA40-C4119DAB748E}"/>
    <cellStyle name="Normal 47 3 4 3 2 2" xfId="45786" xr:uid="{51FC9481-B951-4778-9247-0E0AC6916F59}"/>
    <cellStyle name="Normal 47 3 4 3 3" xfId="45798" xr:uid="{47F14C4B-D9A9-4A04-BD6D-1A6B80C68406}"/>
    <cellStyle name="Normal 47 3 4 4" xfId="45814" xr:uid="{273A0867-16B0-4360-87A9-1AE1FD6721B8}"/>
    <cellStyle name="Normal 47 3 4 4 2" xfId="45816" xr:uid="{DCFEB098-5234-40B5-909B-1370B6D90566}"/>
    <cellStyle name="Normal 47 3 4 5" xfId="45831" xr:uid="{3B2B74EB-3EC1-4ECC-BA7A-C1274067B21B}"/>
    <cellStyle name="Normal 47 3 5" xfId="52349" xr:uid="{5B676B6B-B8DB-42A6-84D5-8AEB367DAE61}"/>
    <cellStyle name="Normal 47 3 5 2" xfId="45913" xr:uid="{6052D6EC-71C5-4A3B-B478-1D0B510AC427}"/>
    <cellStyle name="Normal 47 3 5 2 2" xfId="45915" xr:uid="{C4F677CD-03EA-4D83-968F-61F3C66CA8F9}"/>
    <cellStyle name="Normal 47 3 5 2 2 2" xfId="45917" xr:uid="{4DD8DFA9-0CD4-4C64-81B6-E31F0CF1E868}"/>
    <cellStyle name="Normal 47 3 5 2 3" xfId="45932" xr:uid="{2A45B1A2-DD7E-4CDE-B04F-4AE9D155BC3B}"/>
    <cellStyle name="Normal 47 3 5 3" xfId="45944" xr:uid="{6CB6B983-5C41-416D-9D86-41A42E246106}"/>
    <cellStyle name="Normal 47 3 5 3 2" xfId="45946" xr:uid="{979C690D-E9FC-4CAA-9F8A-7C618E228B03}"/>
    <cellStyle name="Normal 47 3 5 4" xfId="45960" xr:uid="{6D299129-8910-427C-A777-28923D0C7465}"/>
    <cellStyle name="Normal 47 3 6" xfId="52351" xr:uid="{8A70834B-C02A-4113-9905-1DEECCAA6E37}"/>
    <cellStyle name="Normal 47 3 6 2" xfId="46007" xr:uid="{8DEDCEE0-1B8B-4B63-A820-B2A484EE0F8A}"/>
    <cellStyle name="Normal 47 3 6 2 2" xfId="46009" xr:uid="{03C97FDA-6552-45A8-83A3-CBA3F0C0F7BD}"/>
    <cellStyle name="Normal 47 3 6 3" xfId="46025" xr:uid="{9D712238-1F19-4066-8F98-99A04A9E83E6}"/>
    <cellStyle name="Normal 47 3 7" xfId="52353" xr:uid="{D2C4A095-0B9E-444D-8F5F-60604DAB0921}"/>
    <cellStyle name="Normal 47 3 7 2" xfId="46051" xr:uid="{5EF6851B-A7F9-489D-B226-6D7BBF738A0F}"/>
    <cellStyle name="Normal 47 3 8" xfId="52355" xr:uid="{941BEB7F-C3FD-48D6-B629-B3EE36FCA88A}"/>
    <cellStyle name="Normal 47 3 9" xfId="52356" xr:uid="{96DC5A3B-FAF2-4CF2-BC2A-7A8DFE7445C0}"/>
    <cellStyle name="Normal 47 4" xfId="52358" xr:uid="{95E1B595-E329-4544-8619-004610EDA590}"/>
    <cellStyle name="Normal 47 4 2" xfId="52360" xr:uid="{D989FC69-8673-4D60-9685-4DAE7F1E0671}"/>
    <cellStyle name="Normal 47 4 2 2" xfId="52362" xr:uid="{EBB22CA6-5FD7-40CB-AD43-763DD34BA683}"/>
    <cellStyle name="Normal 47 4 2 2 2" xfId="52364" xr:uid="{68F79670-45C8-4F5E-84E9-0375E9AC1E80}"/>
    <cellStyle name="Normal 47 4 2 2 2 2" xfId="52366" xr:uid="{8EE359CF-B94C-46F6-AC44-AF897A53EF18}"/>
    <cellStyle name="Normal 47 4 2 2 2 2 2" xfId="52367" xr:uid="{5DC508F2-AB0D-4077-9FEC-99392A1613B8}"/>
    <cellStyle name="Normal 47 4 2 2 2 2 2 2" xfId="52368" xr:uid="{C188564A-64A5-4361-96DB-16EDEF1133CA}"/>
    <cellStyle name="Normal 47 4 2 2 2 2 3" xfId="52369" xr:uid="{A30AA904-EE61-4FF4-AB6B-834C6B507997}"/>
    <cellStyle name="Normal 47 4 2 2 2 3" xfId="33135" xr:uid="{137DEB77-2912-444B-B86C-C537FDC80030}"/>
    <cellStyle name="Normal 47 4 2 2 2 3 2" xfId="52370" xr:uid="{0268F246-BF86-4948-A502-ED2B85852560}"/>
    <cellStyle name="Normal 47 4 2 2 2 4" xfId="52371" xr:uid="{BCBD8053-74EC-484B-A663-C1D1546C04F6}"/>
    <cellStyle name="Normal 47 4 2 2 3" xfId="52373" xr:uid="{16EA9969-1BEF-46A9-9199-49B90B80A71C}"/>
    <cellStyle name="Normal 47 4 2 2 3 2" xfId="52374" xr:uid="{47B84988-5B0F-4437-B7CF-18C87471D9DC}"/>
    <cellStyle name="Normal 47 4 2 2 3 2 2" xfId="52375" xr:uid="{32AD8BAF-DAC7-4BA0-9642-820208A0545A}"/>
    <cellStyle name="Normal 47 4 2 2 3 3" xfId="52376" xr:uid="{A5F13332-D7DA-43D9-A9DE-D09CB1420A22}"/>
    <cellStyle name="Normal 47 4 2 2 4" xfId="52377" xr:uid="{6A2144FA-6370-41C1-9D71-8AAE2D60E8A5}"/>
    <cellStyle name="Normal 47 4 2 2 4 2" xfId="52378" xr:uid="{83A5A252-2514-4A58-849C-61D14001732F}"/>
    <cellStyle name="Normal 47 4 2 2 5" xfId="52379" xr:uid="{D76E8D3A-3C57-477C-8E5F-3D455F8EA87B}"/>
    <cellStyle name="Normal 47 4 2 3" xfId="52381" xr:uid="{64258191-DD05-4E57-B835-EAF7BFE43230}"/>
    <cellStyle name="Normal 47 4 2 3 2" xfId="52383" xr:uid="{ACCF4FB7-95A4-4C9D-9296-75D8D80A6C49}"/>
    <cellStyle name="Normal 47 4 2 3 2 2" xfId="52384" xr:uid="{695031EF-FBED-45FC-B80F-101BEBC91757}"/>
    <cellStyle name="Normal 47 4 2 3 2 2 2" xfId="52385" xr:uid="{7BA5865F-F9C3-4949-8F5B-7C7D97955D32}"/>
    <cellStyle name="Normal 47 4 2 3 2 3" xfId="52386" xr:uid="{26B317EA-77C7-4D7D-851F-73E6117BB9E7}"/>
    <cellStyle name="Normal 47 4 2 3 3" xfId="52387" xr:uid="{C6C865B5-DD94-4641-B431-2087E4821553}"/>
    <cellStyle name="Normal 47 4 2 3 3 2" xfId="52388" xr:uid="{57541171-0DC7-46A0-AE8F-AC9257D64AF5}"/>
    <cellStyle name="Normal 47 4 2 3 4" xfId="52389" xr:uid="{E4A70B03-D8E8-415D-868C-610A79492759}"/>
    <cellStyle name="Normal 47 4 2 4" xfId="28541" xr:uid="{169C9490-F801-4A35-B8FB-6616E6F5315D}"/>
    <cellStyle name="Normal 47 4 2 4 2" xfId="28544" xr:uid="{633012E3-A8E6-43CF-87B4-40A60A7C74BF}"/>
    <cellStyle name="Normal 47 4 2 4 2 2" xfId="52390" xr:uid="{F7C50D0C-EE45-4D42-837D-B40E241FE3EB}"/>
    <cellStyle name="Normal 47 4 2 4 3" xfId="52391" xr:uid="{A9A856CE-49EE-4CB5-9B5B-B5CEB08BE2A2}"/>
    <cellStyle name="Normal 47 4 2 5" xfId="28546" xr:uid="{DF85701C-DB19-4AF3-9F69-D24E5C89663B}"/>
    <cellStyle name="Normal 47 4 2 5 2" xfId="52392" xr:uid="{D75A32C5-1408-4E5E-91C8-FCAB6E2167B5}"/>
    <cellStyle name="Normal 47 4 2 6" xfId="52393" xr:uid="{DA3CC142-5EBC-4B53-870A-D6253BA1AA5A}"/>
    <cellStyle name="Normal 47 4 2 7" xfId="52394" xr:uid="{D0E8F504-69D9-4855-B073-AA4E6C2CB07A}"/>
    <cellStyle name="Normal 47 4 3" xfId="52396" xr:uid="{8B63511B-A206-433E-9F6F-50478C1B933D}"/>
    <cellStyle name="Normal 47 4 3 2" xfId="52398" xr:uid="{A3632D7A-EA52-4AF7-B434-B792769636C9}"/>
    <cellStyle name="Normal 47 4 3 2 2" xfId="52400" xr:uid="{F4DD4719-46E8-4263-800F-7DE98C9A4A2C}"/>
    <cellStyle name="Normal 47 4 3 2 2 2" xfId="52401" xr:uid="{7CF227B7-C095-4B9D-A6C5-513F18EE19FC}"/>
    <cellStyle name="Normal 47 4 3 2 2 2 2" xfId="52402" xr:uid="{5BE82609-38BA-47A7-9C73-4D3D41EF8D14}"/>
    <cellStyle name="Normal 47 4 3 2 2 3" xfId="52403" xr:uid="{E4D54299-B0C5-4C66-9065-044A5B0F293B}"/>
    <cellStyle name="Normal 47 4 3 2 3" xfId="52404" xr:uid="{78FDA8E1-6154-4652-8522-3AC533BD4205}"/>
    <cellStyle name="Normal 47 4 3 2 3 2" xfId="52405" xr:uid="{DB1DD05B-A976-403D-B37A-14E8AFEE2C04}"/>
    <cellStyle name="Normal 47 4 3 2 4" xfId="52406" xr:uid="{CCE5133A-F1A2-40D4-9986-B7FEFF323194}"/>
    <cellStyle name="Normal 47 4 3 3" xfId="52408" xr:uid="{70E28FE2-DD2D-4C76-A4AC-0896DD4E88E0}"/>
    <cellStyle name="Normal 47 4 3 3 2" xfId="52409" xr:uid="{12D1863A-F63E-446D-AFC2-7F7FE2077B2E}"/>
    <cellStyle name="Normal 47 4 3 3 2 2" xfId="52410" xr:uid="{64E8D210-AECA-4763-9D2E-554DF5B1699F}"/>
    <cellStyle name="Normal 47 4 3 3 3" xfId="52411" xr:uid="{7DA04523-A4C0-406A-BA7C-6E0EC3E414E5}"/>
    <cellStyle name="Normal 47 4 3 4" xfId="23192" xr:uid="{41C8FE83-8A51-4A80-8443-CED279EB31BE}"/>
    <cellStyle name="Normal 47 4 3 4 2" xfId="43149" xr:uid="{AFA9D74E-FAE9-4421-BB05-FC2AAC96B1D1}"/>
    <cellStyle name="Normal 47 4 3 5" xfId="52412" xr:uid="{3338680B-01F8-48B7-9C20-116DA83A0D4F}"/>
    <cellStyle name="Normal 47 4 4" xfId="52414" xr:uid="{0B43076E-0FE7-42E4-A2E4-03CD2F3D6223}"/>
    <cellStyle name="Normal 47 4 4 2" xfId="46203" xr:uid="{3FE6D49C-2906-4FDF-9568-B5828CB42A6E}"/>
    <cellStyle name="Normal 47 4 4 2 2" xfId="46205" xr:uid="{D9183528-C7F3-4B59-9BC3-F7C9E4829DBD}"/>
    <cellStyle name="Normal 47 4 4 2 2 2" xfId="46208" xr:uid="{BDED2BCD-75CD-423D-AAE4-7FDC78B71DE8}"/>
    <cellStyle name="Normal 47 4 4 2 3" xfId="46235" xr:uid="{4909D566-6184-4277-9DF3-CD7F3D03EEA4}"/>
    <cellStyle name="Normal 47 4 4 3" xfId="46267" xr:uid="{4FC42428-6A7B-4342-80D0-A2FED5C45ADF}"/>
    <cellStyle name="Normal 47 4 4 3 2" xfId="46271" xr:uid="{A2DA85C0-113C-4875-A07B-449095F10EF2}"/>
    <cellStyle name="Normal 47 4 4 4" xfId="46315" xr:uid="{E3EE112E-8368-428B-94C3-019A6F2AB0D1}"/>
    <cellStyle name="Normal 47 4 5" xfId="52416" xr:uid="{3B7A4AA9-5E47-438E-9125-F4779792435D}"/>
    <cellStyle name="Normal 47 4 5 2" xfId="46368" xr:uid="{8C393C3C-F9A8-4B4A-9DDF-536D2AA929F1}"/>
    <cellStyle name="Normal 47 4 5 2 2" xfId="46370" xr:uid="{7DE908A1-E572-4EE8-BCA4-4CBBD853DE2D}"/>
    <cellStyle name="Normal 47 4 5 3" xfId="27915" xr:uid="{C3EB7881-A2FA-4510-B3C9-B6645607114C}"/>
    <cellStyle name="Normal 47 4 6" xfId="52417" xr:uid="{E8D9CAF1-859D-4798-8706-FBDA48E106C7}"/>
    <cellStyle name="Normal 47 4 6 2" xfId="46416" xr:uid="{29447B68-F7EE-4D50-99D1-3EA53A9D0500}"/>
    <cellStyle name="Normal 47 4 7" xfId="52418" xr:uid="{52E9B9F8-2C2F-4110-949D-F89B2E559D0F}"/>
    <cellStyle name="Normal 47 4 8" xfId="52419" xr:uid="{58B3D11F-6A6D-43C2-B8FB-C55C28D4961F}"/>
    <cellStyle name="Normal 47 5" xfId="46270" xr:uid="{DBEAEDB3-06EF-4CFB-9290-F8C7A818993D}"/>
    <cellStyle name="Normal 47 5 2" xfId="46274" xr:uid="{BADB6F3D-605C-4F42-8CFD-FE9FF98EC537}"/>
    <cellStyle name="Normal 47 5 2 2" xfId="46277" xr:uid="{F87725E1-A7D5-40F5-BB54-BC05F4AF125C}"/>
    <cellStyle name="Normal 47 5 2 2 2" xfId="46280" xr:uid="{FF883829-7A95-411D-8B4E-0DC7AA9815CB}"/>
    <cellStyle name="Normal 47 5 2 2 2 2" xfId="52420" xr:uid="{7D7C2802-76EF-4937-9640-BEAABFA9267F}"/>
    <cellStyle name="Normal 47 5 2 2 2 2 2" xfId="52421" xr:uid="{B3BEAB98-FE4A-4063-9D68-079142D21603}"/>
    <cellStyle name="Normal 47 5 2 2 2 3" xfId="17677" xr:uid="{AB6A9B14-F78A-4211-8300-BFDB6CBAA628}"/>
    <cellStyle name="Normal 47 5 2 2 3" xfId="52422" xr:uid="{78513D4E-ACF0-44EC-B259-69C3C151C655}"/>
    <cellStyle name="Normal 47 5 2 2 3 2" xfId="52423" xr:uid="{E351E944-D4D3-4D29-90C9-A2FB75958CD7}"/>
    <cellStyle name="Normal 47 5 2 2 4" xfId="52424" xr:uid="{03E88CA4-68AE-4ECE-B3F8-398D886EAC63}"/>
    <cellStyle name="Normal 47 5 2 3" xfId="46283" xr:uid="{0C6D97FD-4406-4593-85A9-9A302E5ED7F1}"/>
    <cellStyle name="Normal 47 5 2 3 2" xfId="52425" xr:uid="{4C6D66D2-34E0-43A8-8DBE-48CA05949A27}"/>
    <cellStyle name="Normal 47 5 2 3 2 2" xfId="52426" xr:uid="{E15C5848-D9EA-41C3-9C5A-39E3B5F34F7A}"/>
    <cellStyle name="Normal 47 5 2 3 3" xfId="52427" xr:uid="{F0FA50D1-C61E-44B1-A92C-88BCEB6484C3}"/>
    <cellStyle name="Normal 47 5 2 4" xfId="28562" xr:uid="{498B385E-1188-4C60-8CCE-59D204C95006}"/>
    <cellStyle name="Normal 47 5 2 4 2" xfId="52428" xr:uid="{94E8591E-B705-487B-8067-8C8A3CFAC002}"/>
    <cellStyle name="Normal 47 5 2 5" xfId="52429" xr:uid="{C8A59778-0BFF-4F56-BF47-616992F65373}"/>
    <cellStyle name="Normal 47 5 3" xfId="46286" xr:uid="{006675E6-95AD-4091-87B1-B7DB9407E54F}"/>
    <cellStyle name="Normal 47 5 3 2" xfId="46289" xr:uid="{4078113D-E4C9-4D8A-9088-6D01BB267361}"/>
    <cellStyle name="Normal 47 5 3 2 2" xfId="52430" xr:uid="{1B852C15-8FD6-4A81-8B29-EEE641C7EEEB}"/>
    <cellStyle name="Normal 47 5 3 2 2 2" xfId="52431" xr:uid="{256A7965-769D-44DD-B467-341F0C21968B}"/>
    <cellStyle name="Normal 47 5 3 2 3" xfId="52432" xr:uid="{FA229597-3C1D-4703-B089-27F8B2DB6690}"/>
    <cellStyle name="Normal 47 5 3 3" xfId="52433" xr:uid="{3854A018-4BDE-4988-9422-6CF661700CB3}"/>
    <cellStyle name="Normal 47 5 3 3 2" xfId="52434" xr:uid="{2F42A97A-E35F-4AD6-88E2-A3B409842A2F}"/>
    <cellStyle name="Normal 47 5 3 4" xfId="52435" xr:uid="{2FFD0610-C4B8-412D-9D95-B13DF9D8FBB2}"/>
    <cellStyle name="Normal 47 5 4" xfId="46292" xr:uid="{9190C55D-2DB0-4AD8-8B75-6F9B6D2B1BE9}"/>
    <cellStyle name="Normal 47 5 4 2" xfId="46507" xr:uid="{4F56E4C9-27CF-4A10-8AC0-21F4774CEF4B}"/>
    <cellStyle name="Normal 47 5 4 2 2" xfId="46509" xr:uid="{B24A0A70-5D3D-4AFC-9481-DC3FB6884DF9}"/>
    <cellStyle name="Normal 47 5 4 3" xfId="46525" xr:uid="{211C7544-9645-4E20-B754-FBF79F0A9810}"/>
    <cellStyle name="Normal 47 5 5" xfId="52436" xr:uid="{2DF1AFEE-62F4-4D35-881F-1D8A6474DA86}"/>
    <cellStyle name="Normal 47 5 5 2" xfId="46559" xr:uid="{590C97E6-A01B-4AAD-AC99-B218F08AEA0A}"/>
    <cellStyle name="Normal 47 5 6" xfId="52437" xr:uid="{900FE996-889A-4CAE-9187-8FE9EC00C43E}"/>
    <cellStyle name="Normal 47 5 7" xfId="52438" xr:uid="{C8668344-4950-4E22-B243-EF3FD3E9D197}"/>
    <cellStyle name="Normal 47 6" xfId="46295" xr:uid="{DD223D41-A392-479B-B853-BA963ECE0BC6}"/>
    <cellStyle name="Normal 47 6 2" xfId="46298" xr:uid="{3D56F4D6-4B92-406E-ACFA-B78AF8A6E466}"/>
    <cellStyle name="Normal 47 6 2 2" xfId="46301" xr:uid="{42268E03-AF12-42F0-9795-A523C135F4FC}"/>
    <cellStyle name="Normal 47 6 2 2 2" xfId="52439" xr:uid="{E08799AE-8005-4B28-9DBF-9F8D2B583AF7}"/>
    <cellStyle name="Normal 47 6 2 2 2 2" xfId="52440" xr:uid="{6B9EF311-485F-4125-AF9D-81D6AB2E74F8}"/>
    <cellStyle name="Normal 47 6 2 2 3" xfId="52441" xr:uid="{BDC4DEF2-B46B-4170-BAB0-9210B051279B}"/>
    <cellStyle name="Normal 47 6 2 3" xfId="52442" xr:uid="{1F736F47-D6D7-4B03-BF8C-D58C918455C1}"/>
    <cellStyle name="Normal 47 6 2 3 2" xfId="52443" xr:uid="{645C11D1-D47D-4FCF-9B0A-651AF8A3D4DC}"/>
    <cellStyle name="Normal 47 6 2 4" xfId="52444" xr:uid="{FDA7DC40-E493-4CC2-B1C3-BF8A4A9D10F7}"/>
    <cellStyle name="Normal 47 6 3" xfId="46304" xr:uid="{979E317C-9AE3-44BD-8C14-EF41A445F118}"/>
    <cellStyle name="Normal 47 6 3 2" xfId="52445" xr:uid="{C02D648A-411B-4CDF-B4EE-027608FE42BB}"/>
    <cellStyle name="Normal 47 6 3 2 2" xfId="52446" xr:uid="{98A0DE2C-E24B-4D67-A7C6-3CF5CAA5E2FD}"/>
    <cellStyle name="Normal 47 6 3 3" xfId="52447" xr:uid="{228635AB-CC23-4142-B459-51DD9A97204A}"/>
    <cellStyle name="Normal 47 6 4" xfId="52448" xr:uid="{72FE4153-4DCA-46B7-B73D-EEB99472BC9F}"/>
    <cellStyle name="Normal 47 6 4 2" xfId="46624" xr:uid="{4DB4E262-AA4B-4097-8685-910E21B615F6}"/>
    <cellStyle name="Normal 47 6 5" xfId="52449" xr:uid="{735AE4DA-0BF5-41AC-8A0D-28CC5BBE40BD}"/>
    <cellStyle name="Normal 47 7" xfId="46307" xr:uid="{5460E9F9-9E53-4739-9415-B1647CEF6A3D}"/>
    <cellStyle name="Normal 47 7 2" xfId="46310" xr:uid="{508E6D38-4692-4343-8137-20AE0DCF0216}"/>
    <cellStyle name="Normal 47 7 2 2" xfId="52450" xr:uid="{16381AC3-E7BF-4115-859C-5A0D09888CD2}"/>
    <cellStyle name="Normal 47 7 2 2 2" xfId="52451" xr:uid="{303C3DEF-C49E-44D7-BAD1-DE5B9B0521B0}"/>
    <cellStyle name="Normal 47 7 2 3" xfId="52452" xr:uid="{0F184DC2-57D5-4325-9025-1B1F2FD72395}"/>
    <cellStyle name="Normal 47 7 3" xfId="52453" xr:uid="{E56EDF3F-76D5-4C70-80A9-5C09EB8BD9D3}"/>
    <cellStyle name="Normal 47 7 3 2" xfId="52454" xr:uid="{17F6E87D-56E8-4D7A-9DCC-83AB3B4C2261}"/>
    <cellStyle name="Normal 47 7 4" xfId="52455" xr:uid="{9091AD68-E833-412A-83E7-CD8260015BE8}"/>
    <cellStyle name="Normal 47 8" xfId="46313" xr:uid="{642B5587-8AF7-473D-B88D-869D72BAC053}"/>
    <cellStyle name="Normal 47 8 2" xfId="52456" xr:uid="{F89EE417-7894-4FD8-80CB-D4F50C066C47}"/>
    <cellStyle name="Normal 47 8 2 2" xfId="52457" xr:uid="{88A96280-501F-4F50-A13A-0E3D98A1E451}"/>
    <cellStyle name="Normal 47 8 3" xfId="52458" xr:uid="{BE26EA67-FF45-45A0-B61A-39E38D75EA20}"/>
    <cellStyle name="Normal 47 9" xfId="32304" xr:uid="{810C7F01-0C5C-4022-AADA-A5FCC68F1A5D}"/>
    <cellStyle name="Normal 47 9 2" xfId="52459" xr:uid="{69E06903-9EB3-4DFF-9F91-EBA46AAA1895}"/>
    <cellStyle name="Normal 470" xfId="51861" xr:uid="{B14A232A-5E61-4B26-9826-58880F9AACF4}"/>
    <cellStyle name="Normal 470 2" xfId="51865" xr:uid="{A649AD37-0D3F-4E8D-84C3-5E75257E4265}"/>
    <cellStyle name="Normal 471" xfId="51869" xr:uid="{E59E725F-CB01-42B5-BCD2-0B9000C9978D}"/>
    <cellStyle name="Normal 471 2" xfId="51873" xr:uid="{F4C78525-B66D-43DA-9FE4-2DE9060F1800}"/>
    <cellStyle name="Normal 472" xfId="51877" xr:uid="{1C5694FA-319C-4A6C-ACEE-C78A22B7CBD8}"/>
    <cellStyle name="Normal 472 2" xfId="51881" xr:uid="{7AAB7A52-AB52-4913-8662-79B0E84CEA4E}"/>
    <cellStyle name="Normal 473" xfId="51885" xr:uid="{D7BAC5F4-17F0-45DB-9BA2-278CC3627E1D}"/>
    <cellStyle name="Normal 473 2" xfId="51889" xr:uid="{8EB1E25C-91DC-4B1C-BE70-BA2A5FDC8029}"/>
    <cellStyle name="Normal 474" xfId="51893" xr:uid="{8CF78C1E-B2B6-4439-A800-FBC827A040E6}"/>
    <cellStyle name="Normal 474 2" xfId="51897" xr:uid="{F97EE0B3-036E-477A-A05E-596E9EE4D041}"/>
    <cellStyle name="Normal 475" xfId="52463" xr:uid="{16DC288C-A8D5-41F1-BDE1-7BFF967E3276}"/>
    <cellStyle name="Normal 475 2" xfId="52467" xr:uid="{98B747D5-538F-4C99-96EB-F0DB4A3AE54B}"/>
    <cellStyle name="Normal 476" xfId="52471" xr:uid="{04DD7BD3-25A1-42C6-85FA-57D90A4F2CC9}"/>
    <cellStyle name="Normal 476 2" xfId="52475" xr:uid="{7B2C799E-6CF8-4AE0-948E-DDFAF89D2408}"/>
    <cellStyle name="Normal 477" xfId="52479" xr:uid="{0AD2F824-6FB4-4A55-A389-85AD061805A5}"/>
    <cellStyle name="Normal 477 2" xfId="52483" xr:uid="{BF97BF50-00BB-453D-A439-5B54230AFD49}"/>
    <cellStyle name="Normal 478" xfId="52487" xr:uid="{11590303-9D75-4850-B7FC-51227B0DEC8B}"/>
    <cellStyle name="Normal 478 2" xfId="52491" xr:uid="{0882174E-8A7C-4726-BEA4-AE2132B89198}"/>
    <cellStyle name="Normal 479" xfId="52495" xr:uid="{0F839DCA-C89F-47A9-B722-48281D134391}"/>
    <cellStyle name="Normal 479 2" xfId="52499" xr:uid="{8CFD8001-86F2-41CA-B635-0D2F4D61A199}"/>
    <cellStyle name="Normal 48" xfId="52501" xr:uid="{765D29AB-9B42-496E-AFC8-C059C58A8047}"/>
    <cellStyle name="Normal 48 2" xfId="44156" xr:uid="{9CABD131-FAD2-416F-B940-DBA8B0559CC1}"/>
    <cellStyle name="Normal 48 2 2" xfId="52503" xr:uid="{E78348AD-1B2D-474F-A298-BBFDC694D6FD}"/>
    <cellStyle name="Normal 48 3" xfId="52507" xr:uid="{73818B33-1246-4241-815E-D756ADC56F86}"/>
    <cellStyle name="Normal 48 4" xfId="52511" xr:uid="{7A5BFE25-E661-4354-BD15-25911B708AC9}"/>
    <cellStyle name="Normal 480" xfId="52462" xr:uid="{599FD78D-7AEA-4A0A-A59E-1B6C1BD56C56}"/>
    <cellStyle name="Normal 480 2" xfId="52466" xr:uid="{AE58B31D-4F3B-47E3-8679-A08EBA69D713}"/>
    <cellStyle name="Normal 481" xfId="52470" xr:uid="{03CC257E-44B4-4ED4-BB97-F4DB1058374D}"/>
    <cellStyle name="Normal 481 2" xfId="52474" xr:uid="{CED3BA7F-0F8A-48DC-8F73-DB92146F38FF}"/>
    <cellStyle name="Normal 482" xfId="52478" xr:uid="{C0B9C553-0848-4B38-81E3-0BFC4B6B0ED7}"/>
    <cellStyle name="Normal 482 2" xfId="52482" xr:uid="{048B151E-E25C-4C2C-8BFF-7E03B47BCC84}"/>
    <cellStyle name="Normal 483" xfId="52486" xr:uid="{BA5DEA1C-E69E-46F7-A321-D25F9BFEE928}"/>
    <cellStyle name="Normal 483 2" xfId="52490" xr:uid="{A442795A-09E6-44C2-95E7-774656AFD8DA}"/>
    <cellStyle name="Normal 484" xfId="52494" xr:uid="{92A08B32-2DBC-428C-A8DE-23B7BC20E113}"/>
    <cellStyle name="Normal 484 2" xfId="52498" xr:uid="{971CA4BA-1B47-4051-8CF1-E6098974EADC}"/>
    <cellStyle name="Normal 485" xfId="50660" xr:uid="{D82B192F-8A01-42BA-859D-E4D75B02C56C}"/>
    <cellStyle name="Normal 485 2" xfId="50665" xr:uid="{A3059053-6956-44C9-81DA-A384163352B2}"/>
    <cellStyle name="Normal 486" xfId="50672" xr:uid="{DC944726-CFFC-4AE0-BE75-E48087C079D5}"/>
    <cellStyle name="Normal 486 2" xfId="50677" xr:uid="{59F01EEC-A1BD-47EC-9B3B-20EC35FE2D0D}"/>
    <cellStyle name="Normal 487" xfId="50683" xr:uid="{DE0DF89B-C373-4913-93DC-ADC528962F45}"/>
    <cellStyle name="Normal 487 2" xfId="52516" xr:uid="{439BA407-B651-4F36-8103-DB16E029644F}"/>
    <cellStyle name="Normal 488" xfId="52521" xr:uid="{DDA7A15B-75D2-466A-9D7B-9CEAADB14F17}"/>
    <cellStyle name="Normal 488 2" xfId="52526" xr:uid="{B9A3F98D-0CCE-4122-A659-343D1CC0D50F}"/>
    <cellStyle name="Normal 489" xfId="52531" xr:uid="{D6FC02CD-1A55-4A4F-BF89-D834C6FB7AF3}"/>
    <cellStyle name="Normal 489 2" xfId="52535" xr:uid="{44627C14-4E7D-4595-A928-7A2389573DBD}"/>
    <cellStyle name="Normal 49" xfId="52537" xr:uid="{AB5F78EA-3A53-44F2-BF90-6C9AE1B7BEF9}"/>
    <cellStyle name="Normal 49 10" xfId="52538" xr:uid="{9A0946BE-6B85-4928-8F16-6C4107681B46}"/>
    <cellStyle name="Normal 49 11" xfId="52539" xr:uid="{42B60074-2FA7-4A28-8E83-9C10FFF1C80D}"/>
    <cellStyle name="Normal 49 2" xfId="52541" xr:uid="{F916F108-4A66-4C67-96A8-A04B23540E31}"/>
    <cellStyle name="Normal 49 2 10" xfId="52542" xr:uid="{3A1DB985-7EDE-4AAC-A729-2A70561E509F}"/>
    <cellStyle name="Normal 49 2 2" xfId="52544" xr:uid="{393EADD5-280B-469A-8DF3-226CEA1FFC20}"/>
    <cellStyle name="Normal 49 2 2 2" xfId="52546" xr:uid="{E92DF350-6146-424E-BB97-82B8522BCCA8}"/>
    <cellStyle name="Normal 49 2 2 2 2" xfId="52548" xr:uid="{A4FE915B-4A0F-449C-8F60-AAA17A4B9167}"/>
    <cellStyle name="Normal 49 2 2 2 2 2" xfId="52550" xr:uid="{E1CAF914-506E-494B-9985-623FB88FA5D7}"/>
    <cellStyle name="Normal 49 2 2 2 2 2 2" xfId="52552" xr:uid="{043DBB7F-FA83-492A-B5FB-87E6B9D41A8E}"/>
    <cellStyle name="Normal 49 2 2 2 2 2 2 2" xfId="52553" xr:uid="{6F2B29F9-332A-42DB-9BAF-829688AFB897}"/>
    <cellStyle name="Normal 49 2 2 2 2 2 2 2 2" xfId="52554" xr:uid="{3BA00384-8216-4B7C-89FE-582D32C92613}"/>
    <cellStyle name="Normal 49 2 2 2 2 2 2 3" xfId="52555" xr:uid="{9C74A29B-262B-4561-BEB8-55CA7A49C1CB}"/>
    <cellStyle name="Normal 49 2 2 2 2 2 3" xfId="52556" xr:uid="{5C1A9422-369A-42B1-8F2F-003A47C319E9}"/>
    <cellStyle name="Normal 49 2 2 2 2 2 3 2" xfId="52557" xr:uid="{B59857D5-0F6B-4C4F-A0E0-FCE50B1420CB}"/>
    <cellStyle name="Normal 49 2 2 2 2 2 4" xfId="52558" xr:uid="{0A607458-9C77-4CA6-93F2-07D470816159}"/>
    <cellStyle name="Normal 49 2 2 2 2 3" xfId="52560" xr:uid="{54676E92-4E12-4874-87CA-2CFAD1C18BF2}"/>
    <cellStyle name="Normal 49 2 2 2 2 3 2" xfId="52561" xr:uid="{CFE7FB6D-C72B-495C-AD5F-75E27EEAA2D7}"/>
    <cellStyle name="Normal 49 2 2 2 2 3 2 2" xfId="52562" xr:uid="{5E59C4E4-082F-47F9-9577-7555BD52B0DE}"/>
    <cellStyle name="Normal 49 2 2 2 2 3 3" xfId="52563" xr:uid="{4FC8212F-A561-4766-868C-6534C957E103}"/>
    <cellStyle name="Normal 49 2 2 2 2 4" xfId="52564" xr:uid="{B2F53BD5-99BA-4F26-901A-D8EA0478210E}"/>
    <cellStyle name="Normal 49 2 2 2 2 4 2" xfId="52565" xr:uid="{1AA92DA9-0A43-4C26-9F3E-39162EE420BA}"/>
    <cellStyle name="Normal 49 2 2 2 2 5" xfId="52566" xr:uid="{D2A62DAB-ED73-494D-A685-AE86C6D96398}"/>
    <cellStyle name="Normal 49 2 2 2 3" xfId="52568" xr:uid="{E2598BA6-F7BC-4D16-9687-74DB73C2EC91}"/>
    <cellStyle name="Normal 49 2 2 2 3 2" xfId="52570" xr:uid="{7814DC41-7AAA-4E07-9781-A010818C9F8B}"/>
    <cellStyle name="Normal 49 2 2 2 3 2 2" xfId="52571" xr:uid="{16EE55C2-3567-4F9E-92F4-0773CAF83AB0}"/>
    <cellStyle name="Normal 49 2 2 2 3 2 2 2" xfId="52572" xr:uid="{42C81A35-1226-442E-B026-090157EA92BE}"/>
    <cellStyle name="Normal 49 2 2 2 3 2 3" xfId="52573" xr:uid="{902D9511-76CD-423E-96DE-A3B00AAFC114}"/>
    <cellStyle name="Normal 49 2 2 2 3 3" xfId="52574" xr:uid="{AA36B1A0-9195-446F-82A9-6BC5C88CA3F2}"/>
    <cellStyle name="Normal 49 2 2 2 3 3 2" xfId="52575" xr:uid="{EEDA50A8-0B6A-4829-94AF-EB7E510341AD}"/>
    <cellStyle name="Normal 49 2 2 2 3 4" xfId="52576" xr:uid="{F31A5282-B0D2-44C5-9591-1902F136CAAF}"/>
    <cellStyle name="Normal 49 2 2 2 4" xfId="52578" xr:uid="{79C128B7-86E6-4CF1-8552-E27AF74C11CB}"/>
    <cellStyle name="Normal 49 2 2 2 4 2" xfId="52579" xr:uid="{E7A7C729-D50D-4E35-B5C2-B7D1820E7625}"/>
    <cellStyle name="Normal 49 2 2 2 4 2 2" xfId="52580" xr:uid="{8019D919-51D7-44B7-9F43-CA83798ADECD}"/>
    <cellStyle name="Normal 49 2 2 2 4 3" xfId="52581" xr:uid="{39EFE438-43E3-4C09-B574-1791941406A3}"/>
    <cellStyle name="Normal 49 2 2 2 5" xfId="52582" xr:uid="{BCBE0C32-02D7-4253-901E-4EC820368723}"/>
    <cellStyle name="Normal 49 2 2 2 5 2" xfId="52583" xr:uid="{8A84D870-87EE-49D9-B851-0EBD3E3CFF8B}"/>
    <cellStyle name="Normal 49 2 2 2 6" xfId="52584" xr:uid="{265E9F43-36A4-453C-9A19-B8D96EDBB06B}"/>
    <cellStyle name="Normal 49 2 2 2 7" xfId="52585" xr:uid="{C9DE971E-5847-4291-84ED-067FB82C2EBA}"/>
    <cellStyle name="Normal 49 2 2 3" xfId="52587" xr:uid="{560379F7-1A5D-4175-B192-3B9BAEC9B63B}"/>
    <cellStyle name="Normal 49 2 2 3 2" xfId="52589" xr:uid="{3F61870A-97CE-4606-882D-46A64FD7BB6C}"/>
    <cellStyle name="Normal 49 2 2 3 2 2" xfId="52591" xr:uid="{49B37C19-10B4-470B-A839-FB9131846825}"/>
    <cellStyle name="Normal 49 2 2 3 2 2 2" xfId="52592" xr:uid="{96215006-FCC2-41F1-82C0-71DABFFA5B00}"/>
    <cellStyle name="Normal 49 2 2 3 2 2 2 2" xfId="52593" xr:uid="{EB8B16AC-C4F7-4D46-A0F0-4C66866C35B4}"/>
    <cellStyle name="Normal 49 2 2 3 2 2 3" xfId="52594" xr:uid="{F5E7576C-2C44-4EB9-ABA2-C6547B4E934A}"/>
    <cellStyle name="Normal 49 2 2 3 2 3" xfId="52595" xr:uid="{1309D5B7-0B31-4E98-80EF-3781AAF32F67}"/>
    <cellStyle name="Normal 49 2 2 3 2 3 2" xfId="52596" xr:uid="{FA65FC8F-E3C6-48B3-AD22-491A825C9ACC}"/>
    <cellStyle name="Normal 49 2 2 3 2 4" xfId="52597" xr:uid="{FBF3A72A-6639-4E5E-877B-1AA1CDAAE5DC}"/>
    <cellStyle name="Normal 49 2 2 3 3" xfId="52599" xr:uid="{955C2339-A9B7-4A10-9F74-B01787701DFF}"/>
    <cellStyle name="Normal 49 2 2 3 3 2" xfId="52600" xr:uid="{9A945C02-91C8-450F-8B73-9F21A8EA05AF}"/>
    <cellStyle name="Normal 49 2 2 3 3 2 2" xfId="52601" xr:uid="{E4999878-25FC-43C5-9B0A-3DAD8E673054}"/>
    <cellStyle name="Normal 49 2 2 3 3 3" xfId="52602" xr:uid="{BE4D166B-2BA6-4E6F-A708-CC06165925D0}"/>
    <cellStyle name="Normal 49 2 2 3 4" xfId="52603" xr:uid="{19C11FA3-E9B6-4895-9160-F69D39DD9094}"/>
    <cellStyle name="Normal 49 2 2 3 4 2" xfId="52604" xr:uid="{AF7DC548-3754-4B0A-B804-B6F71498A80B}"/>
    <cellStyle name="Normal 49 2 2 3 5" xfId="52605" xr:uid="{897ED505-AF3C-4622-A503-099573417001}"/>
    <cellStyle name="Normal 49 2 2 4" xfId="52607" xr:uid="{8661EA19-E7A0-46A3-8102-54CC15209406}"/>
    <cellStyle name="Normal 49 2 2 4 2" xfId="52609" xr:uid="{500AC47C-62D4-4D32-BACB-FAB0169F0A9F}"/>
    <cellStyle name="Normal 49 2 2 4 2 2" xfId="52610" xr:uid="{F8883AC3-5C79-4F0A-9EEB-FD5060B24141}"/>
    <cellStyle name="Normal 49 2 2 4 2 2 2" xfId="52611" xr:uid="{92FBC9F5-DF70-41F6-9231-D4C7A3941C28}"/>
    <cellStyle name="Normal 49 2 2 4 2 3" xfId="52612" xr:uid="{1005CD9F-62A6-48A6-86EC-CECB57E315AA}"/>
    <cellStyle name="Normal 49 2 2 4 3" xfId="52613" xr:uid="{6AEA9037-3D35-497F-A969-2E4DDAC91227}"/>
    <cellStyle name="Normal 49 2 2 4 3 2" xfId="52614" xr:uid="{6C0391ED-64F7-4FF3-9B1F-074BBFC493BA}"/>
    <cellStyle name="Normal 49 2 2 4 4" xfId="52615" xr:uid="{B1AFA23D-84DE-41F3-AAAA-A60E2F1A21D2}"/>
    <cellStyle name="Normal 49 2 2 5" xfId="52617" xr:uid="{E81F5233-2A10-4A42-A4BD-31BDE303FF62}"/>
    <cellStyle name="Normal 49 2 2 5 2" xfId="52618" xr:uid="{947A708E-CAB8-48EA-96B6-F48BB363C682}"/>
    <cellStyle name="Normal 49 2 2 5 2 2" xfId="52619" xr:uid="{E0842EE1-070A-428C-957A-58E8466680EC}"/>
    <cellStyle name="Normal 49 2 2 5 3" xfId="52620" xr:uid="{25C5E930-81D4-4C25-98C4-9DEE3D97FEC3}"/>
    <cellStyle name="Normal 49 2 2 6" xfId="52622" xr:uid="{11E35656-9D1F-48E9-A341-03B52FD941BD}"/>
    <cellStyle name="Normal 49 2 2 6 2" xfId="52623" xr:uid="{C2D0E606-C28B-4C29-8919-B65DD92EFDD1}"/>
    <cellStyle name="Normal 49 2 2 7" xfId="52624" xr:uid="{5340D823-F942-46FC-8DCE-9BB84A49F636}"/>
    <cellStyle name="Normal 49 2 2 8" xfId="52625" xr:uid="{40F70657-7127-4B91-98F3-E9528BB1A8D7}"/>
    <cellStyle name="Normal 49 2 2 9" xfId="52626" xr:uid="{A9942E75-4CE0-45EB-ADA6-90AB30BD47C0}"/>
    <cellStyle name="Normal 49 2 3" xfId="52628" xr:uid="{3E6FE1D7-A38A-4A3B-BC02-7D1EEA460A4F}"/>
    <cellStyle name="Normal 49 2 3 2" xfId="52630" xr:uid="{A9C63E18-3C00-49BD-8657-AF8884DA35A0}"/>
    <cellStyle name="Normal 49 2 3 2 2" xfId="52632" xr:uid="{ED4A3A6E-A362-468F-8247-A149C8653286}"/>
    <cellStyle name="Normal 49 2 3 2 2 2" xfId="52634" xr:uid="{A75BAD0D-82C5-4083-B96F-4EB3278E8461}"/>
    <cellStyle name="Normal 49 2 3 2 2 2 2" xfId="52635" xr:uid="{9D9A2ECA-3F27-4958-ACCF-7D9E554189D6}"/>
    <cellStyle name="Normal 49 2 3 2 2 2 2 2" xfId="52636" xr:uid="{15AF2DAA-D6E1-4EFC-83E7-4042501FA19D}"/>
    <cellStyle name="Normal 49 2 3 2 2 2 3" xfId="52637" xr:uid="{ECF57594-8891-48F3-B276-019832C23AD6}"/>
    <cellStyle name="Normal 49 2 3 2 2 3" xfId="52638" xr:uid="{3108BDBF-959E-4DB2-86C0-9BF4E08B4EC6}"/>
    <cellStyle name="Normal 49 2 3 2 2 3 2" xfId="52639" xr:uid="{219426BD-E8BA-457A-930B-FA48C0565951}"/>
    <cellStyle name="Normal 49 2 3 2 2 4" xfId="52640" xr:uid="{EFD0574C-A036-4815-9EBF-0BA52229583A}"/>
    <cellStyle name="Normal 49 2 3 2 3" xfId="10183" xr:uid="{3E8E8E51-96F0-46C0-81E6-E3A6C948BC43}"/>
    <cellStyle name="Normal 49 2 3 2 3 2" xfId="52641" xr:uid="{8998B178-2F93-4A40-AA65-0EE733AE423F}"/>
    <cellStyle name="Normal 49 2 3 2 3 2 2" xfId="52642" xr:uid="{9BF7B0B3-2508-478B-8B92-E8F6EA7AF5A4}"/>
    <cellStyle name="Normal 49 2 3 2 3 3" xfId="52643" xr:uid="{69D490B4-C1C3-426F-AD07-53BEBECC4486}"/>
    <cellStyle name="Normal 49 2 3 2 4" xfId="52644" xr:uid="{DE11B97C-7768-4B05-8038-673D6F41B2F5}"/>
    <cellStyle name="Normal 49 2 3 2 4 2" xfId="52645" xr:uid="{092AA33A-FCEA-4E91-AA20-7C7CB2E07029}"/>
    <cellStyle name="Normal 49 2 3 2 5" xfId="52646" xr:uid="{85A28365-9DC3-440C-B127-0CC96A9193F7}"/>
    <cellStyle name="Normal 49 2 3 3" xfId="52648" xr:uid="{1CC51979-DA7B-4404-8785-3A711BE71716}"/>
    <cellStyle name="Normal 49 2 3 3 2" xfId="52650" xr:uid="{B2137B6E-044B-4D36-BF45-0061706B23C9}"/>
    <cellStyle name="Normal 49 2 3 3 2 2" xfId="52651" xr:uid="{6C844EEF-75F9-483F-A719-9557B6D4F9F8}"/>
    <cellStyle name="Normal 49 2 3 3 2 2 2" xfId="52652" xr:uid="{C8A1AD24-1FDC-41B2-B877-C59EFD57E9F2}"/>
    <cellStyle name="Normal 49 2 3 3 2 3" xfId="52653" xr:uid="{B3798FB7-6F10-44FC-AFBD-90F80116B9C1}"/>
    <cellStyle name="Normal 49 2 3 3 3" xfId="52654" xr:uid="{9F4D4AA7-2DC7-400D-842B-E5F82B6BBE6C}"/>
    <cellStyle name="Normal 49 2 3 3 3 2" xfId="52655" xr:uid="{E1A1C305-86B1-49D3-8F3F-B0C516365ED1}"/>
    <cellStyle name="Normal 49 2 3 3 4" xfId="52656" xr:uid="{2A533D95-A278-469C-8926-508491EF2576}"/>
    <cellStyle name="Normal 49 2 3 4" xfId="52658" xr:uid="{5C554988-BF9B-44B3-B715-2029EDE09BFA}"/>
    <cellStyle name="Normal 49 2 3 4 2" xfId="52659" xr:uid="{D9C6DF35-4988-48A1-8360-37D254D0CC37}"/>
    <cellStyle name="Normal 49 2 3 4 2 2" xfId="52660" xr:uid="{46E29E80-30A4-4AB0-A8CE-458E7F9BD5A2}"/>
    <cellStyle name="Normal 49 2 3 4 3" xfId="52661" xr:uid="{FBCEC322-A636-4697-BB06-DE56FAE41748}"/>
    <cellStyle name="Normal 49 2 3 5" xfId="52662" xr:uid="{655EFD6B-B5D8-4519-B7E1-539D6EC4E5D0}"/>
    <cellStyle name="Normal 49 2 3 5 2" xfId="52663" xr:uid="{1F654309-EBBF-4676-B299-7D2E76FE145D}"/>
    <cellStyle name="Normal 49 2 3 6" xfId="52664" xr:uid="{4F4D0EF4-DD24-4389-8050-361A0D1B41A4}"/>
    <cellStyle name="Normal 49 2 3 7" xfId="52665" xr:uid="{DDF27DBD-6B6D-423B-B175-79B37AFA619F}"/>
    <cellStyle name="Normal 49 2 4" xfId="52667" xr:uid="{F7F8168F-F95A-477E-A6E9-D0797D8320FF}"/>
    <cellStyle name="Normal 49 2 4 2" xfId="52669" xr:uid="{09CFF084-C31B-4F5E-A26F-6FB8E565E4FB}"/>
    <cellStyle name="Normal 49 2 4 2 2" xfId="52671" xr:uid="{6ED3FD8E-3C3E-4FC2-BACB-FAFCB21DC475}"/>
    <cellStyle name="Normal 49 2 4 2 2 2" xfId="52672" xr:uid="{74909A9F-F5DE-4FBB-A3CC-657540E71DAB}"/>
    <cellStyle name="Normal 49 2 4 2 2 2 2" xfId="52673" xr:uid="{376D4156-A84C-40CF-9CC7-3AC74D14ADC5}"/>
    <cellStyle name="Normal 49 2 4 2 2 3" xfId="52674" xr:uid="{7A64C60C-267F-449F-9C27-70F39E925DDB}"/>
    <cellStyle name="Normal 49 2 4 2 3" xfId="52675" xr:uid="{783689D0-65C8-4AF1-B0CD-1B44F0225B54}"/>
    <cellStyle name="Normal 49 2 4 2 3 2" xfId="52676" xr:uid="{07ADF11B-5185-4BC5-80CD-15BE93E681C0}"/>
    <cellStyle name="Normal 49 2 4 2 4" xfId="52677" xr:uid="{4FFFDAB5-21F2-4327-B708-17975BF4DAD5}"/>
    <cellStyle name="Normal 49 2 4 3" xfId="52679" xr:uid="{0A52950B-9F4D-489B-98A7-B58F3E873617}"/>
    <cellStyle name="Normal 49 2 4 3 2" xfId="52680" xr:uid="{54B4B7A1-E840-4150-A3BF-B5EF796F9B64}"/>
    <cellStyle name="Normal 49 2 4 3 2 2" xfId="52681" xr:uid="{FE8CD90E-D0D6-499C-990F-FC314D7A2828}"/>
    <cellStyle name="Normal 49 2 4 3 3" xfId="52682" xr:uid="{BBDC55CC-7BE1-430A-8D40-6DBD043B294B}"/>
    <cellStyle name="Normal 49 2 4 4" xfId="52683" xr:uid="{014B11AE-19C4-4831-BD7A-1BEFA8442F9A}"/>
    <cellStyle name="Normal 49 2 4 4 2" xfId="52684" xr:uid="{F90EA507-5D48-4567-A684-DE2734C90C05}"/>
    <cellStyle name="Normal 49 2 4 5" xfId="48705" xr:uid="{7B29B4FB-3DDB-49A5-A0AD-EDD006454727}"/>
    <cellStyle name="Normal 49 2 5" xfId="52686" xr:uid="{6F689881-E877-4C28-93E1-A7955E653974}"/>
    <cellStyle name="Normal 49 2 5 2" xfId="52688" xr:uid="{996BC060-BE5C-4890-B4D2-5863FFDE9F06}"/>
    <cellStyle name="Normal 49 2 5 2 2" xfId="52689" xr:uid="{671341BD-5795-4542-BE2A-2964381A90F0}"/>
    <cellStyle name="Normal 49 2 5 2 2 2" xfId="18747" xr:uid="{4FFA286F-F388-44DF-BA50-C406AE077883}"/>
    <cellStyle name="Normal 49 2 5 2 3" xfId="52690" xr:uid="{08C21544-168E-43D4-BC8F-2F2758A86B8B}"/>
    <cellStyle name="Normal 49 2 5 3" xfId="52691" xr:uid="{0BDA63CA-2962-48E4-9916-B78AF0E9A421}"/>
    <cellStyle name="Normal 49 2 5 3 2" xfId="52692" xr:uid="{A1BE3E5A-0E30-4A51-9C7E-D5E03CD2063F}"/>
    <cellStyle name="Normal 49 2 5 4" xfId="52693" xr:uid="{65C8C1FB-3C33-4BC6-B52C-D168160C4A9D}"/>
    <cellStyle name="Normal 49 2 6" xfId="52695" xr:uid="{9EF78119-340D-4037-BAA6-7EFE3FCF5F07}"/>
    <cellStyle name="Normal 49 2 6 2" xfId="52696" xr:uid="{49533180-14B7-4B6A-8379-7C8A6DD79765}"/>
    <cellStyle name="Normal 49 2 6 2 2" xfId="52697" xr:uid="{4CED65D4-2609-4A7A-ACA8-40B8F65CB52B}"/>
    <cellStyle name="Normal 49 2 6 3" xfId="52698" xr:uid="{BC09246A-783D-4441-AF85-0541765F7B94}"/>
    <cellStyle name="Normal 49 2 7" xfId="52700" xr:uid="{E6CD66BE-8B15-47E3-897C-81083A4289FD}"/>
    <cellStyle name="Normal 49 2 7 2" xfId="52701" xr:uid="{A4B669F4-B331-4A02-9AEC-7CD2F25053C7}"/>
    <cellStyle name="Normal 49 2 8" xfId="52703" xr:uid="{BE5C3E56-E469-47C8-A3D0-74FFB2A6BC89}"/>
    <cellStyle name="Normal 49 2 9" xfId="52704" xr:uid="{D4A8C700-18CA-4A4E-8696-F48D367886C1}"/>
    <cellStyle name="Normal 49 3" xfId="52706" xr:uid="{644A14CB-2C91-4DE2-9B80-AAEC83D3B97D}"/>
    <cellStyle name="Normal 49 3 2" xfId="52708" xr:uid="{EA35FD94-64BD-4FE2-A6AE-5C97915C8F60}"/>
    <cellStyle name="Normal 49 3 2 2" xfId="27904" xr:uid="{F345ED09-D51B-415C-9F8E-0723919FD093}"/>
    <cellStyle name="Normal 49 3 2 2 2" xfId="52710" xr:uid="{E607DFBE-E618-4FFD-85F8-3D5F3B599C5E}"/>
    <cellStyle name="Normal 49 3 2 2 2 2" xfId="52712" xr:uid="{7995EF25-8813-4090-83AB-1B5F47ED5A8B}"/>
    <cellStyle name="Normal 49 3 2 2 2 2 2" xfId="52713" xr:uid="{E901EBC0-88DA-4BF9-BFD7-0D9AC04225A8}"/>
    <cellStyle name="Normal 49 3 2 2 2 2 2 2" xfId="52714" xr:uid="{FFD62ECD-FDAD-4577-A3FE-3EAAE5E5941E}"/>
    <cellStyle name="Normal 49 3 2 2 2 2 3" xfId="52715" xr:uid="{67CF2DFE-52E9-4500-845B-09F0DEC95870}"/>
    <cellStyle name="Normal 49 3 2 2 2 3" xfId="52716" xr:uid="{F4AC2D07-0A21-4BF8-AB7B-AC75A1A57EC6}"/>
    <cellStyle name="Normal 49 3 2 2 2 3 2" xfId="52717" xr:uid="{3A893608-A42D-4551-B5BE-8B1062C5DD3F}"/>
    <cellStyle name="Normal 49 3 2 2 2 4" xfId="52718" xr:uid="{0D65AB1A-DFC6-474E-A149-51CEADAE7AEB}"/>
    <cellStyle name="Normal 49 3 2 2 3" xfId="52720" xr:uid="{986C5352-BD5A-478B-8CFF-A5E748FBCCB1}"/>
    <cellStyle name="Normal 49 3 2 2 3 2" xfId="52721" xr:uid="{49D25FEE-C574-4116-861C-7068D1BAB39F}"/>
    <cellStyle name="Normal 49 3 2 2 3 2 2" xfId="52722" xr:uid="{3D658063-C557-4CB5-8F5C-C319CC809B0D}"/>
    <cellStyle name="Normal 49 3 2 2 3 3" xfId="52723" xr:uid="{9159BBFF-2309-47A0-81F8-470069526556}"/>
    <cellStyle name="Normal 49 3 2 2 4" xfId="52724" xr:uid="{B0CA3AA9-A7A2-437C-AC1C-B92C85050EB2}"/>
    <cellStyle name="Normal 49 3 2 2 4 2" xfId="52725" xr:uid="{F38876E1-23D4-40D5-954D-376F78F26E74}"/>
    <cellStyle name="Normal 49 3 2 2 5" xfId="52726" xr:uid="{E38DD9C8-F08A-405D-9BBE-DAE0F79D2826}"/>
    <cellStyle name="Normal 49 3 2 3" xfId="20734" xr:uid="{B75F1554-4E85-400C-9C0D-161A2EB22FE9}"/>
    <cellStyle name="Normal 49 3 2 3 2" xfId="52728" xr:uid="{1D70DD97-E72A-49A3-89E8-BE2C6CD3C491}"/>
    <cellStyle name="Normal 49 3 2 3 2 2" xfId="52729" xr:uid="{43BCFA5C-7CF9-4E4A-B272-F959831EFD03}"/>
    <cellStyle name="Normal 49 3 2 3 2 2 2" xfId="52730" xr:uid="{902EDB63-5DF7-46F0-9FE0-D45E94FF26C2}"/>
    <cellStyle name="Normal 49 3 2 3 2 3" xfId="52731" xr:uid="{5DCB7E3A-434B-413B-80C5-CC5A5C08489B}"/>
    <cellStyle name="Normal 49 3 2 3 3" xfId="52732" xr:uid="{B81F9392-602D-4F0A-B88A-019E1A1D2B24}"/>
    <cellStyle name="Normal 49 3 2 3 3 2" xfId="52733" xr:uid="{F761AF99-322E-44C2-982C-33ACD22F4396}"/>
    <cellStyle name="Normal 49 3 2 3 4" xfId="52734" xr:uid="{AE885AC2-19F1-4D1B-AFB6-12892F1B1273}"/>
    <cellStyle name="Normal 49 3 2 4" xfId="52736" xr:uid="{59E63B74-198B-47FB-8D36-F6689FC13876}"/>
    <cellStyle name="Normal 49 3 2 4 2" xfId="52737" xr:uid="{67CB857D-36FD-4B28-B2C3-5A4C472FDA0D}"/>
    <cellStyle name="Normal 49 3 2 4 2 2" xfId="52738" xr:uid="{74CDF540-564C-4C05-A4FE-7534483328EA}"/>
    <cellStyle name="Normal 49 3 2 4 3" xfId="52739" xr:uid="{892ED1C5-1A41-4613-8904-55B93A5A9A06}"/>
    <cellStyle name="Normal 49 3 2 5" xfId="52740" xr:uid="{FDB0296E-AFEE-4200-ABD9-665CF6C66D92}"/>
    <cellStyle name="Normal 49 3 2 5 2" xfId="52741" xr:uid="{15363485-A7FB-4752-BE0A-E70B45D1B729}"/>
    <cellStyle name="Normal 49 3 2 6" xfId="52742" xr:uid="{2E1D51D4-A776-4A96-9553-F8D77728116D}"/>
    <cellStyle name="Normal 49 3 2 7" xfId="52743" xr:uid="{9FC47E42-57D0-4345-BAB0-411C06520457}"/>
    <cellStyle name="Normal 49 3 3" xfId="52745" xr:uid="{5919D996-5A8A-423C-9726-E00829769218}"/>
    <cellStyle name="Normal 49 3 3 2" xfId="27925" xr:uid="{8E83A977-8ADE-46A9-941B-410A8517E9AE}"/>
    <cellStyle name="Normal 49 3 3 2 2" xfId="52747" xr:uid="{0ABF265B-58EB-427A-AF2E-02FB23704EF8}"/>
    <cellStyle name="Normal 49 3 3 2 2 2" xfId="52748" xr:uid="{A96D4611-8660-432E-AB8F-BD023EE02268}"/>
    <cellStyle name="Normal 49 3 3 2 2 2 2" xfId="52749" xr:uid="{C1B2342A-1CA6-4045-8388-D909812160AD}"/>
    <cellStyle name="Normal 49 3 3 2 2 3" xfId="52750" xr:uid="{99892E98-E6E7-4F55-A512-615B58A3D364}"/>
    <cellStyle name="Normal 49 3 3 2 3" xfId="52751" xr:uid="{FBFBC261-CEF7-40FC-A3E4-FD7B29867975}"/>
    <cellStyle name="Normal 49 3 3 2 3 2" xfId="52752" xr:uid="{4E4B7407-AC33-4695-8912-534FA01048CF}"/>
    <cellStyle name="Normal 49 3 3 2 4" xfId="52753" xr:uid="{D10B7896-7098-4B22-97AD-C9E220EDB9E8}"/>
    <cellStyle name="Normal 49 3 3 3" xfId="52755" xr:uid="{EE2CC504-0C05-40D6-A8A5-BC1A1BADDE05}"/>
    <cellStyle name="Normal 49 3 3 3 2" xfId="52756" xr:uid="{1A0F943F-7630-43B2-B7A2-2938B6776E6D}"/>
    <cellStyle name="Normal 49 3 3 3 2 2" xfId="52757" xr:uid="{3190C0C4-E649-41E8-BD55-B91FAFEF9BB0}"/>
    <cellStyle name="Normal 49 3 3 3 3" xfId="52758" xr:uid="{82E7519B-F088-4C66-AEBE-664E34CBCFD3}"/>
    <cellStyle name="Normal 49 3 3 4" xfId="52759" xr:uid="{30521BB2-E6A9-4275-BF34-DDC289695861}"/>
    <cellStyle name="Normal 49 3 3 4 2" xfId="52760" xr:uid="{C09D9C21-D6F7-4741-94ED-227D2C8B181F}"/>
    <cellStyle name="Normal 49 3 3 5" xfId="52761" xr:uid="{DA70D28F-717B-4FA7-B08D-98CC7E4C9CDA}"/>
    <cellStyle name="Normal 49 3 4" xfId="52763" xr:uid="{3221EFE5-760E-4B63-9673-2BD982EAB102}"/>
    <cellStyle name="Normal 49 3 4 2" xfId="47222" xr:uid="{2BB7D6F1-9929-4893-906C-F7C183D291FB}"/>
    <cellStyle name="Normal 49 3 4 2 2" xfId="47224" xr:uid="{A633B65F-B757-4C6E-A027-A8BBD5AC5F8F}"/>
    <cellStyle name="Normal 49 3 4 2 2 2" xfId="47226" xr:uid="{29358EA5-5801-4B2C-B644-8B9573A3421F}"/>
    <cellStyle name="Normal 49 3 4 2 3" xfId="47242" xr:uid="{78C495F4-323F-4421-B478-122078FA7B7F}"/>
    <cellStyle name="Normal 49 3 4 3" xfId="47255" xr:uid="{C9319DCF-9680-4423-B444-57177785F5C5}"/>
    <cellStyle name="Normal 49 3 4 3 2" xfId="47258" xr:uid="{BB6724F5-2D16-422D-8976-6D26F43EEE2E}"/>
    <cellStyle name="Normal 49 3 4 4" xfId="47274" xr:uid="{36DF4019-B1E3-4D9D-B553-0C514ACC69D9}"/>
    <cellStyle name="Normal 49 3 5" xfId="52765" xr:uid="{1E7843C8-EA6E-4041-9C50-925E6870846E}"/>
    <cellStyle name="Normal 49 3 5 2" xfId="47320" xr:uid="{8D13F7D2-FF8A-4CEF-B870-34704941F215}"/>
    <cellStyle name="Normal 49 3 5 2 2" xfId="47322" xr:uid="{9C8C7536-E9C0-45D5-9597-4ACAF2B9BEDF}"/>
    <cellStyle name="Normal 49 3 5 3" xfId="47338" xr:uid="{DB62B6C0-B6BB-4950-9517-98F36144F1AF}"/>
    <cellStyle name="Normal 49 3 6" xfId="52767" xr:uid="{D7127ED9-889D-4EE4-9C56-83E45337FDAC}"/>
    <cellStyle name="Normal 49 3 6 2" xfId="47371" xr:uid="{3C7BDA6A-9932-4B11-B5F1-5D6950BBBEEB}"/>
    <cellStyle name="Normal 49 3 7" xfId="52768" xr:uid="{FB3B7002-7E39-45D7-A6B5-59E3C5667A73}"/>
    <cellStyle name="Normal 49 3 8" xfId="52769" xr:uid="{C948FC68-EF45-49F5-A1FA-5AE61FAF3F38}"/>
    <cellStyle name="Normal 49 3 9" xfId="52770" xr:uid="{230E2A0D-EFD4-4635-91EE-7A7D2C8907A3}"/>
    <cellStyle name="Normal 49 4" xfId="52772" xr:uid="{4C3CD9CD-486A-4C1E-ABC2-0E440FBFF318}"/>
    <cellStyle name="Normal 49 4 2" xfId="52774" xr:uid="{23775757-396E-48D2-BCF3-C6A52085B64D}"/>
    <cellStyle name="Normal 49 4 2 2" xfId="18173" xr:uid="{E82C3DFA-9AC1-4160-AEEB-B55403559749}"/>
    <cellStyle name="Normal 49 4 2 2 2" xfId="52776" xr:uid="{79845C71-957A-4F22-AA49-8FCF723BDC22}"/>
    <cellStyle name="Normal 49 4 2 2 2 2" xfId="52777" xr:uid="{6211E742-C8B7-4FE7-A7DB-32399971421C}"/>
    <cellStyle name="Normal 49 4 2 2 2 2 2" xfId="52778" xr:uid="{868638CC-C1B6-426C-8FF4-5FDA71AF0D97}"/>
    <cellStyle name="Normal 49 4 2 2 2 3" xfId="52779" xr:uid="{2E33E93D-AEE0-484B-A82D-FC1648BAC338}"/>
    <cellStyle name="Normal 49 4 2 2 3" xfId="52780" xr:uid="{BC9748B1-6DB7-46E7-8800-CEF714845276}"/>
    <cellStyle name="Normal 49 4 2 2 3 2" xfId="52781" xr:uid="{BE4B4108-88A8-404E-AE39-36C7C9E0AB4C}"/>
    <cellStyle name="Normal 49 4 2 2 4" xfId="52782" xr:uid="{39C26BE1-1657-4F3B-B1A2-693614287683}"/>
    <cellStyle name="Normal 49 4 2 3" xfId="52784" xr:uid="{A2DD6730-E964-4DE2-8192-1980C870778B}"/>
    <cellStyle name="Normal 49 4 2 3 2" xfId="52785" xr:uid="{CF834876-D4F5-463D-9D61-0068F3D32BEE}"/>
    <cellStyle name="Normal 49 4 2 3 2 2" xfId="52786" xr:uid="{85A7888A-5F0B-492D-AA5A-6D0F2898B5C5}"/>
    <cellStyle name="Normal 49 4 2 3 3" xfId="52787" xr:uid="{EA7BE177-256E-465A-81B7-242B5FC7DB68}"/>
    <cellStyle name="Normal 49 4 2 4" xfId="52788" xr:uid="{54551C82-736E-41F4-959F-5333E0069606}"/>
    <cellStyle name="Normal 49 4 2 4 2" xfId="52789" xr:uid="{4DD0A5C4-6374-4E9D-9095-552B6B849C3D}"/>
    <cellStyle name="Normal 49 4 2 5" xfId="52790" xr:uid="{7DFC65DB-29FB-414A-9976-7D54F2B07477}"/>
    <cellStyle name="Normal 49 4 3" xfId="52792" xr:uid="{F8D84BE3-DE6F-4D8C-82D4-563B7D600373}"/>
    <cellStyle name="Normal 49 4 3 2" xfId="52794" xr:uid="{8078D196-0E22-4195-A6E1-20B2EA352283}"/>
    <cellStyle name="Normal 49 4 3 2 2" xfId="52795" xr:uid="{9A7EC69C-9A17-45B6-B74D-43EF4C95848E}"/>
    <cellStyle name="Normal 49 4 3 2 2 2" xfId="52796" xr:uid="{15AA3467-E195-40BC-8B24-B3BAF6399B2D}"/>
    <cellStyle name="Normal 49 4 3 2 3" xfId="52797" xr:uid="{B606CE68-4337-4D20-B226-C9F4FE705522}"/>
    <cellStyle name="Normal 49 4 3 3" xfId="52798" xr:uid="{0EC1FD37-7F64-44B2-9D8A-CC7084ED6590}"/>
    <cellStyle name="Normal 49 4 3 3 2" xfId="52799" xr:uid="{B74D0C66-6BBF-4CBE-BAC3-92427501A040}"/>
    <cellStyle name="Normal 49 4 3 4" xfId="52800" xr:uid="{1EB0656B-0A1B-41C9-A682-1153976368F7}"/>
    <cellStyle name="Normal 49 4 4" xfId="52802" xr:uid="{1C3BEF00-9B54-4AE9-9A00-AB94284E57EA}"/>
    <cellStyle name="Normal 49 4 4 2" xfId="42014" xr:uid="{FE20F0DA-A28F-4471-A3E4-800D4C4A0E2E}"/>
    <cellStyle name="Normal 49 4 4 2 2" xfId="42017" xr:uid="{021B0C83-812F-4343-97AA-381A13212D56}"/>
    <cellStyle name="Normal 49 4 4 3" xfId="42020" xr:uid="{79608F72-D349-4155-B1BD-9FABF3090ED2}"/>
    <cellStyle name="Normal 49 4 5" xfId="52803" xr:uid="{E65DA746-C264-4608-8EE8-B567656DC7CB}"/>
    <cellStyle name="Normal 49 4 5 2" xfId="42118" xr:uid="{8102AE94-1F4D-4714-82E7-4F8FEACC1BCA}"/>
    <cellStyle name="Normal 49 4 6" xfId="52804" xr:uid="{71E7B5DE-BF19-4950-A0F6-E28F1DF212A4}"/>
    <cellStyle name="Normal 49 4 7" xfId="52805" xr:uid="{513D5A38-B3AD-439F-A302-097F0E9A51C3}"/>
    <cellStyle name="Normal 49 5" xfId="46325" xr:uid="{1DCBB860-CA84-4BAA-AF43-C6046A58F4D6}"/>
    <cellStyle name="Normal 49 5 2" xfId="46330" xr:uid="{687FB4BB-B3B6-4C9B-A72C-8C9BB03271C8}"/>
    <cellStyle name="Normal 49 5 2 2" xfId="52809" xr:uid="{571EC82C-3A90-4665-ABD8-C9450049A627}"/>
    <cellStyle name="Normal 49 5 2 2 2" xfId="52810" xr:uid="{0E1242DD-131F-4579-9CCD-2B9F216C6904}"/>
    <cellStyle name="Normal 49 5 2 2 2 2" xfId="52811" xr:uid="{0657E148-2B13-4047-9EA8-9F499D6993B4}"/>
    <cellStyle name="Normal 49 5 2 2 3" xfId="52812" xr:uid="{0DA0D77A-50CB-47BC-B6F5-98C50F510848}"/>
    <cellStyle name="Normal 49 5 2 3" xfId="52813" xr:uid="{BA448224-8E4D-4434-8A41-F817715245FE}"/>
    <cellStyle name="Normal 49 5 2 3 2" xfId="52814" xr:uid="{EF1D145A-A612-45C0-9142-334256C3370D}"/>
    <cellStyle name="Normal 49 5 2 4" xfId="52815" xr:uid="{CC905863-75D5-4FC4-BBA2-21ACE29C4CCA}"/>
    <cellStyle name="Normal 49 5 3" xfId="52819" xr:uid="{941CAB93-DD1D-4550-93D6-32F81E0F6275}"/>
    <cellStyle name="Normal 49 5 3 2" xfId="52822" xr:uid="{BCFB81B3-5AD5-40D1-8E22-F1916DD409A8}"/>
    <cellStyle name="Normal 49 5 3 2 2" xfId="52823" xr:uid="{28962715-A218-4B7C-990E-39CDF0B1C6FF}"/>
    <cellStyle name="Normal 49 5 3 3" xfId="52824" xr:uid="{DB7E90C0-483F-471B-9E44-E356E347BC01}"/>
    <cellStyle name="Normal 49 5 4" xfId="52827" xr:uid="{3B0920D3-8211-4013-B4A2-D57B76BF5E24}"/>
    <cellStyle name="Normal 49 5 4 2" xfId="47545" xr:uid="{33B9F118-CBB5-444A-ADA8-3C8C32E6586D}"/>
    <cellStyle name="Normal 49 5 5" xfId="52830" xr:uid="{2DE1A4E7-40F6-4CFE-BEDA-E8CA38404E7B}"/>
    <cellStyle name="Normal 49 6" xfId="46333" xr:uid="{DAFC7EA7-72BF-4455-8214-6AFCD900FAD7}"/>
    <cellStyle name="Normal 49 6 2" xfId="52834" xr:uid="{B8AB373B-9B3C-4506-8123-79F45E6F178D}"/>
    <cellStyle name="Normal 49 6 2 2" xfId="52835" xr:uid="{1EC4734F-CE2C-4031-AFA0-AB1F37944608}"/>
    <cellStyle name="Normal 49 6 2 2 2" xfId="52836" xr:uid="{4372FE54-34BE-4C74-BE11-8E07AEB1DB07}"/>
    <cellStyle name="Normal 49 6 2 3" xfId="52837" xr:uid="{DFC85D3D-06B3-42AA-8835-67D53611C0E3}"/>
    <cellStyle name="Normal 49 6 3" xfId="52840" xr:uid="{1C8E14EB-052D-4CF5-8587-69E509579F4E}"/>
    <cellStyle name="Normal 49 6 3 2" xfId="52841" xr:uid="{8F3B21DC-2823-402E-91BF-70D5378BA812}"/>
    <cellStyle name="Normal 49 6 4" xfId="52844" xr:uid="{FB822579-8DD1-49D3-ADD3-5E348013C112}"/>
    <cellStyle name="Normal 49 7" xfId="52846" xr:uid="{9F8825E7-0667-4C1A-812F-0EBD9CE1DBBA}"/>
    <cellStyle name="Normal 49 7 2" xfId="52847" xr:uid="{8620FF6E-6F38-40F6-BD4A-2B900F6830C0}"/>
    <cellStyle name="Normal 49 7 2 2" xfId="52848" xr:uid="{E8D78CA3-4FD9-4F34-B7EB-3026A6433BC7}"/>
    <cellStyle name="Normal 49 7 3" xfId="52849" xr:uid="{0053B433-C269-444D-AE03-E0689DFE137D}"/>
    <cellStyle name="Normal 49 8" xfId="52851" xr:uid="{CFC08D8A-C68D-4A05-9B1D-ED9FF93B821D}"/>
    <cellStyle name="Normal 49 8 2" xfId="52852" xr:uid="{46BFF561-FA02-4547-8FB9-4E12F27B3716}"/>
    <cellStyle name="Normal 49 9" xfId="52854" xr:uid="{26104590-D761-4AEB-A569-B06DA3D80866}"/>
    <cellStyle name="Normal 490" xfId="50659" xr:uid="{B6A5BA82-5374-4F9D-A361-4F17F68EB249}"/>
    <cellStyle name="Normal 490 2" xfId="50664" xr:uid="{3CD3CA85-AC0A-4F58-9557-F6F07D29D942}"/>
    <cellStyle name="Normal 491" xfId="50671" xr:uid="{F0E2E8F1-E892-4C70-AF10-AB903086D5B8}"/>
    <cellStyle name="Normal 491 2" xfId="50676" xr:uid="{D78E005B-C41B-427B-A15A-C95FA379D56D}"/>
    <cellStyle name="Normal 492" xfId="50682" xr:uid="{81F0D61F-940D-4894-854A-D511AA346DE1}"/>
    <cellStyle name="Normal 492 2" xfId="52515" xr:uid="{16363BEA-516B-4AB7-94B1-01CF88D20879}"/>
    <cellStyle name="Normal 493" xfId="52520" xr:uid="{E09613DC-B306-45E5-99BA-D75FD9294B41}"/>
    <cellStyle name="Normal 493 2" xfId="52525" xr:uid="{3E1867D8-F84F-4FE2-B7DA-FA9A114B59A6}"/>
    <cellStyle name="Normal 494" xfId="52530" xr:uid="{012D67BA-8FC5-4877-A57B-A600280AAADB}"/>
    <cellStyle name="Normal 494 2" xfId="52534" xr:uid="{FB65166A-F2BA-4A92-A14F-B9A278CAD54A}"/>
    <cellStyle name="Normal 495" xfId="52859" xr:uid="{AAAEC0C5-7FFC-4C73-A0FD-A3CA30A32741}"/>
    <cellStyle name="Normal 495 2" xfId="52862" xr:uid="{B6D06604-98A3-4724-B5CD-A123ED1F0502}"/>
    <cellStyle name="Normal 496" xfId="52867" xr:uid="{8702DB8D-13B7-4E77-93ED-09B47DF455CA}"/>
    <cellStyle name="Normal 496 2" xfId="52870" xr:uid="{072E4B9D-0241-44E6-8452-876D63762BC6}"/>
    <cellStyle name="Normal 497" xfId="28499" xr:uid="{1FE4929C-41DB-4FD9-B8D2-08AE822E61B2}"/>
    <cellStyle name="Normal 497 2" xfId="28506" xr:uid="{FCF9146E-F1DB-45D4-BC50-1B8F79AB3E8B}"/>
    <cellStyle name="Normal 498" xfId="13972" xr:uid="{74E9BF5B-1B8C-476D-AEEA-237E290ADC37}"/>
    <cellStyle name="Normal 498 2" xfId="52873" xr:uid="{11DF13DE-F042-4CBF-9A17-F42DDFB544D3}"/>
    <cellStyle name="Normal 499" xfId="9644" xr:uid="{5BF9E747-ABD6-4361-99ED-8DFD9A20BDE7}"/>
    <cellStyle name="Normal 499 2" xfId="52876" xr:uid="{D1DD9398-AF57-4D25-8EBC-3AB00907D81D}"/>
    <cellStyle name="Normal 5" xfId="52877" xr:uid="{9275A85C-0E68-4837-A216-CE6D60840C13}"/>
    <cellStyle name="Normal 5 10" xfId="52878" xr:uid="{5A8BA52F-6716-4E22-BEF6-9C44E4D3AA65}"/>
    <cellStyle name="Normal 5 11" xfId="52879" xr:uid="{C232EFAA-CF28-48B6-A783-FB755796A68B}"/>
    <cellStyle name="Normal 5 12" xfId="52880" xr:uid="{8357103D-6C2E-4166-89F8-64E687F6ED5E}"/>
    <cellStyle name="Normal 5 13" xfId="52881" xr:uid="{462F5043-EA70-4D37-8580-4F9D4E026E06}"/>
    <cellStyle name="Normal 5 14" xfId="52882" xr:uid="{31F77F0F-1ECB-4A77-96EE-403AFA8156AA}"/>
    <cellStyle name="Normal 5 2" xfId="32696" xr:uid="{CE9BD0BB-BDE2-4512-BBD5-FA894C96F989}"/>
    <cellStyle name="Normal 5 2 10" xfId="1476" xr:uid="{F3F8D498-C737-408B-A771-BB9A2A3296D5}"/>
    <cellStyle name="Normal 5 2 11" xfId="1485" xr:uid="{1902494E-D773-4DFD-BCC6-7764641AD7D4}"/>
    <cellStyle name="Normal 5 2 2" xfId="29355" xr:uid="{274D890D-4156-4CA1-A89E-DBBAA0A5A8C3}"/>
    <cellStyle name="Normal 5 2 2 10" xfId="52883" xr:uid="{7E7A1B80-508D-432B-8688-F2283B4729B9}"/>
    <cellStyle name="Normal 5 2 2 2" xfId="11972" xr:uid="{B1667667-80C0-4CC7-99A9-8A7E15403537}"/>
    <cellStyle name="Normal 5 2 2 2 2" xfId="52884" xr:uid="{832B6875-1D64-4386-A75A-FFA516E3D229}"/>
    <cellStyle name="Normal 5 2 2 2 2 2" xfId="52885" xr:uid="{500334EB-0876-4A56-9E49-7ECF0749B55B}"/>
    <cellStyle name="Normal 5 2 2 2 2 2 2" xfId="52886" xr:uid="{AB920897-EA78-403E-82A7-A688B6911838}"/>
    <cellStyle name="Normal 5 2 2 2 2 2 2 2" xfId="52887" xr:uid="{EBE18691-C707-42A6-A07F-38C76B9A35FD}"/>
    <cellStyle name="Normal 5 2 2 2 2 2 3" xfId="52888" xr:uid="{891BA392-3F94-45CB-BA12-9BC1089FCA8C}"/>
    <cellStyle name="Normal 5 2 2 2 2 3" xfId="44076" xr:uid="{89F9DB74-7056-4119-BD3B-6FB75B874500}"/>
    <cellStyle name="Normal 5 2 2 2 2 3 2" xfId="52889" xr:uid="{06BC7A4F-3E9C-4AE5-B13D-022013B28CA5}"/>
    <cellStyle name="Normal 5 2 2 2 2 3 2 2" xfId="52890" xr:uid="{5AAE2EE3-2A99-47CB-B4CD-0708165CBF94}"/>
    <cellStyle name="Normal 5 2 2 2 2 3 3" xfId="52891" xr:uid="{C99D7A93-7D82-4152-88D9-F8417B122252}"/>
    <cellStyle name="Normal 5 2 2 2 2 4" xfId="52892" xr:uid="{1525991F-2D6D-45B1-9A53-E7CAFFC347DB}"/>
    <cellStyle name="Normal 5 2 2 2 2 4 2" xfId="52893" xr:uid="{F7933CA4-CB25-4DF4-BB78-B1ED36AE1411}"/>
    <cellStyle name="Normal 5 2 2 2 2 5" xfId="52894" xr:uid="{6CA235D1-068D-46CB-8677-B88B66B258AD}"/>
    <cellStyle name="Normal 5 2 2 2 3" xfId="52895" xr:uid="{B29C80E6-ECCE-45D1-B31A-6E64BFF20CCE}"/>
    <cellStyle name="Normal 5 2 2 2 3 2" xfId="52896" xr:uid="{30B5C83F-88B3-42D8-B3EB-C00AA234D45D}"/>
    <cellStyle name="Normal 5 2 2 2 3 2 2" xfId="52897" xr:uid="{88B063A0-2811-4B7B-99BD-4A69087ABED9}"/>
    <cellStyle name="Normal 5 2 2 2 3 3" xfId="52898" xr:uid="{636C9EC7-7713-428B-B49C-E63AE08FD600}"/>
    <cellStyle name="Normal 5 2 2 2 4" xfId="52899" xr:uid="{030F3856-26CB-42B4-A4DF-8A0CFC878402}"/>
    <cellStyle name="Normal 5 2 2 2 4 2" xfId="52900" xr:uid="{7DD72B31-AF08-419A-B099-4920F759FC60}"/>
    <cellStyle name="Normal 5 2 2 2 4 2 2" xfId="52901" xr:uid="{384446CB-C1F8-4539-BD15-9C83A7944D8F}"/>
    <cellStyle name="Normal 5 2 2 2 4 3" xfId="52902" xr:uid="{00B61856-682D-4BA5-A06C-EB774D7EFDE5}"/>
    <cellStyle name="Normal 5 2 2 2 5" xfId="52903" xr:uid="{DA63F994-AE77-47C0-ADFF-306026D48CB5}"/>
    <cellStyle name="Normal 5 2 2 2 5 2" xfId="52904" xr:uid="{7CA25A3E-53B3-47F4-9904-090D06F85E12}"/>
    <cellStyle name="Normal 5 2 2 2 6" xfId="52905" xr:uid="{FA8E0736-2C6B-488F-BF34-60BBEBD38944}"/>
    <cellStyle name="Normal 5 2 2 3" xfId="52906" xr:uid="{4E29925E-8111-4E81-839D-A5ACD4799746}"/>
    <cellStyle name="Normal 5 2 2 3 2" xfId="52907" xr:uid="{795863DA-B7C4-4CE0-A963-B681C0CE8EFC}"/>
    <cellStyle name="Normal 5 2 2 3 2 2" xfId="52908" xr:uid="{0A3C4BF0-057E-4B26-805C-9BF79A88831C}"/>
    <cellStyle name="Normal 5 2 2 3 2 2 2" xfId="52909" xr:uid="{AC331792-64E5-4BC9-A4C2-A6809E861DE9}"/>
    <cellStyle name="Normal 5 2 2 3 2 3" xfId="52910" xr:uid="{486D5830-15AE-4158-A085-7A8EE28E7DD6}"/>
    <cellStyle name="Normal 5 2 2 3 3" xfId="52911" xr:uid="{FB5BC8BE-5A05-4204-98E0-A2A4D7F241B1}"/>
    <cellStyle name="Normal 5 2 2 3 3 2" xfId="52912" xr:uid="{B46F6EF0-4F33-4D58-935A-DABF97DD80EA}"/>
    <cellStyle name="Normal 5 2 2 3 3 2 2" xfId="52913" xr:uid="{72DC80DF-FF0D-475B-BEF8-AE7DEB35BD95}"/>
    <cellStyle name="Normal 5 2 2 3 3 3" xfId="52914" xr:uid="{A23BEF31-AEC3-4F0D-8340-F041C8189D87}"/>
    <cellStyle name="Normal 5 2 2 3 4" xfId="52915" xr:uid="{4BD6E63B-D607-43EE-8C48-0FD78187DC4E}"/>
    <cellStyle name="Normal 5 2 2 3 4 2" xfId="52916" xr:uid="{43583E07-82CE-4926-AA2F-878A07DFC6D0}"/>
    <cellStyle name="Normal 5 2 2 3 5" xfId="52917" xr:uid="{3BAE3222-2AE5-41BD-8BBA-1C60DDFDBC9B}"/>
    <cellStyle name="Normal 5 2 2 4" xfId="52918" xr:uid="{781ADD88-8E08-4218-9F4E-6C212C1CC9B8}"/>
    <cellStyle name="Normal 5 2 2 4 2" xfId="52919" xr:uid="{C30292BC-853D-4B8C-9FF7-E90D14850F00}"/>
    <cellStyle name="Normal 5 2 2 4 2 2" xfId="52920" xr:uid="{A1F819F1-4B45-42B9-B259-A37322ED547D}"/>
    <cellStyle name="Normal 5 2 2 4 2 2 2" xfId="52921" xr:uid="{39B068B9-DE10-4C80-A54E-F587BFB26AA5}"/>
    <cellStyle name="Normal 5 2 2 4 2 2 3" xfId="52922" xr:uid="{784D243B-04B0-4D95-8501-B53C13A9D271}"/>
    <cellStyle name="Normal 5 2 2 4 2 3" xfId="52923" xr:uid="{19C77D48-8EB2-494D-B756-66670A82C2CA}"/>
    <cellStyle name="Normal 5 2 2 4 3" xfId="52924" xr:uid="{1590C097-AB50-4CD8-AEE9-0FF98938C56E}"/>
    <cellStyle name="Normal 5 2 2 4 4" xfId="52925" xr:uid="{4987F481-6614-4276-9D64-931D05F084E9}"/>
    <cellStyle name="Normal 5 2 2 4 4 2" xfId="7714" xr:uid="{377A226E-CE39-4B20-989A-06AD31B8A554}"/>
    <cellStyle name="Normal 5 2 2 5" xfId="41264" xr:uid="{BD5BECBA-D724-46DD-937D-EE5EF593C3EF}"/>
    <cellStyle name="Normal 5 2 2 5 2" xfId="41266" xr:uid="{7F435D9C-80A2-4DF0-91FC-2269759A8D15}"/>
    <cellStyle name="Normal 5 2 2 5 2 2" xfId="52926" xr:uid="{C78D388C-1922-4D7D-A63C-2090E5B67C34}"/>
    <cellStyle name="Normal 5 2 2 5 3" xfId="52927" xr:uid="{5217D210-1669-4C88-9E34-6F71930C3FB0}"/>
    <cellStyle name="Normal 5 2 2 6" xfId="5618" xr:uid="{A3F281F6-7724-45A8-B676-0DFAFCE04F47}"/>
    <cellStyle name="Normal 5 2 2 6 2" xfId="4369" xr:uid="{50A3FE32-C64E-4299-A23A-33600D84C5A2}"/>
    <cellStyle name="Normal 5 2 2 7" xfId="5621" xr:uid="{AC64B71D-4DEA-4F1D-BF65-30C22476C629}"/>
    <cellStyle name="Normal 5 2 2 8" xfId="5624" xr:uid="{D81DD484-5DEB-44F1-95A2-9B1D7069446E}"/>
    <cellStyle name="Normal 5 2 2 9" xfId="5626" xr:uid="{5B7BB904-D511-4C24-9BA8-238D676656E4}"/>
    <cellStyle name="Normal 5 2 3" xfId="32699" xr:uid="{D6CDD4EF-31F5-417D-9CF5-215E73A461A9}"/>
    <cellStyle name="Normal 5 2 3 2" xfId="52928" xr:uid="{2F04A155-BFF9-4BA5-8890-A895F791AB12}"/>
    <cellStyle name="Normal 5 2 3 2 2" xfId="52929" xr:uid="{ECBAFDD2-27E2-4017-A346-5AA332ABC403}"/>
    <cellStyle name="Normal 5 2 3 2 2 2" xfId="52930" xr:uid="{1A9CE776-5826-4B6F-BA51-F5314B30736D}"/>
    <cellStyle name="Normal 5 2 3 2 2 2 2" xfId="52931" xr:uid="{D3B6A777-1FB7-464F-ABBB-3F551C0012FA}"/>
    <cellStyle name="Normal 5 2 3 2 2 3" xfId="52932" xr:uid="{1F123CF7-B0A5-4DC4-8B7A-24A85197A22F}"/>
    <cellStyle name="Normal 5 2 3 2 3" xfId="52933" xr:uid="{87A97B18-D37C-46FE-B7D3-23FA8E001F0F}"/>
    <cellStyle name="Normal 5 2 3 2 3 2" xfId="52934" xr:uid="{121885F6-2F73-4E87-8ADE-538F23A9AF46}"/>
    <cellStyle name="Normal 5 2 3 2 3 2 2" xfId="52935" xr:uid="{0F057776-50A6-4290-B8C4-68161D4186EF}"/>
    <cellStyle name="Normal 5 2 3 2 3 3" xfId="52936" xr:uid="{34321496-2FCC-4229-944B-4DE927751A72}"/>
    <cellStyle name="Normal 5 2 3 2 4" xfId="52937" xr:uid="{7D79F8F7-05EF-4DAD-B2AF-5A4FA0075E50}"/>
    <cellStyle name="Normal 5 2 3 2 4 2" xfId="52938" xr:uid="{9A5F5D40-1B3B-477C-97C9-A9F22AB7E5AF}"/>
    <cellStyle name="Normal 5 2 3 2 5" xfId="52939" xr:uid="{A0D6C94B-A7E9-43F8-A4E4-69148501C421}"/>
    <cellStyle name="Normal 5 2 3 3" xfId="52940" xr:uid="{255D99DC-E667-4F60-AE04-E15675EAE087}"/>
    <cellStyle name="Normal 5 2 3 3 2" xfId="52941" xr:uid="{C534D113-BE8F-4E65-81BD-C4E058C3C625}"/>
    <cellStyle name="Normal 5 2 3 3 2 2" xfId="52942" xr:uid="{1AEF18AD-DC68-4D46-8751-302E22CBF906}"/>
    <cellStyle name="Normal 5 2 3 3 3" xfId="52943" xr:uid="{35BDB18C-BE51-47FD-9682-6249969779D6}"/>
    <cellStyle name="Normal 5 2 3 4" xfId="52944" xr:uid="{19C5C59D-3797-408D-856C-4705B9AB45EE}"/>
    <cellStyle name="Normal 5 2 3 4 2" xfId="52945" xr:uid="{2F0BDD93-31F0-42C1-9C3B-4ACAFA6FE620}"/>
    <cellStyle name="Normal 5 2 3 4 2 2" xfId="52946" xr:uid="{A5A167AC-B5F2-434B-AC61-9F6A0CB3A42E}"/>
    <cellStyle name="Normal 5 2 3 4 3" xfId="52947" xr:uid="{88C7D0AF-019A-404C-8409-81FA9BA9F0ED}"/>
    <cellStyle name="Normal 5 2 3 5" xfId="41269" xr:uid="{D7DFBC59-E441-4148-8288-5CCA969C0DE0}"/>
    <cellStyle name="Normal 5 2 3 5 2" xfId="41271" xr:uid="{2A5935A4-CDB2-4FB8-8AE6-91174BAF07BA}"/>
    <cellStyle name="Normal 5 2 3 6" xfId="29" xr:uid="{727EBC9E-3428-4C86-A018-4B41AE698AF8}"/>
    <cellStyle name="Normal 5 2 4" xfId="52948" xr:uid="{E855E880-A480-4EE8-B233-127BAD62F033}"/>
    <cellStyle name="Normal 5 2 4 2" xfId="52949" xr:uid="{50BDD807-F811-4044-8B12-F8F53924BF75}"/>
    <cellStyle name="Normal 5 2 4 2 2" xfId="13463" xr:uid="{8D862794-12C9-4983-931F-C9F65F318EE5}"/>
    <cellStyle name="Normal 5 2 4 2 2 2" xfId="52950" xr:uid="{0D29A072-1968-4C49-BFDC-4B63C4AF63FB}"/>
    <cellStyle name="Normal 5 2 4 2 3" xfId="13481" xr:uid="{FEEB19EB-8025-4443-A01C-8861B8C6828B}"/>
    <cellStyle name="Normal 5 2 4 3" xfId="52951" xr:uid="{E2C8DC29-699F-4041-8836-E368374DCD20}"/>
    <cellStyle name="Normal 5 2 4 3 2" xfId="52952" xr:uid="{A96405A1-5D70-4A65-9350-32926E0ABE61}"/>
    <cellStyle name="Normal 5 2 4 3 2 2" xfId="52953" xr:uid="{11252CFA-5E10-4BD4-8F0D-A42A6BC43280}"/>
    <cellStyle name="Normal 5 2 4 3 3" xfId="13499" xr:uid="{3729530F-434A-44CA-8596-9F82A038D3ED}"/>
    <cellStyle name="Normal 5 2 4 4" xfId="52954" xr:uid="{4335817F-BE8B-4D15-9D4D-3C88A22273D5}"/>
    <cellStyle name="Normal 5 2 4 4 2" xfId="52955" xr:uid="{5742877F-EAFD-4FD9-A025-D11FFEDB9A7D}"/>
    <cellStyle name="Normal 5 2 4 5" xfId="41274" xr:uid="{E1A162EB-5146-42DC-A111-611878FA8686}"/>
    <cellStyle name="Normal 5 2 5" xfId="52956" xr:uid="{DB5FAB3F-39CA-47E7-BCAD-74234A762EDD}"/>
    <cellStyle name="Normal 5 2 5 2" xfId="52957" xr:uid="{92019CBA-EC68-43C5-9B88-1C6BAA68E6A0}"/>
    <cellStyle name="Normal 5 2 5 2 2" xfId="52958" xr:uid="{A802A894-3BC5-48B8-9CC1-6A4D73C69384}"/>
    <cellStyle name="Normal 5 2 5 3" xfId="52959" xr:uid="{9DE3DAE8-198D-4680-A2CF-D855685068B5}"/>
    <cellStyle name="Normal 5 2 6" xfId="52960" xr:uid="{55F67C76-1E0A-4A74-8A07-2A872DF3F16E}"/>
    <cellStyle name="Normal 5 2 6 2" xfId="52961" xr:uid="{2EB36B6F-3D83-459B-8ED6-6C492DDF9530}"/>
    <cellStyle name="Normal 5 2 6 2 2" xfId="52962" xr:uid="{78BF5042-E125-4BF6-AA05-55E06CBE34CE}"/>
    <cellStyle name="Normal 5 2 6 3" xfId="52963" xr:uid="{4D135BB4-232C-4D77-BD90-F4C83F9024BF}"/>
    <cellStyle name="Normal 5 2 7" xfId="52964" xr:uid="{274C5F43-34AA-4290-9B52-B9E59F4EB950}"/>
    <cellStyle name="Normal 5 2 7 2" xfId="52965" xr:uid="{22EB416C-54C8-49CB-B8EC-99A545842310}"/>
    <cellStyle name="Normal 5 2 8" xfId="52966" xr:uid="{87FA9E6B-E844-4BCC-B4EE-55C862285B18}"/>
    <cellStyle name="Normal 5 2 9" xfId="52967" xr:uid="{1F2F0BAF-02A5-465F-B41A-66A937BFC23F}"/>
    <cellStyle name="Normal 5 3" xfId="30401" xr:uid="{1C3148DB-A117-4DAE-988A-6416E2B68D2D}"/>
    <cellStyle name="Normal 5 3 10" xfId="52968" xr:uid="{9D066086-5BBA-4FA9-82F3-E67320A45D6E}"/>
    <cellStyle name="Normal 5 3 2" xfId="9750" xr:uid="{8B0DCC48-1778-4313-92BC-64D499F855B7}"/>
    <cellStyle name="Normal 5 3 2 2" xfId="14803" xr:uid="{553084BE-0E9C-4294-82E3-AE27B8E2FA4D}"/>
    <cellStyle name="Normal 5 3 2 2 2" xfId="52969" xr:uid="{84BFB14F-4084-4E73-B8D3-D0FE93620D43}"/>
    <cellStyle name="Normal 5 3 2 2 2 2" xfId="52970" xr:uid="{3EDC5D0E-E6C3-4F15-BA54-F87D44FF5F3B}"/>
    <cellStyle name="Normal 5 3 2 2 2 2 2" xfId="52971" xr:uid="{EB061789-E06D-471D-8050-6BF6440E821E}"/>
    <cellStyle name="Normal 5 3 2 2 2 3" xfId="52972" xr:uid="{EDDCB118-F7C8-4A2B-AB0B-45DD21FEB33D}"/>
    <cellStyle name="Normal 5 3 2 2 3" xfId="52973" xr:uid="{84D3F3ED-2022-4587-AA82-55FE9E4C230F}"/>
    <cellStyle name="Normal 5 3 2 2 3 2" xfId="52974" xr:uid="{B082D6F9-782E-4494-A098-3AD581091D9A}"/>
    <cellStyle name="Normal 5 3 2 2 3 2 2" xfId="52975" xr:uid="{5EEDD26F-6F70-4483-86F7-656877538057}"/>
    <cellStyle name="Normal 5 3 2 2 3 3" xfId="52976" xr:uid="{5F402CCC-81B7-41ED-A4F3-25DFF7729374}"/>
    <cellStyle name="Normal 5 3 2 2 4" xfId="52977" xr:uid="{38E4AFAB-5BBE-43A6-B66A-B0E7E69B2DE4}"/>
    <cellStyle name="Normal 5 3 2 2 4 2" xfId="52978" xr:uid="{F5C00412-10B0-49DF-9A17-348A8EF845C1}"/>
    <cellStyle name="Normal 5 3 2 2 5" xfId="43973" xr:uid="{285AAB3D-3180-4543-9993-AD3A4C5DAD66}"/>
    <cellStyle name="Normal 5 3 2 3" xfId="52979" xr:uid="{A532D660-795E-47B7-8A7C-1F50CF771FB4}"/>
    <cellStyle name="Normal 5 3 2 3 2" xfId="52980" xr:uid="{E2845961-074E-49A3-A965-BA22D40DE7F3}"/>
    <cellStyle name="Normal 5 3 2 3 2 2" xfId="52981" xr:uid="{088D2805-8211-4A97-BBD4-BBFCC4525322}"/>
    <cellStyle name="Normal 5 3 2 3 3" xfId="52982" xr:uid="{30054B9D-20C7-4B82-8EE5-FDBB3A804105}"/>
    <cellStyle name="Normal 5 3 2 4" xfId="52983" xr:uid="{D586DA73-BEEF-4A70-83F0-76E810DC140A}"/>
    <cellStyle name="Normal 5 3 2 4 2" xfId="52984" xr:uid="{4379A9E8-D247-4B93-BF0A-07CB69A28934}"/>
    <cellStyle name="Normal 5 3 2 4 2 2" xfId="52985" xr:uid="{0CBE3325-9355-4984-8DF0-EB87339A4BA8}"/>
    <cellStyle name="Normal 5 3 2 4 3" xfId="14871" xr:uid="{5F84BED6-BCF6-45D8-B9C4-E4B6455BD11E}"/>
    <cellStyle name="Normal 5 3 2 5" xfId="41278" xr:uid="{8E646837-1F13-440F-971E-4BB7DE6EB97C}"/>
    <cellStyle name="Normal 5 3 2 5 2" xfId="52986" xr:uid="{D6C084A8-FE0E-43A0-BB00-507DB4212C0C}"/>
    <cellStyle name="Normal 5 3 2 6" xfId="5658" xr:uid="{9AFF2E88-7609-4304-9AA6-9079CE85EFAF}"/>
    <cellStyle name="Normal 5 3 3" xfId="30405" xr:uid="{5B969C2A-4D4C-4345-877D-EF627F5E607E}"/>
    <cellStyle name="Normal 5 3 3 2" xfId="52987" xr:uid="{1C6DBAC3-3C8F-482D-A193-23705838EDBE}"/>
    <cellStyle name="Normal 5 3 3 2 2" xfId="52988" xr:uid="{D8CBF554-EBA6-4186-8F6C-AC9C0D32F6B2}"/>
    <cellStyle name="Normal 5 3 3 2 2 2" xfId="52989" xr:uid="{07D0C003-0636-4438-9B12-075FE65C73B8}"/>
    <cellStyle name="Normal 5 3 3 2 3" xfId="52990" xr:uid="{8BA9987B-4D80-470B-95EE-304CC78A23B7}"/>
    <cellStyle name="Normal 5 3 3 3" xfId="52991" xr:uid="{8DEEC66F-2DA4-489D-A448-128CBAAAE077}"/>
    <cellStyle name="Normal 5 3 3 3 2" xfId="52992" xr:uid="{C7430E84-B059-4F04-B149-3A9EB50F6C67}"/>
    <cellStyle name="Normal 5 3 3 3 2 2" xfId="52993" xr:uid="{ED6C0F19-B1EE-465A-A0BC-A9AC35DA63EF}"/>
    <cellStyle name="Normal 5 3 3 3 3" xfId="52994" xr:uid="{1719FEE2-39A8-4FBA-BC4F-A71B687F29A1}"/>
    <cellStyle name="Normal 5 3 3 4" xfId="52995" xr:uid="{D1BB03C0-6A9B-4CBE-88A2-9DF2E9FA1CDB}"/>
    <cellStyle name="Normal 5 3 3 4 2" xfId="52996" xr:uid="{9D4F5587-FD88-4AF4-9C8B-0BE82980EEE9}"/>
    <cellStyle name="Normal 5 3 3 5" xfId="52997" xr:uid="{06DC0154-2DA8-4BFB-A7DF-1A3F4829538F}"/>
    <cellStyle name="Normal 5 3 4" xfId="52998" xr:uid="{A48C6ED0-0326-423A-B222-34DA7CBFD166}"/>
    <cellStyle name="Normal 5 3 4 2" xfId="52999" xr:uid="{9E6DD78A-1B19-42E3-8857-BF04B9785FC2}"/>
    <cellStyle name="Normal 5 3 4 2 2" xfId="53000" xr:uid="{AD5340F5-2643-4257-8A57-23468806A264}"/>
    <cellStyle name="Normal 5 3 4 3" xfId="53001" xr:uid="{E06DA992-13A0-4F54-9A8F-4132A0DDAF44}"/>
    <cellStyle name="Normal 5 3 5" xfId="53002" xr:uid="{2AC01B67-F260-4643-AE40-E87A2A2155D7}"/>
    <cellStyle name="Normal 5 3 5 2" xfId="53003" xr:uid="{25AF01B4-79EA-4EE0-8CD4-C6DF9696D641}"/>
    <cellStyle name="Normal 5 3 5 2 2" xfId="53004" xr:uid="{0B9C5588-D07B-445F-8B14-0DB8A6E1F70E}"/>
    <cellStyle name="Normal 5 3 5 3" xfId="53005" xr:uid="{2C068EB0-1686-4734-867B-4E2B37F8A63D}"/>
    <cellStyle name="Normal 5 3 6" xfId="53006" xr:uid="{9BF8A872-6BEE-44BA-8265-4F4B8ED98067}"/>
    <cellStyle name="Normal 5 3 6 2" xfId="53007" xr:uid="{294A397A-80CE-41EF-A337-FE4815931F21}"/>
    <cellStyle name="Normal 5 3 7" xfId="53008" xr:uid="{13B476FD-36D1-4CB8-964E-5A0F4F9B2016}"/>
    <cellStyle name="Normal 5 3 8" xfId="53009" xr:uid="{37A08A45-1A04-4932-AA6E-5AD13FFA3B1D}"/>
    <cellStyle name="Normal 5 3 9" xfId="53010" xr:uid="{7C6C1C03-5E52-47B0-85B0-8072505C242F}"/>
    <cellStyle name="Normal 5 4" xfId="28850" xr:uid="{5AE7EB38-196A-48C7-B807-CC2131EAD60C}"/>
    <cellStyle name="Normal 5 4 2" xfId="30409" xr:uid="{26D11517-6C0E-4F49-ACF9-874373A2C656}"/>
    <cellStyle name="Normal 5 4 2 2" xfId="30414" xr:uid="{7C45F103-3174-447B-A017-CC6C6005B674}"/>
    <cellStyle name="Normal 5 4 2 2 2" xfId="53011" xr:uid="{292CA818-1673-4BE6-920D-A798294EFF92}"/>
    <cellStyle name="Normal 5 4 2 2 2 2" xfId="53012" xr:uid="{7FD915C6-D29B-447E-A32D-6590E7EC01FD}"/>
    <cellStyle name="Normal 5 4 2 2 3" xfId="53013" xr:uid="{8B5F29ED-BFF0-4D58-B2C8-1540597E61BE}"/>
    <cellStyle name="Normal 5 4 2 3" xfId="53014" xr:uid="{C1B3A6EB-E7C0-4626-ADBD-274080617773}"/>
    <cellStyle name="Normal 5 4 2 3 2" xfId="53015" xr:uid="{92B87B34-D2BA-45A7-BBC8-6E547ED1FD2C}"/>
    <cellStyle name="Normal 5 4 2 3 2 2" xfId="53016" xr:uid="{3BF46B07-521B-4593-A48D-C8A8040C3631}"/>
    <cellStyle name="Normal 5 4 2 3 3" xfId="53017" xr:uid="{4C57C27B-3CA9-4F99-9A2C-1F60C29CAF8F}"/>
    <cellStyle name="Normal 5 4 2 4" xfId="53018" xr:uid="{EBE001E5-670A-46BE-9077-CF162A41CBF5}"/>
    <cellStyle name="Normal 5 4 2 4 2" xfId="53019" xr:uid="{513B7DBA-1864-4A25-9550-1C3827A3511C}"/>
    <cellStyle name="Normal 5 4 2 5" xfId="41283" xr:uid="{530A2B12-B7A4-4427-9EF8-52809C51C1A7}"/>
    <cellStyle name="Normal 5 4 3" xfId="30419" xr:uid="{F3983305-335E-4BCF-AF7D-CDB14866083E}"/>
    <cellStyle name="Normal 5 4 3 2" xfId="53020" xr:uid="{45EB1BB0-5265-4115-B1C8-FA3898810791}"/>
    <cellStyle name="Normal 5 4 3 2 2" xfId="53021" xr:uid="{DDA6638D-ECBB-4F75-8CFD-3D2BAC88DBFF}"/>
    <cellStyle name="Normal 5 4 3 3" xfId="53022" xr:uid="{F50E4C49-574F-4548-A8FA-A1753038CDD0}"/>
    <cellStyle name="Normal 5 4 4" xfId="53023" xr:uid="{72B3E532-31BA-4E7E-9943-BD44E0BD13A6}"/>
    <cellStyle name="Normal 5 4 4 2" xfId="53024" xr:uid="{5E42B53E-27F7-4768-AB53-D5A663F1722D}"/>
    <cellStyle name="Normal 5 4 4 2 2" xfId="53025" xr:uid="{E5746254-4766-4B06-9518-C4B12DF005D5}"/>
    <cellStyle name="Normal 5 4 4 3" xfId="53026" xr:uid="{E6A06823-69C7-47F5-97E0-42D879180025}"/>
    <cellStyle name="Normal 5 4 5" xfId="53027" xr:uid="{2DD5FB2D-D8CE-4B72-9638-1C66AB355822}"/>
    <cellStyle name="Normal 5 4 5 2" xfId="53028" xr:uid="{B0756467-6347-4B0B-AF67-9E47CC5B1C61}"/>
    <cellStyle name="Normal 5 4 6" xfId="53029" xr:uid="{1BC92A8F-FD5D-403A-BD4F-A71D2C524C2C}"/>
    <cellStyle name="Normal 5 4 7" xfId="53030" xr:uid="{16D6C883-B144-4993-A5B1-594431373474}"/>
    <cellStyle name="Normal 5 5" xfId="30424" xr:uid="{EAD7BFE4-A8AF-43EA-A25B-103CB2168948}"/>
    <cellStyle name="Normal 5 5 2" xfId="30429" xr:uid="{990F9C3C-E77C-4A79-94C9-8DC929F7AF28}"/>
    <cellStyle name="Normal 5 5 2 2" xfId="16016" xr:uid="{1F314D17-C1C3-4B07-A125-27172C4B225A}"/>
    <cellStyle name="Normal 5 5 2 2 2" xfId="53031" xr:uid="{D61446AA-36A5-4D28-961B-E097D9060AA7}"/>
    <cellStyle name="Normal 5 5 2 3" xfId="53032" xr:uid="{DCA5716A-A63B-446E-9E9C-7BAEB94395F6}"/>
    <cellStyle name="Normal 5 5 3" xfId="32743" xr:uid="{9993D2C0-3329-4A8B-A05D-361790056F21}"/>
    <cellStyle name="Normal 5 5 3 2" xfId="53033" xr:uid="{BE851435-7E4F-4B36-ADAD-B6C5CFE6BE88}"/>
    <cellStyle name="Normal 5 5 3 2 2" xfId="53034" xr:uid="{E7B6039D-CE3F-4CC2-87E9-65C61650D44F}"/>
    <cellStyle name="Normal 5 5 3 3" xfId="53035" xr:uid="{CE7152EA-6302-410D-AAC0-7B0CBF20D296}"/>
    <cellStyle name="Normal 5 5 4" xfId="53036" xr:uid="{E395D807-17BD-4059-99B6-B22366EE3C02}"/>
    <cellStyle name="Normal 5 5 4 2" xfId="53037" xr:uid="{5A95F0D3-5D0B-42A8-A11F-697F628146E3}"/>
    <cellStyle name="Normal 5 5 5" xfId="53038" xr:uid="{08B43DD8-4AA9-494F-B295-423FE9353965}"/>
    <cellStyle name="Normal 5 6" xfId="29720" xr:uid="{44F93DA2-15E3-44BA-940A-A108F0B7F9BF}"/>
    <cellStyle name="Normal 5 6 2" xfId="29726" xr:uid="{D05199B9-CFBE-4D56-8ACA-B5996B56A173}"/>
    <cellStyle name="Normal 5 6 2 2" xfId="16495" xr:uid="{C71A5B94-ADD1-4B67-A1B0-67F51B4AA572}"/>
    <cellStyle name="Normal 5 6 3" xfId="32747" xr:uid="{69347CFA-6D9D-401B-885B-F6C48BCD2E68}"/>
    <cellStyle name="Normal 5 7" xfId="29731" xr:uid="{252AB161-72D1-47BE-B8FA-42138981DAA4}"/>
    <cellStyle name="Normal 5 7 2" xfId="31046" xr:uid="{059593F0-BFE8-4A2B-94A0-723E3CC672F4}"/>
    <cellStyle name="Normal 5 7 2 2" xfId="16855" xr:uid="{A6546B53-6631-4A29-B02D-C00E7075963B}"/>
    <cellStyle name="Normal 5 7 3" xfId="32751" xr:uid="{220152AA-AD06-4C9E-B10A-234D54441A50}"/>
    <cellStyle name="Normal 5 8" xfId="31051" xr:uid="{833128E2-116D-4F5B-A98E-46CCE7B0C5B5}"/>
    <cellStyle name="Normal 5 8 2" xfId="32755" xr:uid="{31D630E8-CD63-4494-A180-AA83AAFB60AF}"/>
    <cellStyle name="Normal 5 9" xfId="32764" xr:uid="{54FB725A-59BC-495E-BC17-328C4155C11F}"/>
    <cellStyle name="Normal 5 9 2" xfId="32768" xr:uid="{5BDC395B-F5B0-4D03-8554-44B3036593F9}"/>
    <cellStyle name="Normal 5_Indeks-Q209-Data Bersih-Maklumat&amp;Komunikasi - cari 15d" xfId="53039" xr:uid="{E311248C-4932-431E-9697-E272A9734E0F}"/>
    <cellStyle name="Normal 50" xfId="51036" xr:uid="{B58637E2-E811-4060-AE75-AAB6EAB5DAE7}"/>
    <cellStyle name="Normal 50 2" xfId="48082" xr:uid="{1641B402-2374-4545-829E-54028DB092FC}"/>
    <cellStyle name="Normal 50 2 2" xfId="49075" xr:uid="{A59D563B-DBB9-49BD-9B53-A506D7CD5D0C}"/>
    <cellStyle name="Normal 50 2 2 2" xfId="51045" xr:uid="{FDE0A9F3-01AF-49DC-B0AC-1E8B0BC633FB}"/>
    <cellStyle name="Normal 50 2 3" xfId="51159" xr:uid="{10F54476-28EC-4D32-8EFB-1AA96DD0E954}"/>
    <cellStyle name="Normal 50 3" xfId="49078" xr:uid="{3D6771C0-3EF1-4590-8774-00939E06471A}"/>
    <cellStyle name="Normal 50 4" xfId="51397" xr:uid="{B4DD5A57-A5CD-4A8C-B6B9-631031A55AEF}"/>
    <cellStyle name="Normal 500" xfId="49761" xr:uid="{2E838689-F241-4459-9BE1-C0AFCC04DC61}"/>
    <cellStyle name="Normal 500 2" xfId="49766" xr:uid="{49B9BA2C-F4A5-4061-B322-83C7074E5E68}"/>
    <cellStyle name="Normal 501" xfId="49771" xr:uid="{7636C24C-3860-492D-A1AE-805C5816F98C}"/>
    <cellStyle name="Normal 501 2" xfId="49776" xr:uid="{049C54E1-9501-4C00-A042-8B6F0928DD80}"/>
    <cellStyle name="Normal 502" xfId="28474" xr:uid="{0644396A-ED1C-4B5F-BA5D-B222A54B16A0}"/>
    <cellStyle name="Normal 502 2" xfId="28481" xr:uid="{D64819C7-6872-43FB-A12A-34B824E2808C}"/>
    <cellStyle name="Normal 503" xfId="13941" xr:uid="{D5E63B44-D670-4D5C-9794-D9C099349425}"/>
    <cellStyle name="Normal 503 2" xfId="13950" xr:uid="{0076D129-5621-4519-9764-13626764E1AD}"/>
    <cellStyle name="Normal 504" xfId="9622" xr:uid="{7696B214-0843-4888-9D3D-36684181462A}"/>
    <cellStyle name="Normal 504 2" xfId="7661" xr:uid="{C972C6B4-1649-45C4-8B4E-0AE92E0598BB}"/>
    <cellStyle name="Normal 505" xfId="9631" xr:uid="{1110BD04-2326-4D2B-8954-EC961B0131E4}"/>
    <cellStyle name="Normal 505 2" xfId="45410" xr:uid="{A2E2B18C-47F5-4E7F-93D9-5E63866E8930}"/>
    <cellStyle name="Normal 506" xfId="51425" xr:uid="{F0C8C651-45C2-4B9C-8B52-1548E81F5880}"/>
    <cellStyle name="Normal 506 2" xfId="45454" xr:uid="{DC5E334E-0D6A-41FF-B91A-D44F3BD8DE6A}"/>
    <cellStyle name="Normal 507" xfId="51429" xr:uid="{A5EE9250-F9FE-4C78-89EC-43074C818D4E}"/>
    <cellStyle name="Normal 507 2" xfId="45477" xr:uid="{415E53AC-46B7-470A-87B8-F09479F171DC}"/>
    <cellStyle name="Normal 508" xfId="51433" xr:uid="{298A2EF6-DF5B-4BBC-B402-9748C33358FB}"/>
    <cellStyle name="Normal 508 2" xfId="51437" xr:uid="{1973942C-D60F-43B8-964F-3E0C998D4AA0}"/>
    <cellStyle name="Normal 509" xfId="51441" xr:uid="{D594E77F-A077-4BFD-A5E2-A898947E5A4F}"/>
    <cellStyle name="Normal 509 2" xfId="51445" xr:uid="{8F027161-177B-4606-B712-265182DDE2CA}"/>
    <cellStyle name="Normal 51" xfId="51448" xr:uid="{93237718-7512-461A-83AF-5332EE19F396}"/>
    <cellStyle name="Normal 51 2" xfId="49084" xr:uid="{249CA01A-D6BD-4E28-9A25-0BC6235C527F}"/>
    <cellStyle name="Normal 51 2 2" xfId="51456" xr:uid="{ED9F696E-2C67-45A7-A58D-C17220044AD8}"/>
    <cellStyle name="Normal 51 2 2 2" xfId="54203" xr:uid="{52AE3F46-6D04-4A9D-B4D0-4989943924FE}"/>
    <cellStyle name="Normal 51 2 3" xfId="54202" xr:uid="{E91D92AF-FBBF-467C-9885-ADFAB76C2F5D}"/>
    <cellStyle name="Normal 51 3" xfId="51692" xr:uid="{9C86E5C2-99EC-409B-A176-C8EBCEB91758}"/>
    <cellStyle name="Normal 51 4" xfId="51792" xr:uid="{EDF9009B-C414-46AE-950D-7846F1F525C6}"/>
    <cellStyle name="Normal 510" xfId="9630" xr:uid="{70050E5C-BBBB-49E4-8EB9-B909A66C037E}"/>
    <cellStyle name="Normal 510 2" xfId="45409" xr:uid="{E097B753-A287-416A-AA1C-529709BAE73E}"/>
    <cellStyle name="Normal 511" xfId="51424" xr:uid="{B78B27D4-A6DC-444C-AB64-C6ECDD99E4D7}"/>
    <cellStyle name="Normal 511 2" xfId="45453" xr:uid="{1835A04F-7829-4F05-997D-FD2AB6255200}"/>
    <cellStyle name="Normal 512" xfId="51428" xr:uid="{812E27AC-D6FE-4C7D-B37A-F94D9C45D02B}"/>
    <cellStyle name="Normal 512 2" xfId="45476" xr:uid="{BB2C20E2-9D45-462F-889C-9C8F9C2AF738}"/>
    <cellStyle name="Normal 513" xfId="51432" xr:uid="{D360A949-BC22-4B9F-A66B-7FEA7A2963BD}"/>
    <cellStyle name="Normal 513 2" xfId="51436" xr:uid="{317C06F5-9111-42A1-B3D8-1DCB524E6140}"/>
    <cellStyle name="Normal 514" xfId="51440" xr:uid="{8B074357-81ED-42D4-98D1-CEAED8592AB6}"/>
    <cellStyle name="Normal 514 2" xfId="51444" xr:uid="{06200C81-62F8-46E2-BD75-2525F2721DC6}"/>
    <cellStyle name="Normal 515" xfId="51860" xr:uid="{ECA08857-1FE7-475A-9F7E-A030F688BD66}"/>
    <cellStyle name="Normal 515 2" xfId="51864" xr:uid="{F7C7BD9A-EF0B-4B5B-9533-1F726AC76097}"/>
    <cellStyle name="Normal 516" xfId="51868" xr:uid="{088392E9-42AB-4B70-9E7E-257250E59747}"/>
    <cellStyle name="Normal 516 2" xfId="51872" xr:uid="{5D13D39B-2A64-414A-B53E-0BFC8C22B17A}"/>
    <cellStyle name="Normal 517" xfId="51876" xr:uid="{B88036E3-D2AA-4206-973C-63691BE6A6F6}"/>
    <cellStyle name="Normal 517 2" xfId="51880" xr:uid="{4E64F577-D076-484A-BF3D-3B69668FF768}"/>
    <cellStyle name="Normal 518" xfId="51884" xr:uid="{8CE33879-7ABD-4613-B5BB-AEBE5E82A36B}"/>
    <cellStyle name="Normal 518 2" xfId="51888" xr:uid="{2A52BEE1-B703-4A22-A027-FCA288BCF9A3}"/>
    <cellStyle name="Normal 519" xfId="51892" xr:uid="{422DF266-A66E-45A9-B899-3523EA1F3FEE}"/>
    <cellStyle name="Normal 519 2" xfId="51896" xr:uid="{B9978D15-F8BA-4970-9A9C-A2D8ECA11F22}"/>
    <cellStyle name="Normal 52" xfId="51899" xr:uid="{96FF3B09-10D4-4C2E-966B-46452C9E80E0}"/>
    <cellStyle name="Normal 52 10" xfId="51901" xr:uid="{BFDD6F40-925C-4501-B41C-D977D7EB6F07}"/>
    <cellStyle name="Normal 52 2" xfId="51905" xr:uid="{5DF14DAC-FF3A-422D-8A8A-2F1FBEF0FD4B}"/>
    <cellStyle name="Normal 52 2 2" xfId="51909" xr:uid="{D6DCFBE5-5BD1-4ADA-ABF3-70BF8E2B48A2}"/>
    <cellStyle name="Normal 52 2 2 2" xfId="51911" xr:uid="{E38894CC-C207-4118-94B5-66189B896F5C}"/>
    <cellStyle name="Normal 52 2 2 2 2" xfId="51913" xr:uid="{F482D502-929C-45D8-AE26-CCF979B4ED58}"/>
    <cellStyle name="Normal 52 2 2 2 2 2" xfId="51915" xr:uid="{1D1C996D-7AC5-4DC3-8A4A-F80B361841C0}"/>
    <cellStyle name="Normal 52 2 2 2 2 2 2" xfId="51917" xr:uid="{A5134B9B-C503-456F-B3E7-E75BBD0EA753}"/>
    <cellStyle name="Normal 52 2 2 2 2 2 2 2" xfId="51919" xr:uid="{4069EA5C-578F-4B2A-AB31-728BCFA24542}"/>
    <cellStyle name="Normal 52 2 2 2 2 2 3" xfId="51926" xr:uid="{D28DFF23-9832-4845-83E0-703AB0506DA5}"/>
    <cellStyle name="Normal 52 2 2 2 2 3" xfId="51934" xr:uid="{34D77677-FC1E-4F7B-940F-E3EE5817C44B}"/>
    <cellStyle name="Normal 52 2 2 2 2 3 2" xfId="51936" xr:uid="{2F8373CC-0EC4-4AAB-8003-46AB97CA8699}"/>
    <cellStyle name="Normal 52 2 2 2 2 4" xfId="51944" xr:uid="{6984D159-DE7F-47A7-9A6B-7892B058CB78}"/>
    <cellStyle name="Normal 52 2 2 2 3" xfId="51953" xr:uid="{BCE0EB57-DD4D-49A5-A9D2-E3DD38D1A809}"/>
    <cellStyle name="Normal 52 2 2 2 3 2" xfId="51955" xr:uid="{C47C10B2-64F7-4D38-878C-1F2132DCD3A1}"/>
    <cellStyle name="Normal 52 2 2 2 3 2 2" xfId="51957" xr:uid="{CE289C2A-1A51-4D78-B55B-12D749B4462C}"/>
    <cellStyle name="Normal 52 2 2 2 3 3" xfId="51965" xr:uid="{22D7E289-996B-4A76-B9D7-516EC5E24318}"/>
    <cellStyle name="Normal 52 2 2 2 4" xfId="51973" xr:uid="{BA10D04F-F44C-427C-8BBD-6620BCE8200F}"/>
    <cellStyle name="Normal 52 2 2 2 4 2" xfId="51975" xr:uid="{6B635279-F344-46F2-B5DF-0DF6AF7C9D02}"/>
    <cellStyle name="Normal 52 2 2 2 5" xfId="51983" xr:uid="{B70E001D-3A62-4C14-A36D-A13D37D1CE00}"/>
    <cellStyle name="Normal 52 2 2 3" xfId="51992" xr:uid="{45C49710-1578-41BB-A8D4-157CD4D41A7D}"/>
    <cellStyle name="Normal 52 2 2 3 2" xfId="51994" xr:uid="{FA3CB7FC-4200-498C-9A9B-B8E2626DB0E1}"/>
    <cellStyle name="Normal 52 2 2 3 2 2" xfId="51996" xr:uid="{59890A42-CB8A-4582-94FE-33E76C929224}"/>
    <cellStyle name="Normal 52 2 2 3 2 2 2" xfId="51998" xr:uid="{1DC3693F-29A9-4A07-A34F-0BC910F9FD24}"/>
    <cellStyle name="Normal 52 2 2 3 2 3" xfId="52006" xr:uid="{50F1F495-7883-45F0-B61C-9BD7A662D381}"/>
    <cellStyle name="Normal 52 2 2 3 3" xfId="52014" xr:uid="{26D1EE47-F774-4CEA-B9E1-5489BF9B4A18}"/>
    <cellStyle name="Normal 52 2 2 3 3 2" xfId="52016" xr:uid="{12685C78-80FE-49F1-B51C-E1E54A7B9265}"/>
    <cellStyle name="Normal 52 2 2 3 4" xfId="52024" xr:uid="{02486479-D6E5-4CA3-AF98-D16D45E6E72E}"/>
    <cellStyle name="Normal 52 2 2 4" xfId="52033" xr:uid="{4C335849-5D4D-493F-8B68-198607CC4066}"/>
    <cellStyle name="Normal 52 2 2 4 2" xfId="52035" xr:uid="{AD9F2041-EFEE-4F0E-8830-388F85539194}"/>
    <cellStyle name="Normal 52 2 2 4 2 2" xfId="52037" xr:uid="{BFACBA82-3E7A-4435-B391-EF60E88BBC3E}"/>
    <cellStyle name="Normal 52 2 2 4 3" xfId="52045" xr:uid="{C82557E7-D16C-4E5D-99F2-D0167AE3D09F}"/>
    <cellStyle name="Normal 52 2 2 5" xfId="52053" xr:uid="{272A9456-4593-4591-8F6C-D70FE8E8B3B3}"/>
    <cellStyle name="Normal 52 2 2 5 2" xfId="52055" xr:uid="{E7EF4355-F8E6-49C8-94ED-224B3B285C93}"/>
    <cellStyle name="Normal 52 2 2 6" xfId="52063" xr:uid="{7FC0F9C7-B8F0-446B-9D79-208F0DD2F0E1}"/>
    <cellStyle name="Normal 52 2 2 7" xfId="52068" xr:uid="{B8CE4270-42CD-4547-9B50-C8CC9D4BA45A}"/>
    <cellStyle name="Normal 52 2 2 8" xfId="52071" xr:uid="{5C34B35F-E8CA-422E-89F8-E8BEB091D048}"/>
    <cellStyle name="Normal 52 2 3" xfId="52074" xr:uid="{8306F16C-95F0-4469-8A63-5AAD068AE9A7}"/>
    <cellStyle name="Normal 52 2 3 2" xfId="52076" xr:uid="{C3DCBA93-FB20-4E45-9E2F-70DF2B7D942A}"/>
    <cellStyle name="Normal 52 2 3 2 2" xfId="52078" xr:uid="{51657A40-F18B-40E7-AB30-9372CADEED79}"/>
    <cellStyle name="Normal 52 2 3 2 2 2" xfId="52080" xr:uid="{4A59A94D-2EDA-4DF5-8EF3-9D6DFCF1CC13}"/>
    <cellStyle name="Normal 52 2 3 2 2 2 2" xfId="52082" xr:uid="{05D67BF6-DF22-41D3-BEB6-0D830307960F}"/>
    <cellStyle name="Normal 52 2 3 2 2 3" xfId="52088" xr:uid="{E90646C8-967F-4923-9E87-769A32959D4B}"/>
    <cellStyle name="Normal 52 2 3 2 3" xfId="52096" xr:uid="{FF32BA2F-C21E-48D4-BE60-E8FB5009B613}"/>
    <cellStyle name="Normal 52 2 3 2 3 2" xfId="52098" xr:uid="{350A303E-2B6A-478C-9DA0-F4865E21E9D9}"/>
    <cellStyle name="Normal 52 2 3 2 4" xfId="52106" xr:uid="{F771B0B6-16F8-48A4-8B6A-E4CE5A56B110}"/>
    <cellStyle name="Normal 52 2 3 3" xfId="52115" xr:uid="{BA4FB46D-6D35-469A-A34F-4B31A257ABE9}"/>
    <cellStyle name="Normal 52 2 3 3 2" xfId="52117" xr:uid="{A11E6B7F-CF68-42B2-9B43-D45193C6AAE2}"/>
    <cellStyle name="Normal 52 2 3 3 2 2" xfId="22103" xr:uid="{9AB450C4-37A2-46E8-9719-EDB0DC6DBFB5}"/>
    <cellStyle name="Normal 52 2 3 3 3" xfId="52125" xr:uid="{95F7F25F-1E05-4DD0-BFC8-97AAB4FB3E60}"/>
    <cellStyle name="Normal 52 2 3 4" xfId="52133" xr:uid="{3FF41E66-D596-4F5F-944B-7A1906B8E507}"/>
    <cellStyle name="Normal 52 2 3 4 2" xfId="52135" xr:uid="{22D1FC7A-AC73-4C66-9E4C-A472B34D18BD}"/>
    <cellStyle name="Normal 52 2 3 5" xfId="52143" xr:uid="{EBDEA0B2-E840-4413-8AA2-A36245788751}"/>
    <cellStyle name="Normal 52 2 4" xfId="52152" xr:uid="{58547E07-12DF-438F-B02D-6EE35F5708F4}"/>
    <cellStyle name="Normal 52 2 4 2" xfId="52154" xr:uid="{A91AB074-9847-452D-A77E-3315736F8673}"/>
    <cellStyle name="Normal 52 2 4 2 2" xfId="52156" xr:uid="{30052DC1-719B-499A-A8E4-5B96EFEF1064}"/>
    <cellStyle name="Normal 52 2 4 2 2 2" xfId="52158" xr:uid="{1CDE610C-A2E9-4AC2-9652-BD567C4C5D69}"/>
    <cellStyle name="Normal 52 2 4 2 3" xfId="52166" xr:uid="{85E02B8A-9D47-48CE-AE34-0FA560659645}"/>
    <cellStyle name="Normal 52 2 4 3" xfId="52174" xr:uid="{458D59CF-AC28-47A8-B09C-EBF7B2E19C24}"/>
    <cellStyle name="Normal 52 2 4 3 2" xfId="52176" xr:uid="{623D8BA9-A1D7-4D3C-9DD8-083CC82D973E}"/>
    <cellStyle name="Normal 52 2 4 4" xfId="52184" xr:uid="{B10D7DD0-25AB-46B1-A240-AEB0A4EED0FC}"/>
    <cellStyle name="Normal 52 2 5" xfId="52193" xr:uid="{D67CB954-40FF-4ED2-ABA2-0F19E7650B68}"/>
    <cellStyle name="Normal 52 2 5 2" xfId="52195" xr:uid="{E66DA0DC-C36F-4094-AB71-A3308213429E}"/>
    <cellStyle name="Normal 52 2 5 2 2" xfId="52197" xr:uid="{45BD8F88-1CCB-43B0-9902-237DD6FEE25A}"/>
    <cellStyle name="Normal 52 2 5 3" xfId="52205" xr:uid="{4F09EFC1-45B7-49D3-A419-49BFE5D65BD4}"/>
    <cellStyle name="Normal 52 2 6" xfId="52213" xr:uid="{18048249-3D35-4EF1-96C1-3C30B5288521}"/>
    <cellStyle name="Normal 52 2 6 2" xfId="52215" xr:uid="{A87B77C6-5B00-4A95-B390-21084EC2A811}"/>
    <cellStyle name="Normal 52 2 7" xfId="52222" xr:uid="{3FA16635-1037-48AB-B057-7864EE54DF7E}"/>
    <cellStyle name="Normal 52 2 8" xfId="52226" xr:uid="{0835C2B4-413A-4448-8B8A-8A6517039793}"/>
    <cellStyle name="Normal 52 2 9" xfId="52229" xr:uid="{4609DF74-3785-40A0-85C2-FB4EEB7A0765}"/>
    <cellStyle name="Normal 52 3" xfId="52231" xr:uid="{55E6316E-9F4A-4C9C-AA01-EF78E5412946}"/>
    <cellStyle name="Normal 52 3 2" xfId="52234" xr:uid="{F4623290-B565-49F1-8883-E33530B1B5D2}"/>
    <cellStyle name="Normal 52 3 2 2" xfId="52236" xr:uid="{2E5FCD79-9DBB-4C58-BD95-54C0B1EE56BB}"/>
    <cellStyle name="Normal 52 3 2 2 2" xfId="52238" xr:uid="{4C9226F0-BF5D-4447-9ED8-D823D7982058}"/>
    <cellStyle name="Normal 52 3 2 2 2 2" xfId="52240" xr:uid="{FBB62098-5B6D-4AF9-A232-8083AAF1F90F}"/>
    <cellStyle name="Normal 52 3 2 2 2 2 2" xfId="52242" xr:uid="{6775EF26-C608-40A6-B574-731F8ADA0E7A}"/>
    <cellStyle name="Normal 52 3 2 2 2 3" xfId="6185" xr:uid="{F7BD2B52-A2E2-4088-88F9-58C4E111E848}"/>
    <cellStyle name="Normal 52 3 2 2 3" xfId="52252" xr:uid="{774A1FCD-E246-4B89-A204-28E00E63218D}"/>
    <cellStyle name="Normal 52 3 2 2 3 2" xfId="52254" xr:uid="{74319222-987A-4C40-947C-A20EBF3BA0ED}"/>
    <cellStyle name="Normal 52 3 2 2 4" xfId="52261" xr:uid="{2B6E2DA4-CE48-42AB-8D62-E0554EDB938A}"/>
    <cellStyle name="Normal 52 3 2 3" xfId="52270" xr:uid="{61E66B5B-AC14-47E2-B611-A25D29188256}"/>
    <cellStyle name="Normal 52 3 2 3 2" xfId="52272" xr:uid="{C079BDC4-AFB2-45DC-96DE-AB48C7EBF1FD}"/>
    <cellStyle name="Normal 52 3 2 3 2 2" xfId="52274" xr:uid="{7573CD4A-35B8-4D86-8082-06206508E64D}"/>
    <cellStyle name="Normal 52 3 2 3 3" xfId="52281" xr:uid="{BAC5AFE4-0440-4B99-BC38-D98DC335FE19}"/>
    <cellStyle name="Normal 52 3 2 4" xfId="52289" xr:uid="{03D8482F-8A60-45C2-9E18-99A6B49A9E0A}"/>
    <cellStyle name="Normal 52 3 2 4 2" xfId="52291" xr:uid="{5D0AE605-D8E3-4E78-BEFA-75B8E8146A6B}"/>
    <cellStyle name="Normal 52 3 2 5" xfId="52298" xr:uid="{86F4F619-0222-43AF-ACEB-D6A7058EAE08}"/>
    <cellStyle name="Normal 52 3 3" xfId="52307" xr:uid="{195B92E0-A4AE-4AEC-8D36-2FBBBC3014C7}"/>
    <cellStyle name="Normal 52 3 3 2" xfId="52309" xr:uid="{6DFA9C32-3084-4C2B-ACE2-72C10B4D1008}"/>
    <cellStyle name="Normal 52 3 3 2 2" xfId="52311" xr:uid="{F485CFAD-9850-446F-925D-FF7D8107A24F}"/>
    <cellStyle name="Normal 52 3 3 2 2 2" xfId="52313" xr:uid="{F74DEAE4-F3CE-45EB-933F-8578F794234A}"/>
    <cellStyle name="Normal 52 3 3 2 3" xfId="52320" xr:uid="{B3D74B79-336E-49C2-A86F-E5AD5A76ECA0}"/>
    <cellStyle name="Normal 52 3 3 3" xfId="52328" xr:uid="{401202DD-3464-4A9C-8052-BAB744200D88}"/>
    <cellStyle name="Normal 52 3 3 3 2" xfId="52330" xr:uid="{C0A71C3E-7DB0-4F5D-97E8-994337C899BE}"/>
    <cellStyle name="Normal 52 3 3 4" xfId="52337" xr:uid="{1E464641-BFE5-409B-A39A-89E54EE0BF12}"/>
    <cellStyle name="Normal 52 3 4" xfId="52346" xr:uid="{1D00C55E-5501-478F-B5D6-4819C72E4BDD}"/>
    <cellStyle name="Normal 52 3 4 2" xfId="45711" xr:uid="{858AEE55-4C78-4883-8279-67624022FC4F}"/>
    <cellStyle name="Normal 52 3 4 2 2" xfId="45714" xr:uid="{714771AC-CB5E-4646-9078-4013DAD696F1}"/>
    <cellStyle name="Normal 52 3 4 3" xfId="45781" xr:uid="{3E8FC683-19E7-4966-8B21-D810B0858DC2}"/>
    <cellStyle name="Normal 52 3 5" xfId="52348" xr:uid="{45C9DF7A-A62E-4B28-AAC1-BAC747BD2349}"/>
    <cellStyle name="Normal 52 3 5 2" xfId="45912" xr:uid="{1C029ECF-C491-4E45-A3A9-067E189C24B9}"/>
    <cellStyle name="Normal 52 3 6" xfId="52350" xr:uid="{A7B8E1CC-4C5B-4E22-B03E-636EC5E33A76}"/>
    <cellStyle name="Normal 52 3 7" xfId="52352" xr:uid="{93CAC799-2C6D-47B9-9DAB-9451FD71BF6C}"/>
    <cellStyle name="Normal 52 3 8" xfId="52354" xr:uid="{BA9CA6AF-84CD-47F7-839B-FA40A7EF1EC3}"/>
    <cellStyle name="Normal 52 4" xfId="52357" xr:uid="{74599777-8527-419C-B00A-E57F71178BD1}"/>
    <cellStyle name="Normal 52 4 2" xfId="52359" xr:uid="{CC7F3CA4-0DF7-411B-B0F6-E9E8CCDCBD40}"/>
    <cellStyle name="Normal 52 4 2 2" xfId="52361" xr:uid="{E985B6B6-7254-4620-95C6-4BCC66A5F2EA}"/>
    <cellStyle name="Normal 52 4 2 2 2" xfId="52363" xr:uid="{AD55D337-B802-4F65-AE7A-2B8C8EAAD454}"/>
    <cellStyle name="Normal 52 4 2 2 2 2" xfId="52365" xr:uid="{9DCCA777-6511-4986-8F68-C630B14094D6}"/>
    <cellStyle name="Normal 52 4 2 2 3" xfId="52372" xr:uid="{AFA5788B-D998-481F-A832-C3CE3F34150E}"/>
    <cellStyle name="Normal 52 4 2 3" xfId="52380" xr:uid="{AEA5F5C1-44A9-44E2-999B-20485EFD9761}"/>
    <cellStyle name="Normal 52 4 2 3 2" xfId="52382" xr:uid="{B7AC9886-E7A8-4EC6-929A-1BC23FB2684C}"/>
    <cellStyle name="Normal 52 4 2 4" xfId="28540" xr:uid="{BD587376-385E-45AC-ACAB-8701E66B80F3}"/>
    <cellStyle name="Normal 52 4 3" xfId="52395" xr:uid="{61025703-B30C-47F9-9620-42492DC91357}"/>
    <cellStyle name="Normal 52 4 3 2" xfId="52397" xr:uid="{31DD57CE-96A2-4E20-BFE9-8A5F90E21577}"/>
    <cellStyle name="Normal 52 4 3 2 2" xfId="52399" xr:uid="{96D85CBE-92C2-4E08-B4BF-A0E93144F285}"/>
    <cellStyle name="Normal 52 4 3 3" xfId="52407" xr:uid="{C236B810-0F59-4878-A209-32EBB62CB443}"/>
    <cellStyle name="Normal 52 4 4" xfId="52413" xr:uid="{5E00309A-5070-4714-B053-5A755D569093}"/>
    <cellStyle name="Normal 52 4 4 2" xfId="46202" xr:uid="{2BF7170B-9F25-4351-9A04-F3A56EC505A8}"/>
    <cellStyle name="Normal 52 4 5" xfId="52415" xr:uid="{771FBAD3-A009-4316-96C9-77FFB07BF216}"/>
    <cellStyle name="Normal 52 5" xfId="46269" xr:uid="{4556E50A-F109-4610-A7BC-01AF2104B06A}"/>
    <cellStyle name="Normal 52 5 2" xfId="46273" xr:uid="{D52BB21A-0601-4BB0-A187-9D06A0005F73}"/>
    <cellStyle name="Normal 52 5 2 2" xfId="46276" xr:uid="{E9FB99AB-C245-4246-AB50-1EB154028E36}"/>
    <cellStyle name="Normal 52 5 2 2 2" xfId="46279" xr:uid="{1F84FBA9-977F-4A2F-8925-C9386AABD966}"/>
    <cellStyle name="Normal 52 5 2 3" xfId="46282" xr:uid="{9854F314-BF76-4BFA-B5F9-5438F27F7E92}"/>
    <cellStyle name="Normal 52 5 3" xfId="46285" xr:uid="{547547FA-3492-40CB-905A-84E8CCA70B6A}"/>
    <cellStyle name="Normal 52 5 3 2" xfId="46288" xr:uid="{C36C191F-9043-40A1-B7E1-07383960F1E0}"/>
    <cellStyle name="Normal 52 5 4" xfId="46291" xr:uid="{98C6BA90-E247-4025-A03B-73D81C63AD77}"/>
    <cellStyle name="Normal 52 6" xfId="46294" xr:uid="{D74D17A7-CADD-4247-88BF-F7243DA5A249}"/>
    <cellStyle name="Normal 52 6 2" xfId="46297" xr:uid="{5977664C-D60F-4689-8D5F-4F9B9085789B}"/>
    <cellStyle name="Normal 52 6 2 2" xfId="46300" xr:uid="{BA184037-03D0-4EAB-99F9-39527A75B61B}"/>
    <cellStyle name="Normal 52 6 3" xfId="46303" xr:uid="{5FE2B7CB-7815-4805-868A-3AEA69E79C83}"/>
    <cellStyle name="Normal 52 7" xfId="46306" xr:uid="{B39F63A6-38AC-4FA2-96E5-24D1CA402257}"/>
    <cellStyle name="Normal 52 7 2" xfId="46309" xr:uid="{7D99FC7A-1E7C-4C9A-BF61-B3AAC7B9465D}"/>
    <cellStyle name="Normal 52 8" xfId="46312" xr:uid="{2B898299-A33E-42AF-815B-A1870DA08988}"/>
    <cellStyle name="Normal 52 9" xfId="32303" xr:uid="{38387797-EE68-4E91-83D5-43EC4971B500}"/>
    <cellStyle name="Normal 520" xfId="51859" xr:uid="{3946B478-9E92-4D24-A7ED-836DF5090EDF}"/>
    <cellStyle name="Normal 520 2" xfId="51863" xr:uid="{28AE695F-A568-4988-8860-4A68CDB62C59}"/>
    <cellStyle name="Normal 521" xfId="51867" xr:uid="{7BB17971-C47A-4CF5-A007-AA2A4BBE9B32}"/>
    <cellStyle name="Normal 521 2" xfId="51871" xr:uid="{0A20C989-87BC-4DEC-821A-4C485E622518}"/>
    <cellStyle name="Normal 522" xfId="51875" xr:uid="{049694F7-4223-468D-83C7-67FB1B973AAC}"/>
    <cellStyle name="Normal 522 2" xfId="51879" xr:uid="{F9FA2A50-559E-430A-9969-6435E6947409}"/>
    <cellStyle name="Normal 523" xfId="51883" xr:uid="{77A30C43-A3D9-4F64-8B49-703E067312C1}"/>
    <cellStyle name="Normal 523 2" xfId="51887" xr:uid="{E36B9855-257A-4154-95AB-C0822CCFF5F2}"/>
    <cellStyle name="Normal 524" xfId="51891" xr:uid="{7D98E898-A2E4-4391-AB8B-5434554B89F7}"/>
    <cellStyle name="Normal 524 2" xfId="51895" xr:uid="{BC5C4E41-C7F7-4195-81FF-432D24398010}"/>
    <cellStyle name="Normal 525" xfId="52461" xr:uid="{34F9F93D-0218-4DE1-9E1D-24B415C8FA93}"/>
    <cellStyle name="Normal 525 2" xfId="52465" xr:uid="{52C20CED-2A65-4AB5-B95E-2B781E367C1F}"/>
    <cellStyle name="Normal 526" xfId="52469" xr:uid="{F72A1280-7140-45C8-997F-532DBB7D18B0}"/>
    <cellStyle name="Normal 526 2" xfId="52473" xr:uid="{20C6A797-61DF-496E-B071-8F4443205E75}"/>
    <cellStyle name="Normal 527" xfId="52477" xr:uid="{95A242F2-FCCC-431D-ABD4-98B71CF8995E}"/>
    <cellStyle name="Normal 527 2" xfId="52481" xr:uid="{BDA9022D-8195-4976-B451-D17EF946C9B5}"/>
    <cellStyle name="Normal 528" xfId="52485" xr:uid="{50274E7A-53D0-4727-AF74-8C880E62DB0C}"/>
    <cellStyle name="Normal 528 2" xfId="52489" xr:uid="{E144C209-D76F-48CD-B0B7-8D36B4A52A5D}"/>
    <cellStyle name="Normal 529" xfId="52493" xr:uid="{4849B6E0-BF87-46EF-B688-4D87AE117747}"/>
    <cellStyle name="Normal 529 2" xfId="52497" xr:uid="{0106583A-9021-4F57-A4A9-321456178A97}"/>
    <cellStyle name="Normal 53" xfId="52500" xr:uid="{633EAB17-673A-4F5E-BF91-9F986AFA3491}"/>
    <cellStyle name="Normal 53 2" xfId="44155" xr:uid="{98C3539F-3870-426A-9995-6AB76631EE52}"/>
    <cellStyle name="Normal 53 2 2" xfId="52502" xr:uid="{B06923C7-644C-4648-9F7F-10D0ABFC163D}"/>
    <cellStyle name="Normal 53 2 3" xfId="53040" xr:uid="{9E3B647D-F053-4FFB-A35E-914CFCD99F0B}"/>
    <cellStyle name="Normal 53 3" xfId="52506" xr:uid="{70DC0185-DCC4-4216-BC61-634CD787B8EF}"/>
    <cellStyle name="Normal 53 4" xfId="52510" xr:uid="{79E49CCF-93E0-4114-8091-B37EC4C9DC2E}"/>
    <cellStyle name="Normal 530" xfId="52460" xr:uid="{866375E7-C3ED-4F53-98AD-C976756F7A94}"/>
    <cellStyle name="Normal 530 2" xfId="52464" xr:uid="{B0AD9D4D-584F-4A05-BBED-50ACA81893C3}"/>
    <cellStyle name="Normal 531" xfId="52468" xr:uid="{7B1FE268-29AF-4ABE-8A55-A87055CDFCF0}"/>
    <cellStyle name="Normal 531 2" xfId="52472" xr:uid="{58115B0D-FCB1-4B4F-9F69-87932963D421}"/>
    <cellStyle name="Normal 532" xfId="52476" xr:uid="{255B2FD7-9747-4207-8692-69EC65E40010}"/>
    <cellStyle name="Normal 532 2" xfId="52480" xr:uid="{186675EC-FAC7-41D5-9AAC-BBF2369E6FFF}"/>
    <cellStyle name="Normal 533" xfId="52484" xr:uid="{33F81402-EEF0-433B-B943-6ECE3A60A2C8}"/>
    <cellStyle name="Normal 533 2" xfId="52488" xr:uid="{1681714D-C3C0-463D-B468-D64FBFCC180B}"/>
    <cellStyle name="Normal 534" xfId="52492" xr:uid="{BFE2A92F-9CAA-4CE9-BD6A-4DD19527BC72}"/>
    <cellStyle name="Normal 534 2" xfId="52496" xr:uid="{BA6CD102-1F41-4FDB-9FD5-B0EC236CAC9F}"/>
    <cellStyle name="Normal 535" xfId="50658" xr:uid="{B4E8CB77-9A9B-4BC0-AA64-C79DA9922108}"/>
    <cellStyle name="Normal 535 2" xfId="50663" xr:uid="{F33551B1-5C8B-4152-84A0-B3BD744C280A}"/>
    <cellStyle name="Normal 536" xfId="50670" xr:uid="{FDCDDA46-71D2-4DC5-834D-10D6FF242559}"/>
    <cellStyle name="Normal 536 2" xfId="50675" xr:uid="{D514B5E1-51F3-496F-9B1A-39C7833241CB}"/>
    <cellStyle name="Normal 537" xfId="50681" xr:uid="{E8C9033A-D584-4078-9298-41BDB6E8D846}"/>
    <cellStyle name="Normal 537 2" xfId="52514" xr:uid="{68A4BC73-963E-4B57-A175-A0ABE46ABB7F}"/>
    <cellStyle name="Normal 538" xfId="52519" xr:uid="{C8A4FD95-0406-4C95-A716-8BD264A08CB8}"/>
    <cellStyle name="Normal 538 2" xfId="52524" xr:uid="{DC671575-DA5C-42ED-9F18-D0A6F4E9EF31}"/>
    <cellStyle name="Normal 539" xfId="52529" xr:uid="{F3EE6C24-655F-44A6-8E89-900B7E052067}"/>
    <cellStyle name="Normal 539 2" xfId="52533" xr:uid="{DA5E45B3-83ED-46BB-8A9E-535B3FDF8FFE}"/>
    <cellStyle name="Normal 54" xfId="52536" xr:uid="{9B1BB80A-F1FB-45A9-A099-0F2ECD9C30B3}"/>
    <cellStyle name="Normal 54 2" xfId="52540" xr:uid="{B82C5024-0AA1-4B8C-B3DF-2CE22472ECB2}"/>
    <cellStyle name="Normal 54 2 2" xfId="52543" xr:uid="{777F8797-7420-4EE9-80EE-581891F88579}"/>
    <cellStyle name="Normal 54 2 2 2" xfId="52545" xr:uid="{D7141614-E0DB-4A72-80B7-612AEB0678C2}"/>
    <cellStyle name="Normal 54 2 2 2 2" xfId="52547" xr:uid="{8335DB81-2AB4-4B19-B850-B6350C3C8142}"/>
    <cellStyle name="Normal 54 2 2 2 2 2" xfId="52549" xr:uid="{80717429-BA5A-4B09-A7B0-77445EBB5760}"/>
    <cellStyle name="Normal 54 2 2 2 2 2 2" xfId="52551" xr:uid="{B2D3F0E2-2954-4804-B75D-CAE90841CC23}"/>
    <cellStyle name="Normal 54 2 2 2 2 3" xfId="52559" xr:uid="{AF9C2CE5-6E06-49C4-840A-41937F4D9A05}"/>
    <cellStyle name="Normal 54 2 2 2 3" xfId="52567" xr:uid="{558C13DD-9EF6-4BE0-AFE7-B45455C80105}"/>
    <cellStyle name="Normal 54 2 2 2 3 2" xfId="52569" xr:uid="{F89D66CF-920B-4FEA-9CDE-1B1A2AFD3014}"/>
    <cellStyle name="Normal 54 2 2 2 4" xfId="52577" xr:uid="{CFD24A72-314C-4F72-95E3-A14DDA99EBFA}"/>
    <cellStyle name="Normal 54 2 2 3" xfId="52586" xr:uid="{9F0AFC12-9293-4651-A64D-11C58BA6126D}"/>
    <cellStyle name="Normal 54 2 2 3 2" xfId="52588" xr:uid="{84C087E1-C8E8-4691-A103-4FBB5200112B}"/>
    <cellStyle name="Normal 54 2 2 3 2 2" xfId="52590" xr:uid="{D44F1011-76F1-4CD7-8BF1-F26A3AB674FC}"/>
    <cellStyle name="Normal 54 2 2 3 3" xfId="52598" xr:uid="{B2DD743B-7A43-445E-84D5-349C7CDAD68A}"/>
    <cellStyle name="Normal 54 2 2 4" xfId="52606" xr:uid="{02518DEE-5750-4C9F-ACBE-F25BC21D4DBE}"/>
    <cellStyle name="Normal 54 2 2 4 2" xfId="52608" xr:uid="{F6916429-D190-40A9-96C0-7EFADE01F977}"/>
    <cellStyle name="Normal 54 2 2 5" xfId="52616" xr:uid="{2F379FBC-4161-4E17-9093-CF91F17290D4}"/>
    <cellStyle name="Normal 54 2 2 6" xfId="52621" xr:uid="{A6B0227B-C609-4E71-BFEE-1A25AFE211A2}"/>
    <cellStyle name="Normal 54 2 3" xfId="52627" xr:uid="{BBBF8164-617F-4313-8DC2-6AC22A005E16}"/>
    <cellStyle name="Normal 54 2 3 2" xfId="52629" xr:uid="{7C4AB12C-95EC-40A9-B4F5-77E088074062}"/>
    <cellStyle name="Normal 54 2 3 2 2" xfId="52631" xr:uid="{AFFB4684-A052-41C5-B197-4F7A0FA1304C}"/>
    <cellStyle name="Normal 54 2 3 2 2 2" xfId="52633" xr:uid="{5EBE77B8-F401-4736-ADAC-59C22B707EDC}"/>
    <cellStyle name="Normal 54 2 3 2 3" xfId="10182" xr:uid="{710BBCB8-3F72-4F52-9084-223741611802}"/>
    <cellStyle name="Normal 54 2 3 3" xfId="52647" xr:uid="{92A2ED03-C03A-4B58-933D-E244D0DA5D05}"/>
    <cellStyle name="Normal 54 2 3 3 2" xfId="52649" xr:uid="{AE0C6362-1C62-4708-BE0E-2C452E41C220}"/>
    <cellStyle name="Normal 54 2 3 4" xfId="52657" xr:uid="{5D7E8F6D-C535-47E6-BC55-A13C80F0F62E}"/>
    <cellStyle name="Normal 54 2 4" xfId="52666" xr:uid="{457819FA-33B6-48D8-8F2D-2E0346780FBD}"/>
    <cellStyle name="Normal 54 2 4 2" xfId="52668" xr:uid="{EC5C3EAA-2A9A-428B-A25E-070850ABB8EB}"/>
    <cellStyle name="Normal 54 2 4 2 2" xfId="52670" xr:uid="{AD1E7A30-F251-4C4C-9D92-A3305550EAB3}"/>
    <cellStyle name="Normal 54 2 4 3" xfId="52678" xr:uid="{96A76F17-F3EF-48E3-9A70-0801DF85674A}"/>
    <cellStyle name="Normal 54 2 5" xfId="52685" xr:uid="{2B23F21D-5F28-49A1-90E4-A5FF8187AC14}"/>
    <cellStyle name="Normal 54 2 5 2" xfId="52687" xr:uid="{B7B916BD-A2E5-4038-A126-DB2A3300F6EF}"/>
    <cellStyle name="Normal 54 2 6" xfId="52694" xr:uid="{D5FB1C11-5580-4CC6-9574-9CAE31D2E608}"/>
    <cellStyle name="Normal 54 2 7" xfId="52699" xr:uid="{D094ABE3-694B-4CBB-8C95-198D02ED4D88}"/>
    <cellStyle name="Normal 54 2 8" xfId="52702" xr:uid="{4DE08FC6-D52A-49F4-8693-A1398EDEFCCA}"/>
    <cellStyle name="Normal 54 3" xfId="52705" xr:uid="{B0173D67-90E3-496E-A547-E95AF25B0FDC}"/>
    <cellStyle name="Normal 54 3 2" xfId="52707" xr:uid="{C30FD82C-7873-4F33-A7C5-444BED24803C}"/>
    <cellStyle name="Normal 54 3 2 2" xfId="27903" xr:uid="{C0CA949E-5DAB-49CE-842C-045159DD4AC8}"/>
    <cellStyle name="Normal 54 3 2 2 2" xfId="52709" xr:uid="{117E058E-3A51-4F5D-8C50-80E2C2014617}"/>
    <cellStyle name="Normal 54 3 2 2 2 2" xfId="52711" xr:uid="{9B3198A1-C65C-4A79-8A8E-CFABA9705AEB}"/>
    <cellStyle name="Normal 54 3 2 2 3" xfId="52719" xr:uid="{1916462E-BC42-4E72-8E2D-774733F259BB}"/>
    <cellStyle name="Normal 54 3 2 3" xfId="20733" xr:uid="{A13F7398-EEA8-40B7-93D6-88F8C272AA16}"/>
    <cellStyle name="Normal 54 3 2 3 2" xfId="52727" xr:uid="{F4FD5006-361B-4673-8922-1816A25054E9}"/>
    <cellStyle name="Normal 54 3 2 4" xfId="52735" xr:uid="{A5112C4E-617E-4831-9789-ACF28F844A9F}"/>
    <cellStyle name="Normal 54 3 3" xfId="52744" xr:uid="{D530AA70-4ABA-4736-99BE-F9383696346F}"/>
    <cellStyle name="Normal 54 3 3 2" xfId="27924" xr:uid="{9980F8C6-F44D-4C82-BDD9-AD375980FFBB}"/>
    <cellStyle name="Normal 54 3 3 2 2" xfId="52746" xr:uid="{46846797-A8FE-445B-9902-142903CD6331}"/>
    <cellStyle name="Normal 54 3 3 3" xfId="52754" xr:uid="{813803F1-4097-47DE-AE3C-6796B6B7E1A4}"/>
    <cellStyle name="Normal 54 3 4" xfId="52762" xr:uid="{B9AD7C2E-DF16-4922-9267-98F932D136E5}"/>
    <cellStyle name="Normal 54 3 4 2" xfId="47221" xr:uid="{921430FA-E2A1-4463-88D5-B45B9033CBF4}"/>
    <cellStyle name="Normal 54 3 5" xfId="52764" xr:uid="{84483353-B97F-4DFF-BFBA-E870D964F245}"/>
    <cellStyle name="Normal 54 3 6" xfId="52766" xr:uid="{EC9E94D6-12F6-474D-859E-1E6E7A6A3BBF}"/>
    <cellStyle name="Normal 54 4" xfId="52771" xr:uid="{B8869998-AAEB-4E08-9BA4-853D4CFF5FA2}"/>
    <cellStyle name="Normal 54 4 2" xfId="52773" xr:uid="{9D319C17-BFA8-443C-98C8-C79A7D153D53}"/>
    <cellStyle name="Normal 54 4 2 2" xfId="18172" xr:uid="{9F652D39-DBA7-4DF7-8ED3-EE21E274F472}"/>
    <cellStyle name="Normal 54 4 2 2 2" xfId="52775" xr:uid="{F07D1E94-0DE8-4677-B08B-E83FEA59B0B2}"/>
    <cellStyle name="Normal 54 4 2 3" xfId="52783" xr:uid="{05A299C2-C87B-406D-BF2D-7E137910D54E}"/>
    <cellStyle name="Normal 54 4 3" xfId="52791" xr:uid="{637744C5-50FC-4A61-8CEB-F1D4659CA884}"/>
    <cellStyle name="Normal 54 4 3 2" xfId="52793" xr:uid="{279F939C-023D-40A4-BF3D-B2DE90B5AACE}"/>
    <cellStyle name="Normal 54 4 4" xfId="52801" xr:uid="{7CA006A6-30B5-44EA-9D25-50AFD46EBF85}"/>
    <cellStyle name="Normal 54 5" xfId="46324" xr:uid="{1B168C76-B82D-4EE3-8C93-3C4102F6327C}"/>
    <cellStyle name="Normal 54 5 2" xfId="46329" xr:uid="{5CA1570D-C39F-40BE-8970-FDCCE9620B46}"/>
    <cellStyle name="Normal 54 5 2 2" xfId="52808" xr:uid="{BCE4527A-CEFC-439C-8E8B-060D730AD016}"/>
    <cellStyle name="Normal 54 5 3" xfId="52818" xr:uid="{3895C6D0-AA35-4A2B-90A4-1D5DD29B9CC3}"/>
    <cellStyle name="Normal 54 6" xfId="46332" xr:uid="{DE0F48B8-3B43-44D2-B9BE-FDF5F1BFE91D}"/>
    <cellStyle name="Normal 54 6 2" xfId="52833" xr:uid="{E0B35BC1-DCE0-4193-821C-EB3BF19CF9AB}"/>
    <cellStyle name="Normal 54 7" xfId="52845" xr:uid="{2DF7F472-8F05-4430-B204-D33F482D4F7C}"/>
    <cellStyle name="Normal 54 8" xfId="52850" xr:uid="{B0E4E1CA-75D6-4512-8515-E5BC5A3145FD}"/>
    <cellStyle name="Normal 54 9" xfId="52853" xr:uid="{2FDDF6D0-9E53-4BD4-AE77-7280BE3C0EDE}"/>
    <cellStyle name="Normal 540" xfId="50657" xr:uid="{4E13DBC5-926C-4ADF-8D99-3E8A58D7E65C}"/>
    <cellStyle name="Normal 540 2" xfId="50662" xr:uid="{AE5F0147-2EDD-4786-8D38-B40A47F3AAF7}"/>
    <cellStyle name="Normal 541" xfId="50669" xr:uid="{09D1A69F-6FD8-44CC-8349-2B0470F14A9F}"/>
    <cellStyle name="Normal 541 2" xfId="50674" xr:uid="{D81C9D9A-9EF2-40B7-9292-AA4121DCBE4C}"/>
    <cellStyle name="Normal 542" xfId="50680" xr:uid="{D2FFA814-BBBC-4EC9-B839-00CFD58813C9}"/>
    <cellStyle name="Normal 542 2" xfId="52513" xr:uid="{988284EE-29C3-4D37-8025-A18525FCA351}"/>
    <cellStyle name="Normal 543" xfId="52518" xr:uid="{C6F242D2-D68E-43D8-9CFA-993703655462}"/>
    <cellStyle name="Normal 543 2" xfId="52523" xr:uid="{B64B1276-DA27-4DFB-87F8-F8C73A35B0ED}"/>
    <cellStyle name="Normal 544" xfId="52528" xr:uid="{8294947A-1085-42B6-A54D-645AF8FAA189}"/>
    <cellStyle name="Normal 544 2" xfId="52532" xr:uid="{A318AADA-C6A2-43F2-A8D3-66B8E721F88E}"/>
    <cellStyle name="Normal 545" xfId="52858" xr:uid="{0F9EB485-6E4A-4EEA-B85B-0C3C2CA6A78B}"/>
    <cellStyle name="Normal 545 2" xfId="52861" xr:uid="{33C46A14-C567-4EB9-8B1F-00A4B41D4478}"/>
    <cellStyle name="Normal 546" xfId="52866" xr:uid="{3709F941-6715-4D54-BA11-DC3C079B6E61}"/>
    <cellStyle name="Normal 546 2" xfId="52869" xr:uid="{D9BF4F61-32CA-4CA8-99EE-6F4B1105ECBB}"/>
    <cellStyle name="Normal 547" xfId="28498" xr:uid="{5DC486A4-5B85-46F1-9CC7-673F88B1E262}"/>
    <cellStyle name="Normal 547 2" xfId="28505" xr:uid="{2840149F-B949-4DCC-95ED-C65B8A6983FF}"/>
    <cellStyle name="Normal 548" xfId="13971" xr:uid="{91583511-11B1-43C8-AB6C-7AF3B16FDCA7}"/>
    <cellStyle name="Normal 548 2" xfId="52872" xr:uid="{D2949276-7502-4BCC-8D63-F67D1E7FA4D8}"/>
    <cellStyle name="Normal 549" xfId="9643" xr:uid="{8EF1432F-F4DF-4FCB-8F23-F71F05451FE3}"/>
    <cellStyle name="Normal 549 2" xfId="52875" xr:uid="{8BF9F6C6-D80B-4C87-8AAA-BE7DA722CA90}"/>
    <cellStyle name="Normal 55" xfId="3736" xr:uid="{13496E30-9E01-4C61-B777-C6AA0FE86584}"/>
    <cellStyle name="Normal 55 2" xfId="15367" xr:uid="{7D7E31E4-F53C-4E67-938B-764CE3FD7F8F}"/>
    <cellStyle name="Normal 55 2 2" xfId="53042" xr:uid="{F22E5020-610F-40C5-A1A3-C87AC2745249}"/>
    <cellStyle name="Normal 55 2 2 2" xfId="53044" xr:uid="{595D4CAD-FC2D-4934-8B5B-A4F06DD285C3}"/>
    <cellStyle name="Normal 55 2 2 2 2" xfId="53045" xr:uid="{6C6C97B8-BA86-4192-95B4-CD06489DEF43}"/>
    <cellStyle name="Normal 55 2 2 2 2 2" xfId="53046" xr:uid="{53E417F3-D9A7-4BDF-B967-496674646478}"/>
    <cellStyle name="Normal 55 2 2 2 3" xfId="53047" xr:uid="{BCC2BB5C-6CC9-4B1D-AEC2-AD0B4CDF703A}"/>
    <cellStyle name="Normal 55 2 2 3" xfId="53049" xr:uid="{D712B88C-A78D-4ECB-B3F7-407973DA15A7}"/>
    <cellStyle name="Normal 55 2 2 3 2" xfId="53050" xr:uid="{7392A766-78F3-469E-8740-F6566A44F1CB}"/>
    <cellStyle name="Normal 55 2 2 4" xfId="53051" xr:uid="{B9958154-E77A-46BE-9B0D-598C538929BA}"/>
    <cellStyle name="Normal 55 2 2 5" xfId="53052" xr:uid="{FB3AAA7C-39DD-4786-8F0E-F774424410F0}"/>
    <cellStyle name="Normal 55 2 3" xfId="53054" xr:uid="{6D18544C-3168-497C-8D66-6E9AEC94BC67}"/>
    <cellStyle name="Normal 55 2 3 2" xfId="53055" xr:uid="{46667494-6CA5-4114-BE3B-43A1C05F9414}"/>
    <cellStyle name="Normal 55 2 3 2 2" xfId="53056" xr:uid="{680DE1DD-10E8-40A1-A9B5-E8EB7BE1311F}"/>
    <cellStyle name="Normal 55 2 3 3" xfId="53057" xr:uid="{BE1D8D19-C447-4814-BEB9-61B2C882D975}"/>
    <cellStyle name="Normal 55 2 4" xfId="53059" xr:uid="{632C8C8F-0B38-482D-8DCE-B0A4ED5BECF8}"/>
    <cellStyle name="Normal 55 2 4 2" xfId="53060" xr:uid="{79F75691-AC4B-4809-B923-DE5D99906550}"/>
    <cellStyle name="Normal 55 2 5" xfId="53062" xr:uid="{48211571-3EBA-4B21-B794-9226BE53F83F}"/>
    <cellStyle name="Normal 55 2 6" xfId="53063" xr:uid="{2F6FF8EE-3F4F-46F2-B3F3-9277DC217BBF}"/>
    <cellStyle name="Normal 55 2 7" xfId="53064" xr:uid="{E306F9EC-E8BA-41DC-912F-3FB509A7C244}"/>
    <cellStyle name="Normal 55 3" xfId="53066" xr:uid="{3691C207-C641-4FD8-8686-AF61D053A7BA}"/>
    <cellStyle name="Normal 55 3 2" xfId="53068" xr:uid="{E0F9A321-4BCF-4821-8AB2-45BE9A619372}"/>
    <cellStyle name="Normal 55 3 2 2" xfId="53069" xr:uid="{41A31F68-F973-48E4-9331-B063421875CE}"/>
    <cellStyle name="Normal 55 3 2 2 2" xfId="53070" xr:uid="{9D46FF78-4355-4C39-8ABC-AC32E0FAA836}"/>
    <cellStyle name="Normal 55 3 2 3" xfId="53071" xr:uid="{7333B8D3-1FF6-433E-B439-979E92CEB3CB}"/>
    <cellStyle name="Normal 55 3 3" xfId="53073" xr:uid="{FABA8617-B3B4-4540-B8FA-E40F7ECDEE5D}"/>
    <cellStyle name="Normal 55 3 3 2" xfId="53074" xr:uid="{96C722AC-0254-413E-873A-182B0A7B7B96}"/>
    <cellStyle name="Normal 55 3 4" xfId="53075" xr:uid="{6CDD82C8-3B04-4EE9-BAC1-7B6485858245}"/>
    <cellStyle name="Normal 55 3 5" xfId="53076" xr:uid="{D0D3EE32-8DEE-4A0D-8956-78DAF2023ACE}"/>
    <cellStyle name="Normal 55 4" xfId="53078" xr:uid="{1E0AFE8B-A262-47D2-98AF-B6B7FB477E5B}"/>
    <cellStyle name="Normal 55 4 2" xfId="53079" xr:uid="{BF4AA5E0-5056-4867-BF82-B66B1353BD7D}"/>
    <cellStyle name="Normal 55 4 2 2" xfId="53080" xr:uid="{CDE392D9-C059-4E20-B768-2A4871552E71}"/>
    <cellStyle name="Normal 55 4 3" xfId="53081" xr:uid="{0181EC51-FB01-4FC9-907A-D9EA6F637B9B}"/>
    <cellStyle name="Normal 55 5" xfId="46337" xr:uid="{B050B910-02E5-4ADC-80AE-6645C158CE66}"/>
    <cellStyle name="Normal 55 5 2" xfId="53082" xr:uid="{30A10242-BD6E-45E3-A53F-13A4FC7E87A4}"/>
    <cellStyle name="Normal 55 6" xfId="53083" xr:uid="{A91D87C1-1250-46FA-BF05-1D51C2FF5E52}"/>
    <cellStyle name="Normal 55 7" xfId="53084" xr:uid="{39EDF558-12E4-4E43-85F7-CE8BB3B2B677}"/>
    <cellStyle name="Normal 55 8" xfId="53085" xr:uid="{1EEE3DD9-C718-4C32-BC1D-EF89D3283054}"/>
    <cellStyle name="Normal 550" xfId="52857" xr:uid="{8B1EB619-3931-466A-B8A1-277173445A63}"/>
    <cellStyle name="Normal 550 2" xfId="52860" xr:uid="{3ECCB53A-266A-4BC1-9A64-8C0D2783DEC6}"/>
    <cellStyle name="Normal 551" xfId="52865" xr:uid="{D3725DFF-E3FB-40F1-9CDE-ADD24CA2755F}"/>
    <cellStyle name="Normal 551 2" xfId="52868" xr:uid="{A2095870-7574-4B20-A229-A2FB5E0EE3F8}"/>
    <cellStyle name="Normal 552" xfId="28497" xr:uid="{728682BA-8AA7-45A7-B215-3E926B60E153}"/>
    <cellStyle name="Normal 552 2" xfId="28504" xr:uid="{596BABB8-E7AF-4E93-966D-2CABD30AA6CB}"/>
    <cellStyle name="Normal 553" xfId="13970" xr:uid="{FB284982-0AEB-44EB-B3C0-DB2BBE35D3E0}"/>
    <cellStyle name="Normal 553 2" xfId="52871" xr:uid="{C394E1C4-614B-4225-910D-30416F964FF0}"/>
    <cellStyle name="Normal 554" xfId="9642" xr:uid="{F45E1E17-5601-4A71-8E47-42148DC7FB8E}"/>
    <cellStyle name="Normal 554 2" xfId="52874" xr:uid="{B997D173-56CB-4462-8F0B-B71D16F35747}"/>
    <cellStyle name="Normal 555" xfId="53089" xr:uid="{08AF8303-F1D9-4952-903F-F22F2B29682C}"/>
    <cellStyle name="Normal 555 2" xfId="45527" xr:uid="{1AAF6D53-3B4E-490F-BA18-75D1DEE3DCBD}"/>
    <cellStyle name="Normal 556" xfId="8195" xr:uid="{CC3D17EE-8A3C-44FE-95A5-D4DDB8B22F58}"/>
    <cellStyle name="Normal 556 2" xfId="8199" xr:uid="{86CA56D9-0C09-43FD-B38B-EA741A975743}"/>
    <cellStyle name="Normal 557" xfId="8206" xr:uid="{148A738D-0022-43F4-82C1-595E7D1827B8}"/>
    <cellStyle name="Normal 557 2" xfId="53091" xr:uid="{515FEA52-5137-4B0D-8ADB-C00424EAA7E4}"/>
    <cellStyle name="Normal 558" xfId="53095" xr:uid="{F8D0EE1B-02E1-428E-B83A-0315A8275383}"/>
    <cellStyle name="Normal 558 2" xfId="53097" xr:uid="{56E04163-D894-4AA5-BD4A-D57BEEDB0873}"/>
    <cellStyle name="Normal 559" xfId="53101" xr:uid="{AC65FF44-CE67-4724-B086-E34EA7987069}"/>
    <cellStyle name="Normal 559 2" xfId="53103" xr:uid="{B6E4CD50-E54F-403A-ADE2-D75C9FFDBD66}"/>
    <cellStyle name="Normal 56" xfId="15371" xr:uid="{23B659D3-7832-4917-B2DE-A90715667C0A}"/>
    <cellStyle name="Normal 56 2" xfId="53105" xr:uid="{E5429D34-2313-4EBF-9C82-82E0F3F3E97A}"/>
    <cellStyle name="Normal 56 2 2" xfId="53107" xr:uid="{D91A02FD-FFEA-4FCF-B580-BF6069909E48}"/>
    <cellStyle name="Normal 56 2 3" xfId="29257" xr:uid="{22CEFC48-81C4-41BF-A06D-B028A2EFBBA0}"/>
    <cellStyle name="Normal 56 3" xfId="53109" xr:uid="{2FB153C7-0818-46F0-8648-AA19D0421335}"/>
    <cellStyle name="Normal 56 4" xfId="53111" xr:uid="{8742C434-CE91-4130-ADD1-D2D2B8004949}"/>
    <cellStyle name="Normal 560" xfId="53088" xr:uid="{88A8D36D-FE76-47D0-8B41-84E999F1BC47}"/>
    <cellStyle name="Normal 560 2" xfId="45526" xr:uid="{6ABC8C1D-AFCD-4C62-B240-417D766A420A}"/>
    <cellStyle name="Normal 561" xfId="8194" xr:uid="{D9AD9AD4-EC79-4FFC-A409-F87B3AFDBF38}"/>
    <cellStyle name="Normal 561 2" xfId="8198" xr:uid="{447A224A-7E5E-4022-B4BB-8294E13190FF}"/>
    <cellStyle name="Normal 562" xfId="8205" xr:uid="{99B059CC-B4C0-4C6E-8742-E2D8B4F1847B}"/>
    <cellStyle name="Normal 562 2" xfId="53090" xr:uid="{16373F8B-4B7B-4BF7-B810-76658F70E312}"/>
    <cellStyle name="Normal 563" xfId="53094" xr:uid="{47CBA54C-0DDF-4930-A762-ED5FB8615393}"/>
    <cellStyle name="Normal 563 2" xfId="53096" xr:uid="{EF208928-7865-4BA9-BE24-0DB66062C45E}"/>
    <cellStyle name="Normal 564" xfId="53100" xr:uid="{B196A410-5469-4561-8D25-5CC26F1E2FBD}"/>
    <cellStyle name="Normal 564 2" xfId="53102" xr:uid="{7DB246F6-07D3-46ED-83A9-55878CB9EB2E}"/>
    <cellStyle name="Normal 565" xfId="53115" xr:uid="{BD9E3070-8547-4D94-84B1-1A744E615F9D}"/>
    <cellStyle name="Normal 565 2" xfId="53117" xr:uid="{6E5D51DC-22B5-4CD2-A80C-D10BBE17D3E8}"/>
    <cellStyle name="Normal 566" xfId="53121" xr:uid="{D5903C68-F560-46B9-8C3A-079C62333B4D}"/>
    <cellStyle name="Normal 566 2" xfId="53122" xr:uid="{16597F8C-6297-4BD2-847F-DC85FE1BA1AD}"/>
    <cellStyle name="Normal 567" xfId="35154" xr:uid="{8D23CE61-D968-4B08-94FB-79413BEDADBC}"/>
    <cellStyle name="Normal 567 2" xfId="53124" xr:uid="{0BEE5E85-862B-46E7-B180-BF4ECF734507}"/>
    <cellStyle name="Normal 568" xfId="53128" xr:uid="{312E1009-967A-4F54-84D9-FF2AD57EEE89}"/>
    <cellStyle name="Normal 568 2" xfId="53130" xr:uid="{611DF635-0BE1-40C1-80E6-74FA4238E171}"/>
    <cellStyle name="Normal 569" xfId="53134" xr:uid="{ADBC466C-0C55-4912-ABE9-6554E0DFEDC4}"/>
    <cellStyle name="Normal 569 2" xfId="53136" xr:uid="{33FA9ED4-17FA-46B3-B8C8-6770686EC980}"/>
    <cellStyle name="Normal 57" xfId="53138" xr:uid="{459AAFC0-7AC1-4A4E-884C-F3E056A50F2D}"/>
    <cellStyle name="Normal 57 2" xfId="53140" xr:uid="{D30BD97B-096B-4D14-BB58-611F203A6647}"/>
    <cellStyle name="Normal 57 2 2" xfId="53142" xr:uid="{A5A276B8-98DF-4ED8-9C36-3B1F1D49464D}"/>
    <cellStyle name="Normal 57 2 3" xfId="53144" xr:uid="{E83AA86F-02F5-4C12-AC88-9691B83AA29C}"/>
    <cellStyle name="Normal 57 2 4" xfId="53146" xr:uid="{D51E48EC-1D5B-49FC-AE95-FFFE8043A49D}"/>
    <cellStyle name="Normal 57 3" xfId="53148" xr:uid="{5B5A63CF-37F4-41F8-A746-466EF7C169E3}"/>
    <cellStyle name="Normal 57 4" xfId="53150" xr:uid="{24FF0988-38DD-44AF-8B2A-57D3C5270B0D}"/>
    <cellStyle name="Normal 57 5" xfId="53151" xr:uid="{83407970-6774-4220-8AF3-8EE73B37F171}"/>
    <cellStyle name="Normal 570" xfId="53114" xr:uid="{207C5679-AB48-49FA-BFA0-610795DB3034}"/>
    <cellStyle name="Normal 570 2" xfId="53116" xr:uid="{5846A755-F773-44D8-8438-FF4510EEE78A}"/>
    <cellStyle name="Normal 571" xfId="53120" xr:uid="{663C2512-9F7D-4424-9059-AC910EB51C0F}"/>
    <cellStyle name="Normal 572" xfId="35153" xr:uid="{CF0FDD66-D302-4B5D-8956-6824AE6BAA88}"/>
    <cellStyle name="Normal 572 2" xfId="53123" xr:uid="{79C9B52C-90E5-42F5-BFA4-0D25C0C08696}"/>
    <cellStyle name="Normal 573" xfId="53127" xr:uid="{6EDC7E59-7447-46F8-BF40-B92ED3D6D443}"/>
    <cellStyle name="Normal 573 2" xfId="53129" xr:uid="{2F447486-EEF7-4D89-B3C0-4C18FB178027}"/>
    <cellStyle name="Normal 574" xfId="53133" xr:uid="{D161ED11-6582-45BD-8D01-6018D0EA6508}"/>
    <cellStyle name="Normal 574 2" xfId="53135" xr:uid="{F55B2A17-9BAB-488A-AF18-A78B3CF3A73F}"/>
    <cellStyle name="Normal 574 3" xfId="53152" xr:uid="{5121B5D1-C7DA-4915-A18B-316B77F2204F}"/>
    <cellStyle name="Normal 575" xfId="53156" xr:uid="{DCD16774-13E9-443F-AF7F-AFF118185ADA}"/>
    <cellStyle name="Normal 575 2" xfId="53158" xr:uid="{3381BED6-B6FA-41EF-BBEB-CD3E2CF81732}"/>
    <cellStyle name="Normal 576" xfId="27409" xr:uid="{61284400-5254-4BFF-8220-1E63FC0A72A5}"/>
    <cellStyle name="Normal 576 2" xfId="53160" xr:uid="{D629CF25-D731-4604-A716-553CEB023365}"/>
    <cellStyle name="Normal 576 3" xfId="53162" xr:uid="{49798070-11BE-4413-B241-67904B9CA1DC}"/>
    <cellStyle name="Normal 577" xfId="53166" xr:uid="{EC1AE0C1-EF69-4366-A96B-A879159E957D}"/>
    <cellStyle name="Normal 577 2" xfId="53168" xr:uid="{9C242CF4-6970-406D-AEC4-562149E21279}"/>
    <cellStyle name="Normal 578" xfId="53172" xr:uid="{63BFBECE-BA49-4905-8A5A-1649C3D1DD38}"/>
    <cellStyle name="Normal 578 2" xfId="53174" xr:uid="{35CAA938-7C26-4DA4-84AB-1CABEF890DE1}"/>
    <cellStyle name="Normal 579" xfId="53178" xr:uid="{87B78446-8907-4EFC-A426-EF8C2B10C560}"/>
    <cellStyle name="Normal 579 2" xfId="53180" xr:uid="{356C9205-3A18-4AE8-8C1D-684AD5DEE516}"/>
    <cellStyle name="Normal 579 3" xfId="53181" xr:uid="{4102A39C-56D8-465D-9486-75C581E1CE70}"/>
    <cellStyle name="Normal 58" xfId="53183" xr:uid="{99AE256D-46E6-4D82-90A7-DFF3DAC1DC9C}"/>
    <cellStyle name="Normal 58 2" xfId="53187" xr:uid="{B46C2F67-CEC4-4B90-A46A-AB98AFEB1338}"/>
    <cellStyle name="Normal 58 2 2" xfId="53189" xr:uid="{2FD36636-CF50-4966-82D2-DCD776DD03CF}"/>
    <cellStyle name="Normal 58 2 2 2" xfId="53190" xr:uid="{53997448-DAB0-46BF-85B5-66821293A742}"/>
    <cellStyle name="Normal 58 2 2 2 2" xfId="53191" xr:uid="{FFD3311D-1E31-43D4-9226-8940A282F908}"/>
    <cellStyle name="Normal 58 2 2 3" xfId="53192" xr:uid="{C6F38DA6-D345-46AD-8C11-4EFFBC355C8B}"/>
    <cellStyle name="Normal 58 2 2 4" xfId="53193" xr:uid="{A8803A8D-6E19-4C2B-83F8-D98C06E88B81}"/>
    <cellStyle name="Normal 58 2 3" xfId="53195" xr:uid="{724A7CFD-D322-4F24-8658-5D97800F08B9}"/>
    <cellStyle name="Normal 58 2 3 2" xfId="53196" xr:uid="{ED34F41C-FF50-4559-9707-96EEB479BD41}"/>
    <cellStyle name="Normal 58 2 4" xfId="53198" xr:uid="{52800FCE-F6B7-4061-8140-40CB03D5B182}"/>
    <cellStyle name="Normal 58 2 5" xfId="53199" xr:uid="{2F7DA013-EF04-4799-8116-7F38FB6E4450}"/>
    <cellStyle name="Normal 58 2 6" xfId="53200" xr:uid="{73E9E4E3-9193-4CA4-84F0-CD3F61D3D682}"/>
    <cellStyle name="Normal 58 3" xfId="53204" xr:uid="{E6DAAB50-032C-4E62-827A-181C11A0BE65}"/>
    <cellStyle name="Normal 58 3 2" xfId="53205" xr:uid="{FD35DD38-09A1-439C-A29F-698B1F87257A}"/>
    <cellStyle name="Normal 58 3 2 2" xfId="53206" xr:uid="{CF1854F6-2E6B-47C0-896A-CBAE6371E966}"/>
    <cellStyle name="Normal 58 3 3" xfId="53207" xr:uid="{369E9805-EA8C-459A-8BAF-4F4126723E91}"/>
    <cellStyle name="Normal 58 3 4" xfId="53208" xr:uid="{6E83E39A-A3E4-4B72-BE91-0F03D0DD9F77}"/>
    <cellStyle name="Normal 58 4" xfId="53212" xr:uid="{4E752682-E330-4407-8B4E-70407D1BBE13}"/>
    <cellStyle name="Normal 58 4 2" xfId="53213" xr:uid="{329F8271-19B6-421F-B9D0-74C2F2AC4E9F}"/>
    <cellStyle name="Normal 58 5" xfId="53216" xr:uid="{C447CA24-766C-497D-AA9F-069BFEE7D9DB}"/>
    <cellStyle name="Normal 58 6" xfId="53219" xr:uid="{6E5D07A8-F6C2-4D8B-AF29-8EE3271AD865}"/>
    <cellStyle name="Normal 580" xfId="53155" xr:uid="{382842D8-554E-46F2-BDD0-4919BE69D304}"/>
    <cellStyle name="Normal 580 2" xfId="53157" xr:uid="{ED4D4946-0747-4798-8D98-2AC3496FD8C2}"/>
    <cellStyle name="Normal 580 3" xfId="53220" xr:uid="{E59F8D04-489F-4424-A84E-808E1723DCD7}"/>
    <cellStyle name="Normal 581" xfId="27408" xr:uid="{B210A6CE-0F82-4C35-994C-0B56A8EA99F1}"/>
    <cellStyle name="Normal 581 2" xfId="53159" xr:uid="{5D0BCA88-0133-4A41-937F-BFDE565BCF46}"/>
    <cellStyle name="Normal 581 3" xfId="53161" xr:uid="{A55FA052-B706-488E-94AE-67B354221FB6}"/>
    <cellStyle name="Normal 582" xfId="53165" xr:uid="{3D6AE462-5BD2-468D-91D1-0C19E7B6A61D}"/>
    <cellStyle name="Normal 582 2" xfId="53167" xr:uid="{2C99EF8C-9256-46D4-BB09-C5E881A2D5A6}"/>
    <cellStyle name="Normal 583" xfId="53171" xr:uid="{0287ED4D-53D6-43D5-9B97-A5382D62B14D}"/>
    <cellStyle name="Normal 583 2" xfId="53173" xr:uid="{3ADCFE46-2C6F-42E0-BEEB-C2ED4B162986}"/>
    <cellStyle name="Normal 584" xfId="53177" xr:uid="{F517BD37-B571-4049-9F5C-71B6BB85AFA2}"/>
    <cellStyle name="Normal 584 2" xfId="53179" xr:uid="{AD670966-C486-4445-A7B1-894CEB250F4D}"/>
    <cellStyle name="Normal 585" xfId="50689" xr:uid="{392E37D3-68DD-4877-A3BE-A99663CB695D}"/>
    <cellStyle name="Normal 585 2" xfId="50691" xr:uid="{8FCFCC7E-18F3-4FB2-8B4E-9BF22A4CAEE6}"/>
    <cellStyle name="Normal 586" xfId="50696" xr:uid="{787401D2-FA68-4874-91D6-A692BD583BEA}"/>
    <cellStyle name="Normal 587" xfId="53224" xr:uid="{18D4DAA5-82D0-42FA-846A-7ECCC1C98952}"/>
    <cellStyle name="Normal 588" xfId="53228" xr:uid="{93A9C065-7BCF-4F5F-8CE1-104360A7F7EB}"/>
    <cellStyle name="Normal 589" xfId="53232" xr:uid="{D872D0D6-2C8B-4F2F-A980-3EEB9677BD8E}"/>
    <cellStyle name="Normal 59" xfId="53234" xr:uid="{A183D4E2-7E8D-4385-BD24-39B9E1B25F66}"/>
    <cellStyle name="Normal 59 2" xfId="53236" xr:uid="{6AA63472-4C68-40FF-BD3F-B44B84C03E9B}"/>
    <cellStyle name="Normal 59 2 2" xfId="53238" xr:uid="{B2C75C0D-D594-440E-8434-E23094EAC493}"/>
    <cellStyle name="Normal 59 2 3" xfId="53240" xr:uid="{9E1F6030-E333-49A5-B70B-1CC3B964BB33}"/>
    <cellStyle name="Normal 59 3" xfId="53242" xr:uid="{A823CE67-0DFA-4892-8D8F-3E7B5BDEB3E5}"/>
    <cellStyle name="Normal 59 4" xfId="53244" xr:uid="{8ABA3936-1A82-43FE-B3CE-6A6F5C19AB03}"/>
    <cellStyle name="Normal 590" xfId="50688" xr:uid="{BB0F72C9-D467-4D24-8280-BE168B90BC41}"/>
    <cellStyle name="Normal 591" xfId="50695" xr:uid="{52C75BB3-A605-4FA3-9880-5EB28298A042}"/>
    <cellStyle name="Normal 592" xfId="53223" xr:uid="{6E4510DA-5FEB-4736-9E0F-12DDFA66682B}"/>
    <cellStyle name="Normal 593" xfId="53227" xr:uid="{23A3AD01-8CCB-42A9-AA40-D72068482EA6}"/>
    <cellStyle name="Normal 594" xfId="53231" xr:uid="{755BB783-6C94-437C-BBD6-87EF5B48B820}"/>
    <cellStyle name="Normal 595" xfId="53248" xr:uid="{6D585581-F2E3-4870-A96F-C8B5428E815B}"/>
    <cellStyle name="Normal 596" xfId="53252" xr:uid="{5A0B7822-B1E8-4B9B-AF4E-2B79FF28E6FD}"/>
    <cellStyle name="Normal 597" xfId="28519" xr:uid="{84CED348-EB9D-45A7-9589-4A60213CE126}"/>
    <cellStyle name="Normal 598" xfId="53256" xr:uid="{B4F2DBC1-314B-49A3-9947-2DF52667A21F}"/>
    <cellStyle name="Normal 599" xfId="53260" xr:uid="{4CD4F0FE-2006-4B51-96CC-9DA17D7F540B}"/>
    <cellStyle name="Normal 6" xfId="53261" xr:uid="{B5C761A9-85D7-4688-BC75-8782F275D495}"/>
    <cellStyle name="Normal 6 10" xfId="53262" xr:uid="{D30A2E20-E4A2-471E-88AA-6BF14AD71B84}"/>
    <cellStyle name="Normal 6 11" xfId="53263" xr:uid="{86F0FFF6-2B36-4DED-B2BD-0BD2C86A0E7F}"/>
    <cellStyle name="Normal 6 12" xfId="53264" xr:uid="{FDE5058F-0116-4DC7-AE40-20653E414119}"/>
    <cellStyle name="Normal 6 13" xfId="53265" xr:uid="{A27BE50D-107B-40CE-AFBF-9E21D49A6221}"/>
    <cellStyle name="Normal 6 14" xfId="37392" xr:uid="{5281777D-7809-4CB1-9D68-084E73727026}"/>
    <cellStyle name="Normal 6 15" xfId="53267" xr:uid="{A96E44D9-F23D-4394-8EA1-3548E3973ECB}"/>
    <cellStyle name="Normal 6 16" xfId="53269" xr:uid="{2C649AD1-4F03-43BB-825E-3DFF7A5E5EE8}"/>
    <cellStyle name="Normal 6 17" xfId="53271" xr:uid="{38F172F5-5A80-446C-82A6-7875827B7954}"/>
    <cellStyle name="Normal 6 18" xfId="53273" xr:uid="{74620814-58B3-4BD4-93B4-F09993ECD746}"/>
    <cellStyle name="Normal 6 19" xfId="53275" xr:uid="{8501B400-C493-434A-A3A9-0061A2401CDB}"/>
    <cellStyle name="Normal 6 2" xfId="34215" xr:uid="{0187250D-6E03-485F-928F-CD0E6106F85D}"/>
    <cellStyle name="Normal 6 2 2" xfId="34875" xr:uid="{48016DB5-B57F-4009-ACA4-BA0CC0A9E672}"/>
    <cellStyle name="Normal 6 2 2 2" xfId="13013" xr:uid="{7A3D447D-6D1E-4E6E-879F-FD580144AD1A}"/>
    <cellStyle name="Normal 6 2 2 2 2" xfId="53276" xr:uid="{0B78E855-3207-41BC-ACC5-9A851E1D4BC3}"/>
    <cellStyle name="Normal 6 2 2 2 2 2" xfId="53277" xr:uid="{564A41EB-9CA3-4E6F-9A3B-7DE4B8F0F85D}"/>
    <cellStyle name="Normal 6 2 2 2 2 2 2" xfId="35212" xr:uid="{3450A472-5756-4630-9913-D13885CF326A}"/>
    <cellStyle name="Normal 6 2 2 2 2 3" xfId="53278" xr:uid="{67A46B08-E21C-4F5D-9BDE-5265CB793A81}"/>
    <cellStyle name="Normal 6 2 2 2 3" xfId="53279" xr:uid="{807999F8-0406-46D1-B48C-700099B054E9}"/>
    <cellStyle name="Normal 6 2 2 2 3 2" xfId="3829" xr:uid="{9D0C384A-8223-495B-B6FA-4FF6202CDE63}"/>
    <cellStyle name="Normal 6 2 2 2 3 2 2" xfId="43288" xr:uid="{3D33994B-0663-41D1-833A-63827A616520}"/>
    <cellStyle name="Normal 6 2 2 2 3 3" xfId="53280" xr:uid="{471CDB57-D924-4633-8E3F-275F13DEC0BA}"/>
    <cellStyle name="Normal 6 2 2 2 4" xfId="53281" xr:uid="{7C033A5D-6EF6-4C1F-AB67-13582534F939}"/>
    <cellStyle name="Normal 6 2 2 2 4 2" xfId="53282" xr:uid="{5D684B83-199C-45B6-BAA8-D91A1D1ADC51}"/>
    <cellStyle name="Normal 6 2 2 2 5" xfId="53283" xr:uid="{3EAA53F9-A283-46BD-BA18-98EB2A516DB0}"/>
    <cellStyle name="Normal 6 2 2 3" xfId="53284" xr:uid="{7F59B28E-3BA7-4E37-BE1D-E64F5B6366C1}"/>
    <cellStyle name="Normal 6 2 2 3 2" xfId="53285" xr:uid="{B4465633-3E77-47B6-BFA4-85837040E263}"/>
    <cellStyle name="Normal 6 2 2 3 2 2" xfId="53286" xr:uid="{72AEC181-CBB6-415F-A10C-AF014756435E}"/>
    <cellStyle name="Normal 6 2 2 3 3" xfId="53287" xr:uid="{356CB5D2-39FC-423B-AC45-5E3389FDCA5B}"/>
    <cellStyle name="Normal 6 2 2 4" xfId="53288" xr:uid="{6829314E-9226-4AF7-9F5C-03E9DBE7F50B}"/>
    <cellStyle name="Normal 6 2 2 4 2" xfId="53289" xr:uid="{8C749990-2B4A-493A-ABAA-463D8116ECFA}"/>
    <cellStyle name="Normal 6 2 2 4 2 2" xfId="53290" xr:uid="{B6B4092C-BB74-452F-8106-4BD3A9D5ABB7}"/>
    <cellStyle name="Normal 6 2 2 4 3" xfId="53291" xr:uid="{36E66F42-CFE6-4E96-8D3F-98711E916012}"/>
    <cellStyle name="Normal 6 2 2 5" xfId="41290" xr:uid="{240575ED-7A2C-4EBF-8D85-85ADB8D24186}"/>
    <cellStyle name="Normal 6 2 2 5 2" xfId="53292" xr:uid="{603DA3F8-EC2E-4A86-B63A-600532F23FEE}"/>
    <cellStyle name="Normal 6 2 2 6" xfId="5840" xr:uid="{86CC7776-9577-445F-B00F-A42E739F67CA}"/>
    <cellStyle name="Normal 6 2 3" xfId="34880" xr:uid="{0027BB60-89AE-468C-A7F7-C6F533237BEA}"/>
    <cellStyle name="Normal 6 2 3 2" xfId="53293" xr:uid="{272231F8-CB85-4C32-9462-37BC411C450B}"/>
    <cellStyle name="Normal 6 2 3 2 2" xfId="53294" xr:uid="{A2C4ECE8-5201-4486-8A75-08266226C43C}"/>
    <cellStyle name="Normal 6 2 3 2 2 2" xfId="53295" xr:uid="{020BDFC0-39CF-4022-8D77-94F18FF65EBF}"/>
    <cellStyle name="Normal 6 2 3 2 3" xfId="53296" xr:uid="{7D55D06B-BFA4-4564-B804-6A54A616B28D}"/>
    <cellStyle name="Normal 6 2 3 3" xfId="53297" xr:uid="{A49DB4F8-BD0A-4076-9904-696FC1552757}"/>
    <cellStyle name="Normal 6 2 3 3 2" xfId="53298" xr:uid="{90561871-70B3-477B-939B-FDF3E1693F5B}"/>
    <cellStyle name="Normal 6 2 3 3 2 2" xfId="53299" xr:uid="{343910E7-F3B8-4BDD-BF94-A0EC2E70CB48}"/>
    <cellStyle name="Normal 6 2 3 3 3" xfId="53300" xr:uid="{D6707225-C5B8-4E47-85EF-DFD61ABFD20F}"/>
    <cellStyle name="Normal 6 2 3 4" xfId="53301" xr:uid="{733A7260-A44A-426E-8D9F-17BA8D300C9E}"/>
    <cellStyle name="Normal 6 2 3 4 2" xfId="53302" xr:uid="{22B6F356-A36B-41E6-A74F-EB002670D673}"/>
    <cellStyle name="Normal 6 2 3 5" xfId="53303" xr:uid="{5CFEC3F6-8AEB-4C2D-9AE1-ABF664B5BF5F}"/>
    <cellStyle name="Normal 6 2 4" xfId="53304" xr:uid="{4D977198-E940-4633-8A0F-A15626CE5323}"/>
    <cellStyle name="Normal 6 2 4 2" xfId="53305" xr:uid="{F524435D-68DC-4D56-AC09-DC28902345E9}"/>
    <cellStyle name="Normal 6 2 4 2 2" xfId="53306" xr:uid="{AFDA5B00-6000-442B-AF49-889A12941B4A}"/>
    <cellStyle name="Normal 6 2 4 3" xfId="53307" xr:uid="{5D656694-69C1-47C1-A33C-F0B09947A93F}"/>
    <cellStyle name="Normal 6 2 5" xfId="53308" xr:uid="{5C0DE0B1-F770-4131-B613-0D4157F5AE2A}"/>
    <cellStyle name="Normal 6 2 5 2" xfId="53309" xr:uid="{1B53C238-D1DC-4521-8ED8-96A31F43BE6A}"/>
    <cellStyle name="Normal 6 2 5 2 2" xfId="53310" xr:uid="{7661DD78-D681-4D16-99EE-8979C34C0835}"/>
    <cellStyle name="Normal 6 2 5 3" xfId="53311" xr:uid="{A63AE0FE-5091-482F-9752-3225AE38A933}"/>
    <cellStyle name="Normal 6 2 6" xfId="53312" xr:uid="{BD6531C5-087B-4100-86C8-26154CD334F3}"/>
    <cellStyle name="Normal 6 2 6 2" xfId="53313" xr:uid="{0EEE127A-E641-4180-B90E-8BD23DF57E01}"/>
    <cellStyle name="Normal 6 2 7" xfId="53314" xr:uid="{49853502-E4F2-4BEF-819B-E84031F40985}"/>
    <cellStyle name="Normal 6 2 8" xfId="53315" xr:uid="{7F61D24F-FEE7-4F83-A232-C698314491F2}"/>
    <cellStyle name="Normal 6 20" xfId="53266" xr:uid="{C5A34C98-E582-46B7-B39F-373AB8C845BD}"/>
    <cellStyle name="Normal 6 21" xfId="53268" xr:uid="{6D8240F2-80BD-416C-806C-71D4FBDB3B48}"/>
    <cellStyle name="Normal 6 22" xfId="53270" xr:uid="{14817745-AB51-4675-8978-F2840A53A7A9}"/>
    <cellStyle name="Normal 6 23" xfId="53272" xr:uid="{A6E2B883-2689-48BD-A626-D4D2F6BE9E59}"/>
    <cellStyle name="Normal 6 24" xfId="53274" xr:uid="{A412D417-1E6D-48CD-9668-9132780FE116}"/>
    <cellStyle name="Normal 6 25" xfId="53317" xr:uid="{8555B37B-7015-4CDA-AC4D-C34859CEE23D}"/>
    <cellStyle name="Normal 6 26" xfId="53319" xr:uid="{C6E3497B-9499-43FB-93CA-EC1A94D2257B}"/>
    <cellStyle name="Normal 6 27" xfId="53321" xr:uid="{98B87512-FEF2-4AFB-8640-D177C48E036B}"/>
    <cellStyle name="Normal 6 28" xfId="53323" xr:uid="{40F56D80-F370-4440-A9D7-364C3954901B}"/>
    <cellStyle name="Normal 6 29" xfId="53325" xr:uid="{A04136F1-9835-492C-9FF3-55F83DAFEEC2}"/>
    <cellStyle name="Normal 6 3" xfId="20448" xr:uid="{CF7B6D39-ECA8-45A9-8257-441DA0CDF273}"/>
    <cellStyle name="Normal 6 3 2" xfId="30435" xr:uid="{C8794084-BB49-4BF5-BCED-E0C8B5F60F20}"/>
    <cellStyle name="Normal 6 3 2 2" xfId="30441" xr:uid="{4688554A-F281-4980-8500-46B3732EC174}"/>
    <cellStyle name="Normal 6 3 2 2 2" xfId="53326" xr:uid="{0693AFB5-829A-4866-A056-2DD3D939B6BB}"/>
    <cellStyle name="Normal 6 3 2 2 2 2" xfId="53327" xr:uid="{70B16E42-C9F9-4D67-A994-CAF067C393E8}"/>
    <cellStyle name="Normal 6 3 2 2 3" xfId="53328" xr:uid="{E915CAF6-A2B3-498A-AC4C-4CDF8C1DF49B}"/>
    <cellStyle name="Normal 6 3 2 3" xfId="53329" xr:uid="{A606B864-F50E-4257-91BF-11D91F9AD1D5}"/>
    <cellStyle name="Normal 6 3 2 3 2" xfId="53330" xr:uid="{D7B1E92D-A88A-49F3-AF40-E241105B4FA0}"/>
    <cellStyle name="Normal 6 3 2 3 2 2" xfId="53331" xr:uid="{C7E03599-A676-468C-84C0-355E8DFCC354}"/>
    <cellStyle name="Normal 6 3 2 3 3" xfId="53332" xr:uid="{16C7357D-FE71-4899-AEA0-113BEACC06DB}"/>
    <cellStyle name="Normal 6 3 2 4" xfId="53333" xr:uid="{0B06E827-037A-405B-8174-D279422E8473}"/>
    <cellStyle name="Normal 6 3 2 4 2" xfId="53334" xr:uid="{F6A856D7-9B4C-44F8-919A-998016FB6EF4}"/>
    <cellStyle name="Normal 6 3 2 5" xfId="41295" xr:uid="{DE87E642-AFB1-46AA-BC4C-FA8C338248CA}"/>
    <cellStyle name="Normal 6 3 3" xfId="30447" xr:uid="{E929391E-BB8A-4DCA-B5A0-F9552E680494}"/>
    <cellStyle name="Normal 6 3 3 2" xfId="53335" xr:uid="{A8B86E4A-A786-4311-A5E3-5D7377ED9177}"/>
    <cellStyle name="Normal 6 3 3 2 2" xfId="53336" xr:uid="{5051C292-26DC-4423-9F58-EBA537F1AF2F}"/>
    <cellStyle name="Normal 6 3 3 3" xfId="53337" xr:uid="{3D0D41BD-ADD7-4D85-96F9-B77E3497F064}"/>
    <cellStyle name="Normal 6 3 4" xfId="53338" xr:uid="{7AB1CB38-5629-41E4-B1CC-94238CE60D99}"/>
    <cellStyle name="Normal 6 3 4 2" xfId="53339" xr:uid="{063E9FE3-9E89-49C8-8364-C5EF4A916B7D}"/>
    <cellStyle name="Normal 6 3 4 2 2" xfId="53340" xr:uid="{0472C688-8FF7-4CB0-9B21-C1D61212E4FF}"/>
    <cellStyle name="Normal 6 3 4 3" xfId="53341" xr:uid="{D5087495-550E-40E1-B333-4474501CBEC7}"/>
    <cellStyle name="Normal 6 3 5" xfId="53342" xr:uid="{53199467-F43E-4CBC-B6C6-F476491030C3}"/>
    <cellStyle name="Normal 6 3 5 2" xfId="53343" xr:uid="{73855F8F-1856-48EC-9080-97C83C391250}"/>
    <cellStyle name="Normal 6 3 6" xfId="53344" xr:uid="{FE979D4A-054B-4679-ACCB-6E4679BDF2C0}"/>
    <cellStyle name="Normal 6 3 7" xfId="53345" xr:uid="{D6B4EAC3-3ECB-460E-A3FF-2B3590BD0491}"/>
    <cellStyle name="Normal 6 30" xfId="53316" xr:uid="{CA3A879A-8494-4A92-9AE7-6894716B0570}"/>
    <cellStyle name="Normal 6 31" xfId="53318" xr:uid="{9913332A-27B3-4C68-B213-9A64237F653B}"/>
    <cellStyle name="Normal 6 32" xfId="53320" xr:uid="{D88A89DF-35BF-43C2-A834-A97660CB9795}"/>
    <cellStyle name="Normal 6 33" xfId="53322" xr:uid="{D645E295-746A-4F05-992B-F8D9D3904101}"/>
    <cellStyle name="Normal 6 34" xfId="53324" xr:uid="{70AD7824-3AB0-49D2-BB88-9D0E2713B1C5}"/>
    <cellStyle name="Normal 6 35" xfId="26534" xr:uid="{B7DAFB87-BDF6-45E6-A43C-05F71B867D90}"/>
    <cellStyle name="Normal 6 36" xfId="26558" xr:uid="{CA1C0D89-C82F-498A-B6CC-31084AF8F02D}"/>
    <cellStyle name="Normal 6 37" xfId="24172" xr:uid="{41CC3AEF-A75C-4557-844C-B69FDAFA909F}"/>
    <cellStyle name="Normal 6 38" xfId="24181" xr:uid="{1862EB7A-F118-4B2F-BCB8-025A85024B12}"/>
    <cellStyle name="Normal 6 39" xfId="26570" xr:uid="{B2805A91-0DD6-4F24-9FDC-74EA4A2A32B7}"/>
    <cellStyle name="Normal 6 4" xfId="30453" xr:uid="{5DA2987D-2F43-47FD-8718-C333993D02F3}"/>
    <cellStyle name="Normal 6 4 2" xfId="30460" xr:uid="{5E290948-2D59-4C03-B40E-EEF073F3338D}"/>
    <cellStyle name="Normal 6 4 2 2" xfId="34885" xr:uid="{4F021D23-4DFE-43E5-8E26-23E138275B11}"/>
    <cellStyle name="Normal 6 4 2 2 2" xfId="53346" xr:uid="{A72D93C5-EE6C-49D6-A8D9-B7384B2F30AA}"/>
    <cellStyle name="Normal 6 4 2 3" xfId="42026" xr:uid="{78A1D495-F206-4C2C-8981-703FC4BDF0C2}"/>
    <cellStyle name="Normal 6 4 3" xfId="34890" xr:uid="{F94F6B68-B388-429D-9529-9C843EB8B0E4}"/>
    <cellStyle name="Normal 6 4 3 2" xfId="53347" xr:uid="{BA59E57F-67B5-422A-A23A-ECFAAD5485C4}"/>
    <cellStyle name="Normal 6 4 3 2 2" xfId="53348" xr:uid="{3E82322E-0FA9-4CBD-886F-6F0D4E358063}"/>
    <cellStyle name="Normal 6 4 3 3" xfId="42031" xr:uid="{B8573D3E-785C-4456-977C-DA8BD4AE6478}"/>
    <cellStyle name="Normal 6 4 4" xfId="53349" xr:uid="{9809FB21-9F0A-488D-A170-EE585B1D03A1}"/>
    <cellStyle name="Normal 6 4 4 2" xfId="53350" xr:uid="{C210B291-D317-4053-A9C2-A1537270B589}"/>
    <cellStyle name="Normal 6 4 5" xfId="53351" xr:uid="{0CC89CBF-90B4-4E6D-B5FA-855C8860EFA0}"/>
    <cellStyle name="Normal 6 4 6" xfId="53352" xr:uid="{DCCA8F49-38A5-4754-A65C-CCAF6DA87146}"/>
    <cellStyle name="Normal 6 40" xfId="26533" xr:uid="{6ACF2870-A0F3-4B4D-9937-3799B12E3454}"/>
    <cellStyle name="Normal 6 41" xfId="26557" xr:uid="{DC37B43E-D9CA-4467-BA82-AD2C1A437C28}"/>
    <cellStyle name="Normal 6 42" xfId="24171" xr:uid="{DF6B32FF-311F-4999-AE0B-5ECD5B34EFFE}"/>
    <cellStyle name="Normal 6 43" xfId="24180" xr:uid="{4CCD1675-9B3E-4F82-AA9F-D4441686531A}"/>
    <cellStyle name="Normal 6 44" xfId="26569" xr:uid="{867CC3BD-A475-4A17-9E0F-D5008788054D}"/>
    <cellStyle name="Normal 6 45" xfId="26575" xr:uid="{E0988302-38A7-408B-8883-6A3B8F3243EC}"/>
    <cellStyle name="Normal 6 46" xfId="47662" xr:uid="{F0AF8CFB-C3DF-490D-81CB-3476450F3EFA}"/>
    <cellStyle name="Normal 6 47" xfId="47934" xr:uid="{2C13AC12-37BD-4298-B6BD-1193E72A82F3}"/>
    <cellStyle name="Normal 6 48" xfId="48048" xr:uid="{DEA13D1B-F582-4BA0-A2FC-EB43FA4A03FE}"/>
    <cellStyle name="Normal 6 49" xfId="48118" xr:uid="{73862013-9F66-4EFC-A7E3-ECEF6D32AE2D}"/>
    <cellStyle name="Normal 6 5" xfId="30467" xr:uid="{263CC2E6-4F0B-416D-87B0-F464DA3149B4}"/>
    <cellStyle name="Normal 6 5 2" xfId="34903" xr:uid="{507E85D0-B728-42E8-92DE-2115CDCCA92A}"/>
    <cellStyle name="Normal 6 5 2 2" xfId="34908" xr:uid="{BFCD0BE9-03A4-4443-8EF4-9AD3C6196A23}"/>
    <cellStyle name="Normal 6 5 3" xfId="34913" xr:uid="{025B277C-D3AA-47BD-80B3-13536962A3DD}"/>
    <cellStyle name="Normal 6 50" xfId="26574" xr:uid="{1F884166-1742-4CA8-BD58-2E6518F8B108}"/>
    <cellStyle name="Normal 6 51" xfId="47661" xr:uid="{24C8A030-B6B8-48A1-B06D-89D72AD5485C}"/>
    <cellStyle name="Normal 6 52" xfId="47933" xr:uid="{56FEF830-2776-4269-9748-F62F491FE54B}"/>
    <cellStyle name="Normal 6 53" xfId="48047" xr:uid="{9273E705-8FB1-4A9F-89C2-DCF7D9E7C574}"/>
    <cellStyle name="Normal 6 54" xfId="48117" xr:uid="{55DD2DD8-4D85-4BCC-9062-AABFF115A06C}"/>
    <cellStyle name="Normal 6 55" xfId="53353" xr:uid="{D6C3C003-59DB-4693-A938-181C7EFF04BB}"/>
    <cellStyle name="Normal 6 56" xfId="53354" xr:uid="{7FBA173A-FCA8-4FDF-8610-D3D9D0DAC025}"/>
    <cellStyle name="Normal 6 57" xfId="53355" xr:uid="{57573FE1-97EA-41BF-9EFD-488C4916239D}"/>
    <cellStyle name="Normal 6 57 2" xfId="53356" xr:uid="{EA3BD174-654F-47CE-8FC6-098B7527AC9C}"/>
    <cellStyle name="Normal 6 58" xfId="53357" xr:uid="{B44BD836-686A-4270-A2DE-A10F92C4841D}"/>
    <cellStyle name="Normal 6 6" xfId="29738" xr:uid="{41931A82-6C32-4D58-9E71-DB5A2F9CB857}"/>
    <cellStyle name="Normal 6 6 2" xfId="34918" xr:uid="{E4C51A7C-6C18-4EE8-BBAE-FB4091749A50}"/>
    <cellStyle name="Normal 6 6 2 2" xfId="34923" xr:uid="{07B7BB8A-ECB6-44F9-A908-CCEDA431EC6F}"/>
    <cellStyle name="Normal 6 6 3" xfId="34928" xr:uid="{F5CB76F0-B9AF-4ACD-AB73-B83B256D63D8}"/>
    <cellStyle name="Normal 6 7" xfId="28305" xr:uid="{F77F5633-B357-4204-93EA-BB50E0B79B47}"/>
    <cellStyle name="Normal 6 7 2" xfId="28313" xr:uid="{26669B60-F7A9-46BB-BA70-D377F3F36AB9}"/>
    <cellStyle name="Normal 6 8" xfId="28335" xr:uid="{AA2237CE-0D3A-4AA4-A240-606B0B715D19}"/>
    <cellStyle name="Normal 6 8 2" xfId="28342" xr:uid="{0D9DF139-A079-4032-9732-9E984F3FA28C}"/>
    <cellStyle name="Normal 6 8 2 2" xfId="28350" xr:uid="{B00392BA-CE64-4E56-A52E-3F38D005355F}"/>
    <cellStyle name="Normal 6 8 3" xfId="28362" xr:uid="{6376B800-AE49-46AC-AA8B-B2E0A7B48A41}"/>
    <cellStyle name="Normal 6 9" xfId="28374" xr:uid="{AC8BD9F6-25B2-40A8-8740-78859952B3B0}"/>
    <cellStyle name="Normal 6_Data RESTORAN Q209_Latest_Indeks 151009-eina" xfId="53358" xr:uid="{E8C27963-D33F-4254-BCBB-C6712F82FAC7}"/>
    <cellStyle name="Normal 60" xfId="3735" xr:uid="{83517FBF-20DB-4635-9C0B-C63247C3FDFD}"/>
    <cellStyle name="Normal 60 2" xfId="15366" xr:uid="{E6D3E7CF-95C8-4BD6-8F03-960B2288D3E4}"/>
    <cellStyle name="Normal 60 2 2" xfId="53041" xr:uid="{BD63A7C7-C32E-432A-B1C3-497C26AD2352}"/>
    <cellStyle name="Normal 60 2 2 2" xfId="53043" xr:uid="{6E282CFC-035D-48AE-98FD-0B676ED85542}"/>
    <cellStyle name="Normal 60 2 2 3" xfId="53048" xr:uid="{AB50F7CB-A518-4CB0-9217-DDAE720252E7}"/>
    <cellStyle name="Normal 60 2 3" xfId="53053" xr:uid="{C4F65C12-6378-4484-8722-0C8DEB773899}"/>
    <cellStyle name="Normal 60 2 4" xfId="53058" xr:uid="{65E33885-7A83-407C-8E7B-599F7E8CA007}"/>
    <cellStyle name="Normal 60 2 5" xfId="53061" xr:uid="{F457BC8A-8744-4F16-8ACC-8E5718B28C19}"/>
    <cellStyle name="Normal 60 3" xfId="53065" xr:uid="{F5255F40-7DCD-48D4-BB54-D76CC6E5BD4F}"/>
    <cellStyle name="Normal 60 3 2" xfId="53067" xr:uid="{FE827DBE-3BFD-4029-A44C-B300927353B1}"/>
    <cellStyle name="Normal 60 3 3" xfId="53072" xr:uid="{0312FBB9-6CF9-4A45-8A3C-F191A45931AF}"/>
    <cellStyle name="Normal 60 4" xfId="53077" xr:uid="{8987D26B-9FD5-415B-9402-82C63FE17EFE}"/>
    <cellStyle name="Normal 60 5" xfId="46336" xr:uid="{A3912E28-0D51-4EA0-8FFA-27ED3C35304E}"/>
    <cellStyle name="Normal 600" xfId="52856" xr:uid="{EEF5D6D1-51B8-4C30-BA1B-878903F9665D}"/>
    <cellStyle name="Normal 601" xfId="52864" xr:uid="{A17C8E0D-9A24-470B-8D9A-6F83C9254DA6}"/>
    <cellStyle name="Normal 602" xfId="28496" xr:uid="{9BB58722-3859-450F-968F-AA26D7D6EA4D}"/>
    <cellStyle name="Normal 603" xfId="13969" xr:uid="{AAEB8986-46FD-481C-8CBC-722DA0C19FCD}"/>
    <cellStyle name="Normal 604" xfId="9641" xr:uid="{5E52EA17-12AC-43F2-906D-53568D8D9402}"/>
    <cellStyle name="Normal 605" xfId="53087" xr:uid="{D60984FE-2009-4EBE-AE75-62B17BD98986}"/>
    <cellStyle name="Normal 606" xfId="8193" xr:uid="{DBFF07FC-FB41-462B-A6D1-FE74B24CB1F6}"/>
    <cellStyle name="Normal 607" xfId="8204" xr:uid="{23629CED-D0E5-4729-AF1D-FE426A9E0125}"/>
    <cellStyle name="Normal 608" xfId="53093" xr:uid="{6559A431-0E85-4532-91EB-472F4504D29F}"/>
    <cellStyle name="Normal 609" xfId="53099" xr:uid="{A5E9D02C-F877-4652-82A0-2C295066F3FB}"/>
    <cellStyle name="Normal 61" xfId="15370" xr:uid="{B3D596E8-1454-446F-B8EC-5379B5A60996}"/>
    <cellStyle name="Normal 61 2" xfId="53104" xr:uid="{B0A0AA0C-1033-4490-BD5B-649508994C69}"/>
    <cellStyle name="Normal 61 2 2" xfId="53106" xr:uid="{1FAAA4FE-CE37-40F6-A775-A9E01DEE2651}"/>
    <cellStyle name="Normal 61 2 3" xfId="29256" xr:uid="{7C82D0D3-4053-4017-95BA-D834A38BB082}"/>
    <cellStyle name="Normal 61 3" xfId="53108" xr:uid="{3025127E-6D87-4342-AF5B-7D87BD9B2720}"/>
    <cellStyle name="Normal 61 4" xfId="53110" xr:uid="{DD1D94E9-EF94-4DE1-A119-5C268C871555}"/>
    <cellStyle name="Normal 610" xfId="53086" xr:uid="{C63E6765-E358-4626-BC9A-C1C4332B11DA}"/>
    <cellStyle name="Normal 611" xfId="8192" xr:uid="{AB25836B-593B-401C-B4C1-1BC249827FDD}"/>
    <cellStyle name="Normal 612" xfId="8203" xr:uid="{919888BF-FC2D-42A0-998A-8C2ACFFB96D8}"/>
    <cellStyle name="Normal 613" xfId="53092" xr:uid="{C19F6137-67D0-432A-A2F1-E1C3E112D395}"/>
    <cellStyle name="Normal 614" xfId="53098" xr:uid="{E54E7B64-7630-4F3B-90F9-C01A3C3617E6}"/>
    <cellStyle name="Normal 615" xfId="53113" xr:uid="{143948F0-3259-4D0E-BDCB-36F380F0B499}"/>
    <cellStyle name="Normal 616" xfId="53119" xr:uid="{FB99B020-7AD0-480F-8187-D9150619574C}"/>
    <cellStyle name="Normal 617" xfId="35152" xr:uid="{DFC4C993-9697-4751-BFA4-EC22A1BA2CDB}"/>
    <cellStyle name="Normal 618" xfId="53126" xr:uid="{9B2CA052-F1F0-40CB-A47B-E93DCC90DD7A}"/>
    <cellStyle name="Normal 619" xfId="53132" xr:uid="{D6D8F270-EAC2-4689-8E25-11DD661B365B}"/>
    <cellStyle name="Normal 62" xfId="53137" xr:uid="{CD341FD2-E504-47D7-B0BB-331AC4C46FFB}"/>
    <cellStyle name="Normal 62 2" xfId="53139" xr:uid="{29C92228-E43B-494E-A33F-79A7A42C844B}"/>
    <cellStyle name="Normal 62 2 2" xfId="53141" xr:uid="{B18A46C4-7CFB-4AF1-AE37-3218377B6C0B}"/>
    <cellStyle name="Normal 62 2 2 2" xfId="53359" xr:uid="{CB0E86EB-9B50-4E10-AF56-F06B1738FBA4}"/>
    <cellStyle name="Normal 62 2 3" xfId="53143" xr:uid="{8196D8A0-7D4A-4559-A3A0-B37036AD81B3}"/>
    <cellStyle name="Normal 62 2 4" xfId="53145" xr:uid="{4BA3ED27-43B3-40EC-B184-FF0AE452D7CD}"/>
    <cellStyle name="Normal 62 3" xfId="53147" xr:uid="{A988F12A-46BE-4918-9030-E47C53948263}"/>
    <cellStyle name="Normal 62 3 2" xfId="53360" xr:uid="{AFC87579-D025-457C-AFB7-F21E183EADCA}"/>
    <cellStyle name="Normal 62 4" xfId="53149" xr:uid="{6E062F82-E2B3-4154-A27E-9F3E66803E12}"/>
    <cellStyle name="Normal 620" xfId="53112" xr:uid="{777F2297-A38F-47CA-8EE4-DAFBADA47686}"/>
    <cellStyle name="Normal 621" xfId="53118" xr:uid="{7BA8A8D7-5641-4064-B0C4-E37DFC175C13}"/>
    <cellStyle name="Normal 622" xfId="35151" xr:uid="{0EAA50CC-745B-4E47-BDB4-DDD9D439C304}"/>
    <cellStyle name="Normal 623" xfId="53125" xr:uid="{14F53DB6-0CEA-4D32-8F28-68E02DB7DF05}"/>
    <cellStyle name="Normal 624" xfId="53131" xr:uid="{F7786125-346F-4746-B702-3B907FA963F5}"/>
    <cellStyle name="Normal 625" xfId="53154" xr:uid="{04DC3EE3-9848-4B75-A3EF-ADC9627AC485}"/>
    <cellStyle name="Normal 626" xfId="27407" xr:uid="{3EF0E764-002C-44D7-9164-577B70B5DD63}"/>
    <cellStyle name="Normal 627" xfId="53164" xr:uid="{260F9678-432C-4E5E-8F92-968799018181}"/>
    <cellStyle name="Normal 628" xfId="53170" xr:uid="{475F272C-9A49-4AA0-A9B6-BD0C17B2CBA3}"/>
    <cellStyle name="Normal 629" xfId="53176" xr:uid="{BD345A2D-0B77-44C7-AE96-50E38AA7D1D1}"/>
    <cellStyle name="Normal 63" xfId="53182" xr:uid="{619851B9-9891-499C-8A0E-724908663EE6}"/>
    <cellStyle name="Normal 63 2" xfId="53186" xr:uid="{F4C50D77-0D53-4E27-A1BF-ADC2DD208B6D}"/>
    <cellStyle name="Normal 63 2 2" xfId="53188" xr:uid="{9AA209F9-24F2-4788-92C4-65D4FF2F5F85}"/>
    <cellStyle name="Normal 63 2 3" xfId="53194" xr:uid="{95C316E1-2A75-4EA7-BBB6-2DFC2384B54E}"/>
    <cellStyle name="Normal 63 2 4" xfId="53197" xr:uid="{A0D2B0C9-85E1-4439-9DBD-EF6B697D35E2}"/>
    <cellStyle name="Normal 63 3" xfId="53203" xr:uid="{1E42BEE8-BFDC-4637-9BAB-4BD1A9E6102F}"/>
    <cellStyle name="Normal 63 4" xfId="53211" xr:uid="{4356B960-2DB6-426C-AAF2-0D52183BFE4C}"/>
    <cellStyle name="Normal 630" xfId="53153" xr:uid="{B472000F-C95B-467D-A33D-059F41498BA1}"/>
    <cellStyle name="Normal 631" xfId="27406" xr:uid="{D0068E85-F2F0-4555-B0A3-BB9304D1FA57}"/>
    <cellStyle name="Normal 632" xfId="53163" xr:uid="{89A3C536-99B8-4902-AB87-A4E0CF013C69}"/>
    <cellStyle name="Normal 633" xfId="53169" xr:uid="{2E2C19B0-0410-444B-B303-435CCB3C738A}"/>
    <cellStyle name="Normal 634" xfId="53175" xr:uid="{38E41DA8-2476-40D8-BA07-631CA1EB412B}"/>
    <cellStyle name="Normal 635" xfId="50687" xr:uid="{B19A8B33-C060-455E-B446-65075A1E931A}"/>
    <cellStyle name="Normal 636" xfId="50694" xr:uid="{9CC15EDB-C70D-4DE0-A7BE-E06DD10B3C4F}"/>
    <cellStyle name="Normal 637" xfId="53222" xr:uid="{956B998B-24BA-4740-BC8B-FEDFDCD5F522}"/>
    <cellStyle name="Normal 638" xfId="53226" xr:uid="{84A49FBD-BECC-47E9-93FD-3EFC523B75E7}"/>
    <cellStyle name="Normal 639" xfId="53230" xr:uid="{AEBA3EF0-C790-4813-9E81-2859256F157D}"/>
    <cellStyle name="Normal 64" xfId="53233" xr:uid="{BED9ECB2-0E55-447F-BF2D-F30F1EE2F829}"/>
    <cellStyle name="Normal 64 2" xfId="53235" xr:uid="{2705B72D-CEDD-4628-AE03-9E7C6C573FEC}"/>
    <cellStyle name="Normal 64 2 2" xfId="53237" xr:uid="{3A06A008-61C9-45B3-B026-72B6E3C04661}"/>
    <cellStyle name="Normal 64 2 3" xfId="53239" xr:uid="{B004C1E8-334A-4F1F-B64C-7B832D8392EA}"/>
    <cellStyle name="Normal 64 2 4" xfId="53361" xr:uid="{86465A2A-6039-4BBF-B923-223082177E73}"/>
    <cellStyle name="Normal 64 3" xfId="53241" xr:uid="{0F5B908E-60B0-4788-A3E5-E6115769EBBD}"/>
    <cellStyle name="Normal 64 4" xfId="53243" xr:uid="{CEC0C552-5408-4B53-B266-D469EB5F05C3}"/>
    <cellStyle name="Normal 640" xfId="50686" xr:uid="{1A03F8B4-4F92-4142-9F75-CCBFA244C691}"/>
    <cellStyle name="Normal 641" xfId="50693" xr:uid="{06D21B6B-62D4-48A4-BF0F-24F5EC5A86B7}"/>
    <cellStyle name="Normal 642" xfId="53221" xr:uid="{2173F75C-B5C5-4020-A9A2-9DB66495EDCF}"/>
    <cellStyle name="Normal 643" xfId="53225" xr:uid="{2BCD2392-0FCC-48C3-81CB-6DC3DF6DF73F}"/>
    <cellStyle name="Normal 644" xfId="53229" xr:uid="{4FCE0FBA-8B83-43AA-9216-A0A3FBE76D50}"/>
    <cellStyle name="Normal 645" xfId="53247" xr:uid="{AE2918A4-6C21-45C1-85EB-FAF1C0FCDC83}"/>
    <cellStyle name="Normal 646" xfId="53251" xr:uid="{EB2DC39E-601C-4497-9407-0336E002AD4D}"/>
    <cellStyle name="Normal 647" xfId="28518" xr:uid="{09A69672-C0B1-45AF-83CD-DA5992B6F5BD}"/>
    <cellStyle name="Normal 648" xfId="53255" xr:uid="{8937BA59-55B4-4EAE-B54C-32D0A74DABDE}"/>
    <cellStyle name="Normal 649" xfId="53259" xr:uid="{F90E4113-7EE2-4D79-BA6F-3619A3E8CE6D}"/>
    <cellStyle name="Normal 65" xfId="53363" xr:uid="{CC50F528-CA8B-4289-9F6B-DD58520FFB58}"/>
    <cellStyle name="Normal 65 2" xfId="53365" xr:uid="{E6FA6214-A926-4CE6-9DAB-0AF81AC35FC4}"/>
    <cellStyle name="Normal 65 2 2" xfId="53367" xr:uid="{07B038B0-00F4-4E1C-9AAF-8D019D30D54B}"/>
    <cellStyle name="Normal 65 3" xfId="53369" xr:uid="{39551456-FD7F-4126-97D1-87F10E1B4AFF}"/>
    <cellStyle name="Normal 65 4" xfId="53371" xr:uid="{79CEEA04-E219-478E-A265-7918346721D9}"/>
    <cellStyle name="Normal 650" xfId="53246" xr:uid="{840A7154-624B-42ED-BD8C-D9C1877B4051}"/>
    <cellStyle name="Normal 651" xfId="53250" xr:uid="{4BA72331-6167-4D9B-9C7F-9D30C048EC50}"/>
    <cellStyle name="Normal 652" xfId="28517" xr:uid="{43D6A622-C3E5-4BEB-8A01-87C789BC3379}"/>
    <cellStyle name="Normal 653" xfId="53254" xr:uid="{95B77174-A61E-4D51-A118-A2045B68473F}"/>
    <cellStyle name="Normal 654" xfId="53258" xr:uid="{DD568E8F-34D6-49DB-96B7-EB4E821C1E21}"/>
    <cellStyle name="Normal 655" xfId="53375" xr:uid="{FF873D5F-8E0F-4BE4-86BB-D158E38B2DE6}"/>
    <cellStyle name="Normal 656" xfId="8215" xr:uid="{102C022D-F5CA-49F1-848F-C60AD8AC1B9F}"/>
    <cellStyle name="Normal 657" xfId="53379" xr:uid="{5EC75E91-A897-4C1C-9F8A-67B26CA0172A}"/>
    <cellStyle name="Normal 658" xfId="53383" xr:uid="{9886AA82-530F-482D-A937-4CFE7176C4A1}"/>
    <cellStyle name="Normal 658 2" xfId="53385" xr:uid="{54649F4F-EDC4-4F39-B198-E5EF10AD8A08}"/>
    <cellStyle name="Normal 659" xfId="53389" xr:uid="{8CC718F0-08A2-4D2A-A045-C8F97C632824}"/>
    <cellStyle name="Normal 66" xfId="53391" xr:uid="{B2067DE2-69F7-44C6-A439-E49992AF8762}"/>
    <cellStyle name="Normal 66 2" xfId="53393" xr:uid="{422A8743-2EB6-4D20-92D0-CEDF6C73AF33}"/>
    <cellStyle name="Normal 66 2 2" xfId="53395" xr:uid="{2B1C78B9-C1C8-4249-B939-64B158287738}"/>
    <cellStyle name="Normal 66 3" xfId="53397" xr:uid="{2075D11D-46F5-41CA-9AC7-91CC1D470817}"/>
    <cellStyle name="Normal 66 4" xfId="53398" xr:uid="{249118DD-E6B3-41F8-B129-84CE86D6C752}"/>
    <cellStyle name="Normal 660" xfId="53374" xr:uid="{360F05DD-BAA9-4CC9-AEDE-9D4B56D45ADE}"/>
    <cellStyle name="Normal 661" xfId="8214" xr:uid="{34B6255F-856D-4998-AFBC-78862C4905AD}"/>
    <cellStyle name="Normal 662" xfId="53378" xr:uid="{83872F75-6FC8-4AFB-950F-1118F1292FDE}"/>
    <cellStyle name="Normal 663" xfId="53382" xr:uid="{BCFAAC7F-5DEA-4F2E-B93D-A684407FB44D}"/>
    <cellStyle name="Normal 664" xfId="53388" xr:uid="{B73E6D97-AB2F-4671-9CE1-6AC6AE493A0B}"/>
    <cellStyle name="Normal 665" xfId="53402" xr:uid="{F31D821F-C1F6-4461-BE9D-DEE73812E948}"/>
    <cellStyle name="Normal 666" xfId="53406" xr:uid="{4A17804D-29A9-4AD8-968C-FDD8EF00E667}"/>
    <cellStyle name="Normal 667" xfId="53410" xr:uid="{AA4AE34C-EAF4-4886-AD1B-E3D96FAD4BF5}"/>
    <cellStyle name="Normal 668" xfId="53414" xr:uid="{09687C4B-DF85-4C4C-979C-383A350E0655}"/>
    <cellStyle name="Normal 669" xfId="53418" xr:uid="{F72745E5-8488-4C16-956A-AFB1491FAA33}"/>
    <cellStyle name="Normal 67" xfId="53420" xr:uid="{14253451-A231-44EB-B466-DBDA734BB8ED}"/>
    <cellStyle name="Normal 67 2" xfId="53422" xr:uid="{B3A4F1FA-D0B3-4DE1-BF3D-3EBCE4B06A60}"/>
    <cellStyle name="Normal 67 2 2" xfId="53424" xr:uid="{1354B437-581D-4560-B82A-765C5020777A}"/>
    <cellStyle name="Normal 67 3" xfId="53426" xr:uid="{1A2C3BA2-FA54-462B-ABD1-E31292ADF027}"/>
    <cellStyle name="Normal 67 4" xfId="53427" xr:uid="{2E52D883-14BB-4E5B-ACCC-B923D043C3B2}"/>
    <cellStyle name="Normal 670" xfId="53401" xr:uid="{AD4AF340-5272-4A70-B291-04F94D35A986}"/>
    <cellStyle name="Normal 671" xfId="53405" xr:uid="{C9A8DD85-2BC6-4802-9B95-5CFB29EFEAA9}"/>
    <cellStyle name="Normal 672" xfId="53409" xr:uid="{4524A9B2-C6B0-4279-A7A6-26674BD9DAF6}"/>
    <cellStyle name="Normal 673" xfId="53413" xr:uid="{8CEB1C4D-A700-4EBD-84A9-F8E40096C82E}"/>
    <cellStyle name="Normal 674" xfId="53417" xr:uid="{AD473744-6CC4-46FB-9433-46C72B4E3BAD}"/>
    <cellStyle name="Normal 675" xfId="53431" xr:uid="{1590F655-3762-4FDA-97B2-A726CD8332D9}"/>
    <cellStyle name="Normal 676" xfId="53435" xr:uid="{1FF5AAEC-DBE8-4D59-ADC7-B3AC8D4278F3}"/>
    <cellStyle name="Normal 677" xfId="53439" xr:uid="{814A273B-C7D9-41F9-80E0-C6683F9F15BC}"/>
    <cellStyle name="Normal 678" xfId="53443" xr:uid="{31E03229-C3D9-4EBE-AFF0-834FA6D63527}"/>
    <cellStyle name="Normal 679" xfId="53447" xr:uid="{C094EE14-2532-439E-8020-02CE472A6E08}"/>
    <cellStyle name="Normal 68" xfId="53449" xr:uid="{69642C3D-B129-4BDF-BEEB-E9E58BA80996}"/>
    <cellStyle name="Normal 68 2" xfId="53451" xr:uid="{4BD8725D-8E3C-4176-B8A8-E424300A065F}"/>
    <cellStyle name="Normal 68 2 2" xfId="53453" xr:uid="{E2A226A8-3DA1-44E8-8687-D8819C69920A}"/>
    <cellStyle name="Normal 68 3" xfId="53455" xr:uid="{899DE887-D871-44C5-A657-D09949BCCE32}"/>
    <cellStyle name="Normal 68 4" xfId="53456" xr:uid="{35384945-66F1-42F9-9FF4-F95C673C26F0}"/>
    <cellStyle name="Normal 680" xfId="53430" xr:uid="{80E77DB0-CD74-4289-A90F-E0C54B4EF04B}"/>
    <cellStyle name="Normal 681" xfId="53434" xr:uid="{8F79D14A-B5F8-498D-8266-109631FEA50F}"/>
    <cellStyle name="Normal 682" xfId="53438" xr:uid="{BE5E6893-3B5D-434D-8608-79569FFBE950}"/>
    <cellStyle name="Normal 683" xfId="53442" xr:uid="{0EC15DA6-5A85-41FD-9AC7-0745B77D810F}"/>
    <cellStyle name="Normal 684" xfId="53446" xr:uid="{B90E8EC4-8675-487B-8127-52B7B4E4B2A7}"/>
    <cellStyle name="Normal 685" xfId="50702" xr:uid="{11ACADCC-89CC-4622-8488-E1F1A4D3CA53}"/>
    <cellStyle name="Normal 686" xfId="53460" xr:uid="{F3601A85-A703-49D2-9375-8BC5A294CDEB}"/>
    <cellStyle name="Normal 687" xfId="53464" xr:uid="{F8C865B0-A931-4C8E-ABAC-85A201420B93}"/>
    <cellStyle name="Normal 688" xfId="53468" xr:uid="{8AAE701B-1AF1-4832-821B-413CA57B3CB7}"/>
    <cellStyle name="Normal 689" xfId="53472" xr:uid="{D0F31261-DF9D-4809-B46D-A39C03C9C3B3}"/>
    <cellStyle name="Normal 69" xfId="53474" xr:uid="{AF050CC1-CBC4-46AC-ACA1-D8A17F4807A1}"/>
    <cellStyle name="Normal 69 2" xfId="53476" xr:uid="{DA2582F6-1FFB-4013-A5DA-1E77A961DE70}"/>
    <cellStyle name="Normal 69 2 2" xfId="53478" xr:uid="{965DBAE9-B311-49E9-8D57-6D2D913F74C4}"/>
    <cellStyle name="Normal 69 3" xfId="53480" xr:uid="{79FF35D3-AAD5-4CA0-BF87-1ECF8CAE54EA}"/>
    <cellStyle name="Normal 69 4" xfId="53481" xr:uid="{098104B9-86DA-44F2-8B31-9181C49759A0}"/>
    <cellStyle name="Normal 690" xfId="50701" xr:uid="{B2B49523-ABBE-4D67-91F7-0C3657B86B34}"/>
    <cellStyle name="Normal 691" xfId="53459" xr:uid="{17CC6F56-D888-4BA9-B168-BF2B881F12DF}"/>
    <cellStyle name="Normal 692" xfId="53463" xr:uid="{D7F9392B-E685-4862-9097-B473B3159F65}"/>
    <cellStyle name="Normal 693" xfId="53467" xr:uid="{43DF265D-5554-4366-ACC9-986095352945}"/>
    <cellStyle name="Normal 694" xfId="53471" xr:uid="{6D5C3FA0-0530-45F1-9598-854E6DB0F40A}"/>
    <cellStyle name="Normal 695" xfId="53484" xr:uid="{E7B7F60E-42BA-4CF5-86C8-8B07EF000DD9}"/>
    <cellStyle name="Normal 696" xfId="53487" xr:uid="{14B1B0E3-6F92-471B-B937-B3614A57314B}"/>
    <cellStyle name="Normal 697" xfId="53490" xr:uid="{48C19C0B-5413-4A92-A86D-5CC09574007B}"/>
    <cellStyle name="Normal 698" xfId="53493" xr:uid="{8D6852FF-5A9E-4F1E-81A2-447C8AFC23A4}"/>
    <cellStyle name="Normal 699" xfId="53496" xr:uid="{86F88E67-EE7A-414E-8306-867ABBAEA542}"/>
    <cellStyle name="Normal 7" xfId="53497" xr:uid="{73708D36-8EB7-4BA5-84F4-BF8C8AA4825D}"/>
    <cellStyle name="Normal 7 10" xfId="53498" xr:uid="{E3528DED-FD2A-4307-AD87-C74A5DD64200}"/>
    <cellStyle name="Normal 7 11" xfId="53499" xr:uid="{DBED7126-2484-47D2-8D57-D8F744808B8A}"/>
    <cellStyle name="Normal 7 12" xfId="53500" xr:uid="{2B055065-CABA-4724-A996-3188B9968AF9}"/>
    <cellStyle name="Normal 7 13" xfId="53501" xr:uid="{565BD3B8-154E-4F02-A7DE-404ACAA2ADB7}"/>
    <cellStyle name="Normal 7 14" xfId="53502" xr:uid="{E777A555-1763-4896-B6CD-EE06143BDAA1}"/>
    <cellStyle name="Normal 7 15" xfId="53504" xr:uid="{2755DE4C-8585-4A03-8391-7A408E29F799}"/>
    <cellStyle name="Normal 7 16" xfId="53506" xr:uid="{844E0C90-A546-4C5B-B812-A412A38A0B30}"/>
    <cellStyle name="Normal 7 17" xfId="53508" xr:uid="{4F377A51-C62E-4703-B69F-6069A38743A7}"/>
    <cellStyle name="Normal 7 18" xfId="53510" xr:uid="{79735455-B207-429A-A35D-8F8ACE288FC5}"/>
    <cellStyle name="Normal 7 19" xfId="53512" xr:uid="{45390D03-A013-47CE-9382-10998168A020}"/>
    <cellStyle name="Normal 7 2" xfId="40350" xr:uid="{34F3A829-EA02-4D9F-BD35-28A92D8CFB81}"/>
    <cellStyle name="Normal 7 2 2" xfId="40355" xr:uid="{3CAB97F1-E306-46FF-98FE-D58AD31F5268}"/>
    <cellStyle name="Normal 7 2 2 2" xfId="40360" xr:uid="{5913EC8F-F048-4131-91B4-C8F77A5FB6A3}"/>
    <cellStyle name="Normal 7 2 2 2 2" xfId="53513" xr:uid="{4C4E2CBE-C5F6-46CD-8C11-8554F8CFB14C}"/>
    <cellStyle name="Normal 7 2 2 2 2 2" xfId="53514" xr:uid="{3DD6C376-7302-47DA-A7B2-49AD0093687D}"/>
    <cellStyle name="Normal 7 2 2 2 2 2 2" xfId="53515" xr:uid="{3C28FCE7-3E02-43B6-9D95-713BED5D75F9}"/>
    <cellStyle name="Normal 7 2 2 2 2 3" xfId="53516" xr:uid="{07B58188-1F2C-4A29-9D39-304FFC8D9FAC}"/>
    <cellStyle name="Normal 7 2 2 2 3" xfId="53517" xr:uid="{5ED4D4F8-4536-499B-A7A8-0E21B526ED2A}"/>
    <cellStyle name="Normal 7 2 2 2 3 2" xfId="53518" xr:uid="{ADFD7EEE-EB65-4778-BF5C-AC0F0BDB3151}"/>
    <cellStyle name="Normal 7 2 2 2 3 2 2" xfId="53519" xr:uid="{5B9EAA63-7FA4-4F01-B7BD-D4E4BEADBDD6}"/>
    <cellStyle name="Normal 7 2 2 2 3 3" xfId="53520" xr:uid="{ED4706B3-930D-4D1A-90E5-B70B202ECAEA}"/>
    <cellStyle name="Normal 7 2 2 2 4" xfId="53521" xr:uid="{213BADE4-BE69-4B61-B509-F98D5200F6F0}"/>
    <cellStyle name="Normal 7 2 2 2 4 2" xfId="53522" xr:uid="{873F11D6-A4E6-4CE5-8FB5-82B4AB8631C4}"/>
    <cellStyle name="Normal 7 2 2 2 5" xfId="53523" xr:uid="{76187FC0-4E84-4FE0-9623-65DA34778EF3}"/>
    <cellStyle name="Normal 7 2 2 3" xfId="53524" xr:uid="{72C7DFEA-C541-4DB8-B8CE-060CA46E8051}"/>
    <cellStyle name="Normal 7 2 2 3 2" xfId="53525" xr:uid="{4C373968-8336-4552-B176-2539F7530FD3}"/>
    <cellStyle name="Normal 7 2 2 3 2 2" xfId="29231" xr:uid="{6A4FE922-042C-48DA-8155-B4E53E7FA020}"/>
    <cellStyle name="Normal 7 2 2 3 3" xfId="53526" xr:uid="{9D1B5796-AB60-4FEC-9267-151331348062}"/>
    <cellStyle name="Normal 7 2 2 4" xfId="53527" xr:uid="{B677261E-151C-4425-879D-B9A622DA6BEE}"/>
    <cellStyle name="Normal 7 2 2 4 2" xfId="53528" xr:uid="{9B524A85-CC7D-4D30-93D3-C59815F8A958}"/>
    <cellStyle name="Normal 7 2 2 4 2 2" xfId="53529" xr:uid="{0F0B6705-EE95-4966-8FFD-1E7540FF3E73}"/>
    <cellStyle name="Normal 7 2 2 4 3" xfId="53530" xr:uid="{2A4367A5-AB3A-4BBF-934B-C29D23CED676}"/>
    <cellStyle name="Normal 7 2 2 5" xfId="53531" xr:uid="{BEC75008-385E-4568-A687-1BFBA5439449}"/>
    <cellStyle name="Normal 7 2 2 5 2" xfId="53532" xr:uid="{8DF4FA80-53AC-4258-838B-B90A08CFC401}"/>
    <cellStyle name="Normal 7 2 2 6" xfId="5929" xr:uid="{8DF6EC6E-0A2B-4D37-A73F-C22E5914F65F}"/>
    <cellStyle name="Normal 7 2 3" xfId="40365" xr:uid="{53381152-CD0D-4AF7-93CE-F1BAE1FB1B00}"/>
    <cellStyle name="Normal 7 2 3 2" xfId="45345" xr:uid="{45D7B17B-47F1-42AB-B148-E9BF8B17986C}"/>
    <cellStyle name="Normal 7 2 3 2 2" xfId="45347" xr:uid="{E830E2F4-4783-462B-B920-C30F0A4D3591}"/>
    <cellStyle name="Normal 7 2 3 2 2 2" xfId="45349" xr:uid="{6179B079-4EAE-49AE-8D82-24295759BE97}"/>
    <cellStyle name="Normal 7 2 3 2 3" xfId="45351" xr:uid="{342ACF54-C5F2-4E94-8DF4-C2980B01CDFD}"/>
    <cellStyle name="Normal 7 2 3 3" xfId="45353" xr:uid="{01C9ACB0-3887-4BB7-A0C2-4B0D7822EDC1}"/>
    <cellStyle name="Normal 7 2 3 3 2" xfId="45355" xr:uid="{2AE74A0F-F238-4D6A-AC17-A312CD706E2A}"/>
    <cellStyle name="Normal 7 2 3 3 2 2" xfId="53533" xr:uid="{BEE8AB86-A5B2-4897-B568-E1F9DEB8D100}"/>
    <cellStyle name="Normal 7 2 3 3 3" xfId="53534" xr:uid="{4D436119-3C59-4F76-8892-026E3A731BAB}"/>
    <cellStyle name="Normal 7 2 3 4" xfId="45357" xr:uid="{FD29CCA9-BF60-4D07-B38A-46E28716A2E6}"/>
    <cellStyle name="Normal 7 2 3 4 2" xfId="53535" xr:uid="{77F9C1AE-60C8-476C-84A1-F2FD8384FB66}"/>
    <cellStyle name="Normal 7 2 3 5" xfId="53536" xr:uid="{60D39E7C-8BED-4849-B126-2A12A52E64AA}"/>
    <cellStyle name="Normal 7 2 4" xfId="53537" xr:uid="{11C9A1CB-8F56-4540-B277-E8134EA77797}"/>
    <cellStyle name="Normal 7 2 4 2" xfId="45364" xr:uid="{226C6695-381A-4722-B834-884882C0EAC5}"/>
    <cellStyle name="Normal 7 2 4 2 2" xfId="45366" xr:uid="{6AB0C533-057B-4A39-88A9-2555009BF50F}"/>
    <cellStyle name="Normal 7 2 4 3" xfId="45368" xr:uid="{1124747E-A62E-4F3C-A8B8-578EE531CDA6}"/>
    <cellStyle name="Normal 7 2 5" xfId="53538" xr:uid="{45C2B751-1A63-4E9C-A565-D0318B7F85F9}"/>
    <cellStyle name="Normal 7 2 5 2" xfId="45373" xr:uid="{BED4B5D4-2745-496A-8A98-1C59E86D6D7C}"/>
    <cellStyle name="Normal 7 2 5 2 2" xfId="53539" xr:uid="{7A7B3567-04E4-4C48-A6F0-FE5471DF2973}"/>
    <cellStyle name="Normal 7 2 5 3" xfId="53540" xr:uid="{4A7C40EA-7876-4990-A16D-8FF90A7EB355}"/>
    <cellStyle name="Normal 7 2 6" xfId="53541" xr:uid="{9E96EC29-502E-4BB2-997E-892A1D520DD5}"/>
    <cellStyle name="Normal 7 2 6 2" xfId="53542" xr:uid="{EE54D3C1-EF01-4CA3-AA13-A407C77BA4C9}"/>
    <cellStyle name="Normal 7 2 7" xfId="53543" xr:uid="{AD39DDE8-5BCE-4AC6-8333-8F88CC1DBD44}"/>
    <cellStyle name="Normal 7 2 8" xfId="53544" xr:uid="{2E6F89E9-C43A-46E7-A5F8-DA33AA823860}"/>
    <cellStyle name="Normal 7 20" xfId="53503" xr:uid="{30B36F05-7E12-4861-BB84-589A431282BD}"/>
    <cellStyle name="Normal 7 21" xfId="53505" xr:uid="{5DA3943E-5DD4-4021-AA30-408DB4EFE653}"/>
    <cellStyle name="Normal 7 22" xfId="53507" xr:uid="{16719AB5-67C0-47D1-AE08-E6BDE394A848}"/>
    <cellStyle name="Normal 7 23" xfId="53509" xr:uid="{5DC86A35-D230-4925-8B64-86611125C925}"/>
    <cellStyle name="Normal 7 24" xfId="53511" xr:uid="{D59706F2-ADA8-4254-955D-C061106BE584}"/>
    <cellStyle name="Normal 7 25" xfId="53546" xr:uid="{FA471B94-6424-4B77-9AD6-3688945D8D87}"/>
    <cellStyle name="Normal 7 26" xfId="53548" xr:uid="{23E15755-0374-40F9-A24F-397716DB8CA3}"/>
    <cellStyle name="Normal 7 27" xfId="53550" xr:uid="{38D8872E-E0DD-4408-A262-C2A8AC194D18}"/>
    <cellStyle name="Normal 7 28" xfId="53552" xr:uid="{6EF57341-6C34-48F9-84E8-A61D14C06E46}"/>
    <cellStyle name="Normal 7 29" xfId="27511" xr:uid="{3CB5CCCF-6A89-4C59-9922-6C2F78ED52C8}"/>
    <cellStyle name="Normal 7 3" xfId="40370" xr:uid="{76A577A1-C6D9-4B22-A3FA-AD8424D8FB24}"/>
    <cellStyle name="Normal 7 3 2" xfId="40375" xr:uid="{9470A316-F57E-4ACC-92EA-EFF07CE7536A}"/>
    <cellStyle name="Normal 7 3 2 2" xfId="40379" xr:uid="{FB80D18F-0D39-438C-A030-FAD72BB439E8}"/>
    <cellStyle name="Normal 7 3 2 2 2" xfId="53553" xr:uid="{5FEEA9A6-A9AE-46BF-BFA8-00AA9C498F8C}"/>
    <cellStyle name="Normal 7 3 2 2 2 2" xfId="53554" xr:uid="{614629D0-BAC8-4530-8308-B9624CADA42C}"/>
    <cellStyle name="Normal 7 3 2 2 3" xfId="53555" xr:uid="{4B0655CF-39BB-4F81-B8DC-45F0AC290D1A}"/>
    <cellStyle name="Normal 7 3 2 3" xfId="53556" xr:uid="{D6E2E4E6-4D93-4F71-81AB-25B3A980B576}"/>
    <cellStyle name="Normal 7 3 2 3 2" xfId="53557" xr:uid="{5CC9CCDE-509A-4C52-803B-317DFF1A3E66}"/>
    <cellStyle name="Normal 7 3 2 3 2 2" xfId="53558" xr:uid="{0C478BBF-FA6E-474E-95CF-68E4607ED717}"/>
    <cellStyle name="Normal 7 3 2 3 3" xfId="53559" xr:uid="{D0ED9AAE-3B22-4B4A-8DF8-307D50D44719}"/>
    <cellStyle name="Normal 7 3 2 4" xfId="53560" xr:uid="{39F2578E-EBCC-40E2-97F9-C113DDACA315}"/>
    <cellStyle name="Normal 7 3 2 4 2" xfId="53561" xr:uid="{4AEE7696-0664-4E64-8D4A-F0359ACC327B}"/>
    <cellStyle name="Normal 7 3 2 5" xfId="53562" xr:uid="{0CB5CDBA-4E79-4C75-AADB-936E531871A1}"/>
    <cellStyle name="Normal 7 3 3" xfId="40383" xr:uid="{4AC6EFEC-1496-437A-BC1A-9CACCF13E6D6}"/>
    <cellStyle name="Normal 7 3 3 2" xfId="45386" xr:uid="{BFDF806F-0841-4F4D-9AFF-E16646A13565}"/>
    <cellStyle name="Normal 7 3 3 2 2" xfId="45388" xr:uid="{7555DFE2-DCB6-4B82-A68A-8870D9341D43}"/>
    <cellStyle name="Normal 7 3 3 3" xfId="45390" xr:uid="{BD3E0D47-7137-4F5E-A0B5-9511B81D8242}"/>
    <cellStyle name="Normal 7 3 4" xfId="53563" xr:uid="{86ACA633-D5F1-4E94-9B15-3A3C984ACFA6}"/>
    <cellStyle name="Normal 7 3 4 2" xfId="45395" xr:uid="{DC406752-CB09-4E5E-8A63-6EE80874DAC5}"/>
    <cellStyle name="Normal 7 3 4 2 2" xfId="53564" xr:uid="{D65C507E-6B0C-49A1-94F2-D8294F1AC595}"/>
    <cellStyle name="Normal 7 3 4 3" xfId="53565" xr:uid="{0F2A363E-D308-47C5-A650-83430E52AAB4}"/>
    <cellStyle name="Normal 7 3 5" xfId="53566" xr:uid="{079B9279-AB91-4B7F-B22A-A30EDB01783B}"/>
    <cellStyle name="Normal 7 3 5 2" xfId="53567" xr:uid="{2349CB9A-5D36-419B-9A23-476D8152FB2B}"/>
    <cellStyle name="Normal 7 3 6" xfId="53568" xr:uid="{184EC734-47FD-4C09-87AE-4E635B1A61BC}"/>
    <cellStyle name="Normal 7 30" xfId="53545" xr:uid="{7502C60A-4C80-4EE8-9267-C2F8D0997C0E}"/>
    <cellStyle name="Normal 7 31" xfId="53547" xr:uid="{113A5B1A-B1E8-4126-85E3-DF4BDE648A31}"/>
    <cellStyle name="Normal 7 32" xfId="53549" xr:uid="{ECC12EBA-AAF0-4837-9B67-57EE902AE115}"/>
    <cellStyle name="Normal 7 33" xfId="53551" xr:uid="{C1868316-1CC4-4749-8E33-60F92F12CE1F}"/>
    <cellStyle name="Normal 7 34" xfId="27510" xr:uid="{86D78DEA-3BAE-42AB-8F3D-FD3D906867E2}"/>
    <cellStyle name="Normal 7 35" xfId="27516" xr:uid="{AFF40C28-8759-4569-A21F-BCEE6D93F2E4}"/>
    <cellStyle name="Normal 7 36" xfId="48999" xr:uid="{27C9AB2D-863C-43E3-97E5-0DB6E47694CA}"/>
    <cellStyle name="Normal 7 37" xfId="49017" xr:uid="{BF29E790-944C-4CB4-8019-C6CE6EE1B011}"/>
    <cellStyle name="Normal 7 38" xfId="49028" xr:uid="{5A61BC05-B426-4D12-8560-0D52B4B30B4D}"/>
    <cellStyle name="Normal 7 39" xfId="49034" xr:uid="{4F92F970-57EC-4874-825F-4EEC376A0E2B}"/>
    <cellStyle name="Normal 7 4" xfId="40387" xr:uid="{0060BBAC-B4CE-4623-80D4-E3EC578B3741}"/>
    <cellStyle name="Normal 7 4 2" xfId="40392" xr:uid="{70F50E22-7B5E-40B6-8204-4CD5F96FF342}"/>
    <cellStyle name="Normal 7 4 2 2" xfId="40396" xr:uid="{E25BCED3-082D-4C13-8E41-5D20C0F8F2D4}"/>
    <cellStyle name="Normal 7 4 2 2 2" xfId="53569" xr:uid="{26DACA51-F6E9-4EF8-A5C5-0FDF58DF6149}"/>
    <cellStyle name="Normal 7 4 2 3" xfId="42052" xr:uid="{4F990A34-BA2E-4F38-BAE2-45AA3F054002}"/>
    <cellStyle name="Normal 7 4 3" xfId="40400" xr:uid="{EC9281C5-274A-4222-9F58-7A277249852A}"/>
    <cellStyle name="Normal 7 4 3 2" xfId="45404" xr:uid="{B382795B-4B06-455D-95D9-EAC7539B2474}"/>
    <cellStyle name="Normal 7 4 3 2 2" xfId="53570" xr:uid="{23E11B8A-64E8-4B43-806E-108EF0B1218E}"/>
    <cellStyle name="Normal 7 4 3 3" xfId="53571" xr:uid="{937202D9-5088-48C4-B1F5-F4A51F18F1B5}"/>
    <cellStyle name="Normal 7 4 4" xfId="53572" xr:uid="{28D9EBBB-BABA-42E6-B7FC-6A58DFD73BD7}"/>
    <cellStyle name="Normal 7 4 4 2" xfId="53573" xr:uid="{6DE5D71C-360B-44FF-BA33-D2275E40A513}"/>
    <cellStyle name="Normal 7 4 5" xfId="53574" xr:uid="{006B95D5-33C2-417D-B4BE-02A7E869416C}"/>
    <cellStyle name="Normal 7 40" xfId="27515" xr:uid="{F7C9FB35-64B7-4977-9994-84FA8E37FB44}"/>
    <cellStyle name="Normal 7 41" xfId="48998" xr:uid="{6D158F35-54BF-48E1-A162-E4C6524DE97E}"/>
    <cellStyle name="Normal 7 42" xfId="49016" xr:uid="{3EBDD9B8-14C1-494B-A145-68F6270A5B21}"/>
    <cellStyle name="Normal 7 43" xfId="49027" xr:uid="{1E6003D3-C20A-4C88-A93D-BDB9E5D7A2EA}"/>
    <cellStyle name="Normal 7 44" xfId="49033" xr:uid="{8C48B27D-9046-4EE7-9531-526B4AF6B432}"/>
    <cellStyle name="Normal 7 45" xfId="49038" xr:uid="{FF512CB5-E9ED-4158-A0FD-D0E11E3D8877}"/>
    <cellStyle name="Normal 7 46" xfId="49041" xr:uid="{AA63A37A-2181-43DA-B026-D5A057D9697E}"/>
    <cellStyle name="Normal 7 47" xfId="53576" xr:uid="{DBD90F64-5209-4866-956F-158503C7B623}"/>
    <cellStyle name="Normal 7 48" xfId="53578" xr:uid="{ADEB6AB1-3C43-48E7-9099-FED7FAFCD429}"/>
    <cellStyle name="Normal 7 49" xfId="53580" xr:uid="{8276DACD-982A-412E-8AC2-FA36A3254F74}"/>
    <cellStyle name="Normal 7 5" xfId="40409" xr:uid="{E8217E18-19BC-4E65-8106-3BD407F392C6}"/>
    <cellStyle name="Normal 7 5 2" xfId="40414" xr:uid="{DBF2630E-A288-4F5E-8316-459E6A27000D}"/>
    <cellStyle name="Normal 7 5 2 2" xfId="40417" xr:uid="{AA4AF1AC-CA5D-483A-B034-DC8B3E66A6A5}"/>
    <cellStyle name="Normal 7 5 3" xfId="40419" xr:uid="{281563FD-1C4B-4DCA-8E85-95F66387FDE4}"/>
    <cellStyle name="Normal 7 50" xfId="49037" xr:uid="{A64D380A-0AB8-4B2B-8C13-22D822D5E917}"/>
    <cellStyle name="Normal 7 51" xfId="49040" xr:uid="{2D897EE5-5615-4937-BF7E-F09183F5E93E}"/>
    <cellStyle name="Normal 7 52" xfId="53575" xr:uid="{4DBD9D6A-AEB6-4493-BB88-7FD9368BF3BF}"/>
    <cellStyle name="Normal 7 53" xfId="53577" xr:uid="{71C583BB-B833-4FD1-B0CE-688F22914E29}"/>
    <cellStyle name="Normal 7 54" xfId="53579" xr:uid="{44630B9F-47D5-4CEA-867C-9B1256DE4CDA}"/>
    <cellStyle name="Normal 7 54 2" xfId="53581" xr:uid="{0A706CA1-B92B-4EF5-9504-5D0769597A41}"/>
    <cellStyle name="Normal 7 6" xfId="40421" xr:uid="{5B09641E-F929-44A8-A067-CC1B76861340}"/>
    <cellStyle name="Normal 7 6 2" xfId="40426" xr:uid="{58559190-B384-4BD7-A922-EF8A8ABDE0DF}"/>
    <cellStyle name="Normal 7 6 2 2" xfId="40429" xr:uid="{848134D7-B489-46E8-88F2-6DE5D47FF957}"/>
    <cellStyle name="Normal 7 6 3" xfId="40431" xr:uid="{FDC8C7B6-121C-44F4-AD57-9540A8DC8066}"/>
    <cellStyle name="Normal 7 7" xfId="28411" xr:uid="{BCFFE11D-0D3D-491A-B5E2-98D301220ACC}"/>
    <cellStyle name="Normal 7 7 2" xfId="28418" xr:uid="{D810D334-6243-4400-B79F-B36848EC1055}"/>
    <cellStyle name="Normal 7 8" xfId="28433" xr:uid="{DA17E7BA-736B-471D-A71F-C77279E8780B}"/>
    <cellStyle name="Normal 7 9" xfId="28452" xr:uid="{AD5EEC11-C527-44C1-A856-A94AF1AC78ED}"/>
    <cellStyle name="Normal 7_1 Restoran - process 4 new EST REV" xfId="53582" xr:uid="{D3C16A67-66BD-4803-BB90-2EF54600E59A}"/>
    <cellStyle name="Normal 70" xfId="53362" xr:uid="{C4A607B1-005B-42B3-A542-5BA31909EABB}"/>
    <cellStyle name="Normal 70 2" xfId="53364" xr:uid="{97A785BD-D368-4724-B101-B8B80C37BE4F}"/>
    <cellStyle name="Normal 70 2 2" xfId="53366" xr:uid="{271813C5-32EF-41F5-8501-68F52714CFDE}"/>
    <cellStyle name="Normal 70 2 3" xfId="53583" xr:uid="{9101BA95-1221-47B0-8386-F3E4D4CDE0A0}"/>
    <cellStyle name="Normal 70 3" xfId="53368" xr:uid="{79BE465E-C6D2-49D7-8289-5CF3BB8CEADB}"/>
    <cellStyle name="Normal 70 4" xfId="53370" xr:uid="{3B19FCCE-597A-48F1-8DEA-FFC70C62631E}"/>
    <cellStyle name="Normal 700" xfId="53245" xr:uid="{E86348A0-25ED-415A-A4C6-BF90E3CB9F34}"/>
    <cellStyle name="Normal 701" xfId="53249" xr:uid="{92B71ACC-C8C3-4F44-A3D9-4A190EBF9710}"/>
    <cellStyle name="Normal 702" xfId="28516" xr:uid="{460A71DE-C0CD-4F6E-9A70-90D4ED56FF5E}"/>
    <cellStyle name="Normal 703" xfId="53253" xr:uid="{AC0D070D-5A47-4541-956A-09120EF35ECD}"/>
    <cellStyle name="Normal 704" xfId="53257" xr:uid="{40811F82-FCD4-4A1A-BD75-75E73688AA94}"/>
    <cellStyle name="Normal 705" xfId="53373" xr:uid="{E51538A0-D2D3-4A35-BDA4-573E8AC274B7}"/>
    <cellStyle name="Normal 706" xfId="8213" xr:uid="{64B150D1-12C0-478B-8A90-EB6504648B28}"/>
    <cellStyle name="Normal 707" xfId="53377" xr:uid="{C0443717-AA5A-4160-A9AA-86F1AE34EE90}"/>
    <cellStyle name="Normal 708" xfId="53381" xr:uid="{D01DDB6C-5D28-4A8D-B272-AE0D275C2D4D}"/>
    <cellStyle name="Normal 709" xfId="53387" xr:uid="{8D567B82-CE91-4D6E-BBA3-97E0452BF9DC}"/>
    <cellStyle name="Normal 71" xfId="53390" xr:uid="{165BDEB5-FF94-4CAA-B16D-AA29094A4C46}"/>
    <cellStyle name="Normal 71 2" xfId="53392" xr:uid="{D2F4A946-2FE1-427B-A780-B9958855BC50}"/>
    <cellStyle name="Normal 71 2 2" xfId="53394" xr:uid="{EBC03846-F2F2-4CF8-8963-77801F5D84F6}"/>
    <cellStyle name="Normal 71 2 3" xfId="53584" xr:uid="{7C2B3551-D522-4B92-8A80-B4FB30D275D3}"/>
    <cellStyle name="Normal 71 3" xfId="53396" xr:uid="{0E20B7AA-3360-4C1E-971A-990A04BEBE34}"/>
    <cellStyle name="Normal 710" xfId="53372" xr:uid="{3C1245B7-33AD-4944-86C0-514E5BBA4E6A}"/>
    <cellStyle name="Normal 711" xfId="8212" xr:uid="{F3004462-1635-4E6E-9228-0B05A902CDC9}"/>
    <cellStyle name="Normal 712" xfId="53376" xr:uid="{76ACD1CA-70B2-4C5E-8574-F19959821013}"/>
    <cellStyle name="Normal 713" xfId="53380" xr:uid="{CAA8872C-BAA0-46BA-B298-FA05124C0E87}"/>
    <cellStyle name="Normal 713 2" xfId="53384" xr:uid="{5C358CFD-FED2-4AB3-9E31-D084147109AB}"/>
    <cellStyle name="Normal 714" xfId="53386" xr:uid="{7B5D5C3B-ECAA-4C26-8935-E9CE3260451E}"/>
    <cellStyle name="Normal 715" xfId="53400" xr:uid="{983C2BD5-7E08-48BA-B81A-2DFC7995F39A}"/>
    <cellStyle name="Normal 716" xfId="53404" xr:uid="{0C563D87-D281-4672-9BF9-D9BF200404C4}"/>
    <cellStyle name="Normal 717" xfId="53408" xr:uid="{27D9061E-D6C8-477A-858E-11573E1503E3}"/>
    <cellStyle name="Normal 717 2" xfId="53586" xr:uid="{D0FCFF8A-91C2-4678-A39D-3916E9E1F09F}"/>
    <cellStyle name="Normal 718" xfId="53412" xr:uid="{264F31DA-C38E-4CD5-91E3-F9BC44C19FD6}"/>
    <cellStyle name="Normal 719" xfId="53416" xr:uid="{FE9CB753-5E77-4209-9695-3185BB59EE2D}"/>
    <cellStyle name="Normal 72" xfId="53419" xr:uid="{528FCEA2-762B-45E7-A5A3-DA21B32F8C00}"/>
    <cellStyle name="Normal 72 2" xfId="53421" xr:uid="{473115DD-5DFB-401C-9C2F-A8816CDF45CA}"/>
    <cellStyle name="Normal 72 2 2" xfId="53423" xr:uid="{8EBE337A-EF68-4ACA-82AD-FA9CDF152ACF}"/>
    <cellStyle name="Normal 72 2 3" xfId="53587" xr:uid="{E7C2AAE5-9A6A-4B01-ACFF-C07D1716B092}"/>
    <cellStyle name="Normal 72 3" xfId="53425" xr:uid="{E936D631-8292-428E-ACD3-BD0A1BB47F6B}"/>
    <cellStyle name="Normal 720" xfId="53399" xr:uid="{7DA0154E-C5F6-42EA-A629-C1AEFF0252C1}"/>
    <cellStyle name="Normal 721" xfId="53403" xr:uid="{34C1618A-475F-414F-A64A-7112F506139D}"/>
    <cellStyle name="Normal 722" xfId="53407" xr:uid="{3D57F4E9-599B-4F05-8EBB-9BE72442A482}"/>
    <cellStyle name="Normal 722 2" xfId="53585" xr:uid="{44945F83-3EA1-4888-8379-3365FCB823A5}"/>
    <cellStyle name="Normal 722 3" xfId="53588" xr:uid="{1C98E202-7598-4236-99F4-8B9F3C2BF6A8}"/>
    <cellStyle name="Normal 722 3 2" xfId="37802" xr:uid="{CB8A611B-9ADA-464D-A134-5D2335CAF8E4}"/>
    <cellStyle name="Normal 723" xfId="53411" xr:uid="{FC637361-D685-4AC3-8DAE-1F2252786D31}"/>
    <cellStyle name="Normal 724" xfId="53415" xr:uid="{C28BCFF4-8D18-478B-8A3B-58EFACFA0DB6}"/>
    <cellStyle name="Normal 724 2" xfId="53589" xr:uid="{AABB1C72-ADCB-4F26-AA4D-BCAED7349460}"/>
    <cellStyle name="Normal 724 3" xfId="53590" xr:uid="{4200935F-AC75-4EBA-95A9-5766B1117B81}"/>
    <cellStyle name="Normal 724 4" xfId="53591" xr:uid="{1A88AB85-7962-4F08-A91A-6F878E294B37}"/>
    <cellStyle name="Normal 724 5" xfId="53592" xr:uid="{EF7DBDDA-DC74-49F9-8DB8-07485650F01F}"/>
    <cellStyle name="Normal 724 6" xfId="53593" xr:uid="{ABAB0E02-5ABC-4082-86FC-0B191B4ADE69}"/>
    <cellStyle name="Normal 724 7" xfId="53594" xr:uid="{6057E7CA-E955-40B8-A9E7-C9722BBD39DF}"/>
    <cellStyle name="Normal 724 8" xfId="53595" xr:uid="{C1F00D27-6544-4E1D-BDE7-8B87C13A86C6}"/>
    <cellStyle name="Normal 724 9" xfId="53596" xr:uid="{D482C7CD-D0C5-4DA0-9D35-63D1C0831AE4}"/>
    <cellStyle name="Normal 725" xfId="53429" xr:uid="{8EDBAC19-2468-429D-950F-E787E5CBEFA3}"/>
    <cellStyle name="Normal 725 2" xfId="53597" xr:uid="{6019A210-388A-4E70-B011-13BD0D112E3D}"/>
    <cellStyle name="Normal 725 3" xfId="54177" xr:uid="{36605DB5-9D61-49E3-ACDF-40BC4689D689}"/>
    <cellStyle name="Normal 726" xfId="53433" xr:uid="{C0627600-3AB5-4A72-A9E3-C24C14A344BC}"/>
    <cellStyle name="Normal 726 2" xfId="53598" xr:uid="{37FBD580-DE58-4097-8E2C-08DA09803793}"/>
    <cellStyle name="Normal 727" xfId="53437" xr:uid="{2F4CB7C4-9BF8-4B08-9964-3E27372C5476}"/>
    <cellStyle name="Normal 728" xfId="53441" xr:uid="{FB32D895-2DC2-4C28-9480-1C77BFFA0926}"/>
    <cellStyle name="Normal 729" xfId="53445" xr:uid="{3BC26088-02B4-4EAF-961E-E727D948C6BA}"/>
    <cellStyle name="Normal 73" xfId="53448" xr:uid="{362A529A-AA2E-41ED-8163-E7571298DBBC}"/>
    <cellStyle name="Normal 73 2" xfId="53450" xr:uid="{5A9C4EF1-164B-4BDD-8BB2-396EAEE1B0FF}"/>
    <cellStyle name="Normal 73 2 2" xfId="53452" xr:uid="{366B1FBC-AE94-4D0D-B53E-A055ADF01382}"/>
    <cellStyle name="Normal 73 2 3" xfId="53599" xr:uid="{EE15FF0C-958C-4B21-B948-CA143869CA46}"/>
    <cellStyle name="Normal 73 3" xfId="53454" xr:uid="{7FEF0517-C286-40D8-9B09-C29BA93381E7}"/>
    <cellStyle name="Normal 730" xfId="53428" xr:uid="{A4B5AEA3-86D2-49EF-ACC9-0661128E1C6F}"/>
    <cellStyle name="Normal 731" xfId="53432" xr:uid="{D6A2CACD-6B38-423D-8388-DE463B08BFE8}"/>
    <cellStyle name="Normal 732" xfId="53436" xr:uid="{D02CE4D3-398D-4A4B-8D4C-2561C1E166B6}"/>
    <cellStyle name="Normal 733" xfId="53440" xr:uid="{D2944E99-B328-434A-96DF-4729C308A464}"/>
    <cellStyle name="Normal 734" xfId="53444" xr:uid="{76B54614-44ED-4083-8062-08BFA6030295}"/>
    <cellStyle name="Normal 735" xfId="50700" xr:uid="{9BD6E0CC-73A6-429F-B2FE-4EA2E77B0BCB}"/>
    <cellStyle name="Normal 736" xfId="53458" xr:uid="{03374FA6-8575-4C00-8CF7-20DA40A1AE77}"/>
    <cellStyle name="Normal 737" xfId="53462" xr:uid="{711CAF88-1F71-43C7-A41C-C32E36EAB755}"/>
    <cellStyle name="Normal 738" xfId="53466" xr:uid="{C60BBA75-6DE6-41B8-AFDA-815CF6F7CDA4}"/>
    <cellStyle name="Normal 739" xfId="53470" xr:uid="{D93BDDAB-AF35-45B0-979A-C68A2038C565}"/>
    <cellStyle name="Normal 74" xfId="53473" xr:uid="{BB384A19-D43F-4511-AA74-D7CFF30EE36A}"/>
    <cellStyle name="Normal 74 2" xfId="53475" xr:uid="{B731521A-9F59-4216-A61D-A287517CC21B}"/>
    <cellStyle name="Normal 74 2 2" xfId="53477" xr:uid="{7C8732E1-D2FD-414D-8AF6-B3885B5B7CE9}"/>
    <cellStyle name="Normal 74 2 3" xfId="53600" xr:uid="{F87F765F-7120-4D8F-91E8-F0FA2B75AE0B}"/>
    <cellStyle name="Normal 74 3" xfId="53479" xr:uid="{BC7A1D24-7B1C-4CBA-98B6-0B57F76DE46F}"/>
    <cellStyle name="Normal 740" xfId="50699" xr:uid="{4983A18E-F046-4638-BF5A-238D4FBBEE5C}"/>
    <cellStyle name="Normal 741" xfId="53457" xr:uid="{36D2334B-15E0-44F3-8266-829D7BFA6BD7}"/>
    <cellStyle name="Normal 742" xfId="53461" xr:uid="{67D4E0C4-475E-499F-A264-9E6B476C70F9}"/>
    <cellStyle name="Normal 743" xfId="53465" xr:uid="{86EE1400-9EDF-444F-9454-21137CF973F4}"/>
    <cellStyle name="Normal 744" xfId="53469" xr:uid="{E086DCE6-C737-4738-929B-96BEF096D620}"/>
    <cellStyle name="Normal 745" xfId="53483" xr:uid="{FB39E4D8-55E7-430C-9BA8-0A569146A1BD}"/>
    <cellStyle name="Normal 746" xfId="53486" xr:uid="{6F852C2A-43F0-488D-B2DC-BE053698594C}"/>
    <cellStyle name="Normal 747" xfId="53489" xr:uid="{C7E3409D-7B2D-408C-B2E6-357C01E23160}"/>
    <cellStyle name="Normal 748" xfId="53492" xr:uid="{E86BC914-0C0F-4517-A3E5-151DA1FF44EA}"/>
    <cellStyle name="Normal 749" xfId="53495" xr:uid="{34F7CA81-DA94-4C70-9C86-16D93876AC95}"/>
    <cellStyle name="Normal 75" xfId="53602" xr:uid="{511D3111-277A-4AE9-B30C-5B0991E642CA}"/>
    <cellStyle name="Normal 75 2" xfId="53604" xr:uid="{3565EC5E-B058-45DF-8E2D-DEA536C596E3}"/>
    <cellStyle name="Normal 75 2 2" xfId="53606" xr:uid="{C3FEE46D-6DB2-4F6C-B5DC-8E089734FAA0}"/>
    <cellStyle name="Normal 75 2 3" xfId="53607" xr:uid="{506C9EB6-E4C8-4DEC-BC32-E89428612404}"/>
    <cellStyle name="Normal 75 3" xfId="53609" xr:uid="{457C2773-35C9-4627-9746-6205E712564C}"/>
    <cellStyle name="Normal 750" xfId="53482" xr:uid="{69079A19-11B6-4DE6-8DD3-56E49966C86C}"/>
    <cellStyle name="Normal 751" xfId="53485" xr:uid="{A36C07EB-88BB-4C0A-BCF4-A2FB7D1B390B}"/>
    <cellStyle name="Normal 752" xfId="53488" xr:uid="{AC21266A-3062-4661-A5D4-744EEECFC206}"/>
    <cellStyle name="Normal 753" xfId="53491" xr:uid="{0AB2AFCC-A2B5-4290-AF3D-C28765379478}"/>
    <cellStyle name="Normal 754" xfId="53494" xr:uid="{23DF6F8D-4E75-4CCC-8D37-0C2F193B87F8}"/>
    <cellStyle name="Normal 755" xfId="53611" xr:uid="{751F8D98-7316-4C83-9D03-4D88AC60A849}"/>
    <cellStyle name="Normal 756" xfId="53613" xr:uid="{9C3CE73C-5713-4682-913F-859EE2F4D7B5}"/>
    <cellStyle name="Normal 757" xfId="53615" xr:uid="{848E127F-9409-4957-851C-DA3179664636}"/>
    <cellStyle name="Normal 758" xfId="53617" xr:uid="{7F76BDB1-A0E5-498D-A3F2-592FCC5284B8}"/>
    <cellStyle name="Normal 759" xfId="53619" xr:uid="{5FBFC6F5-7419-4DEE-A829-B8915B25358C}"/>
    <cellStyle name="Normal 76" xfId="53621" xr:uid="{B969916C-0404-447D-A80E-254E3950A0A8}"/>
    <cellStyle name="Normal 76 2" xfId="53623" xr:uid="{81D82D29-3F01-4355-BDE6-EA86B4DD3B51}"/>
    <cellStyle name="Normal 76 2 2" xfId="53625" xr:uid="{68ABB393-CD3B-43BA-9A64-87FCB9F08AED}"/>
    <cellStyle name="Normal 76 2 3" xfId="53626" xr:uid="{606BCC02-986A-473C-9232-20E642306C1F}"/>
    <cellStyle name="Normal 76 3" xfId="53628" xr:uid="{F960B667-7D31-41F0-AC56-39B923DE6B70}"/>
    <cellStyle name="Normal 760" xfId="53610" xr:uid="{97537341-AA9B-47A8-9D93-32DD3AEB20A5}"/>
    <cellStyle name="Normal 761" xfId="53612" xr:uid="{8AE047D6-8681-41BE-A82E-5875014154A4}"/>
    <cellStyle name="Normal 762" xfId="53614" xr:uid="{509A9C48-1CFA-42D1-8269-163A8F7E4077}"/>
    <cellStyle name="Normal 763" xfId="53616" xr:uid="{7749B403-0795-4202-A1E9-7AB91C600179}"/>
    <cellStyle name="Normal 764" xfId="53618" xr:uid="{90EBC62C-834F-47CA-9D0E-CA4158C4D8D0}"/>
    <cellStyle name="Normal 765" xfId="53630" xr:uid="{4B7DEBFD-4762-4180-99A8-E8A187A84C6F}"/>
    <cellStyle name="Normal 766" xfId="53632" xr:uid="{0B30DE83-6BBF-4B7D-A110-FA3FFCC98957}"/>
    <cellStyle name="Normal 767" xfId="53634" xr:uid="{1B6AC32B-8509-451B-A673-9A6BF252AB9A}"/>
    <cellStyle name="Normal 768" xfId="53636" xr:uid="{D8859AB9-FA07-4AD0-BF13-A78D11C75D53}"/>
    <cellStyle name="Normal 769" xfId="53638" xr:uid="{3E134D2F-4F9C-47C5-BFFE-29ABBB8223B5}"/>
    <cellStyle name="Normal 77" xfId="53640" xr:uid="{A6D2519B-295D-46CF-AB16-6A40ECB8599F}"/>
    <cellStyle name="Normal 77 2" xfId="4547" xr:uid="{A9FDB604-F06B-4539-8DE8-C334F0C352E6}"/>
    <cellStyle name="Normal 77 2 2" xfId="4556" xr:uid="{1272C40A-CC76-4337-B76C-5302BDA3C086}"/>
    <cellStyle name="Normal 77 2 3" xfId="26665" xr:uid="{2F353332-AF06-46CF-86D5-CB2F6EEEAF7D}"/>
    <cellStyle name="Normal 77 3" xfId="4568" xr:uid="{DF83982E-AB25-482C-9C67-42B58E834EE5}"/>
    <cellStyle name="Normal 770" xfId="53629" xr:uid="{544BD7CA-B90C-4D95-8571-E9822159CFCC}"/>
    <cellStyle name="Normal 771" xfId="53631" xr:uid="{9ABD3403-1ED6-49F6-B351-1E8C03B40ED1}"/>
    <cellStyle name="Normal 772" xfId="53633" xr:uid="{358D7B23-2064-4183-A7BB-EB49F7970B93}"/>
    <cellStyle name="Normal 773" xfId="53635" xr:uid="{364773ED-C07A-487B-9AEA-9632425A92EC}"/>
    <cellStyle name="Normal 774" xfId="53637" xr:uid="{D2C13ED8-C1AF-41C6-867B-1BCACC75D35A}"/>
    <cellStyle name="Normal 775" xfId="53642" xr:uid="{08B458E8-AFE9-49CE-977C-4CF2F706FC6B}"/>
    <cellStyle name="Normal 776" xfId="53644" xr:uid="{B0DCB8D1-26DE-4FB3-A682-D9ACB577D4B7}"/>
    <cellStyle name="Normal 777" xfId="53646" xr:uid="{5ED8F333-A2A8-4088-82A8-C1BA8CE4D162}"/>
    <cellStyle name="Normal 778" xfId="53648" xr:uid="{27A34641-97EB-45ED-BBB4-861EA8E0D8D9}"/>
    <cellStyle name="Normal 779" xfId="53650" xr:uid="{00CA98C4-8057-4625-8EA6-20AD52FCA037}"/>
    <cellStyle name="Normal 78" xfId="53652" xr:uid="{0C90A8DF-A397-4D80-B216-9FF269F02BD9}"/>
    <cellStyle name="Normal 78 2" xfId="3818" xr:uid="{39925284-4F35-4997-865E-4A576E805BDB}"/>
    <cellStyle name="Normal 78 2 2" xfId="13007" xr:uid="{2DFBC6B2-A441-4B3D-BE1F-26A3AAC6DB70}"/>
    <cellStyle name="Normal 78 2 3" xfId="53653" xr:uid="{A4118BAD-A693-453D-98A7-B20E627FF753}"/>
    <cellStyle name="Normal 78 3" xfId="3839" xr:uid="{894668EE-1FEF-407F-9F17-7FE69B93449C}"/>
    <cellStyle name="Normal 780" xfId="53641" xr:uid="{61EFD792-4031-4087-8E15-791A29D27CA1}"/>
    <cellStyle name="Normal 781" xfId="53643" xr:uid="{4672875C-9752-4EA8-95B3-968F3ED9BD73}"/>
    <cellStyle name="Normal 782" xfId="53645" xr:uid="{93E7C3FE-43B1-4FDF-B2B4-8F911FCC5F42}"/>
    <cellStyle name="Normal 783" xfId="53647" xr:uid="{79D9251D-4595-4E0F-BC03-EBF17AD522C0}"/>
    <cellStyle name="Normal 784" xfId="53649" xr:uid="{927267B7-29C7-4266-BB43-7AE438AFAA5A}"/>
    <cellStyle name="Normal 785" xfId="53655" xr:uid="{944788CA-95F7-42EF-9EC2-11C5458141EB}"/>
    <cellStyle name="Normal 786" xfId="53657" xr:uid="{69610600-7705-4F93-981E-F093B957DCE0}"/>
    <cellStyle name="Normal 787" xfId="53659" xr:uid="{A1E4C9F9-6EB6-4567-B147-7448B3B1EF56}"/>
    <cellStyle name="Normal 788" xfId="53661" xr:uid="{A10D9E25-9323-4F91-9A98-E065D0E3110B}"/>
    <cellStyle name="Normal 789" xfId="53663" xr:uid="{1DC72D11-2CCF-4B83-A3A0-7E06D96D2945}"/>
    <cellStyle name="Normal 79" xfId="53665" xr:uid="{CEA07652-36E2-4E14-8105-2F7DBA23E3B8}"/>
    <cellStyle name="Normal 79 2" xfId="13052" xr:uid="{B8B01E71-A765-436C-875F-AADB57A8FF7D}"/>
    <cellStyle name="Normal 79 2 2" xfId="53667" xr:uid="{7BEDBD66-8A8B-4342-B46B-2A8CDBA6AC76}"/>
    <cellStyle name="Normal 79 2 3" xfId="53668" xr:uid="{4C397E6E-5AD2-45E3-BB22-8D5A47ABE682}"/>
    <cellStyle name="Normal 79 3" xfId="1997" xr:uid="{88DFC169-98C0-4318-B55C-F027EB8457A9}"/>
    <cellStyle name="Normal 790" xfId="53654" xr:uid="{F8013735-A3A2-4BEA-A537-3EB5549F0892}"/>
    <cellStyle name="Normal 791" xfId="53656" xr:uid="{87C21324-0E70-439C-814F-3A607758D08E}"/>
    <cellStyle name="Normal 792" xfId="53658" xr:uid="{C1B7A048-3F99-4145-991F-EE0D189585F9}"/>
    <cellStyle name="Normal 793" xfId="53660" xr:uid="{6A533ACA-1B81-4BF3-9F71-6BBE785EF976}"/>
    <cellStyle name="Normal 794" xfId="53662" xr:uid="{CE7E52FB-A087-459F-BBD4-CB0EC7687861}"/>
    <cellStyle name="Normal 795" xfId="53669" xr:uid="{D6C5FE95-44CC-47ED-938F-F3BAF9B20E88}"/>
    <cellStyle name="Normal 796" xfId="53670" xr:uid="{B03CF9C4-2A64-4BD2-945A-78D702C30748}"/>
    <cellStyle name="Normal 797" xfId="53671" xr:uid="{D9B13EA6-0B21-4941-95C9-0D171F196769}"/>
    <cellStyle name="Normal 798" xfId="53672" xr:uid="{3994E821-F4AF-403B-891E-57074BE49DD1}"/>
    <cellStyle name="Normal 799" xfId="54145" xr:uid="{20CE05B6-DAAD-4D2F-8BD2-B9F32E94E31D}"/>
    <cellStyle name="Normal 8" xfId="53673" xr:uid="{8C6182CE-D46D-4060-8908-6A2A7BAA69E0}"/>
    <cellStyle name="Normal 8 10" xfId="53674" xr:uid="{146FB1D5-F1E7-4309-8472-A18191FECDB7}"/>
    <cellStyle name="Normal 8 11" xfId="53675" xr:uid="{065F84D7-2029-44DC-93BB-FEE00471C8EB}"/>
    <cellStyle name="Normal 8 12" xfId="53676" xr:uid="{12A0A155-689E-4AB9-9237-475EBBF32641}"/>
    <cellStyle name="Normal 8 13" xfId="5899" xr:uid="{3A7F358C-66E8-49BE-B883-8954F87692FE}"/>
    <cellStyle name="Normal 8 14" xfId="1100" xr:uid="{EE0EEEFC-2493-4672-8755-D468A2FB04AB}"/>
    <cellStyle name="Normal 8 15" xfId="144" xr:uid="{FF7B49CF-BF8B-4CA1-BDA6-2F4EABE307DD}"/>
    <cellStyle name="Normal 8 16" xfId="1115" xr:uid="{A48CA2CC-34F3-4CE8-8D64-2D0D84858558}"/>
    <cellStyle name="Normal 8 17" xfId="1124" xr:uid="{DF5946FD-543D-4533-BC04-C83F6AF0CBBF}"/>
    <cellStyle name="Normal 8 18" xfId="1137" xr:uid="{41D05FF6-5A16-4C83-84F9-28FF27D49E74}"/>
    <cellStyle name="Normal 8 19" xfId="53678" xr:uid="{FBCFA50F-E4AF-4F2F-AC0F-6D571CBEF950}"/>
    <cellStyle name="Normal 8 2" xfId="49726" xr:uid="{AF67C089-6E8C-4851-AC16-092B1D154F72}"/>
    <cellStyle name="Normal 8 2 2" xfId="49731" xr:uid="{634F56A9-26D5-482F-B494-E646841BE017}"/>
    <cellStyle name="Normal 8 2 2 2" xfId="53679" xr:uid="{7F5B3557-657D-448A-8487-180440A7DF8F}"/>
    <cellStyle name="Normal 8 2 2 2 2" xfId="38342" xr:uid="{18AFF538-D7F2-4EB6-862B-B1B8830C9349}"/>
    <cellStyle name="Normal 8 2 2 2 2 2" xfId="53680" xr:uid="{FFB7FE43-EEC0-465B-BC25-284A5CE17CE4}"/>
    <cellStyle name="Normal 8 2 2 2 2 2 2" xfId="53681" xr:uid="{72223D67-E24F-4E14-9CD9-EC4E7ABBB7D2}"/>
    <cellStyle name="Normal 8 2 2 2 2 3" xfId="53682" xr:uid="{D55F9E82-A7E1-4B32-9974-D9AE14B7CBB4}"/>
    <cellStyle name="Normal 8 2 2 2 3" xfId="53683" xr:uid="{7467BAA2-828F-4E44-92DC-B9AFE17C529B}"/>
    <cellStyle name="Normal 8 2 2 2 3 2" xfId="53684" xr:uid="{80E59579-212B-4920-991E-F46CE5E17C6F}"/>
    <cellStyle name="Normal 8 2 2 2 3 2 2" xfId="53685" xr:uid="{AC7362F9-10BA-424F-8215-D123EF6B73FC}"/>
    <cellStyle name="Normal 8 2 2 2 3 3" xfId="53686" xr:uid="{0F2E6C12-A6D6-4BBA-B59A-468AFE5D6F87}"/>
    <cellStyle name="Normal 8 2 2 2 4" xfId="53687" xr:uid="{E3DDF8DB-BDB6-4FB8-B762-C8434CFD478B}"/>
    <cellStyle name="Normal 8 2 2 2 4 2" xfId="53688" xr:uid="{FF66DAC0-B2A0-4458-8BCA-18B1D6EC8E7F}"/>
    <cellStyle name="Normal 8 2 2 2 5" xfId="53689" xr:uid="{A2EC8A19-1FA8-4BFD-88A2-9180B4BA5CF7}"/>
    <cellStyle name="Normal 8 2 2 3" xfId="53690" xr:uid="{B0E8A13E-A598-4997-804A-794F3A8E9C71}"/>
    <cellStyle name="Normal 8 2 2 3 2" xfId="53691" xr:uid="{E0C172E1-BD8F-4750-B46A-407A56359751}"/>
    <cellStyle name="Normal 8 2 2 3 2 2" xfId="53692" xr:uid="{4FE8FEBE-B881-4608-B985-EA1F7E438EA3}"/>
    <cellStyle name="Normal 8 2 2 3 3" xfId="53693" xr:uid="{A277894D-3867-4447-8A9F-A019D08F78CD}"/>
    <cellStyle name="Normal 8 2 2 4" xfId="53694" xr:uid="{13935AD0-782E-4A52-B782-BB63FD6B32D9}"/>
    <cellStyle name="Normal 8 2 2 4 2" xfId="53695" xr:uid="{1FBBB36C-E3A9-4044-8F7F-DA11F1DB80ED}"/>
    <cellStyle name="Normal 8 2 2 4 2 2" xfId="53696" xr:uid="{80DDAC41-FDDF-4C8B-98EA-1A765FBD794F}"/>
    <cellStyle name="Normal 8 2 2 4 3" xfId="53697" xr:uid="{7E320C23-4758-4735-BF7E-0692B6613830}"/>
    <cellStyle name="Normal 8 2 2 5" xfId="53698" xr:uid="{943F11FA-BF96-44C1-AF1E-9CCF58BECA4F}"/>
    <cellStyle name="Normal 8 2 2 5 2" xfId="53699" xr:uid="{636526FF-ECE5-47EC-AB48-AE4AD77F842F}"/>
    <cellStyle name="Normal 8 2 2 6" xfId="5970" xr:uid="{6A7CF090-7342-41C5-A776-600D872333DD}"/>
    <cellStyle name="Normal 8 2 3" xfId="53700" xr:uid="{DA67AA2F-B736-4E12-84AF-A33C8DAFB6B1}"/>
    <cellStyle name="Normal 8 2 3 2" xfId="45426" xr:uid="{66E6E6EE-6D8B-4687-A650-9EFA9DC16E3B}"/>
    <cellStyle name="Normal 8 2 3 2 2" xfId="45428" xr:uid="{81BD2DE7-E101-48D3-BC8B-9F9114E478A6}"/>
    <cellStyle name="Normal 8 2 3 2 2 2" xfId="53701" xr:uid="{BDB9DA3B-954C-4C82-B87A-0E0C0A937580}"/>
    <cellStyle name="Normal 8 2 3 2 3" xfId="53702" xr:uid="{F4EB033E-ADD8-4EA9-9869-38C0D19A481D}"/>
    <cellStyle name="Normal 8 2 3 3" xfId="45430" xr:uid="{74A51B58-D315-4984-BD14-A9AEFE67EB3E}"/>
    <cellStyle name="Normal 8 2 3 3 2" xfId="53703" xr:uid="{3F8B2C15-4373-4F0B-A44E-B7D2733D68C5}"/>
    <cellStyle name="Normal 8 2 3 3 2 2" xfId="53704" xr:uid="{605900B6-D32B-47FB-8029-8E760757482B}"/>
    <cellStyle name="Normal 8 2 3 3 3" xfId="53705" xr:uid="{4C6E4C96-21B8-448C-8287-17304C75F1F6}"/>
    <cellStyle name="Normal 8 2 3 4" xfId="53706" xr:uid="{7882A089-E18C-4AC5-8345-54C3C36A9FB9}"/>
    <cellStyle name="Normal 8 2 3 4 2" xfId="53707" xr:uid="{2BB84E80-168E-4D29-B38C-ED73E2261482}"/>
    <cellStyle name="Normal 8 2 3 5" xfId="53708" xr:uid="{093CE094-096E-44C0-AFC6-057DA9C3674F}"/>
    <cellStyle name="Normal 8 2 4" xfId="53709" xr:uid="{2AA7E4B0-9E8C-40F9-967B-E3C07D211F22}"/>
    <cellStyle name="Normal 8 2 4 2" xfId="45435" xr:uid="{652AD7B8-EA0E-4FB9-BF7F-80CD9DB85F7E}"/>
    <cellStyle name="Normal 8 2 4 2 2" xfId="53710" xr:uid="{73324955-A7F1-4330-8908-991121562871}"/>
    <cellStyle name="Normal 8 2 4 3" xfId="53711" xr:uid="{400BAE78-FBB3-47AC-BEFC-EB6A52DD1187}"/>
    <cellStyle name="Normal 8 2 5" xfId="53712" xr:uid="{03271317-0785-41F8-8A8E-3F5D6FCACB8D}"/>
    <cellStyle name="Normal 8 2 5 2" xfId="53713" xr:uid="{34FBFC68-0E64-4E0D-92AE-1A4E0341D418}"/>
    <cellStyle name="Normal 8 2 5 2 2" xfId="53714" xr:uid="{6552AF79-DA71-4F08-9806-5E610780D392}"/>
    <cellStyle name="Normal 8 2 5 3" xfId="53715" xr:uid="{C6582923-F8B4-405E-871D-718E6CD6617C}"/>
    <cellStyle name="Normal 8 2 6" xfId="53716" xr:uid="{E5B41609-36AE-4CAB-9D28-F3EA7819FA8E}"/>
    <cellStyle name="Normal 8 2 6 2" xfId="53717" xr:uid="{62621858-6877-42D8-B7A7-D0A828C294B7}"/>
    <cellStyle name="Normal 8 2 7" xfId="53718" xr:uid="{E3A3DD53-A5EC-40EB-AEFB-FD8D9B334C61}"/>
    <cellStyle name="Normal 8 2 8" xfId="53719" xr:uid="{8057A341-83E9-44AC-BFBE-8B8DBF2143DA}"/>
    <cellStyle name="Normal 8 20" xfId="143" xr:uid="{CE51128F-57D0-4AD0-9F04-0828E75CB276}"/>
    <cellStyle name="Normal 8 21" xfId="1114" xr:uid="{C2FC6580-F4A1-41D1-9009-4285810B8B6F}"/>
    <cellStyle name="Normal 8 22" xfId="1123" xr:uid="{9FFB0336-9734-4494-863C-905A040D9867}"/>
    <cellStyle name="Normal 8 23" xfId="1136" xr:uid="{55286F8B-DABE-4F6F-9991-B7312A330746}"/>
    <cellStyle name="Normal 8 24" xfId="53677" xr:uid="{3BFF14AB-D227-4443-8FD5-D488453261AD}"/>
    <cellStyle name="Normal 8 25" xfId="53721" xr:uid="{BD4215DA-BBFE-467C-B601-CE8191DF7AFA}"/>
    <cellStyle name="Normal 8 26" xfId="53723" xr:uid="{FC5D3464-33D1-41AB-A321-A49147EE0C3C}"/>
    <cellStyle name="Normal 8 27" xfId="48107" xr:uid="{26871223-7CA7-4588-8B4A-7618D65D893F}"/>
    <cellStyle name="Normal 8 28" xfId="48111" xr:uid="{F56E8DEA-E7E9-4D9E-A91D-0393A8D138D7}"/>
    <cellStyle name="Normal 8 29" xfId="53725" xr:uid="{E3E5CCD2-1827-4B20-9BB2-6F0A846FCF43}"/>
    <cellStyle name="Normal 8 3" xfId="49736" xr:uid="{CA7411A7-7328-4F89-9F93-C62495029D9F}"/>
    <cellStyle name="Normal 8 3 2" xfId="49741" xr:uid="{2F1EB2A5-B721-4082-A615-98F08EC5616A}"/>
    <cellStyle name="Normal 8 3 2 2" xfId="53726" xr:uid="{7C9DB190-7DB8-427B-BB63-A1DB77E67DF0}"/>
    <cellStyle name="Normal 8 3 2 2 2" xfId="53727" xr:uid="{5E789B0B-9663-4E41-81A8-AAA107316811}"/>
    <cellStyle name="Normal 8 3 2 2 2 2" xfId="53728" xr:uid="{91F0C14B-D142-4AF3-A994-A38AE271EBB6}"/>
    <cellStyle name="Normal 8 3 2 2 3" xfId="53729" xr:uid="{6223DFD7-0731-4B12-864E-8082FF6A1937}"/>
    <cellStyle name="Normal 8 3 2 3" xfId="53730" xr:uid="{1FC3EE7B-53C2-411E-839E-A809D7E596A6}"/>
    <cellStyle name="Normal 8 3 2 3 2" xfId="53731" xr:uid="{D314FDCC-1789-484C-AEC8-A1DC028C2EB5}"/>
    <cellStyle name="Normal 8 3 2 3 2 2" xfId="53732" xr:uid="{FBB2BCC3-71A0-4284-8BC5-20D3C2B517E3}"/>
    <cellStyle name="Normal 8 3 2 3 3" xfId="53733" xr:uid="{D61980E2-E2BC-40A8-947A-E3A6128328AE}"/>
    <cellStyle name="Normal 8 3 2 4" xfId="53734" xr:uid="{779C0250-A7E6-419B-91B3-77E16DC58A03}"/>
    <cellStyle name="Normal 8 3 2 4 2" xfId="53735" xr:uid="{6AADC9B7-E914-4085-8AD0-A05869555593}"/>
    <cellStyle name="Normal 8 3 2 5" xfId="53736" xr:uid="{F82C0480-7E01-461D-B372-7A2FD64BA22B}"/>
    <cellStyle name="Normal 8 3 3" xfId="53737" xr:uid="{74612FBC-AA3E-4361-B7EC-D51EAC1CD031}"/>
    <cellStyle name="Normal 8 3 3 2" xfId="45444" xr:uid="{E8E220DE-C34C-40BC-8CB8-CC02BB38A970}"/>
    <cellStyle name="Normal 8 3 3 2 2" xfId="53738" xr:uid="{19F579ED-B55B-493C-B145-CAC5C3669877}"/>
    <cellStyle name="Normal 8 3 3 3" xfId="53739" xr:uid="{2D526AEA-ADE5-41E5-862E-1298EF7266EA}"/>
    <cellStyle name="Normal 8 3 4" xfId="53740" xr:uid="{085F95B6-3D75-4D9A-BBCD-38A85F2F309F}"/>
    <cellStyle name="Normal 8 3 4 2" xfId="53741" xr:uid="{3F55D67B-5C02-410D-A39F-52A58EDC7CCF}"/>
    <cellStyle name="Normal 8 3 4 2 2" xfId="53742" xr:uid="{4ECB9847-3535-43D5-BA04-A6C108F256D4}"/>
    <cellStyle name="Normal 8 3 4 3" xfId="53743" xr:uid="{EC3C5AE6-93A2-47FB-8EA6-6905238CF8FA}"/>
    <cellStyle name="Normal 8 3 5" xfId="53744" xr:uid="{49F3A286-2040-4D8E-87F4-D5AC2C78A987}"/>
    <cellStyle name="Normal 8 3 5 2" xfId="53745" xr:uid="{E8F54C5A-E1D6-4923-BA4B-0482E011F62D}"/>
    <cellStyle name="Normal 8 3 6" xfId="53746" xr:uid="{ED99D3D2-E53F-4A8D-947E-06E50D354F9B}"/>
    <cellStyle name="Normal 8 30" xfId="53720" xr:uid="{F3A86532-0185-444B-A05B-3E0DCDBFF7E1}"/>
    <cellStyle name="Normal 8 31" xfId="53722" xr:uid="{8514793B-7823-4A3B-9741-689D82235707}"/>
    <cellStyle name="Normal 8 32" xfId="48106" xr:uid="{1ABAECAC-C50C-4650-95CA-4847AD01003C}"/>
    <cellStyle name="Normal 8 33" xfId="48110" xr:uid="{752CA509-67F5-43BD-AC3E-48961F4E2277}"/>
    <cellStyle name="Normal 8 34" xfId="53724" xr:uid="{425C067F-9D8C-4A23-821A-DAEF68646C40}"/>
    <cellStyle name="Normal 8 35" xfId="44144" xr:uid="{2A1E9D2B-D1D3-48B0-9DBD-515D2C45424B}"/>
    <cellStyle name="Normal 8 36" xfId="44150" xr:uid="{641D2292-13F5-45F5-9516-83A676BDF283}"/>
    <cellStyle name="Normal 8 37" xfId="44154" xr:uid="{8DA2796D-68D0-4943-9D30-DC1643BB0667}"/>
    <cellStyle name="Normal 8 38" xfId="52505" xr:uid="{B0486C78-5628-4477-B18B-40E9D8644E74}"/>
    <cellStyle name="Normal 8 39" xfId="52509" xr:uid="{B6187EF7-563B-4668-8D1D-59BB50CE3918}"/>
    <cellStyle name="Normal 8 4" xfId="49746" xr:uid="{3F74445F-82A8-4DF8-BB84-096E1EBBECFA}"/>
    <cellStyle name="Normal 8 4 2" xfId="49751" xr:uid="{DEB7D323-59A1-4771-B4DE-F9AC1407163E}"/>
    <cellStyle name="Normal 8 4 2 2" xfId="53747" xr:uid="{B80610E5-F719-45C5-B9C6-37A30558EE54}"/>
    <cellStyle name="Normal 8 4 2 2 2" xfId="53748" xr:uid="{905933C5-C7FB-40E2-8F31-E43EE9C09B3E}"/>
    <cellStyle name="Normal 8 4 2 3" xfId="53749" xr:uid="{84C7CA22-41BF-46AA-84B0-98AA20C6665E}"/>
    <cellStyle name="Normal 8 4 3" xfId="53750" xr:uid="{2EF62E5A-53B0-4838-9F80-CAAD1B25CF63}"/>
    <cellStyle name="Normal 8 4 3 2" xfId="53751" xr:uid="{B93BF310-4C59-49A1-9F47-D2400B7ACE2D}"/>
    <cellStyle name="Normal 8 4 3 2 2" xfId="53752" xr:uid="{443886C3-992F-49DD-BD6A-7F0444514A27}"/>
    <cellStyle name="Normal 8 4 3 3" xfId="53753" xr:uid="{5AF32390-90A2-4F77-8F55-AF098A904FEA}"/>
    <cellStyle name="Normal 8 4 4" xfId="53754" xr:uid="{DBA01E18-29DD-4989-8C46-A8D428ED0D30}"/>
    <cellStyle name="Normal 8 4 4 2" xfId="53755" xr:uid="{BB7D0F7E-452F-4F63-91FD-5D1658EEFDAA}"/>
    <cellStyle name="Normal 8 4 5" xfId="53756" xr:uid="{D9843594-20BC-44EC-A6B9-CCF04F20409A}"/>
    <cellStyle name="Normal 8 40" xfId="44143" xr:uid="{8CBBD170-40CE-4DD0-BC09-1FEF1A81D0E2}"/>
    <cellStyle name="Normal 8 41" xfId="44149" xr:uid="{55E25189-539D-42E8-AF4F-255A8ECEB9E8}"/>
    <cellStyle name="Normal 8 42" xfId="44153" xr:uid="{4CFD4B4C-2D99-4FD0-8C58-E19541365C3D}"/>
    <cellStyle name="Normal 8 43" xfId="52504" xr:uid="{A06C1604-5F9A-48A1-9B3C-D45A6ABA1955}"/>
    <cellStyle name="Normal 8 44" xfId="52508" xr:uid="{B841A7DA-0F84-469A-9785-2D716446F990}"/>
    <cellStyle name="Normal 8 5" xfId="49760" xr:uid="{7D315CED-8109-472B-9784-E766286F02D6}"/>
    <cellStyle name="Normal 8 5 2" xfId="49765" xr:uid="{41A17472-5748-4674-A365-2A1CC2815AFF}"/>
    <cellStyle name="Normal 8 5 2 2" xfId="53757" xr:uid="{CA4D7226-2A0C-43E9-96F3-6C50F2DB0EB0}"/>
    <cellStyle name="Normal 8 5 3" xfId="53758" xr:uid="{AE1A031F-84DE-426E-8BAF-77D7055305D6}"/>
    <cellStyle name="Normal 8 6" xfId="49770" xr:uid="{F85A761A-CBF1-4159-8C06-654EFCEC541B}"/>
    <cellStyle name="Normal 8 6 2" xfId="49775" xr:uid="{953F0310-356D-4241-A383-FB9A5D839F84}"/>
    <cellStyle name="Normal 8 6 2 2" xfId="53759" xr:uid="{854AE3F3-EA84-4375-A0E6-F8FC95C12023}"/>
    <cellStyle name="Normal 8 6 3" xfId="53760" xr:uid="{1C1F7190-B055-4B35-92BE-0DEBB2C663F6}"/>
    <cellStyle name="Normal 8 7" xfId="28473" xr:uid="{6F754453-C6E8-4C41-9408-E51CCED73F4F}"/>
    <cellStyle name="Normal 8 7 2" xfId="28480" xr:uid="{746B1BE6-E4D6-4C5C-9956-35869F30C36E}"/>
    <cellStyle name="Normal 8 8" xfId="13940" xr:uid="{AA80A86B-D30C-4535-962E-2301EE4B0134}"/>
    <cellStyle name="Normal 8 9" xfId="9621" xr:uid="{EE2DA62A-5A67-495E-8913-89998F91A0EA}"/>
    <cellStyle name="Normal 80" xfId="53601" xr:uid="{F5235940-9381-4BCB-84BC-F0D9709167CA}"/>
    <cellStyle name="Normal 80 2" xfId="53603" xr:uid="{70938B1C-A872-4AA3-94A5-D284E2C575E9}"/>
    <cellStyle name="Normal 80 2 2" xfId="53605" xr:uid="{2FCCCC78-4A47-4C61-8BF1-EB56F930FC47}"/>
    <cellStyle name="Normal 80 3" xfId="53608" xr:uid="{C17F7FBA-2ADD-44B1-92FE-0B0BF73F2312}"/>
    <cellStyle name="Normal 800" xfId="54151" xr:uid="{E743BACC-81FF-4ED5-B085-8F1CAAC25A1F}"/>
    <cellStyle name="Normal 801" xfId="54178" xr:uid="{E37CFA3D-9C92-4A9F-9E47-45A4A366FEFE}"/>
    <cellStyle name="Normal 802" xfId="54191" xr:uid="{40861A8A-0F1A-4515-B5D6-83A33B3687FF}"/>
    <cellStyle name="Normal 803" xfId="54215" xr:uid="{D4585282-3703-4F73-A696-47F402923902}"/>
    <cellStyle name="Normal 804" xfId="54209" xr:uid="{E560E797-D34E-4E03-A8D9-50B4BA9E4177}"/>
    <cellStyle name="Normal 81" xfId="53620" xr:uid="{D73FDFA7-133F-44C1-BBB7-3DF0357E7ED6}"/>
    <cellStyle name="Normal 81 2" xfId="53622" xr:uid="{442CA1C0-2612-48A6-94B1-D7DD1D2D4A54}"/>
    <cellStyle name="Normal 81 2 2" xfId="53624" xr:uid="{0A5CCEC1-DB18-4930-8A4D-E3D9791802C2}"/>
    <cellStyle name="Normal 81 3" xfId="53627" xr:uid="{EE40B239-012F-4AD3-8254-16B9B04ABF6F}"/>
    <cellStyle name="Normal 816 3" xfId="54208" xr:uid="{90B53E25-6B62-4C56-AC73-9C6332C54A4E}"/>
    <cellStyle name="Normal 82" xfId="53639" xr:uid="{99DFE5C4-7C05-4055-A662-8AFD0A26DB2E}"/>
    <cellStyle name="Normal 82 2" xfId="4546" xr:uid="{F1A7BF85-9C2D-4455-955A-6A36483B9759}"/>
    <cellStyle name="Normal 82 2 2" xfId="4555" xr:uid="{80C432FD-2732-4680-BFF1-3AD2A4E55613}"/>
    <cellStyle name="Normal 82 3" xfId="4567" xr:uid="{41AEAFC6-AE07-4143-BD0F-3B2DC49BC6BF}"/>
    <cellStyle name="Normal 822 3" xfId="54196" xr:uid="{CA3BED76-B454-4143-A031-A99284771871}"/>
    <cellStyle name="Normal 824" xfId="54197" xr:uid="{D9D617A9-969D-449A-9BCB-11CCEB99C509}"/>
    <cellStyle name="Normal 83" xfId="53651" xr:uid="{E2678F42-18D9-4793-83E3-34D6AC2DAF4A}"/>
    <cellStyle name="Normal 83 2" xfId="3817" xr:uid="{C850EFBC-1541-476E-A606-73E980BC1073}"/>
    <cellStyle name="Normal 83 2 2" xfId="13006" xr:uid="{F44F9910-CDB7-4A37-9782-D4EF80EF968D}"/>
    <cellStyle name="Normal 83 3" xfId="3838" xr:uid="{3E6D615A-6A78-4296-9910-EF14F665022B}"/>
    <cellStyle name="Normal 84" xfId="53664" xr:uid="{D7BA4395-D91A-497C-814F-CE9FAFCA821B}"/>
    <cellStyle name="Normal 84 2" xfId="13051" xr:uid="{2E3FCC2B-1B59-4ADD-98F1-C40139015541}"/>
    <cellStyle name="Normal 84 2 2" xfId="53666" xr:uid="{06451283-D27A-42DA-98A4-24FFA03C6B2F}"/>
    <cellStyle name="Normal 84 3" xfId="1996" xr:uid="{BB28293F-6B89-4F36-8242-015D850E87FA}"/>
    <cellStyle name="Normal 85" xfId="53762" xr:uid="{D503E589-BA5A-4CF8-9C44-DC8E976AAFC2}"/>
    <cellStyle name="Normal 85 2" xfId="13075" xr:uid="{ED8E977D-4A82-4C82-9848-D604952E4DEA}"/>
    <cellStyle name="Normal 85 2 2" xfId="53764" xr:uid="{A2981ECE-C4FD-4B40-8E07-C1D20049C6CE}"/>
    <cellStyle name="Normal 85 2 3" xfId="53766" xr:uid="{5C85EA85-DE76-4927-BC1A-28676213CC24}"/>
    <cellStyle name="Normal 85 3" xfId="2513" xr:uid="{430DC521-0FF3-47D8-84EA-DC7142F025BD}"/>
    <cellStyle name="Normal 86" xfId="53768" xr:uid="{9BBD9346-C0C1-4634-98A4-F8341C7929C3}"/>
    <cellStyle name="Normal 86 2" xfId="53770" xr:uid="{80D58D8D-02A1-4F9A-8487-D67951FB37E1}"/>
    <cellStyle name="Normal 86 2 2" xfId="53772" xr:uid="{843217DF-5A82-4694-85ED-E6FA03D33DBA}"/>
    <cellStyle name="Normal 86 2 3" xfId="53774" xr:uid="{BF44A479-3C6C-4AAE-A0DB-63AFD8625A12}"/>
    <cellStyle name="Normal 86 3" xfId="53776" xr:uid="{8DD79F48-9228-42C4-B4A9-B867526B3855}"/>
    <cellStyle name="Normal 87" xfId="53778" xr:uid="{CF89240D-E9D2-461C-9DF7-5F786706BFCE}"/>
    <cellStyle name="Normal 87 2" xfId="53780" xr:uid="{A1600F81-B4E1-49F8-8543-67286F9EDA10}"/>
    <cellStyle name="Normal 87 2 2" xfId="53782" xr:uid="{D62992BF-8E12-4B7D-8FD2-9C53F36D86C2}"/>
    <cellStyle name="Normal 87 2 3" xfId="53784" xr:uid="{DC52C6D3-45F9-49F7-AD14-5A679A942DA4}"/>
    <cellStyle name="Normal 87 3" xfId="53786" xr:uid="{CB119FBF-AFEB-4C72-8C0F-48E50DE8CB90}"/>
    <cellStyle name="Normal 88" xfId="53788" xr:uid="{63F994D2-1194-4EC9-A0A6-5230471EB12F}"/>
    <cellStyle name="Normal 88 2" xfId="49101" xr:uid="{F1CFDB1A-5C84-4553-9B2F-C39B91652DE6}"/>
    <cellStyle name="Normal 88 2 2" xfId="49104" xr:uid="{9BEA5E4C-EFC6-4EEE-9D8D-6ADDDFC945F0}"/>
    <cellStyle name="Normal 88 2 3" xfId="49108" xr:uid="{AD682D91-96C6-4DBA-B725-12CB2CD00759}"/>
    <cellStyle name="Normal 88 3" xfId="49111" xr:uid="{155BF51F-0CD7-49F5-9BFC-A04980456CDE}"/>
    <cellStyle name="Normal 89" xfId="46432" xr:uid="{DD819151-4439-4403-8D44-1F5A6EEBA430}"/>
    <cellStyle name="Normal 89 2" xfId="46435" xr:uid="{7D9DFF74-499D-4869-9EE2-173AF2A2F48F}"/>
    <cellStyle name="Normal 89 2 2" xfId="46439" xr:uid="{BAE1C804-BB4D-47F4-B090-0CE47DAF5EF3}"/>
    <cellStyle name="Normal 89 2 3" xfId="53790" xr:uid="{3A489243-80E2-4BA1-B088-0A8300AA8D47}"/>
    <cellStyle name="Normal 89 3" xfId="46443" xr:uid="{D4CE5815-7FFC-48E4-B375-08037063E1A9}"/>
    <cellStyle name="Normal 9" xfId="53791" xr:uid="{4A3ED0B2-82D3-42E5-989F-D5CF1CEDBDA2}"/>
    <cellStyle name="Normal 9 10" xfId="29259" xr:uid="{D7228B48-CCAF-4985-9180-CA557448D94D}"/>
    <cellStyle name="Normal 9 11" xfId="29390" xr:uid="{36A784FE-6D8F-4883-90D2-D202C1DED750}"/>
    <cellStyle name="Normal 9 12" xfId="29468" xr:uid="{F1E6B428-40C5-4BD7-9DE7-00989657B63C}"/>
    <cellStyle name="Normal 9 13" xfId="29522" xr:uid="{9954A2AE-616A-46E4-926D-1AC9AAA0F30F}"/>
    <cellStyle name="Normal 9 14" xfId="29564" xr:uid="{295C37B7-EB9E-4D76-94DF-91E24A40F633}"/>
    <cellStyle name="Normal 9 15" xfId="29577" xr:uid="{ED1F44EB-5E37-44A6-86A7-B67C9235D055}"/>
    <cellStyle name="Normal 9 16" xfId="29585" xr:uid="{6391CE43-812A-47EF-9D84-FECA3D9D5C8A}"/>
    <cellStyle name="Normal 9 17" xfId="53793" xr:uid="{101A0F69-B5E7-453F-AD7B-909218DAE9F8}"/>
    <cellStyle name="Normal 9 18" xfId="53795" xr:uid="{5A2B7A8C-2A40-4BEC-A9F8-8493BBAB2AD2}"/>
    <cellStyle name="Normal 9 19" xfId="53797" xr:uid="{09785541-E921-4760-AB75-8E98FAC5021E}"/>
    <cellStyle name="Normal 9 2" xfId="50679" xr:uid="{2E99AA63-9D3C-4A77-941E-7A4C3DD1C17D}"/>
    <cellStyle name="Normal 9 2 2" xfId="52512" xr:uid="{45FEB5BB-D01F-42B9-9FBB-FCDDFE70763B}"/>
    <cellStyle name="Normal 9 2 3" xfId="53798" xr:uid="{839C7C70-C65B-474D-91E4-1D454CA82285}"/>
    <cellStyle name="Normal 9 2 4" xfId="53799" xr:uid="{6137F0B1-EC7C-4DED-A8D6-3EE316204412}"/>
    <cellStyle name="Normal 9 2 5" xfId="53800" xr:uid="{274DB03D-50D5-46F9-AE06-585F16F125AB}"/>
    <cellStyle name="Normal 9 2 6" xfId="53801" xr:uid="{60E8B907-FE63-4271-8F03-654E176E1ED6}"/>
    <cellStyle name="Normal 9 20" xfId="29576" xr:uid="{3BF20102-51A9-4219-A995-37A075B66A76}"/>
    <cellStyle name="Normal 9 21" xfId="29584" xr:uid="{AF60816A-B7C6-4D14-9932-FEC5023ECC51}"/>
    <cellStyle name="Normal 9 22" xfId="53792" xr:uid="{A80108A7-313C-4867-B912-DA8883773E15}"/>
    <cellStyle name="Normal 9 23" xfId="53794" xr:uid="{25410DE5-976F-4EB0-BA63-0788DBE5C47A}"/>
    <cellStyle name="Normal 9 24" xfId="53796" xr:uid="{8BFCE60C-DF88-49B2-A348-CE3A963F8396}"/>
    <cellStyle name="Normal 9 25" xfId="53803" xr:uid="{08D03EAE-7459-4F9A-A371-8EC893B9AC80}"/>
    <cellStyle name="Normal 9 26" xfId="53805" xr:uid="{113C2AC1-8DC8-438C-A340-F03A85A7158C}"/>
    <cellStyle name="Normal 9 27" xfId="53807" xr:uid="{96CCA125-DDC5-4819-8DA6-80D0551EB1E2}"/>
    <cellStyle name="Normal 9 28" xfId="53809" xr:uid="{45D077A8-E21F-424F-9058-CE8D11930EBC}"/>
    <cellStyle name="Normal 9 29" xfId="53811" xr:uid="{447DCE32-0ED5-452F-A917-C2F2BDAEDAD2}"/>
    <cellStyle name="Normal 9 3" xfId="52517" xr:uid="{93C89319-F7F5-4CA9-8BFC-580A2621103C}"/>
    <cellStyle name="Normal 9 3 2" xfId="52522" xr:uid="{D18C0613-3415-4B43-BBAE-30D353C4F570}"/>
    <cellStyle name="Normal 9 30" xfId="53802" xr:uid="{F5C82578-3DAE-4075-B020-0E92683575E1}"/>
    <cellStyle name="Normal 9 31" xfId="53804" xr:uid="{82C62810-1194-4986-B668-5A9EA64170BA}"/>
    <cellStyle name="Normal 9 32" xfId="53806" xr:uid="{1CAA01C2-F044-4445-828F-15CEDC726531}"/>
    <cellStyle name="Normal 9 33" xfId="53808" xr:uid="{6D314060-8E59-467D-B1D8-09BBE5B4F87E}"/>
    <cellStyle name="Normal 9 34" xfId="53810" xr:uid="{5486EC9F-81F0-47BE-B291-59CD47F502AC}"/>
    <cellStyle name="Normal 9 35" xfId="53813" xr:uid="{90E7F8A5-5488-4ECF-A4A6-3EE649132C79}"/>
    <cellStyle name="Normal 9 36" xfId="53815" xr:uid="{C622F601-5549-4DAE-B839-DD12DB472FF3}"/>
    <cellStyle name="Normal 9 37" xfId="53185" xr:uid="{9EA125F4-F3AF-487B-A0C1-BDC4C070182E}"/>
    <cellStyle name="Normal 9 38" xfId="53202" xr:uid="{73B1F13F-9CB9-4294-A0B3-2FFE7B34F564}"/>
    <cellStyle name="Normal 9 39" xfId="53210" xr:uid="{12754121-BE25-4FC0-B873-CAB17CE18218}"/>
    <cellStyle name="Normal 9 4" xfId="52527" xr:uid="{2A29098F-7732-42A8-B893-B0C556E65077}"/>
    <cellStyle name="Normal 9 40" xfId="53812" xr:uid="{3A063CA0-0929-406D-BCD1-B7B29AC85A42}"/>
    <cellStyle name="Normal 9 41" xfId="53814" xr:uid="{6EE7672F-DEFC-4753-8930-2D346243B39F}"/>
    <cellStyle name="Normal 9 42" xfId="53184" xr:uid="{F6A8F3CB-A66E-44D9-B57C-704E2BCB632E}"/>
    <cellStyle name="Normal 9 43" xfId="53201" xr:uid="{E37077F0-EBB6-4A4C-9C62-425B8DC4AA68}"/>
    <cellStyle name="Normal 9 44" xfId="53209" xr:uid="{7DFC5E21-0084-41A8-9955-7BB3EA83B551}"/>
    <cellStyle name="Normal 9 45" xfId="53215" xr:uid="{8932E398-46B4-4341-BDA6-82FA987B5DF9}"/>
    <cellStyle name="Normal 9 46" xfId="53218" xr:uid="{B432C88F-D236-41D4-95E7-AAE3C7AC4494}"/>
    <cellStyle name="Normal 9 47" xfId="53817" xr:uid="{AE83B0DC-7C0A-434D-ABD1-37766E5AE0C4}"/>
    <cellStyle name="Normal 9 48" xfId="53818" xr:uid="{8B2030BB-DE82-41B9-8DB8-201FA15226A6}"/>
    <cellStyle name="Normal 9 49" xfId="29593" xr:uid="{5D355972-BFFB-4CBE-8538-D7796C7B2310}"/>
    <cellStyle name="Normal 9 5" xfId="52855" xr:uid="{5ED6EE7F-8FB9-4B8D-AC74-3284D5892852}"/>
    <cellStyle name="Normal 9 50" xfId="53214" xr:uid="{D17846F0-1549-4712-939D-DE3B2537B49B}"/>
    <cellStyle name="Normal 9 51" xfId="53217" xr:uid="{A3E1C683-68F6-4748-8CEC-A7777BA938F1}"/>
    <cellStyle name="Normal 9 52" xfId="53816" xr:uid="{4597134A-8441-4582-95E8-8F97B7DA8CC8}"/>
    <cellStyle name="Normal 9 6" xfId="52863" xr:uid="{05DE2C84-395A-41B0-B9F2-0ECBC62FD5F1}"/>
    <cellStyle name="Normal 9 7" xfId="28495" xr:uid="{82C56F11-5F2E-42CC-875B-65EC40F04461}"/>
    <cellStyle name="Normal 9 8" xfId="13968" xr:uid="{0333376C-29C5-4236-820D-2EB4246F2115}"/>
    <cellStyle name="Normal 9 9" xfId="9640" xr:uid="{B4B5E954-6174-4589-8F69-6247E6238FC3}"/>
    <cellStyle name="Normal 90" xfId="53761" xr:uid="{F9638EF1-C2F0-4C00-8594-E4B835207900}"/>
    <cellStyle name="Normal 90 2" xfId="13074" xr:uid="{E68DF862-DFA5-40E7-BFE1-14B0A6AD706B}"/>
    <cellStyle name="Normal 90 2 2" xfId="53763" xr:uid="{5A544DD1-D4DD-4C2B-A0F0-E96F8B19933B}"/>
    <cellStyle name="Normal 90 2 3" xfId="53765" xr:uid="{EA43A434-69FA-4650-BCF8-E8DCBE92319A}"/>
    <cellStyle name="Normal 90 3" xfId="2512" xr:uid="{45DE70EE-DDD1-4FB2-B388-D9A03D4C85C9}"/>
    <cellStyle name="Normal 91" xfId="53767" xr:uid="{5C9C4522-045C-4ED0-ABED-5F6E85B37849}"/>
    <cellStyle name="Normal 91 2" xfId="53769" xr:uid="{D117253A-269A-4D21-A3B8-DCE35366146E}"/>
    <cellStyle name="Normal 91 2 2" xfId="53771" xr:uid="{3194D760-B72B-4937-BC79-EF691EF66EDC}"/>
    <cellStyle name="Normal 91 2 3" xfId="53773" xr:uid="{303F1D86-2121-4687-A06D-676EDE2F79E1}"/>
    <cellStyle name="Normal 91 3" xfId="53775" xr:uid="{A65A16BD-CA77-4989-8E5B-6C134E6796A7}"/>
    <cellStyle name="Normal 92" xfId="53777" xr:uid="{4859148C-6F8C-47F6-8F72-4D697A023D6E}"/>
    <cellStyle name="Normal 92 2" xfId="53779" xr:uid="{8DC58836-2555-4555-BFCE-8EA34B71FE29}"/>
    <cellStyle name="Normal 92 2 2" xfId="53781" xr:uid="{79C7E39E-D4FD-404D-B8CE-A8E97E241293}"/>
    <cellStyle name="Normal 92 2 3" xfId="53783" xr:uid="{A4BF55A5-6D04-450B-8639-65CE3B25EEC8}"/>
    <cellStyle name="Normal 92 3" xfId="53785" xr:uid="{811ECD93-5433-46F6-B8E8-BAFB8EA07923}"/>
    <cellStyle name="Normal 93" xfId="53787" xr:uid="{78637667-121C-46C8-B715-46C981853C67}"/>
    <cellStyle name="Normal 93 2" xfId="49100" xr:uid="{5E498C22-1824-4B30-A059-1E8542CD2B83}"/>
    <cellStyle name="Normal 93 2 2" xfId="49103" xr:uid="{D6B4357F-290A-4B5F-A6BD-BBDCC2A6421C}"/>
    <cellStyle name="Normal 93 2 3" xfId="49107" xr:uid="{04CCFB09-9D05-4B9E-A818-C1E2D69A4F17}"/>
    <cellStyle name="Normal 93 3" xfId="49110" xr:uid="{2F289551-E7C5-4391-B2E2-2DBD7CA07802}"/>
    <cellStyle name="Normal 94" xfId="46431" xr:uid="{E147BF1F-E382-4EE6-AB86-33DF02F8A421}"/>
    <cellStyle name="Normal 94 2" xfId="46434" xr:uid="{5C71B3D0-EAAA-4CA7-B6B8-FD58B8E490E4}"/>
    <cellStyle name="Normal 94 2 2" xfId="46438" xr:uid="{40477CA1-70DD-4AB2-BA94-18060ABDE386}"/>
    <cellStyle name="Normal 94 2 3" xfId="53789" xr:uid="{1B48ED39-929E-4BD6-9F8A-75825C8BE229}"/>
    <cellStyle name="Normal 94 3" xfId="46442" xr:uid="{710C7279-1E89-4AA4-855F-D830F05AE88F}"/>
    <cellStyle name="Normal 95" xfId="46446" xr:uid="{3B4E6BF1-47B2-4104-97BE-C7A40B22259F}"/>
    <cellStyle name="Normal 95 2" xfId="46448" xr:uid="{7703A773-5E46-47C2-AAC3-CDCBEBB8877E}"/>
    <cellStyle name="Normal 95 2 2" xfId="53819" xr:uid="{C5EF9F86-6EEE-4E94-8A9C-FECC30D4639E}"/>
    <cellStyle name="Normal 95 3" xfId="53820" xr:uid="{6E83AD1B-8C23-4954-9E03-34B85F79E149}"/>
    <cellStyle name="Normal 96" xfId="20258" xr:uid="{635CDEB5-9FD7-4B80-9184-766C461ABD7E}"/>
    <cellStyle name="Normal 96 2" xfId="53821" xr:uid="{1CB8D9D4-0860-449C-A641-5F7F6F759726}"/>
    <cellStyle name="Normal 96 2 2" xfId="53822" xr:uid="{10B7F1B8-790C-47A2-B531-0D9EB1BAD324}"/>
    <cellStyle name="Normal 96 3" xfId="53823" xr:uid="{0BC339C1-FE50-4433-9E9F-695E4B6FA4E3}"/>
    <cellStyle name="Normal 97" xfId="53824" xr:uid="{CCC8BF1C-14D6-48FA-A74A-E2F821A09C5A}"/>
    <cellStyle name="Normal 97 2" xfId="53825" xr:uid="{3F1E3F13-66FA-4E1A-A2C9-E9A0E29E45BD}"/>
    <cellStyle name="Normal 97 2 2" xfId="53826" xr:uid="{98B4C6D8-AF4B-49F6-9417-15C967BFBA88}"/>
    <cellStyle name="Normal 97 3" xfId="53827" xr:uid="{A4169866-2211-4DB4-B4FD-94E08875B0DD}"/>
    <cellStyle name="Normal 98" xfId="53828" xr:uid="{174EC6BB-4140-47B5-9C20-438E47FB5FAA}"/>
    <cellStyle name="Normal 98 2" xfId="53829" xr:uid="{0C796C8F-0E23-4A68-881B-9E6D422EC178}"/>
    <cellStyle name="Normal 98 2 2" xfId="53830" xr:uid="{7B6A7B46-CAE7-49BC-BD0C-F505F8651289}"/>
    <cellStyle name="Normal 98 3" xfId="53831" xr:uid="{AE11B125-2C5C-4DF1-8C86-DF5290D296EF}"/>
    <cellStyle name="Normal 99" xfId="53832" xr:uid="{521A409B-D940-4A1A-9F49-DC4A7FD69BC1}"/>
    <cellStyle name="Normal 99 2" xfId="53833" xr:uid="{28B2CB3C-DF85-4DFE-8F2E-C6AB0BFEE47B}"/>
    <cellStyle name="Normal 99 2 2" xfId="53834" xr:uid="{446E3AB5-0BA9-445D-83F2-5062D9A96916}"/>
    <cellStyle name="Normal 99 3" xfId="53835" xr:uid="{D64CB661-CDBD-4FA0-AA47-811A4A956D9A}"/>
    <cellStyle name="Note 2" xfId="53836" xr:uid="{3B057DDA-630F-4F1A-9F6E-142387E76D0E}"/>
    <cellStyle name="Note 2 10" xfId="53837" xr:uid="{50A7F61A-932D-4ACE-942A-2ABBF3694E8E}"/>
    <cellStyle name="Note 2 11" xfId="53838" xr:uid="{FE74298E-02D4-4F18-8678-6D5AB305C533}"/>
    <cellStyle name="Note 2 12" xfId="53839" xr:uid="{B69573B5-A2A0-45B1-9435-09CD70D4515D}"/>
    <cellStyle name="Note 2 13" xfId="53840" xr:uid="{00490E3C-98CD-4F5F-9022-68147480BD5E}"/>
    <cellStyle name="Note 2 14" xfId="53841" xr:uid="{7192742F-7744-41B3-B77C-EBD1C5063755}"/>
    <cellStyle name="Note 2 15" xfId="53843" xr:uid="{01BD8804-26CC-4E53-A098-0432E921BDA7}"/>
    <cellStyle name="Note 2 16" xfId="53845" xr:uid="{8E57610E-E9B3-4C48-8940-1E239A90230A}"/>
    <cellStyle name="Note 2 17" xfId="53847" xr:uid="{863B628A-0C36-4389-9EE6-022221FEFE54}"/>
    <cellStyle name="Note 2 18" xfId="53849" xr:uid="{4D5A771D-7DCF-4B4F-A422-81D61193E9B2}"/>
    <cellStyle name="Note 2 19" xfId="53851" xr:uid="{EFF96F79-0988-4271-A92D-FAB63D284A70}"/>
    <cellStyle name="Note 2 2" xfId="53852" xr:uid="{630CEF91-4EE3-4089-A3CE-155BC5E566B0}"/>
    <cellStyle name="Note 2 2 2" xfId="53853" xr:uid="{341D803C-07E2-46E3-8A10-D8F419CA8481}"/>
    <cellStyle name="Note 2 20" xfId="53842" xr:uid="{A6FD64E8-8A66-4B9E-9BD4-910ACCF25906}"/>
    <cellStyle name="Note 2 21" xfId="53844" xr:uid="{C2B08778-8512-441D-B853-3639003693F8}"/>
    <cellStyle name="Note 2 22" xfId="53846" xr:uid="{7779F7B1-8D4C-4FF3-A1CE-BE7705E3E060}"/>
    <cellStyle name="Note 2 23" xfId="53848" xr:uid="{51E48278-2437-4CAE-AF11-D890400E329D}"/>
    <cellStyle name="Note 2 24" xfId="53850" xr:uid="{3081C916-5906-4304-B974-0FC53CDE7A4B}"/>
    <cellStyle name="Note 2 25" xfId="53855" xr:uid="{F05307EE-FEBF-409B-A5E2-5A27D19F6F7E}"/>
    <cellStyle name="Note 2 26" xfId="53857" xr:uid="{EA00D7AB-49A2-4D5F-808B-2A6D3F996A4F}"/>
    <cellStyle name="Note 2 27" xfId="53859" xr:uid="{B1229499-0C61-46D6-8E25-73B654BDF1A2}"/>
    <cellStyle name="Note 2 28" xfId="53861" xr:uid="{272023FA-13CB-4B26-B541-6D7E148541A4}"/>
    <cellStyle name="Note 2 29" xfId="53863" xr:uid="{E29070AE-893E-4C36-8185-167C84AEAEF9}"/>
    <cellStyle name="Note 2 3" xfId="53864" xr:uid="{BA608E06-FB48-41BE-B158-66BFB7511D14}"/>
    <cellStyle name="Note 2 3 2" xfId="53865" xr:uid="{BBA258C9-9EE9-46AA-B096-6A423BA0A3E3}"/>
    <cellStyle name="Note 2 30" xfId="53854" xr:uid="{0BD88526-7332-412E-8FBB-1CD31B7AA363}"/>
    <cellStyle name="Note 2 31" xfId="53856" xr:uid="{3CD2A13E-5CAF-47A4-8970-B9849F200BC4}"/>
    <cellStyle name="Note 2 32" xfId="53858" xr:uid="{31F59127-5CBF-4F67-B330-8C68D4292EB4}"/>
    <cellStyle name="Note 2 33" xfId="53860" xr:uid="{3BCA911C-CE41-41CB-81A6-EF37AFAF5312}"/>
    <cellStyle name="Note 2 34" xfId="53862" xr:uid="{7F2CE582-17DB-412C-B56A-7C5D7072186E}"/>
    <cellStyle name="Note 2 35" xfId="53867" xr:uid="{20CA5916-9C49-4D5A-8CD5-CAD8E1629726}"/>
    <cellStyle name="Note 2 36" xfId="53869" xr:uid="{E3BC3765-F4CE-404B-A251-D404D0FABC23}"/>
    <cellStyle name="Note 2 37" xfId="53871" xr:uid="{56082C1B-5A92-41A3-A831-C49D00F7BB39}"/>
    <cellStyle name="Note 2 38" xfId="53873" xr:uid="{E2886F84-DD4A-472B-B2A8-D6E88C0A1AAA}"/>
    <cellStyle name="Note 2 39" xfId="53875" xr:uid="{2A8BBAD8-65C7-4633-9E54-BCD46188367B}"/>
    <cellStyle name="Note 2 4" xfId="53876" xr:uid="{476E93B6-8CA9-4B51-828F-4ACFD0B8A85D}"/>
    <cellStyle name="Note 2 4 2" xfId="53877" xr:uid="{D6660F3C-C6C4-4FDB-9435-DCD2BA7B5947}"/>
    <cellStyle name="Note 2 40" xfId="53866" xr:uid="{77B85EFE-B549-4B2F-B5E1-D57D9051AE4E}"/>
    <cellStyle name="Note 2 41" xfId="53868" xr:uid="{78DDE2A4-881F-483E-B9FD-8A7E5AF8F910}"/>
    <cellStyle name="Note 2 42" xfId="53870" xr:uid="{63FC953B-71CF-4AD7-B050-4D9E9946C983}"/>
    <cellStyle name="Note 2 43" xfId="53872" xr:uid="{268D0666-AAA1-4875-9625-4202A982282F}"/>
    <cellStyle name="Note 2 44" xfId="53874" xr:uid="{50C68C9F-E658-476F-BDFA-1CE8F1B241E8}"/>
    <cellStyle name="Note 2 45" xfId="53879" xr:uid="{CEC7D332-2BB9-48EF-824D-14B1BB07CBF6}"/>
    <cellStyle name="Note 2 46" xfId="53881" xr:uid="{E036E65B-340D-46DD-AC5F-125FEA7E1F6C}"/>
    <cellStyle name="Note 2 47" xfId="53883" xr:uid="{F19090DB-B57E-44C3-85BE-73EE765FE4E9}"/>
    <cellStyle name="Note 2 48" xfId="53885" xr:uid="{AFA05F55-E755-4BE0-937F-C7432DFE31DC}"/>
    <cellStyle name="Note 2 49" xfId="53887" xr:uid="{0AD11780-10E6-488F-BB46-19DAE0C8A280}"/>
    <cellStyle name="Note 2 5" xfId="53888" xr:uid="{B7C63B2E-3AB0-4917-8E58-9FB09246CE45}"/>
    <cellStyle name="Note 2 5 2" xfId="53889" xr:uid="{917E8C69-3B04-401A-B1CA-8D4F808355FD}"/>
    <cellStyle name="Note 2 50" xfId="53878" xr:uid="{6FDEFD22-8F75-4BD5-B03E-ACE261639089}"/>
    <cellStyle name="Note 2 51" xfId="53880" xr:uid="{B0339444-0FC0-43CC-87EA-C2A64A487961}"/>
    <cellStyle name="Note 2 52" xfId="53882" xr:uid="{8569140E-5533-415A-9C59-CD16E7594EE6}"/>
    <cellStyle name="Note 2 53" xfId="53884" xr:uid="{5F2B623E-1053-4CD3-A514-5D5BAF76A251}"/>
    <cellStyle name="Note 2 54" xfId="53886" xr:uid="{9A783E8A-5032-4395-929A-65954CB9C14F}"/>
    <cellStyle name="Note 2 55" xfId="53890" xr:uid="{B6F18D18-5B60-4F51-BC09-0D8CB3F21765}"/>
    <cellStyle name="Note 2 56" xfId="53891" xr:uid="{3592C9BA-6B0C-4033-A250-0D8E9610B110}"/>
    <cellStyle name="Note 2 57" xfId="53892" xr:uid="{52FBBFEA-426A-4B3D-9073-D34E868FA106}"/>
    <cellStyle name="Note 2 6" xfId="53893" xr:uid="{DAF5D7E9-3069-42E9-8518-8AD4B02C8F80}"/>
    <cellStyle name="Note 2 6 2" xfId="53894" xr:uid="{C5CB309F-00B7-4A07-A24E-E5809F02B6C7}"/>
    <cellStyle name="Note 2 7" xfId="53895" xr:uid="{C6171C64-855E-4842-89F0-A0CE6408FEA8}"/>
    <cellStyle name="Note 2 7 2" xfId="53896" xr:uid="{7232258F-7200-4C9A-BEA0-74207E8AFF46}"/>
    <cellStyle name="Note 2 8" xfId="53897" xr:uid="{7B44378E-9044-4F35-B6C1-95E34E2C5711}"/>
    <cellStyle name="Note 2 9" xfId="53898" xr:uid="{788E9DE6-FB06-452A-AC18-6B406D570A21}"/>
    <cellStyle name="Note 3" xfId="53899" xr:uid="{B2E328C2-A09F-4C57-B6AF-3B88E4E0751A}"/>
    <cellStyle name="Note 4" xfId="53900" xr:uid="{C6F9D481-6FEC-42F6-B5D3-D489757CFD35}"/>
    <cellStyle name="Note 5" xfId="53901" xr:uid="{F158B85D-8774-4481-A0D4-D9E01BAA9304}"/>
    <cellStyle name="Note 6" xfId="53902" xr:uid="{89CC5D38-7889-470A-AEC2-590582769B11}"/>
    <cellStyle name="Note 7" xfId="53903" xr:uid="{596560CE-89EA-4AE0-A019-2B50107FDF24}"/>
    <cellStyle name="Output 2" xfId="53904" xr:uid="{610AC35B-3916-4C28-95AB-2B0BE7964ABD}"/>
    <cellStyle name="Output 2 2" xfId="53905" xr:uid="{629E5CFD-D7C7-4452-9F9A-B89DF77068C2}"/>
    <cellStyle name="Output 2 2 2" xfId="53906" xr:uid="{58FE3C4E-D6B5-4124-8445-15A0F219A0A9}"/>
    <cellStyle name="Output 2 3" xfId="53907" xr:uid="{5212829F-95A3-4D26-A11E-7CA51413FCE8}"/>
    <cellStyle name="Output 2 4" xfId="53908" xr:uid="{56B7B333-472A-4391-8A05-1C53401E01A5}"/>
    <cellStyle name="Output 2 5" xfId="53909" xr:uid="{7DD17E77-F41C-4FE3-94E6-74CFC76211C2}"/>
    <cellStyle name="Output 2 6" xfId="53910" xr:uid="{E72D5985-8372-4D9C-831E-E88B807B50C8}"/>
    <cellStyle name="Output 2 7" xfId="53911" xr:uid="{9D4AB87A-9396-4015-B4BD-9947B2A5BFCB}"/>
    <cellStyle name="Output 3" xfId="53912" xr:uid="{20E955EF-00E5-4E3A-B071-BB06425504BD}"/>
    <cellStyle name="Output 4" xfId="53913" xr:uid="{38C42E90-D77C-423F-8E39-62FFF5C14BB7}"/>
    <cellStyle name="Output 5" xfId="53914" xr:uid="{75582425-8D3C-4812-9D3B-D5AC36EE67D5}"/>
    <cellStyle name="Output 6" xfId="53915" xr:uid="{D0A5C486-5B4F-40BB-AE9C-80A80F383093}"/>
    <cellStyle name="Output Amounts" xfId="53916" xr:uid="{DE928F1C-75BF-47F9-B202-5A719279A061}"/>
    <cellStyle name="Output Column Headings" xfId="53917" xr:uid="{4DD2578F-ABB7-42B9-A5B8-72E693EEC55D}"/>
    <cellStyle name="Output Line Items" xfId="53918" xr:uid="{D2FD3067-1E8F-4DC8-A1A4-CDEA4ED503C4}"/>
    <cellStyle name="Output Report Heading" xfId="53919" xr:uid="{89BE5C2B-3633-4F30-8BF0-68CC8A497D59}"/>
    <cellStyle name="Output Report Title" xfId="53920" xr:uid="{1249A2BE-E768-487B-916A-C18F41793EEF}"/>
    <cellStyle name="Percent" xfId="54225" builtinId="5"/>
    <cellStyle name="Percent 10" xfId="53921" xr:uid="{01E2E56C-90D8-4DA7-ABF5-C3259FE4190A}"/>
    <cellStyle name="Percent 11" xfId="5979" xr:uid="{43A715F2-CE18-45D0-93EC-97B9D9864A38}"/>
    <cellStyle name="Percent 12" xfId="5984" xr:uid="{3F26519E-798A-4025-BB8A-BB7B7ED6A790}"/>
    <cellStyle name="Percent 13" xfId="5989" xr:uid="{04A6F046-B6BF-4C2B-98F1-B470A749AC0A}"/>
    <cellStyle name="Percent 14" xfId="53922" xr:uid="{9B6500A8-4194-4759-AAF0-67A93E89909D}"/>
    <cellStyle name="Percent 15" xfId="53923" xr:uid="{727EC9E7-3F4F-4B6D-A4DC-AFE2E99E857F}"/>
    <cellStyle name="Percent 2" xfId="5" xr:uid="{2A0191D9-F710-4205-AB59-D2BB81F8F00D}"/>
    <cellStyle name="Percent 2 10" xfId="53924" xr:uid="{64714449-057A-417A-83DE-66BD170EEFC9}"/>
    <cellStyle name="Percent 2 10 2" xfId="53925" xr:uid="{D0231C41-640D-472D-891D-C1C5A9478AE5}"/>
    <cellStyle name="Percent 2 100" xfId="42263" xr:uid="{2ABCA28C-B9A5-41D4-A992-746C0170812F}"/>
    <cellStyle name="Percent 2 101" xfId="42268" xr:uid="{963289BE-311F-472A-AFF8-B9DACF5AD86B}"/>
    <cellStyle name="Percent 2 102" xfId="42273" xr:uid="{EB531530-1876-484C-8EF7-07C9C4E7CFF3}"/>
    <cellStyle name="Percent 2 103" xfId="42276" xr:uid="{EDE3EF5D-5CB3-4D88-BA82-0ECB9AEC2DAC}"/>
    <cellStyle name="Percent 2 104" xfId="53926" xr:uid="{B8ECDF12-054B-480C-8393-7BA2695EED12}"/>
    <cellStyle name="Percent 2 105" xfId="53927" xr:uid="{443ACA57-944E-4AFE-9041-07FB4951FF03}"/>
    <cellStyle name="Percent 2 106" xfId="53928" xr:uid="{9B7D8272-BBFC-490E-BD8E-D9B71B96369E}"/>
    <cellStyle name="Percent 2 107" xfId="53929" xr:uid="{D2BE2562-08CE-41DF-B013-CB90E22606B1}"/>
    <cellStyle name="Percent 2 108" xfId="53930" xr:uid="{44D572D4-3C7C-4155-8D0A-412E7E8FFB6D}"/>
    <cellStyle name="Percent 2 109" xfId="53931" xr:uid="{CEFB2129-9FE6-4D19-AAA6-9394A065AE8E}"/>
    <cellStyle name="Percent 2 11" xfId="53932" xr:uid="{8FDCE467-99B6-4232-A3BD-7226275DAE42}"/>
    <cellStyle name="Percent 2 11 2" xfId="53933" xr:uid="{2F61FA15-D957-48DA-A296-73A7F8D6A5A5}"/>
    <cellStyle name="Percent 2 110" xfId="24055" xr:uid="{ACF1833C-8D26-46C7-8B9A-0AA463356F74}"/>
    <cellStyle name="Percent 2 111" xfId="13" xr:uid="{3604243A-6543-4EE0-A4DA-BD7E733AB7E1}"/>
    <cellStyle name="Percent 2 12" xfId="6406" xr:uid="{000744BA-1AC9-469D-B7F9-BF5CC5FB4B7D}"/>
    <cellStyle name="Percent 2 12 2" xfId="8130" xr:uid="{8E68E930-3A26-4852-AF36-9CC7037CD25B}"/>
    <cellStyle name="Percent 2 13" xfId="8135" xr:uid="{99C0EFD3-392A-40C1-9EDC-AA77EA2588CF}"/>
    <cellStyle name="Percent 2 13 2" xfId="33122" xr:uid="{827943D9-78F1-41CB-BA4C-73F06C34704D}"/>
    <cellStyle name="Percent 2 14" xfId="14793" xr:uid="{F35133D0-ED10-468C-B2E7-C2089447F823}"/>
    <cellStyle name="Percent 2 14 2" xfId="53934" xr:uid="{78F7BEC5-CE82-4DB8-A746-2E0B58766A6A}"/>
    <cellStyle name="Percent 2 15" xfId="53936" xr:uid="{447E8384-724A-4654-8FBB-6B01DC3B37EA}"/>
    <cellStyle name="Percent 2 15 2" xfId="53938" xr:uid="{477E63DD-C9E6-49B4-9B3B-50F44AA75B97}"/>
    <cellStyle name="Percent 2 16" xfId="53940" xr:uid="{9156C086-C323-490E-A01E-3D2F74A1B405}"/>
    <cellStyle name="Percent 2 16 2" xfId="53942" xr:uid="{34637839-2E05-4D89-8C44-3FFE46BDE0E8}"/>
    <cellStyle name="Percent 2 17" xfId="53944" xr:uid="{96331199-9D9B-4F21-A07E-28592EE86A65}"/>
    <cellStyle name="Percent 2 17 2" xfId="53946" xr:uid="{F74B8949-BAFC-4710-9EA1-0C3D3D157C7B}"/>
    <cellStyle name="Percent 2 18" xfId="53948" xr:uid="{EC505306-5694-4643-90C6-28340E412405}"/>
    <cellStyle name="Percent 2 18 2" xfId="53950" xr:uid="{B61DBA0E-9F38-4E2A-90FE-6BA78BDD8DFD}"/>
    <cellStyle name="Percent 2 19" xfId="53952" xr:uid="{F2FEA10F-A0C3-4A80-A6BF-522265E718F0}"/>
    <cellStyle name="Percent 2 19 2" xfId="53954" xr:uid="{5CF9FF60-3935-49AF-8D3E-F410887C9194}"/>
    <cellStyle name="Percent 2 2" xfId="10" xr:uid="{C355CAC8-3748-42C2-AF79-1CC674FA3604}"/>
    <cellStyle name="Percent 2 2 10" xfId="53955" xr:uid="{2CD5F235-4FF8-4437-A1AC-9C71704B8A5C}"/>
    <cellStyle name="Percent 2 2 11" xfId="53956" xr:uid="{6264A0A6-1719-4B2F-9F53-EEA339AD2363}"/>
    <cellStyle name="Percent 2 2 12" xfId="53957" xr:uid="{C417ED46-0B2F-440A-AF76-77306545528E}"/>
    <cellStyle name="Percent 2 2 13" xfId="53958" xr:uid="{917E39C1-F7A2-4183-9B92-1ACF53BABF36}"/>
    <cellStyle name="Percent 2 2 14" xfId="53959" xr:uid="{E01307E7-DE45-4747-92E1-38A66B300106}"/>
    <cellStyle name="Percent 2 2 15" xfId="53961" xr:uid="{3D40EA70-F9E8-45D0-AE6C-E385F66750F7}"/>
    <cellStyle name="Percent 2 2 16" xfId="53963" xr:uid="{4E560F8F-3313-4AD1-B221-DCF3A4A6307A}"/>
    <cellStyle name="Percent 2 2 17" xfId="46871" xr:uid="{5DDDF593-13F1-497A-8FDD-DB23984BFAD8}"/>
    <cellStyle name="Percent 2 2 18" xfId="53965" xr:uid="{481DEC49-ADF0-4B1C-9F35-05857BFE9F94}"/>
    <cellStyle name="Percent 2 2 19" xfId="53966" xr:uid="{9ED9D651-A7D1-4600-A61A-A53F7D419982}"/>
    <cellStyle name="Percent 2 2 2" xfId="29877" xr:uid="{2779E53D-AECD-4878-A95B-E8527EF39CB4}"/>
    <cellStyle name="Percent 2 2 20" xfId="53960" xr:uid="{923DC491-AE19-4C0B-9DB3-FB393F7A296D}"/>
    <cellStyle name="Percent 2 2 21" xfId="53962" xr:uid="{9335F0AD-A21D-470C-A3F2-5F4FF89A5CB9}"/>
    <cellStyle name="Percent 2 2 22" xfId="46870" xr:uid="{029026F1-B10D-418E-A511-146B14C62898}"/>
    <cellStyle name="Percent 2 2 23" xfId="53964" xr:uid="{96088D59-3875-45A8-B574-C8DD4A07B540}"/>
    <cellStyle name="Percent 2 2 24" xfId="29875" xr:uid="{5578881D-64D3-4C82-9A75-D15FDC3DC378}"/>
    <cellStyle name="Percent 2 2 3" xfId="53967" xr:uid="{6073CC08-C8B9-4FF0-AE26-2A1CEF9B7484}"/>
    <cellStyle name="Percent 2 2 4" xfId="53968" xr:uid="{8105D947-71D5-4D5F-9EA2-A6EFF72FAF93}"/>
    <cellStyle name="Percent 2 2 5" xfId="53969" xr:uid="{AFBC5FD0-A1B2-4447-86CA-63C888EF216F}"/>
    <cellStyle name="Percent 2 2 6" xfId="53970" xr:uid="{2338940D-2FBC-4EE1-B353-7AA86DE7E1B2}"/>
    <cellStyle name="Percent 2 2 7" xfId="53971" xr:uid="{6456BA68-466F-4D52-B65B-C39DEDE51639}"/>
    <cellStyle name="Percent 2 2 8" xfId="44933" xr:uid="{5D5837F5-A68E-41C6-9DA9-DBA2C205B222}"/>
    <cellStyle name="Percent 2 2 9" xfId="53972" xr:uid="{FD3F8880-6BDC-4E58-BB36-DE8AB088DE76}"/>
    <cellStyle name="Percent 2 20" xfId="53935" xr:uid="{C7E578ED-DAE1-4E6D-9838-4AC750C4843A}"/>
    <cellStyle name="Percent 2 20 2" xfId="53937" xr:uid="{649E86B5-CDB4-4186-9159-41773C7FED14}"/>
    <cellStyle name="Percent 2 21" xfId="53939" xr:uid="{85A054F4-8111-41F5-A960-FCCDA16B0693}"/>
    <cellStyle name="Percent 2 21 2" xfId="53941" xr:uid="{E4A366EB-B538-411D-8E4B-2C897E1B58D6}"/>
    <cellStyle name="Percent 2 22" xfId="53943" xr:uid="{9D0E9A9B-14C0-4301-AE73-C69D708DEF3C}"/>
    <cellStyle name="Percent 2 22 2" xfId="53945" xr:uid="{ED1589C1-1575-464D-AA87-36F5AA7FCB96}"/>
    <cellStyle name="Percent 2 23" xfId="53947" xr:uid="{7A8C3D3C-AB3A-4856-BEA2-A73527C5A160}"/>
    <cellStyle name="Percent 2 23 2" xfId="53949" xr:uid="{78C8D286-2B58-4A75-A449-2F3BA6CDBC7D}"/>
    <cellStyle name="Percent 2 24" xfId="53951" xr:uid="{AB6307AC-86FF-49D9-98A0-5CAB3DA93F58}"/>
    <cellStyle name="Percent 2 24 2" xfId="53953" xr:uid="{CC063484-0F64-46B6-B635-812C756DDBEA}"/>
    <cellStyle name="Percent 2 25" xfId="45225" xr:uid="{A186E059-E769-4EEA-9D24-A93FC3064938}"/>
    <cellStyle name="Percent 2 25 2" xfId="53974" xr:uid="{876D89F6-C38C-4BE8-B416-D759FF0ACA7D}"/>
    <cellStyle name="Percent 2 26" xfId="53976" xr:uid="{68E29891-DABF-4BCE-B151-DC3D105AF6C3}"/>
    <cellStyle name="Percent 2 26 2" xfId="53978" xr:uid="{BAF65BEB-E6B8-441D-9079-01B7A4916D61}"/>
    <cellStyle name="Percent 2 27" xfId="53980" xr:uid="{30DF17ED-EF1C-4A93-8D2C-FE47C1FFA275}"/>
    <cellStyle name="Percent 2 27 2" xfId="53982" xr:uid="{2CDEA43C-8095-41BB-81E3-0B4614FFF07A}"/>
    <cellStyle name="Percent 2 28" xfId="53984" xr:uid="{3AF5D4FA-B8EF-48EC-95BA-E93F42694C4B}"/>
    <cellStyle name="Percent 2 28 2" xfId="53986" xr:uid="{A896B39C-2058-4513-A387-8B395D9CED46}"/>
    <cellStyle name="Percent 2 29" xfId="53988" xr:uid="{8C4CBC80-6CDB-43FF-96B6-00F84B1ECC62}"/>
    <cellStyle name="Percent 2 29 2" xfId="53990" xr:uid="{D89C15A2-4C27-445F-AC86-3E4D7B300D3D}"/>
    <cellStyle name="Percent 2 3" xfId="29879" xr:uid="{750D87B1-02B3-4342-9B16-4714EB3D9BD6}"/>
    <cellStyle name="Percent 2 3 2" xfId="53991" xr:uid="{888EBFB1-7CD8-408F-8979-06238FE5CA53}"/>
    <cellStyle name="Percent 2 3 3" xfId="53992" xr:uid="{2D5854D6-481F-4B95-A537-F14346B190B3}"/>
    <cellStyle name="Percent 2 30" xfId="45224" xr:uid="{100D089D-0D26-4D48-9E9B-D4283F93C29C}"/>
    <cellStyle name="Percent 2 30 2" xfId="53973" xr:uid="{599D32D7-E7C0-470E-90C6-1FF8D9033044}"/>
    <cellStyle name="Percent 2 31" xfId="53975" xr:uid="{B8EB483E-5BDD-4F34-B93E-3BDC4A63638A}"/>
    <cellStyle name="Percent 2 31 2" xfId="53977" xr:uid="{7C4C2D47-EA89-4CCB-B915-A42C1037FE02}"/>
    <cellStyle name="Percent 2 32" xfId="53979" xr:uid="{60DAE096-A94F-4EE4-BAAF-C22F0042693C}"/>
    <cellStyle name="Percent 2 32 2" xfId="53981" xr:uid="{C8E08E2D-D7DA-4CB8-BFA0-96AD28389246}"/>
    <cellStyle name="Percent 2 33" xfId="53983" xr:uid="{079A5FFA-ECA4-483E-A2A7-63C18CB3DE6C}"/>
    <cellStyle name="Percent 2 33 2" xfId="53985" xr:uid="{0CA474EA-CAFD-4E02-8ED5-89F9EC5C75FC}"/>
    <cellStyle name="Percent 2 34" xfId="53987" xr:uid="{0F8B873D-664F-4422-ACD0-13E3C0C2CEB5}"/>
    <cellStyle name="Percent 2 34 2" xfId="53989" xr:uid="{E762E775-2955-4932-9560-BAE1F9334C9E}"/>
    <cellStyle name="Percent 2 35" xfId="53994" xr:uid="{A7FD45F4-9251-421D-8E73-2F66661B912A}"/>
    <cellStyle name="Percent 2 35 2" xfId="53996" xr:uid="{4DE3BA18-1A1B-4FAB-B190-F29D8CCD1F13}"/>
    <cellStyle name="Percent 2 36" xfId="53998" xr:uid="{8047C8BD-A9BA-4863-B4DB-5B55A922BECA}"/>
    <cellStyle name="Percent 2 36 2" xfId="18525" xr:uid="{E418C4F9-79BD-40A4-B401-234E1BE836BA}"/>
    <cellStyle name="Percent 2 37" xfId="46328" xr:uid="{78C8C865-F1D0-4F6B-B0C0-90C72102DD8C}"/>
    <cellStyle name="Percent 2 37 2" xfId="52807" xr:uid="{D12A58B2-FD70-40A7-B0D5-32CA0BD718EC}"/>
    <cellStyle name="Percent 2 38" xfId="52817" xr:uid="{42FCE7E8-CE91-4BB2-A770-5522CFB6DBD2}"/>
    <cellStyle name="Percent 2 38 2" xfId="52821" xr:uid="{8ED083AC-1C46-48E6-B124-37DDE2115D3B}"/>
    <cellStyle name="Percent 2 39" xfId="52826" xr:uid="{359EFA84-82AF-488E-BBAC-B8D371805891}"/>
    <cellStyle name="Percent 2 39 2" xfId="47544" xr:uid="{51BB17E9-874C-4901-8DDE-87189A441FF9}"/>
    <cellStyle name="Percent 2 4" xfId="53999" xr:uid="{38D59B9A-F400-4EB4-AD7A-2E2639700A4E}"/>
    <cellStyle name="Percent 2 4 2" xfId="54000" xr:uid="{DA4443EA-24EA-4DD8-88F2-12CC7A59D037}"/>
    <cellStyle name="Percent 2 4 3" xfId="42225" xr:uid="{7BD5B663-C481-43FE-AA55-9DF7C5CF1E5D}"/>
    <cellStyle name="Percent 2 40" xfId="53993" xr:uid="{16B6425F-0F01-4F16-A86D-8A9A5CD15D65}"/>
    <cellStyle name="Percent 2 40 2" xfId="53995" xr:uid="{2EB87900-C320-49F3-A715-7A6436AAEF34}"/>
    <cellStyle name="Percent 2 41" xfId="53997" xr:uid="{7F50BA67-0F23-4251-950C-42B61BD1A7FA}"/>
    <cellStyle name="Percent 2 41 2" xfId="18524" xr:uid="{AE27B5B3-4920-438E-A710-63176A60CB8C}"/>
    <cellStyle name="Percent 2 42" xfId="46327" xr:uid="{9530EA1F-0F3D-462C-84CF-8DE8319E122F}"/>
    <cellStyle name="Percent 2 42 2" xfId="52806" xr:uid="{0FE62FED-5A32-4A60-BC63-C984AD011585}"/>
    <cellStyle name="Percent 2 43" xfId="52816" xr:uid="{EF3B9207-C622-4248-92ED-E3FC366222D7}"/>
    <cellStyle name="Percent 2 43 2" xfId="52820" xr:uid="{389640EA-A6CB-4CFF-AC91-41AC17815BEF}"/>
    <cellStyle name="Percent 2 44" xfId="52825" xr:uid="{3A6680BF-6CB8-49EA-9EB0-3B50295C0B82}"/>
    <cellStyle name="Percent 2 44 2" xfId="47543" xr:uid="{A846E617-7BD6-4E4B-9133-27AB3A41DB33}"/>
    <cellStyle name="Percent 2 45" xfId="52829" xr:uid="{3D131B21-5655-4313-B098-B5CB8C636D01}"/>
    <cellStyle name="Percent 2 45 2" xfId="47572" xr:uid="{096A0D8D-5346-4D37-A4AD-6A48B3A20CCF}"/>
    <cellStyle name="Percent 2 46" xfId="54002" xr:uid="{3FC9D1E7-2E10-4F35-9C28-1A55F0F027E6}"/>
    <cellStyle name="Percent 2 46 2" xfId="47586" xr:uid="{DB771AC8-91AE-4C73-AE5C-F465845D83E5}"/>
    <cellStyle name="Percent 2 47" xfId="54004" xr:uid="{B1A9C61A-5FA1-4564-A1D2-E6F3100F2963}"/>
    <cellStyle name="Percent 2 47 2" xfId="47594" xr:uid="{2A00171E-CA9A-41DA-877B-AC503E778C86}"/>
    <cellStyle name="Percent 2 48" xfId="54006" xr:uid="{96ADEC03-376E-4FE3-8AA1-0F6ADA4F766A}"/>
    <cellStyle name="Percent 2 48 2" xfId="54008" xr:uid="{6B449214-ABB0-4B57-A21C-4B8E434E5E28}"/>
    <cellStyle name="Percent 2 49" xfId="54010" xr:uid="{614E74F6-326B-4A71-B8F1-ACF70A51E692}"/>
    <cellStyle name="Percent 2 49 2" xfId="54012" xr:uid="{180BE156-F690-431C-8A29-B35689611EA9}"/>
    <cellStyle name="Percent 2 5" xfId="54013" xr:uid="{E2105C4C-6A8E-4133-9750-F1526579B7CA}"/>
    <cellStyle name="Percent 2 5 2" xfId="54014" xr:uid="{EECD697A-3A76-43CC-8968-1321FD947F9C}"/>
    <cellStyle name="Percent 2 5 3" xfId="42279" xr:uid="{E26867C5-40A1-4794-ACE2-A8B0DEC2D493}"/>
    <cellStyle name="Percent 2 50" xfId="52828" xr:uid="{51D80529-EBC3-4CAD-8AEB-5D88870C3A7E}"/>
    <cellStyle name="Percent 2 50 2" xfId="47571" xr:uid="{BE6907B1-1A27-4FC1-97C1-A71580D5A0DF}"/>
    <cellStyle name="Percent 2 51" xfId="54001" xr:uid="{BB9AB725-F4C3-49C4-995D-0F6697037305}"/>
    <cellStyle name="Percent 2 51 2" xfId="47585" xr:uid="{4FB1F76C-05DE-4E86-9C0B-834D2627D732}"/>
    <cellStyle name="Percent 2 52" xfId="54003" xr:uid="{19986109-01A2-4B13-978D-E370263A7BD9}"/>
    <cellStyle name="Percent 2 52 2" xfId="47593" xr:uid="{91BB33AB-F65D-4607-B995-CAAACE3363A2}"/>
    <cellStyle name="Percent 2 53" xfId="54005" xr:uid="{3E730288-DE84-4254-A89A-0A12D63C534E}"/>
    <cellStyle name="Percent 2 53 2" xfId="54007" xr:uid="{D4959715-4918-422A-A7EB-88334DC888EC}"/>
    <cellStyle name="Percent 2 54" xfId="54009" xr:uid="{38722F75-3764-4858-84F2-5451BDF1B245}"/>
    <cellStyle name="Percent 2 54 2" xfId="54011" xr:uid="{1E6A6FDD-1DE3-4C9B-8FA5-3DAA4DE27EDE}"/>
    <cellStyle name="Percent 2 55" xfId="54016" xr:uid="{AFCD50F9-CBBD-4DB6-9381-1322D77F2190}"/>
    <cellStyle name="Percent 2 55 2" xfId="54018" xr:uid="{6DAF49BD-5CFC-483C-B554-B4A88297D6BC}"/>
    <cellStyle name="Percent 2 56" xfId="54020" xr:uid="{28BDFCF8-046A-465E-8914-32A90501199D}"/>
    <cellStyle name="Percent 2 56 2" xfId="54022" xr:uid="{CBFC1B9D-AA39-4FE6-8EF4-285C5028C4F2}"/>
    <cellStyle name="Percent 2 57" xfId="8144" xr:uid="{1FEECB2D-E3E7-426C-AC1D-6444C65382EA}"/>
    <cellStyle name="Percent 2 57 2" xfId="22300" xr:uid="{9A545217-D42E-4117-A6F4-76D501E38A00}"/>
    <cellStyle name="Percent 2 58" xfId="11037" xr:uid="{E19DC081-DD79-45CA-8220-ABBF8A97D230}"/>
    <cellStyle name="Percent 2 58 2" xfId="54024" xr:uid="{C2418786-8934-4CC4-9FCE-A1C29E213DEB}"/>
    <cellStyle name="Percent 2 59" xfId="54026" xr:uid="{5D0BD6EF-7656-44CE-8A84-EA4F940A180D}"/>
    <cellStyle name="Percent 2 59 2" xfId="54028" xr:uid="{08A5DDFB-F587-42EE-81A7-62D86356E358}"/>
    <cellStyle name="Percent 2 6" xfId="54029" xr:uid="{4998DB8B-3339-4928-96A5-EB22892C3DA1}"/>
    <cellStyle name="Percent 2 6 2" xfId="54030" xr:uid="{4FED79D8-42EA-474F-919A-95AAA85AC41D}"/>
    <cellStyle name="Percent 2 60" xfId="54015" xr:uid="{B5496F82-687B-4696-BCB9-FB669CD1173B}"/>
    <cellStyle name="Percent 2 60 2" xfId="54017" xr:uid="{9E38064B-DD56-427D-B075-AAD16EC45E94}"/>
    <cellStyle name="Percent 2 61" xfId="54019" xr:uid="{1E63EE43-03EA-432E-9945-64C680A21324}"/>
    <cellStyle name="Percent 2 61 2" xfId="54021" xr:uid="{1D48E3A3-53DC-4569-8B45-77C7566F3664}"/>
    <cellStyle name="Percent 2 62" xfId="8143" xr:uid="{90462E41-6CF6-417B-8009-BF885A2839D0}"/>
    <cellStyle name="Percent 2 62 2" xfId="22299" xr:uid="{500DFB2F-B422-4E41-9442-9FAC5EF185A1}"/>
    <cellStyle name="Percent 2 63" xfId="11036" xr:uid="{08864C72-3E80-485E-9225-3E382DF4F63D}"/>
    <cellStyle name="Percent 2 63 2" xfId="54023" xr:uid="{54A35B39-EB1B-4EF4-955C-62C1685C77DB}"/>
    <cellStyle name="Percent 2 64" xfId="54025" xr:uid="{804BE9EA-1459-4BA3-BDA3-62FFDB203CD3}"/>
    <cellStyle name="Percent 2 64 2" xfId="54027" xr:uid="{B2238254-92C8-4428-9800-2C3D6AE43BE7}"/>
    <cellStyle name="Percent 2 65" xfId="54032" xr:uid="{4141EDDC-E07B-44B1-B76F-AF43335CACDB}"/>
    <cellStyle name="Percent 2 65 2" xfId="54034" xr:uid="{DC644776-1360-459D-A5EE-B070FF8DE554}"/>
    <cellStyle name="Percent 2 66" xfId="54036" xr:uid="{342121B7-BF5F-44A6-8DC8-10183A623CC3}"/>
    <cellStyle name="Percent 2 66 2" xfId="54038" xr:uid="{E06C2063-EC12-452F-9A85-2F447C1FB6A8}"/>
    <cellStyle name="Percent 2 67" xfId="54040" xr:uid="{D830B576-8AEB-4F1F-8164-B073238C70D8}"/>
    <cellStyle name="Percent 2 67 2" xfId="54042" xr:uid="{4AAD9DEA-7A74-4511-B541-B0573920C72D}"/>
    <cellStyle name="Percent 2 68" xfId="54044" xr:uid="{B06CE45D-3A76-4312-9935-3BA9CFF018E3}"/>
    <cellStyle name="Percent 2 68 2" xfId="54046" xr:uid="{38429877-7F51-4BB4-92AA-92479ACC19DE}"/>
    <cellStyle name="Percent 2 69" xfId="54048" xr:uid="{045ABFBB-B534-4AA4-8E5E-73398B0D8A95}"/>
    <cellStyle name="Percent 2 69 2" xfId="54050" xr:uid="{08A79F52-1E38-46DE-82AE-44867346F452}"/>
    <cellStyle name="Percent 2 7" xfId="54051" xr:uid="{63B7587C-0F57-4015-82F0-A7CA9F0CBBD3}"/>
    <cellStyle name="Percent 2 7 2" xfId="54052" xr:uid="{482C440D-C856-4C0F-A5F0-CD24DA162493}"/>
    <cellStyle name="Percent 2 70" xfId="54031" xr:uid="{636869F5-0158-4922-8A89-6E519B7C7668}"/>
    <cellStyle name="Percent 2 70 2" xfId="54033" xr:uid="{DB2FBED6-3566-4448-9A2E-9FC6FA4B38A9}"/>
    <cellStyle name="Percent 2 71" xfId="54035" xr:uid="{3444D91C-00CD-43E5-94D4-FB71713D8681}"/>
    <cellStyle name="Percent 2 71 2" xfId="54037" xr:uid="{A2DB69E9-D492-4F0C-A602-6C20A1FDD7E5}"/>
    <cellStyle name="Percent 2 72" xfId="54039" xr:uid="{0E7A0930-E50C-4887-8FBB-CE3A37F3E94E}"/>
    <cellStyle name="Percent 2 72 2" xfId="54041" xr:uid="{6605D52F-14AC-4F87-B39A-2A579E59B4D8}"/>
    <cellStyle name="Percent 2 73" xfId="54043" xr:uid="{3DF63245-D986-4345-9FBC-9F9749C37077}"/>
    <cellStyle name="Percent 2 73 2" xfId="54045" xr:uid="{0EFA5615-9C0B-4F25-B8E2-A777EED3CFBE}"/>
    <cellStyle name="Percent 2 74" xfId="54047" xr:uid="{1D8B42CC-B226-4949-A908-D137D1246130}"/>
    <cellStyle name="Percent 2 74 2" xfId="54049" xr:uid="{85011BDB-7561-47E4-8D49-74EF4323C686}"/>
    <cellStyle name="Percent 2 75" xfId="54054" xr:uid="{5C3CF9EC-4B56-4336-AC53-E94C97D9A5BD}"/>
    <cellStyle name="Percent 2 75 2" xfId="54055" xr:uid="{1A78BD2F-4E07-44B5-A5D1-F7DDB1452621}"/>
    <cellStyle name="Percent 2 76" xfId="54057" xr:uid="{A7FF30DD-ADC1-4506-BA89-5357E8A948D1}"/>
    <cellStyle name="Percent 2 77" xfId="54059" xr:uid="{C62EEFA2-273C-4B16-AE1C-9BD0A76097F8}"/>
    <cellStyle name="Percent 2 78" xfId="54061" xr:uid="{E0C7E562-F5F3-4A7A-92C6-F92A96B67E3B}"/>
    <cellStyle name="Percent 2 79" xfId="54063" xr:uid="{A86A55FC-B311-4D53-8070-3B2F85A3B690}"/>
    <cellStyle name="Percent 2 8" xfId="54064" xr:uid="{B4C3B223-105B-4BE3-9159-A211ACB4E12F}"/>
    <cellStyle name="Percent 2 8 2" xfId="54065" xr:uid="{4056FC3E-7626-49F1-9F24-13D6777CBB23}"/>
    <cellStyle name="Percent 2 80" xfId="54053" xr:uid="{A6382785-6304-4F07-85A4-6B9973B60DC0}"/>
    <cellStyle name="Percent 2 81" xfId="54056" xr:uid="{60D7788E-C5F2-4804-AAAC-B445F0AA3221}"/>
    <cellStyle name="Percent 2 82" xfId="54058" xr:uid="{A0B1C576-035C-49FD-A56A-B73EBD230E9D}"/>
    <cellStyle name="Percent 2 83" xfId="54060" xr:uid="{AAAFD9AB-4DB7-4B02-9AFE-5CA6D6AC1CBA}"/>
    <cellStyle name="Percent 2 84" xfId="54062" xr:uid="{A1F92A2E-922C-4D49-95C6-EE088FE66F64}"/>
    <cellStyle name="Percent 2 85" xfId="54067" xr:uid="{E2DDF365-8C31-4292-8AC7-FEA21C4BD950}"/>
    <cellStyle name="Percent 2 86" xfId="54069" xr:uid="{D250B249-F641-4334-8149-C89CC9941898}"/>
    <cellStyle name="Percent 2 87" xfId="52832" xr:uid="{5C937699-007D-44A5-BDDB-AD0546F13532}"/>
    <cellStyle name="Percent 2 88" xfId="52839" xr:uid="{173617E5-C859-421E-A412-456B1E96EE76}"/>
    <cellStyle name="Percent 2 89" xfId="52843" xr:uid="{4CB0A69D-6542-466A-819E-6DC9727F1930}"/>
    <cellStyle name="Percent 2 9" xfId="54070" xr:uid="{00E9E7F8-D68C-452C-8CA5-CB23E27933C5}"/>
    <cellStyle name="Percent 2 9 2" xfId="54071" xr:uid="{DE0F04E9-916F-4165-BA72-E727BC76D2CB}"/>
    <cellStyle name="Percent 2 90" xfId="54066" xr:uid="{6FC05627-EC1B-42FB-9233-A2D06E31D30E}"/>
    <cellStyle name="Percent 2 91" xfId="54068" xr:uid="{D013B094-B6F8-413C-8F38-8F7B00730DEE}"/>
    <cellStyle name="Percent 2 92" xfId="52831" xr:uid="{4B3F06EB-F58A-4F53-A094-8F735C6DA693}"/>
    <cellStyle name="Percent 2 93" xfId="52838" xr:uid="{EAC8E46F-02F1-432C-B357-96B8248EECCF}"/>
    <cellStyle name="Percent 2 94" xfId="52842" xr:uid="{F5FA1E80-DACA-405D-AE5A-E6A1732DB7C8}"/>
    <cellStyle name="Percent 2 95" xfId="54072" xr:uid="{E0FB4198-959E-426A-BA1B-FE0EE97F91A9}"/>
    <cellStyle name="Percent 2 96" xfId="54073" xr:uid="{CF46CBF3-08F6-44F0-A62D-AC7708E378CF}"/>
    <cellStyle name="Percent 2 97" xfId="2079" xr:uid="{0542DA7C-FF3F-4582-90B9-066A0A065869}"/>
    <cellStyle name="Percent 2 98" xfId="11103" xr:uid="{A35EFE65-4143-4B03-B060-56CA1E7C2F66}"/>
    <cellStyle name="Percent 2 99" xfId="54074" xr:uid="{C02DEE20-7659-4C43-A10A-CDA687C14EA6}"/>
    <cellStyle name="Percent 2_PANdata - combined,name QSS" xfId="54075" xr:uid="{7B0F0B3E-168F-4C02-A16D-2FC69BC2EA08}"/>
    <cellStyle name="Percent 3" xfId="29881" xr:uid="{6D7EC60D-921A-477C-887D-777CBDFFB573}"/>
    <cellStyle name="Percent 3 10" xfId="54076" xr:uid="{7C255D6E-5C15-4828-83C3-EF79D7AB4C3A}"/>
    <cellStyle name="Percent 3 11" xfId="54077" xr:uid="{675C5466-2F54-4045-A5C8-7AED425A8636}"/>
    <cellStyle name="Percent 3 12" xfId="16319" xr:uid="{66254657-F0E1-416F-80D2-3C10A6E12047}"/>
    <cellStyle name="Percent 3 13" xfId="54078" xr:uid="{DE683AD7-B00E-466C-950C-514967F387D5}"/>
    <cellStyle name="Percent 3 14" xfId="54079" xr:uid="{DCDA3361-7102-43B1-8F54-CB96D4591FC5}"/>
    <cellStyle name="Percent 3 15" xfId="54081" xr:uid="{671F6F74-08D6-45E8-BC50-F34BDD32A897}"/>
    <cellStyle name="Percent 3 16" xfId="54083" xr:uid="{4FB4DDD6-BC8C-43C3-9948-1FB72EE89805}"/>
    <cellStyle name="Percent 3 17" xfId="54085" xr:uid="{1DFE73A0-58C8-4D98-AA51-64D80A488B54}"/>
    <cellStyle name="Percent 3 18" xfId="12853" xr:uid="{814B930C-1DAF-49BA-A6A3-62834697121E}"/>
    <cellStyle name="Percent 3 19" xfId="54087" xr:uid="{75F7C2E4-4025-4814-ADE3-8031B867D6D2}"/>
    <cellStyle name="Percent 3 2" xfId="29883" xr:uid="{5F0AA1D2-24DC-4B1D-AA4E-6D2E39FC8B0E}"/>
    <cellStyle name="Percent 3 2 2" xfId="54088" xr:uid="{A32292D7-0445-466A-B2E3-EA4D3FAF5F13}"/>
    <cellStyle name="Percent 3 20" xfId="54080" xr:uid="{A3AE63A1-B123-439C-8FF9-289B710A85DA}"/>
    <cellStyle name="Percent 3 21" xfId="54082" xr:uid="{18CA39C2-6A87-45EB-9F8F-A87201095981}"/>
    <cellStyle name="Percent 3 22" xfId="54084" xr:uid="{B75C4F2B-0822-4DCA-BD95-A2D275B9F8A8}"/>
    <cellStyle name="Percent 3 23" xfId="12852" xr:uid="{0974DE71-AF16-4880-8A79-5286EEE6408B}"/>
    <cellStyle name="Percent 3 24" xfId="54086" xr:uid="{F6D11FCF-6F06-4D54-910D-ECC6C9983723}"/>
    <cellStyle name="Percent 3 25" xfId="5508" xr:uid="{22060E04-8876-4C5E-AA1E-592DB1D5EA54}"/>
    <cellStyle name="Percent 3 26" xfId="11395" xr:uid="{7EDB0A7E-F0C1-4EEF-9A9B-20A469658C82}"/>
    <cellStyle name="Percent 3 27" xfId="11427" xr:uid="{77CAE3DD-A05D-42D9-AA5A-27EABC6838F2}"/>
    <cellStyle name="Percent 3 28" xfId="11442" xr:uid="{685CDDE0-B6A3-4F42-B996-BF602D30EB45}"/>
    <cellStyle name="Percent 3 29" xfId="11456" xr:uid="{0644601E-3D20-4848-A247-B1174F4D1ECF}"/>
    <cellStyle name="Percent 3 3" xfId="54089" xr:uid="{423AF9A4-2FB7-48EC-9143-CE958ADCB5E1}"/>
    <cellStyle name="Percent 3 3 2" xfId="37692" xr:uid="{898C9DBF-7FE5-4A2B-A94D-08D399C85BDD}"/>
    <cellStyle name="Percent 3 3 2 2" xfId="37694" xr:uid="{665DC88D-17CF-4CC2-AB39-5615CE892D9B}"/>
    <cellStyle name="Percent 3 3 2 2 2" xfId="37696" xr:uid="{5227A1DF-ABB5-4C39-AE08-12E64A17949A}"/>
    <cellStyle name="Percent 3 3 2 2 2 2" xfId="37698" xr:uid="{276920DC-F072-44C0-9720-978D3F3DA0A0}"/>
    <cellStyle name="Percent 3 3 2 2 3" xfId="37702" xr:uid="{881E1EB4-6231-434D-BE56-3DB115850CF9}"/>
    <cellStyle name="Percent 3 3 2 3" xfId="37706" xr:uid="{D908E40A-5601-4692-A5A0-239E1B3A54CB}"/>
    <cellStyle name="Percent 3 3 2 3 2" xfId="37708" xr:uid="{CA2E98BE-C6B7-4EB2-AE46-9E5342798E9E}"/>
    <cellStyle name="Percent 3 3 2 3 2 2" xfId="37710" xr:uid="{85F10402-36F6-48F7-8B10-89220660FC2A}"/>
    <cellStyle name="Percent 3 3 2 3 3" xfId="37712" xr:uid="{24D701D6-D2A4-4145-9711-65DF517FB7D8}"/>
    <cellStyle name="Percent 3 3 2 4" xfId="37714" xr:uid="{8CBE171D-BB93-4E41-87FC-CF914078BD9D}"/>
    <cellStyle name="Percent 3 3 2 4 2" xfId="37716" xr:uid="{CB64F2A7-95F5-47CC-84C0-62ACFE7A0A49}"/>
    <cellStyle name="Percent 3 3 2 5" xfId="37719" xr:uid="{EE232AC0-1777-4FD9-AA72-1BC9196D7DB0}"/>
    <cellStyle name="Percent 3 3 3" xfId="37721" xr:uid="{2F902707-0B53-4A4C-8918-2AA402EF13A1}"/>
    <cellStyle name="Percent 3 3 3 2" xfId="37723" xr:uid="{1473060C-7240-4C16-BA22-5044BA574B63}"/>
    <cellStyle name="Percent 3 3 3 2 2" xfId="37725" xr:uid="{65B5E5D0-DA43-4DFC-AA9D-27371F25E95F}"/>
    <cellStyle name="Percent 3 3 3 3" xfId="37729" xr:uid="{CE9957CF-0488-4272-B6BE-1162943C36DB}"/>
    <cellStyle name="Percent 3 3 4" xfId="26338" xr:uid="{2E519A01-EEBF-4072-83AD-8C65C6A29146}"/>
    <cellStyle name="Percent 3 3 4 2" xfId="37733" xr:uid="{BB71BCD6-AA04-4047-B8E8-846990029E5D}"/>
    <cellStyle name="Percent 3 3 4 2 2" xfId="37735" xr:uid="{C6DB6439-D528-423A-8B27-DFDEEBBAAE40}"/>
    <cellStyle name="Percent 3 3 4 3" xfId="37737" xr:uid="{82F02A5C-EEEF-4E00-9EF7-F62A07BDB583}"/>
    <cellStyle name="Percent 3 3 5" xfId="37739" xr:uid="{880D05E2-B713-4F11-B396-9BB436E133A7}"/>
    <cellStyle name="Percent 3 3 5 2" xfId="37741" xr:uid="{918D6348-3E0C-4122-B002-00281E0AFD63}"/>
    <cellStyle name="Percent 3 3 6" xfId="37743" xr:uid="{6F004D65-E1BA-4BD2-9033-6EA03E741A55}"/>
    <cellStyle name="Percent 3 30" xfId="5507" xr:uid="{FEE1D8EB-D7BA-4197-80D2-AD0601B2BF79}"/>
    <cellStyle name="Percent 3 31" xfId="11394" xr:uid="{8B0115EA-71C3-4D9D-8819-DC5D462ED36E}"/>
    <cellStyle name="Percent 3 32" xfId="11426" xr:uid="{1D3776A6-D91D-466D-9E12-38776DBD174D}"/>
    <cellStyle name="Percent 3 33" xfId="11441" xr:uid="{76BF832C-2A90-4F8F-9AE4-8FEADEECFAAB}"/>
    <cellStyle name="Percent 3 34" xfId="11455" xr:uid="{B16F6BFC-E04B-4E25-AA2F-E4103183415F}"/>
    <cellStyle name="Percent 3 35" xfId="11466" xr:uid="{CBB6DDDB-1587-4FE8-A6F2-D7B45B8DF19D}"/>
    <cellStyle name="Percent 3 36" xfId="11470" xr:uid="{BEC47592-B71D-4724-9EB6-4DE4188D1C36}"/>
    <cellStyle name="Percent 3 37" xfId="54091" xr:uid="{B467D6F1-030F-4060-AA2D-E4B6F42AAE6C}"/>
    <cellStyle name="Percent 3 38" xfId="54093" xr:uid="{2171634D-D339-474F-A196-7B8851DA6EA8}"/>
    <cellStyle name="Percent 3 39" xfId="54095" xr:uid="{6CC614B8-D752-4750-A7D7-69ECF6EAF1F6}"/>
    <cellStyle name="Percent 3 4" xfId="54096" xr:uid="{EF01BB7D-2953-427C-A7BA-E1F94EEBECB1}"/>
    <cellStyle name="Percent 3 4 2" xfId="37793" xr:uid="{3D7E5C6F-8E54-4024-9324-7FE9F7295842}"/>
    <cellStyle name="Percent 3 4 2 2" xfId="37795" xr:uid="{CD3105EB-C0B2-4231-9C6F-73E07B99C8CB}"/>
    <cellStyle name="Percent 3 4 2 2 2" xfId="37797" xr:uid="{8AF7CF3C-A494-4F94-AEF4-6ADA1A3BA429}"/>
    <cellStyle name="Percent 3 4 2 3" xfId="37801" xr:uid="{D1762C2B-92CC-401F-AFB3-DFC7F149757D}"/>
    <cellStyle name="Percent 3 4 3" xfId="37806" xr:uid="{96121A50-E57C-453D-8669-2AE04D3109F3}"/>
    <cellStyle name="Percent 3 4 3 2" xfId="37809" xr:uid="{0F1902CB-7204-41FC-B10B-ADD97432D3CB}"/>
    <cellStyle name="Percent 3 4 3 2 2" xfId="37812" xr:uid="{529389A3-8080-4416-AD4C-15469B6A8487}"/>
    <cellStyle name="Percent 3 4 3 3" xfId="37815" xr:uid="{AA0381D1-5C6C-43E0-B55A-CF7BAC1F5D0F}"/>
    <cellStyle name="Percent 3 4 4" xfId="37818" xr:uid="{E91E6F33-E401-4DDF-86DD-F8165CB22921}"/>
    <cellStyle name="Percent 3 4 4 2" xfId="37821" xr:uid="{5AC3B8D7-D120-4769-B9B2-BD80E2E35269}"/>
    <cellStyle name="Percent 3 4 5" xfId="37824" xr:uid="{1F9AA35A-5DA7-40EC-9BAF-BC7E49FF533B}"/>
    <cellStyle name="Percent 3 40" xfId="11465" xr:uid="{4C736ACD-26FF-440A-BDA8-06A10B905BA9}"/>
    <cellStyle name="Percent 3 41" xfId="11469" xr:uid="{2DE488EF-7310-447B-A8C2-D0D7D07A7776}"/>
    <cellStyle name="Percent 3 42" xfId="54090" xr:uid="{48BAB8BD-36FC-44E9-BB1B-A52C036B96DA}"/>
    <cellStyle name="Percent 3 43" xfId="54092" xr:uid="{ED28349C-F4A0-46DE-BB42-04E2B4549E65}"/>
    <cellStyle name="Percent 3 44" xfId="54094" xr:uid="{767F9B02-445B-4DBC-8622-8682CBFDDFDA}"/>
    <cellStyle name="Percent 3 5" xfId="8185" xr:uid="{B191FC0B-0C99-4177-A14A-A5A11D0D2EB6}"/>
    <cellStyle name="Percent 3 5 2" xfId="7130" xr:uid="{550D09E3-C04D-40B1-A82F-E7CFFF875CBA}"/>
    <cellStyle name="Percent 3 5 2 2" xfId="7135" xr:uid="{97CDCD7C-FB6E-4F81-B794-EA736C98B6B1}"/>
    <cellStyle name="Percent 3 5 3" xfId="7142" xr:uid="{06010C93-F64B-499D-9A09-09BE8639FD64}"/>
    <cellStyle name="Percent 3 6" xfId="8239" xr:uid="{96DC7112-CDDD-4C48-A5F6-795FF4F49AC3}"/>
    <cellStyle name="Percent 3 6 2" xfId="7169" xr:uid="{597D08C9-6E49-4DC7-B639-BC40AC1A204A}"/>
    <cellStyle name="Percent 3 6 2 2" xfId="6966" xr:uid="{67324172-E6E8-4F3E-AA9C-DE346D80F9EC}"/>
    <cellStyle name="Percent 3 6 3" xfId="8242" xr:uid="{3E15CE92-F08D-4912-8AE4-9DF701C9C86E}"/>
    <cellStyle name="Percent 3 7" xfId="8246" xr:uid="{C2D1116B-87E2-421C-9746-148C01BCEFB9}"/>
    <cellStyle name="Percent 3 7 2" xfId="8249" xr:uid="{30851741-7CBB-4D09-890B-444AD775049E}"/>
    <cellStyle name="Percent 3 8" xfId="8258" xr:uid="{72FB179C-30BD-48FF-B483-48210AED1C4F}"/>
    <cellStyle name="Percent 3 9" xfId="8264" xr:uid="{AC24BDAE-2550-44E6-84E9-D2746C96B752}"/>
    <cellStyle name="Percent 4" xfId="29885" xr:uid="{A761103C-A2D8-45CB-BABE-ECE21A97CE63}"/>
    <cellStyle name="Percent 4 2" xfId="54097" xr:uid="{2BD4BDF1-2C9A-4876-9F1F-F501EB405AB8}"/>
    <cellStyle name="Percent 4 2 2" xfId="54098" xr:uid="{F8D5800C-2295-401D-BA2D-A859C2B481B9}"/>
    <cellStyle name="Percent 4 3" xfId="54099" xr:uid="{77176C27-C0B5-449F-A88F-ED5D013EB873}"/>
    <cellStyle name="Percent 5" xfId="54100" xr:uid="{CDCDD4BD-B10A-4711-8ED3-4ADBE74348E2}"/>
    <cellStyle name="Percent 5 2" xfId="54101" xr:uid="{1E8DEF2A-50F1-4B16-8BD9-3B08A8C52DB7}"/>
    <cellStyle name="Percent 6" xfId="54102" xr:uid="{4DE9F4DE-C22B-49D8-B4AD-3B45839F102E}"/>
    <cellStyle name="Percent 6 2" xfId="54103" xr:uid="{AD3BFF85-979D-4DF5-809D-A5E3EF9AB4E8}"/>
    <cellStyle name="Percent 7" xfId="54104" xr:uid="{64B88630-76D6-4112-BC58-79413FD1F685}"/>
    <cellStyle name="Percent 7 2" xfId="10824" xr:uid="{E0D42405-F3B9-452C-89B1-56A026075952}"/>
    <cellStyle name="Percent 7 2 2" xfId="10826" xr:uid="{9CB6DE3D-1271-4A0C-9626-8E747F907F54}"/>
    <cellStyle name="Percent 7 3" xfId="10828" xr:uid="{AA631231-D141-4B58-81D2-8B873D32BE24}"/>
    <cellStyle name="Percent 7 4" xfId="54105" xr:uid="{998C7F97-D156-40EB-8592-7E3C3671BDC9}"/>
    <cellStyle name="Percent 8" xfId="54106" xr:uid="{5C8AFBB7-2153-452F-8D4A-4565D3701D9B}"/>
    <cellStyle name="Percent 8 2" xfId="10833" xr:uid="{24FD6B51-267D-428F-B9D9-A5582943295C}"/>
    <cellStyle name="Percent 8 2 2" xfId="54107" xr:uid="{516A79A4-E54C-489D-BCA2-6DC5188664E1}"/>
    <cellStyle name="Percent 8 3" xfId="54108" xr:uid="{B48BF900-7D2B-4A1D-8097-BEE306BB343B}"/>
    <cellStyle name="Percent 9" xfId="54109" xr:uid="{83DB9D0C-C5A8-4168-955D-C71424BAA661}"/>
    <cellStyle name="Product Title" xfId="54110" xr:uid="{EECE667B-EB90-4135-8CFC-2A09EBC08529}"/>
    <cellStyle name="Result" xfId="54111" xr:uid="{09ECB2E8-9166-419C-8223-D99677D4D36E}"/>
    <cellStyle name="Result 1" xfId="23927" xr:uid="{986CC5C5-C195-42A4-AE37-E36BAE8084B6}"/>
    <cellStyle name="Result2" xfId="54112" xr:uid="{80F901D1-0325-4439-B7D7-62385A0DD7BC}"/>
    <cellStyle name="Result2 1" xfId="54113" xr:uid="{9D875518-7563-47B1-BBD3-0BE0353BB0A0}"/>
    <cellStyle name="style1536899579810" xfId="54114" xr:uid="{B9005462-9E57-4BE3-8C5A-C3FFA04DE17B}"/>
    <cellStyle name="style1536899579810 2" xfId="54115" xr:uid="{6739D697-FF61-4C93-AB53-929E3BC5AFB6}"/>
    <cellStyle name="Text" xfId="54116" xr:uid="{A0CF67A0-B355-4635-BDC6-EDA4D18BD5EB}"/>
    <cellStyle name="Title 2" xfId="54117" xr:uid="{5AA64935-1C22-4ACA-BE59-66717A2452CF}"/>
    <cellStyle name="Title 2 2" xfId="54118" xr:uid="{77E712C7-2F02-47FE-A0D5-2C970E0EB6A4}"/>
    <cellStyle name="Title 2 3" xfId="54119" xr:uid="{B79BF4B9-4D3C-4D5C-A137-B054E5ABBF24}"/>
    <cellStyle name="Title 2 4" xfId="54120" xr:uid="{1C2CE0D4-A71A-4C97-A461-FAFB850B290A}"/>
    <cellStyle name="Title 2 5" xfId="54121" xr:uid="{C83D4CCA-0423-443C-83CE-7B8EAFF0AEA9}"/>
    <cellStyle name="Title 2 6" xfId="54122" xr:uid="{65707853-9F8E-4206-B911-4FDCC989D003}"/>
    <cellStyle name="Title 2 7" xfId="54123" xr:uid="{E92882CF-307B-452F-8FC2-B765E38B80CC}"/>
    <cellStyle name="Title 3" xfId="54124" xr:uid="{586FD326-1FCD-46D3-97C6-CD0281249863}"/>
    <cellStyle name="Title 4" xfId="54125" xr:uid="{59A68E8C-A7D6-484D-92FB-7B0812C21E80}"/>
    <cellStyle name="Title 5" xfId="13512" xr:uid="{CC6C355F-B90C-4FF4-B8DF-CB93E3C4DAB9}"/>
    <cellStyle name="Title 6" xfId="13565" xr:uid="{68CCFD4C-FBD4-4630-B1A9-EFCEEB84D4BD}"/>
    <cellStyle name="Total 2" xfId="54126" xr:uid="{404DFD12-1DB5-4798-8AE8-888F211AFFE2}"/>
    <cellStyle name="Total 2 2" xfId="54127" xr:uid="{25B0D336-27CB-4FD8-9CD2-3094823F8D0F}"/>
    <cellStyle name="Total 2 2 2" xfId="54128" xr:uid="{1053A9DA-B3CC-40C0-821C-16E2EF3150BB}"/>
    <cellStyle name="Total 2 3" xfId="54129" xr:uid="{E08D524D-6F5C-418D-8677-70B970F3AE19}"/>
    <cellStyle name="Total 2 4" xfId="54130" xr:uid="{0B9D29E4-CB04-4326-BC15-661D4475B97C}"/>
    <cellStyle name="Total 2 5" xfId="54131" xr:uid="{C1C38888-BD97-4E92-8650-79698AB83D1F}"/>
    <cellStyle name="Total 2 6" xfId="54132" xr:uid="{C6BBDA84-7945-4747-99C6-5041BF8DF310}"/>
    <cellStyle name="Total 2 7" xfId="54133" xr:uid="{09ADC254-64DB-48FC-B07C-802682424D0F}"/>
    <cellStyle name="Total 3" xfId="54134" xr:uid="{ADD54B52-BF7B-40EB-AE13-E4573F287349}"/>
    <cellStyle name="Total 4" xfId="54135" xr:uid="{D78E43C0-502A-4021-AC1A-21330F18B534}"/>
    <cellStyle name="Total 5" xfId="54136" xr:uid="{52476D1A-DF08-4A3F-8314-3C6802806609}"/>
    <cellStyle name="Total 6" xfId="54137" xr:uid="{9E9AC448-3FAF-43D6-86F8-B153E005E368}"/>
    <cellStyle name="Warning Text 2" xfId="54138" xr:uid="{BD05EF92-39F4-4152-B066-C1D5D71EA8EF}"/>
    <cellStyle name="Warning Text 2 2" xfId="46574" xr:uid="{2578A17C-1B73-48CA-AFEF-9E0A6239ADAF}"/>
    <cellStyle name="Warning Text 2 3" xfId="46576" xr:uid="{68CB65EE-088F-4FA7-AF6E-E3292FBE7CF3}"/>
    <cellStyle name="Warning Text 2 4" xfId="54139" xr:uid="{A3A534B9-59C5-41AD-8DCC-76824E24B0E8}"/>
    <cellStyle name="Warning Text 2 5" xfId="54140" xr:uid="{95BBCDF5-2EF3-4689-9D55-0E7343CC55EF}"/>
    <cellStyle name="Warning Text 2 6" xfId="42282" xr:uid="{384D4FE6-81D0-435C-A9A7-5F695D620692}"/>
    <cellStyle name="Warning Text 2 7" xfId="42285" xr:uid="{ED975A9A-A4FE-416B-9C5B-6AAFD5DB95E5}"/>
    <cellStyle name="Warning Text 3" xfId="26554" xr:uid="{188E298E-AD5B-4002-A342-B2A551A90D87}"/>
    <cellStyle name="Warning Text 4" xfId="50959" xr:uid="{17FF7FD9-5BDE-49D2-8927-F006B61B6408}"/>
    <cellStyle name="Warning Text 5" xfId="50964" xr:uid="{5CBDD447-A920-474B-B824-6DD97BDBFBA1}"/>
    <cellStyle name="Warning Text 6" xfId="50967" xr:uid="{2B63F75F-2D32-46E0-A16C-05405D42D823}"/>
  </cellStyles>
  <dxfs count="229">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center" vertical="center" textRotation="0" wrapText="0" indent="0" justifyLastLine="0" shrinkToFit="0" readingOrder="0"/>
    </dxf>
    <dxf>
      <alignment horizontal="center" textRotation="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center" vertical="center" textRotation="0" wrapText="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0"/>
        <color theme="4" tint="-0.249977111117893"/>
        <name val="Arial"/>
        <family val="2"/>
        <scheme val="none"/>
      </font>
      <fill>
        <patternFill patternType="solid">
          <fgColor indexed="64"/>
          <bgColor theme="4"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rial"/>
        <family val="2"/>
        <scheme val="none"/>
      </font>
      <fill>
        <patternFill patternType="solid">
          <fgColor indexed="64"/>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4" tint="-0.249977111117893"/>
        <name val="Arial"/>
        <family val="2"/>
        <scheme val="none"/>
      </font>
      <fill>
        <patternFill patternType="solid">
          <fgColor indexed="64"/>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0"/>
        <color theme="4" tint="-0.249977111117893"/>
        <name val="Arial"/>
        <family val="2"/>
        <scheme val="none"/>
      </font>
      <fill>
        <patternFill patternType="solid">
          <fgColor indexed="64"/>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0"/>
        <color theme="4" tint="-0.249977111117893"/>
        <name val="Arial"/>
        <family val="2"/>
        <scheme val="none"/>
      </font>
      <fill>
        <patternFill patternType="solid">
          <fgColor indexed="64"/>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0"/>
        <color theme="4" tint="-0.249977111117893"/>
        <name val="Arial"/>
        <family val="2"/>
        <scheme val="none"/>
      </font>
      <fill>
        <patternFill patternType="solid">
          <fgColor indexed="64"/>
          <bgColor theme="4" tint="0.79998168889431442"/>
        </patternFill>
      </fill>
      <alignment horizontal="center" vertical="center" textRotation="0" wrapText="0" indent="0" justifyLastLine="0" shrinkToFit="0" readingOrder="0"/>
      <border diagonalUp="0" diagonalDown="0" outline="0">
        <left/>
        <right/>
        <top style="thin">
          <color theme="4" tint="0.39997558519241921"/>
        </top>
        <bottom/>
      </border>
    </dxf>
    <dxf>
      <font>
        <b val="0"/>
        <i val="0"/>
        <strike val="0"/>
        <condense val="0"/>
        <extend val="0"/>
        <outline val="0"/>
        <shadow val="0"/>
        <u val="none"/>
        <vertAlign val="baseline"/>
        <sz val="11"/>
        <color theme="4" tint="-0.249977111117893"/>
        <name val="Arial"/>
        <family val="2"/>
        <scheme val="none"/>
      </font>
      <fill>
        <patternFill patternType="solid">
          <fgColor indexed="64"/>
          <bgColor theme="4" tint="0.79998168889431442"/>
        </patternFill>
      </fill>
      <alignment horizontal="center" vertical="center" textRotation="0" wrapText="1" indent="0" justifyLastLine="0" shrinkToFit="0" readingOrder="0"/>
      <border diagonalUp="0" diagonalDown="0" outline="0">
        <left/>
        <right/>
        <top style="thin">
          <color theme="4" tint="0.39997558519241921"/>
        </top>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alignment horizontal="center" vertical="center" textRotation="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4"/>
          <bgColor theme="4"/>
        </patternFill>
      </fill>
      <alignment horizontal="center" vertical="center" textRotation="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center" vertical="center" textRotation="0" wrapText="0" indent="0" justifyLastLine="0" shrinkToFit="0" readingOrder="0"/>
    </dxf>
    <dxf>
      <alignment horizontal="center" textRotation="0" indent="0" justifyLastLine="0" shrinkToFit="0" readingOrder="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fill>
        <patternFill patternType="none">
          <fgColor indexed="64"/>
          <bgColor indexed="65"/>
        </patternFill>
      </fill>
      <alignment horizontal="center" vertical="center" textRotation="0" wrapText="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center" vertical="center" textRotation="0" wrapText="0" indent="0" justifyLastLine="0" shrinkToFit="0" readingOrder="0"/>
    </dxf>
    <dxf>
      <alignment horizontal="center" textRotation="0" indent="0" justifyLastLine="0" shrinkToFit="0" readingOrder="0"/>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dxf>
    <dxf>
      <font>
        <strike val="0"/>
        <outline val="0"/>
        <shadow val="0"/>
        <u val="none"/>
        <vertAlign val="baseline"/>
        <sz val="11"/>
        <color theme="0"/>
        <name val="Arial"/>
        <family val="2"/>
        <scheme val="none"/>
      </font>
      <fill>
        <patternFill>
          <fgColor indexed="64"/>
          <bgColor theme="4"/>
        </patternFill>
      </fill>
      <alignment horizontal="center" vertical="center" textRotation="0" indent="0" justifyLastLine="0" shrinkToFit="0" readingOrder="0"/>
    </dxf>
    <dxf>
      <numFmt numFmtId="0" formatCode="General"/>
    </dxf>
    <dxf>
      <font>
        <b val="0"/>
        <i val="0"/>
        <strike val="0"/>
        <condense val="0"/>
        <extend val="0"/>
        <outline val="0"/>
        <shadow val="0"/>
        <u val="none"/>
        <vertAlign val="baseline"/>
        <sz val="11"/>
        <color theme="1"/>
        <name val="Aptos Narrow"/>
        <family val="2"/>
        <scheme val="minor"/>
      </font>
      <numFmt numFmtId="182" formatCode="&quot;RM&quot;#,##0.00"/>
    </dxf>
    <dxf>
      <font>
        <b val="0"/>
        <i val="0"/>
        <strike val="0"/>
        <condense val="0"/>
        <extend val="0"/>
        <outline val="0"/>
        <shadow val="0"/>
        <u val="none"/>
        <vertAlign val="baseline"/>
        <sz val="11"/>
        <color theme="1"/>
        <name val="Aptos Narrow"/>
        <family val="2"/>
        <scheme val="minor"/>
      </font>
      <numFmt numFmtId="182" formatCode="&quot;RM&quot;#,##0.00"/>
    </dxf>
    <dxf>
      <font>
        <b val="0"/>
        <i val="0"/>
        <strike val="0"/>
        <condense val="0"/>
        <extend val="0"/>
        <outline val="0"/>
        <shadow val="0"/>
        <u val="none"/>
        <vertAlign val="baseline"/>
        <sz val="11"/>
        <color theme="1"/>
        <name val="Aptos Narrow"/>
        <family val="2"/>
        <scheme val="minor"/>
      </font>
      <numFmt numFmtId="182" formatCode="&quot;RM&quot;#,##0.00"/>
    </dxf>
    <dxf>
      <font>
        <b val="0"/>
        <i val="0"/>
        <strike val="0"/>
        <condense val="0"/>
        <extend val="0"/>
        <outline val="0"/>
        <shadow val="0"/>
        <u val="none"/>
        <vertAlign val="baseline"/>
        <sz val="11"/>
        <color theme="1"/>
        <name val="Aptos Narrow"/>
        <family val="2"/>
        <scheme val="minor"/>
      </font>
      <numFmt numFmtId="182" formatCode="&quot;RM&quot;#,##0.00"/>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right/>
        <top style="thin">
          <color theme="4" tint="0.39997558519241921"/>
        </top>
        <bottom style="thin">
          <color theme="4" tint="0.39997558519241921"/>
        </bottom>
      </border>
    </dxf>
    <dxf>
      <border outline="0">
        <left style="thin">
          <color theme="4" tint="0.39997558519241921"/>
        </left>
      </border>
    </dxf>
    <dxf>
      <alignment horizontal="center" vertical="center" textRotation="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right/>
        <top style="thin">
          <color theme="4" tint="0.39997558519241921"/>
        </top>
        <bottom style="thin">
          <color theme="4" tint="0.39997558519241921"/>
        </bottom>
      </border>
    </dxf>
    <dxf>
      <border outline="0">
        <left style="thin">
          <color theme="4" tint="0.39997558519241921"/>
        </left>
      </border>
    </dxf>
    <dxf>
      <alignment horizontal="center" vertical="center" textRotation="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fill>
        <patternFill patternType="solid">
          <fgColor theme="4" tint="0.79998168889431442"/>
          <bgColor theme="4" tint="0.79998168889431442"/>
        </patternFill>
      </fill>
      <alignment horizontal="center" vertical="center" textRotation="0" wrapText="1" indent="0" justifyLastLine="0" shrinkToFit="0" readingOrder="0"/>
      <border diagonalUp="0" diagonalDown="0" outline="0">
        <left/>
        <right/>
        <top style="thin">
          <color theme="4" tint="0.39997558519241921"/>
        </top>
        <bottom style="thin">
          <color theme="4" tint="0.39997558519241921"/>
        </bottom>
      </border>
    </dxf>
    <dxf>
      <border outline="0">
        <left style="thin">
          <color theme="4" tint="0.39997558519241921"/>
        </left>
      </border>
    </dxf>
    <dxf>
      <alignment horizontal="center" vertical="center" textRotation="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Arial"/>
        <family val="2"/>
        <scheme val="none"/>
      </font>
      <numFmt numFmtId="2"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2" formatCode="0.00"/>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none">
          <fgColor indexed="64"/>
          <bgColor indexed="65"/>
        </patternFill>
      </fill>
      <alignment horizontal="center" vertical="center" textRotation="0" wrapText="0" indent="0" justifyLastLine="0" shrinkToFit="0" readingOrder="0"/>
    </dxf>
    <dxf>
      <numFmt numFmtId="2" formatCode="0.00"/>
      <alignment horizontal="center" vertical="center" textRotation="0" indent="0" justifyLastLine="0" shrinkToFit="0" readingOrder="0"/>
    </dxf>
    <dxf>
      <numFmt numFmtId="2" formatCode="0.00"/>
      <alignment horizontal="center" vertical="center" textRotation="0" indent="0" justifyLastLine="0" shrinkToFit="0" readingOrder="0"/>
    </dxf>
    <dxf>
      <font>
        <b val="0"/>
        <i val="0"/>
        <strike val="0"/>
        <condense val="0"/>
        <extend val="0"/>
        <outline val="0"/>
        <shadow val="0"/>
        <u val="none"/>
        <vertAlign val="baseline"/>
        <sz val="10"/>
        <color rgb="FF000000"/>
        <name val="Arial"/>
        <family val="2"/>
        <scheme val="none"/>
      </font>
      <numFmt numFmtId="2" formatCode="0.00"/>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2" formatCode="0.00"/>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2" formatCode="0.00"/>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2" formatCode="0.00"/>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2" formatCode="0.00"/>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2" formatCode="0.00"/>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2" formatCode="0.00"/>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2" formatCode="0.00"/>
      <alignment horizontal="right"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2" formatCode="0.00"/>
      <alignment horizontal="left" vertical="center" textRotation="0" wrapText="1" indent="1" justifyLastLine="0" shrinkToFit="0" readingOrder="0"/>
    </dxf>
    <dxf>
      <font>
        <b val="0"/>
        <i val="0"/>
        <strike val="0"/>
        <condense val="0"/>
        <extend val="0"/>
        <outline val="0"/>
        <shadow val="0"/>
        <u val="none"/>
        <vertAlign val="baseline"/>
        <sz val="11"/>
        <color theme="1"/>
        <name val="Arial"/>
        <family val="2"/>
        <scheme val="none"/>
      </font>
      <numFmt numFmtId="2" formatCode="0.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2" formatCode="0.00"/>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2" formatCode="0.00"/>
      <alignment horizontal="right"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2" formatCode="0.00"/>
      <alignment horizontal="left" vertical="center" textRotation="0" wrapText="1" indent="1" justifyLastLine="0" shrinkToFit="0" readingOrder="0"/>
    </dxf>
    <dxf>
      <font>
        <b val="0"/>
        <i val="0"/>
        <strike val="0"/>
        <condense val="0"/>
        <extend val="0"/>
        <outline val="0"/>
        <shadow val="0"/>
        <u val="none"/>
        <vertAlign val="baseline"/>
        <sz val="11"/>
        <color theme="1"/>
        <name val="Arial"/>
        <family val="2"/>
        <scheme val="none"/>
      </font>
      <numFmt numFmtId="2" formatCode="0.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2" formatCode="0.00"/>
      <alignment horizontal="general"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2" formatCode="0.00"/>
      <alignment horizontal="left" vertical="center" textRotation="0" wrapText="1" indent="1" justifyLastLine="0" shrinkToFit="0" readingOrder="0"/>
    </dxf>
    <dxf>
      <font>
        <b val="0"/>
        <i val="0"/>
        <strike val="0"/>
        <condense val="0"/>
        <extend val="0"/>
        <outline val="0"/>
        <shadow val="0"/>
        <u val="none"/>
        <vertAlign val="baseline"/>
        <sz val="10"/>
        <color theme="1"/>
        <name val="Arial"/>
        <family val="2"/>
        <scheme val="none"/>
      </font>
      <alignment horizontal="general" vertical="center"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34" formatCode="_-&quot;RM&quot;* #,##0.00_-;\-&quot;RM&quot;* #,##0.00_-;_-&quot;RM&quot;* &quot;-&quot;??_-;_-@_-"/>
    </dxf>
    <dxf>
      <numFmt numFmtId="34" formatCode="_-&quot;RM&quot;* #,##0.00_-;\-&quot;RM&quot;* #,##0.00_-;_-&quot;RM&quot;* &quot;-&quot;??_-;_-@_-"/>
    </dxf>
    <dxf>
      <numFmt numFmtId="34" formatCode="_-&quot;RM&quot;* #,##0.00_-;\-&quot;RM&quot;* #,##0.00_-;_-&quot;RM&quot;* &quot;-&quot;??_-;_-@_-"/>
    </dxf>
    <dxf>
      <alignment horizontal="right"/>
    </dxf>
    <dxf>
      <alignment horizontal="left" vertical="bottom" textRotation="0" wrapText="0" indent="0" justifyLastLine="0" shrinkToFit="0" readingOrder="0"/>
    </dxf>
    <dxf>
      <numFmt numFmtId="34" formatCode="_-&quot;RM&quot;* #,##0.00_-;\-&quot;RM&quot;* #,##0.00_-;_-&quot;RM&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pivotCacheDefinition" Target="pivotCache/pivotCacheDefinition1.xml"/><Relationship Id="rId50" Type="http://schemas.openxmlformats.org/officeDocument/2006/relationships/pivotCacheDefinition" Target="pivotCache/pivotCacheDefinition4.xml"/><Relationship Id="rId55" Type="http://schemas.microsoft.com/office/2007/relationships/slicerCache" Target="slicerCaches/slicerCach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2.xml"/><Relationship Id="rId53" Type="http://schemas.openxmlformats.org/officeDocument/2006/relationships/pivotCacheDefinition" Target="pivotCache/pivotCacheDefinition7.xml"/><Relationship Id="rId58"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pivotCacheDefinition" Target="pivotCache/pivotCacheDefinition2.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3.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pivotCacheDefinition" Target="pivotCache/pivotCacheDefinition8.xml"/><Relationship Id="rId62"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pivotCacheDefinition" Target="pivotCache/pivotCacheDefinition3.xml"/><Relationship Id="rId57" Type="http://schemas.openxmlformats.org/officeDocument/2006/relationships/connections" Target="connection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xml"/><Relationship Id="rId52" Type="http://schemas.openxmlformats.org/officeDocument/2006/relationships/pivotCacheDefinition" Target="pivotCache/pivotCacheDefinition6.xml"/><Relationship Id="rId6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[Flood Analysis Malaysia.xlsx]Malaysia!Malaysia Total</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Malaysia!$B$3:$B$4</c:f>
              <c:strCache>
                <c:ptCount val="1"/>
                <c:pt idx="0">
                  <c:v>2025</c:v>
                </c:pt>
              </c:strCache>
            </c:strRef>
          </c:tx>
          <c:spPr>
            <a:solidFill>
              <a:schemeClr val="accent1"/>
            </a:solidFill>
            <a:ln>
              <a:noFill/>
            </a:ln>
            <a:effectLst/>
          </c:spPr>
          <c:invertIfNegative val="0"/>
          <c:cat>
            <c:strRef>
              <c:f>Malaysia!$A$5:$A$11</c:f>
              <c:strCache>
                <c:ptCount val="6"/>
                <c:pt idx="0">
                  <c:v>Agriculture</c:v>
                </c:pt>
                <c:pt idx="1">
                  <c:v>Business Premises</c:v>
                </c:pt>
                <c:pt idx="2">
                  <c:v>Infrastructure</c:v>
                </c:pt>
                <c:pt idx="3">
                  <c:v>Living Quarters</c:v>
                </c:pt>
                <c:pt idx="4">
                  <c:v>Manufacturing</c:v>
                </c:pt>
                <c:pt idx="5">
                  <c:v>Vehicles</c:v>
                </c:pt>
              </c:strCache>
            </c:strRef>
          </c:cat>
          <c:val>
            <c:numRef>
              <c:f>Malaysia!$B$5:$B$11</c:f>
              <c:numCache>
                <c:formatCode>_("RM"* #,##0.00_);_("RM"* \(#,##0.00\);_("RM"* "-"??_);_(@_)</c:formatCode>
                <c:ptCount val="6"/>
                <c:pt idx="0">
                  <c:v>52559.125660000005</c:v>
                </c:pt>
                <c:pt idx="1">
                  <c:v>13448.684466666668</c:v>
                </c:pt>
                <c:pt idx="2">
                  <c:v>380181.71825999999</c:v>
                </c:pt>
                <c:pt idx="3">
                  <c:v>183815.51662189595</c:v>
                </c:pt>
                <c:pt idx="4">
                  <c:v>75.599999999999994</c:v>
                </c:pt>
                <c:pt idx="5">
                  <c:v>6832.6792843833937</c:v>
                </c:pt>
              </c:numCache>
            </c:numRef>
          </c:val>
          <c:extLst>
            <c:ext xmlns:c16="http://schemas.microsoft.com/office/drawing/2014/chart" uri="{C3380CC4-5D6E-409C-BE32-E72D297353CC}">
              <c16:uniqueId val="{00000000-65FA-42B2-804C-F24B5E609480}"/>
            </c:ext>
          </c:extLst>
        </c:ser>
        <c:dLbls>
          <c:showLegendKey val="0"/>
          <c:showVal val="0"/>
          <c:showCatName val="0"/>
          <c:showSerName val="0"/>
          <c:showPercent val="0"/>
          <c:showBubbleSize val="0"/>
        </c:dLbls>
        <c:gapWidth val="219"/>
        <c:overlap val="-27"/>
        <c:axId val="906484623"/>
        <c:axId val="906488943"/>
      </c:barChart>
      <c:catAx>
        <c:axId val="90648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488943"/>
        <c:crosses val="autoZero"/>
        <c:auto val="1"/>
        <c:lblAlgn val="ctr"/>
        <c:lblOffset val="100"/>
        <c:noMultiLvlLbl val="0"/>
      </c:catAx>
      <c:valAx>
        <c:axId val="906488943"/>
        <c:scaling>
          <c:orientation val="minMax"/>
        </c:scaling>
        <c:delete val="0"/>
        <c:axPos val="l"/>
        <c:majorGridlines>
          <c:spPr>
            <a:ln w="9525" cap="flat" cmpd="sng" algn="ctr">
              <a:solidFill>
                <a:schemeClr val="tx1">
                  <a:lumMod val="15000"/>
                  <a:lumOff val="85000"/>
                </a:schemeClr>
              </a:solidFill>
              <a:round/>
            </a:ln>
            <a:effectLst/>
          </c:spPr>
        </c:majorGridlines>
        <c:numFmt formatCode="_(&quot;RM&quot;* #,##0.00_);_(&quot;RM&quot;* \(#,##0.00\);_(&quot;RM&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48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[Flood Analysis Malaysia.xlsx]Loss by Category!PivotTable3</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Loss</a:t>
            </a:r>
            <a:r>
              <a:rPr lang="en-MY" baseline="0"/>
              <a:t> per Year</a:t>
            </a:r>
          </a:p>
        </c:rich>
      </c:tx>
      <c:layout>
        <c:manualLayout>
          <c:xMode val="edge"/>
          <c:yMode val="edge"/>
          <c:x val="0.30497203511441467"/>
          <c:y val="7.10824406380888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'Loss by Category'!$B$4:$B$5</c:f>
              <c:strCache>
                <c:ptCount val="1"/>
                <c:pt idx="0">
                  <c:v>2021</c:v>
                </c:pt>
              </c:strCache>
            </c:strRef>
          </c:tx>
          <c:spPr>
            <a:solidFill>
              <a:schemeClr val="accent1"/>
            </a:solidFill>
            <a:ln>
              <a:noFill/>
            </a:ln>
            <a:effectLst/>
          </c:spPr>
          <c:invertIfNegative val="0"/>
          <c:cat>
            <c:strRef>
              <c:f>'Loss by Category'!$A$6:$A$12</c:f>
              <c:strCache>
                <c:ptCount val="6"/>
                <c:pt idx="0">
                  <c:v>Agriculture</c:v>
                </c:pt>
                <c:pt idx="1">
                  <c:v>Infrastructure</c:v>
                </c:pt>
                <c:pt idx="2">
                  <c:v>Manufacturing</c:v>
                </c:pt>
                <c:pt idx="3">
                  <c:v>Premises</c:v>
                </c:pt>
                <c:pt idx="4">
                  <c:v>Vehicle</c:v>
                </c:pt>
                <c:pt idx="5">
                  <c:v>Living Quarter</c:v>
                </c:pt>
              </c:strCache>
            </c:strRef>
          </c:cat>
          <c:val>
            <c:numRef>
              <c:f>'Loss by Category'!$B$6:$B$12</c:f>
              <c:numCache>
                <c:formatCode>_("RM"* #,##0.00_);_("RM"* \(#,##0.00\);_("RM"* "-"??_);_(@_)</c:formatCode>
                <c:ptCount val="6"/>
                <c:pt idx="0">
                  <c:v>0</c:v>
                </c:pt>
                <c:pt idx="1">
                  <c:v>0</c:v>
                </c:pt>
                <c:pt idx="2">
                  <c:v>891360.02800000005</c:v>
                </c:pt>
                <c:pt idx="3">
                  <c:v>525763.94400000002</c:v>
                </c:pt>
                <c:pt idx="4">
                  <c:v>982773.71699999995</c:v>
                </c:pt>
                <c:pt idx="5">
                  <c:v>1621955.5279999999</c:v>
                </c:pt>
              </c:numCache>
            </c:numRef>
          </c:val>
          <c:extLst>
            <c:ext xmlns:c16="http://schemas.microsoft.com/office/drawing/2014/chart" uri="{C3380CC4-5D6E-409C-BE32-E72D297353CC}">
              <c16:uniqueId val="{00000000-3CD8-4C5F-A1DF-15A75457CFAF}"/>
            </c:ext>
          </c:extLst>
        </c:ser>
        <c:ser>
          <c:idx val="1"/>
          <c:order val="1"/>
          <c:tx>
            <c:strRef>
              <c:f>'Loss by Category'!$C$4:$C$5</c:f>
              <c:strCache>
                <c:ptCount val="1"/>
                <c:pt idx="0">
                  <c:v>2022</c:v>
                </c:pt>
              </c:strCache>
            </c:strRef>
          </c:tx>
          <c:spPr>
            <a:solidFill>
              <a:schemeClr val="accent2"/>
            </a:solidFill>
            <a:ln w="25400">
              <a:noFill/>
            </a:ln>
            <a:effectLst/>
          </c:spPr>
          <c:invertIfNegative val="0"/>
          <c:cat>
            <c:strRef>
              <c:f>'Loss by Category'!$A$6:$A$12</c:f>
              <c:strCache>
                <c:ptCount val="6"/>
                <c:pt idx="0">
                  <c:v>Agriculture</c:v>
                </c:pt>
                <c:pt idx="1">
                  <c:v>Infrastructure</c:v>
                </c:pt>
                <c:pt idx="2">
                  <c:v>Manufacturing</c:v>
                </c:pt>
                <c:pt idx="3">
                  <c:v>Premises</c:v>
                </c:pt>
                <c:pt idx="4">
                  <c:v>Vehicle</c:v>
                </c:pt>
                <c:pt idx="5">
                  <c:v>Living Quarter</c:v>
                </c:pt>
              </c:strCache>
            </c:strRef>
          </c:cat>
          <c:val>
            <c:numRef>
              <c:f>'Loss by Category'!$C$6:$C$12</c:f>
              <c:numCache>
                <c:formatCode>_("RM"* #,##0.00_);_("RM"* \(#,##0.00\);_("RM"* "-"??_);_(@_)</c:formatCode>
                <c:ptCount val="6"/>
                <c:pt idx="0">
                  <c:v>154515.47230000002</c:v>
                </c:pt>
                <c:pt idx="1">
                  <c:v>632878.06829999993</c:v>
                </c:pt>
                <c:pt idx="2">
                  <c:v>8706.5946999999996</c:v>
                </c:pt>
                <c:pt idx="3">
                  <c:v>50302.313999999998</c:v>
                </c:pt>
                <c:pt idx="4">
                  <c:v>18800.689300000002</c:v>
                </c:pt>
                <c:pt idx="5">
                  <c:v>157392.70019999999</c:v>
                </c:pt>
              </c:numCache>
            </c:numRef>
          </c:val>
          <c:extLst>
            <c:ext xmlns:c16="http://schemas.microsoft.com/office/drawing/2014/chart" uri="{C3380CC4-5D6E-409C-BE32-E72D297353CC}">
              <c16:uniqueId val="{00000005-845E-465A-937A-2A7C7A5E23EA}"/>
            </c:ext>
          </c:extLst>
        </c:ser>
        <c:ser>
          <c:idx val="2"/>
          <c:order val="2"/>
          <c:tx>
            <c:strRef>
              <c:f>'Loss by Category'!$D$4:$D$5</c:f>
              <c:strCache>
                <c:ptCount val="1"/>
                <c:pt idx="0">
                  <c:v>2023</c:v>
                </c:pt>
              </c:strCache>
            </c:strRef>
          </c:tx>
          <c:spPr>
            <a:solidFill>
              <a:schemeClr val="accent3"/>
            </a:solidFill>
            <a:ln>
              <a:noFill/>
            </a:ln>
            <a:effectLst/>
          </c:spPr>
          <c:invertIfNegative val="0"/>
          <c:cat>
            <c:strRef>
              <c:f>'Loss by Category'!$A$6:$A$12</c:f>
              <c:strCache>
                <c:ptCount val="6"/>
                <c:pt idx="0">
                  <c:v>Agriculture</c:v>
                </c:pt>
                <c:pt idx="1">
                  <c:v>Infrastructure</c:v>
                </c:pt>
                <c:pt idx="2">
                  <c:v>Manufacturing</c:v>
                </c:pt>
                <c:pt idx="3">
                  <c:v>Premises</c:v>
                </c:pt>
                <c:pt idx="4">
                  <c:v>Vehicle</c:v>
                </c:pt>
                <c:pt idx="5">
                  <c:v>Living Quarter</c:v>
                </c:pt>
              </c:strCache>
            </c:strRef>
          </c:cat>
          <c:val>
            <c:numRef>
              <c:f>'Loss by Category'!$D$6:$D$12</c:f>
              <c:numCache>
                <c:formatCode>_("RM"* #,##0.00_);_("RM"* \(#,##0.00\);_("RM"* "-"??_);_(@_)</c:formatCode>
                <c:ptCount val="6"/>
                <c:pt idx="0">
                  <c:v>120629.37480000001</c:v>
                </c:pt>
                <c:pt idx="1">
                  <c:v>376498.35699999996</c:v>
                </c:pt>
                <c:pt idx="2">
                  <c:v>10259.6024</c:v>
                </c:pt>
                <c:pt idx="3">
                  <c:v>53197.133999999998</c:v>
                </c:pt>
                <c:pt idx="4">
                  <c:v>22326.884699999995</c:v>
                </c:pt>
                <c:pt idx="5">
                  <c:v>168258.19459999999</c:v>
                </c:pt>
              </c:numCache>
            </c:numRef>
          </c:val>
          <c:extLst>
            <c:ext xmlns:c16="http://schemas.microsoft.com/office/drawing/2014/chart" uri="{C3380CC4-5D6E-409C-BE32-E72D297353CC}">
              <c16:uniqueId val="{00000006-845E-465A-937A-2A7C7A5E23EA}"/>
            </c:ext>
          </c:extLst>
        </c:ser>
        <c:ser>
          <c:idx val="3"/>
          <c:order val="3"/>
          <c:tx>
            <c:strRef>
              <c:f>'Loss by Category'!$E$4:$E$5</c:f>
              <c:strCache>
                <c:ptCount val="1"/>
                <c:pt idx="0">
                  <c:v>2024</c:v>
                </c:pt>
              </c:strCache>
            </c:strRef>
          </c:tx>
          <c:spPr>
            <a:solidFill>
              <a:schemeClr val="accent4"/>
            </a:solidFill>
            <a:ln>
              <a:noFill/>
            </a:ln>
            <a:effectLst/>
          </c:spPr>
          <c:invertIfNegative val="0"/>
          <c:cat>
            <c:strRef>
              <c:f>'Loss by Category'!$A$6:$A$12</c:f>
              <c:strCache>
                <c:ptCount val="6"/>
                <c:pt idx="0">
                  <c:v>Agriculture</c:v>
                </c:pt>
                <c:pt idx="1">
                  <c:v>Infrastructure</c:v>
                </c:pt>
                <c:pt idx="2">
                  <c:v>Manufacturing</c:v>
                </c:pt>
                <c:pt idx="3">
                  <c:v>Premises</c:v>
                </c:pt>
                <c:pt idx="4">
                  <c:v>Vehicle</c:v>
                </c:pt>
                <c:pt idx="5">
                  <c:v>Living Quarter</c:v>
                </c:pt>
              </c:strCache>
            </c:strRef>
          </c:cat>
          <c:val>
            <c:numRef>
              <c:f>'Loss by Category'!$E$6:$E$12</c:f>
              <c:numCache>
                <c:formatCode>_("RM"* #,##0.00_);_("RM"* \(#,##0.00\);_("RM"* "-"??_);_(@_)</c:formatCode>
                <c:ptCount val="6"/>
                <c:pt idx="0">
                  <c:v>185221.80379999991</c:v>
                </c:pt>
                <c:pt idx="1">
                  <c:v>300382.47960000008</c:v>
                </c:pt>
                <c:pt idx="2">
                  <c:v>1163.0909999999999</c:v>
                </c:pt>
                <c:pt idx="3">
                  <c:v>54059.4424</c:v>
                </c:pt>
                <c:pt idx="4">
                  <c:v>17298.247900000002</c:v>
                </c:pt>
                <c:pt idx="5">
                  <c:v>372231.79159999994</c:v>
                </c:pt>
              </c:numCache>
            </c:numRef>
          </c:val>
          <c:extLst>
            <c:ext xmlns:c16="http://schemas.microsoft.com/office/drawing/2014/chart" uri="{C3380CC4-5D6E-409C-BE32-E72D297353CC}">
              <c16:uniqueId val="{00000007-845E-465A-937A-2A7C7A5E23EA}"/>
            </c:ext>
          </c:extLst>
        </c:ser>
        <c:ser>
          <c:idx val="4"/>
          <c:order val="4"/>
          <c:tx>
            <c:strRef>
              <c:f>'Loss by Category'!$F$4:$F$5</c:f>
              <c:strCache>
                <c:ptCount val="1"/>
                <c:pt idx="0">
                  <c:v>2025</c:v>
                </c:pt>
              </c:strCache>
            </c:strRef>
          </c:tx>
          <c:spPr>
            <a:solidFill>
              <a:schemeClr val="accent5"/>
            </a:solidFill>
            <a:ln>
              <a:noFill/>
            </a:ln>
            <a:effectLst/>
          </c:spPr>
          <c:invertIfNegative val="0"/>
          <c:cat>
            <c:strRef>
              <c:f>'Loss by Category'!$A$6:$A$12</c:f>
              <c:strCache>
                <c:ptCount val="6"/>
                <c:pt idx="0">
                  <c:v>Agriculture</c:v>
                </c:pt>
                <c:pt idx="1">
                  <c:v>Infrastructure</c:v>
                </c:pt>
                <c:pt idx="2">
                  <c:v>Manufacturing</c:v>
                </c:pt>
                <c:pt idx="3">
                  <c:v>Premises</c:v>
                </c:pt>
                <c:pt idx="4">
                  <c:v>Vehicle</c:v>
                </c:pt>
                <c:pt idx="5">
                  <c:v>Living Quarter</c:v>
                </c:pt>
              </c:strCache>
            </c:strRef>
          </c:cat>
          <c:val>
            <c:numRef>
              <c:f>'Loss by Category'!$F$6:$F$12</c:f>
              <c:numCache>
                <c:formatCode>_("RM"* #,##0.00_);_("RM"* \(#,##0.00\);_("RM"* "-"??_);_(@_)</c:formatCode>
                <c:ptCount val="6"/>
                <c:pt idx="0">
                  <c:v>52559.125700000004</c:v>
                </c:pt>
                <c:pt idx="1">
                  <c:v>376648.95510000002</c:v>
                </c:pt>
                <c:pt idx="2">
                  <c:v>75.599999999999994</c:v>
                </c:pt>
                <c:pt idx="3">
                  <c:v>13448.684499999999</c:v>
                </c:pt>
                <c:pt idx="4">
                  <c:v>6832.6792999999998</c:v>
                </c:pt>
                <c:pt idx="5">
                  <c:v>183815.51670000001</c:v>
                </c:pt>
              </c:numCache>
            </c:numRef>
          </c:val>
          <c:extLst>
            <c:ext xmlns:c16="http://schemas.microsoft.com/office/drawing/2014/chart" uri="{C3380CC4-5D6E-409C-BE32-E72D297353CC}">
              <c16:uniqueId val="{00000008-845E-465A-937A-2A7C7A5E23EA}"/>
            </c:ext>
          </c:extLst>
        </c:ser>
        <c:dLbls>
          <c:showLegendKey val="0"/>
          <c:showVal val="0"/>
          <c:showCatName val="0"/>
          <c:showSerName val="0"/>
          <c:showPercent val="0"/>
          <c:showBubbleSize val="0"/>
        </c:dLbls>
        <c:gapWidth val="150"/>
        <c:axId val="499640112"/>
        <c:axId val="499624752"/>
      </c:barChart>
      <c:catAx>
        <c:axId val="4996401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624752"/>
        <c:crosses val="autoZero"/>
        <c:auto val="1"/>
        <c:lblAlgn val="ctr"/>
        <c:lblOffset val="100"/>
        <c:noMultiLvlLbl val="0"/>
      </c:catAx>
      <c:valAx>
        <c:axId val="499624752"/>
        <c:scaling>
          <c:orientation val="minMax"/>
        </c:scaling>
        <c:delete val="0"/>
        <c:axPos val="l"/>
        <c:majorGridlines>
          <c:spPr>
            <a:ln w="9525" cap="flat" cmpd="sng" algn="ctr">
              <a:solidFill>
                <a:schemeClr val="tx1">
                  <a:lumMod val="15000"/>
                  <a:lumOff val="85000"/>
                </a:schemeClr>
              </a:solidFill>
              <a:round/>
            </a:ln>
            <a:effectLst/>
          </c:spPr>
        </c:majorGridlines>
        <c:numFmt formatCode="_(&quot;RM&quot;* #,##0.00_);_(&quot;RM&quot;* \(#,##0.00\);_(&quot;RM&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64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[Flood Analysis Malaysia.xlsx]Loss by Category!PivotTable3</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4"/>
          </a:solidFill>
          <a:ln w="19050">
            <a:solidFill>
              <a:schemeClr val="lt1"/>
            </a:solidFill>
          </a:ln>
          <a:effectLst/>
        </c:spPr>
      </c:pivotFmt>
      <c:pivotFmt>
        <c:idx val="241"/>
        <c:spPr>
          <a:solidFill>
            <a:schemeClr val="accent4"/>
          </a:solidFill>
          <a:ln w="19050">
            <a:solidFill>
              <a:schemeClr val="lt1"/>
            </a:solidFill>
          </a:ln>
          <a:effectLst/>
        </c:spPr>
      </c:pivotFmt>
      <c:pivotFmt>
        <c:idx val="242"/>
        <c:spPr>
          <a:solidFill>
            <a:schemeClr val="accent4"/>
          </a:solidFill>
          <a:ln w="19050">
            <a:solidFill>
              <a:schemeClr val="lt1"/>
            </a:solidFill>
          </a:ln>
          <a:effectLst/>
        </c:spPr>
      </c:pivotFmt>
      <c:pivotFmt>
        <c:idx val="243"/>
        <c:spPr>
          <a:solidFill>
            <a:schemeClr val="accent4"/>
          </a:solidFill>
          <a:ln w="19050">
            <a:solidFill>
              <a:schemeClr val="lt1"/>
            </a:solidFill>
          </a:ln>
          <a:effectLst/>
        </c:spPr>
      </c:pivotFmt>
      <c:pivotFmt>
        <c:idx val="244"/>
        <c:spPr>
          <a:solidFill>
            <a:schemeClr val="accent4"/>
          </a:solidFill>
          <a:ln w="19050">
            <a:solidFill>
              <a:schemeClr val="lt1"/>
            </a:solidFill>
          </a:ln>
          <a:effectLst/>
        </c:spPr>
      </c:pivotFmt>
      <c:pivotFmt>
        <c:idx val="245"/>
        <c:spPr>
          <a:solidFill>
            <a:schemeClr val="accent4"/>
          </a:solidFill>
          <a:ln w="19050">
            <a:solidFill>
              <a:schemeClr val="lt1"/>
            </a:solidFill>
          </a:ln>
          <a:effectLst/>
        </c:spPr>
      </c:pivotFmt>
    </c:pivotFmts>
    <c:plotArea>
      <c:layout>
        <c:manualLayout>
          <c:layoutTarget val="inner"/>
          <c:xMode val="edge"/>
          <c:yMode val="edge"/>
          <c:x val="0.31982425389731717"/>
          <c:y val="0.12836778775924637"/>
          <c:w val="0.49458106954970821"/>
          <c:h val="0.65718897224222239"/>
        </c:manualLayout>
      </c:layout>
      <c:areaChart>
        <c:grouping val="stacked"/>
        <c:varyColors val="0"/>
        <c:ser>
          <c:idx val="0"/>
          <c:order val="0"/>
          <c:tx>
            <c:strRef>
              <c:f>'Loss by Category'!$B$4:$B$5</c:f>
              <c:strCache>
                <c:ptCount val="1"/>
                <c:pt idx="0">
                  <c:v>2021</c:v>
                </c:pt>
              </c:strCache>
            </c:strRef>
          </c:tx>
          <c:spPr>
            <a:solidFill>
              <a:schemeClr val="accent1"/>
            </a:solidFill>
            <a:ln w="19050">
              <a:solidFill>
                <a:schemeClr val="lt1"/>
              </a:solidFill>
            </a:ln>
            <a:effectLst/>
          </c:spPr>
          <c:dPt>
            <c:idx val="0"/>
            <c:bubble3D val="0"/>
            <c:extLst>
              <c:ext xmlns:c16="http://schemas.microsoft.com/office/drawing/2014/chart" uri="{C3380CC4-5D6E-409C-BE32-E72D297353CC}">
                <c16:uniqueId val="{00000001-7573-4035-83A4-336A9BBF85A3}"/>
              </c:ext>
            </c:extLst>
          </c:dPt>
          <c:dPt>
            <c:idx val="1"/>
            <c:bubble3D val="0"/>
            <c:extLst>
              <c:ext xmlns:c16="http://schemas.microsoft.com/office/drawing/2014/chart" uri="{C3380CC4-5D6E-409C-BE32-E72D297353CC}">
                <c16:uniqueId val="{00000003-7573-4035-83A4-336A9BBF85A3}"/>
              </c:ext>
            </c:extLst>
          </c:dPt>
          <c:dPt>
            <c:idx val="2"/>
            <c:bubble3D val="0"/>
            <c:extLst>
              <c:ext xmlns:c16="http://schemas.microsoft.com/office/drawing/2014/chart" uri="{C3380CC4-5D6E-409C-BE32-E72D297353CC}">
                <c16:uniqueId val="{00000005-7573-4035-83A4-336A9BBF85A3}"/>
              </c:ext>
            </c:extLst>
          </c:dPt>
          <c:dPt>
            <c:idx val="3"/>
            <c:bubble3D val="0"/>
            <c:extLst>
              <c:ext xmlns:c16="http://schemas.microsoft.com/office/drawing/2014/chart" uri="{C3380CC4-5D6E-409C-BE32-E72D297353CC}">
                <c16:uniqueId val="{00000007-7573-4035-83A4-336A9BBF85A3}"/>
              </c:ext>
            </c:extLst>
          </c:dPt>
          <c:dPt>
            <c:idx val="4"/>
            <c:bubble3D val="0"/>
            <c:extLst>
              <c:ext xmlns:c16="http://schemas.microsoft.com/office/drawing/2014/chart" uri="{C3380CC4-5D6E-409C-BE32-E72D297353CC}">
                <c16:uniqueId val="{00000009-7573-4035-83A4-336A9BBF85A3}"/>
              </c:ext>
            </c:extLst>
          </c:dPt>
          <c:dPt>
            <c:idx val="5"/>
            <c:bubble3D val="0"/>
            <c:extLst>
              <c:ext xmlns:c16="http://schemas.microsoft.com/office/drawing/2014/chart" uri="{C3380CC4-5D6E-409C-BE32-E72D297353CC}">
                <c16:uniqueId val="{0000000B-7573-4035-83A4-336A9BBF85A3}"/>
              </c:ext>
            </c:extLst>
          </c:dPt>
          <c:dPt>
            <c:idx val="6"/>
            <c:bubble3D val="0"/>
            <c:extLst>
              <c:ext xmlns:c16="http://schemas.microsoft.com/office/drawing/2014/chart" uri="{C3380CC4-5D6E-409C-BE32-E72D297353CC}">
                <c16:uniqueId val="{0000000D-7573-4035-83A4-336A9BBF85A3}"/>
              </c:ext>
            </c:extLst>
          </c:dPt>
          <c:dPt>
            <c:idx val="7"/>
            <c:bubble3D val="0"/>
            <c:extLst>
              <c:ext xmlns:c16="http://schemas.microsoft.com/office/drawing/2014/chart" uri="{C3380CC4-5D6E-409C-BE32-E72D297353CC}">
                <c16:uniqueId val="{0000000F-7573-4035-83A4-336A9BBF85A3}"/>
              </c:ext>
            </c:extLst>
          </c:dPt>
          <c:dPt>
            <c:idx val="8"/>
            <c:bubble3D val="0"/>
            <c:extLst>
              <c:ext xmlns:c16="http://schemas.microsoft.com/office/drawing/2014/chart" uri="{C3380CC4-5D6E-409C-BE32-E72D297353CC}">
                <c16:uniqueId val="{00000011-7573-4035-83A4-336A9BBF85A3}"/>
              </c:ext>
            </c:extLst>
          </c:dPt>
          <c:dPt>
            <c:idx val="9"/>
            <c:bubble3D val="0"/>
            <c:extLst>
              <c:ext xmlns:c16="http://schemas.microsoft.com/office/drawing/2014/chart" uri="{C3380CC4-5D6E-409C-BE32-E72D297353CC}">
                <c16:uniqueId val="{00000013-7573-4035-83A4-336A9BBF85A3}"/>
              </c:ext>
            </c:extLst>
          </c:dPt>
          <c:dPt>
            <c:idx val="10"/>
            <c:bubble3D val="0"/>
            <c:extLst>
              <c:ext xmlns:c16="http://schemas.microsoft.com/office/drawing/2014/chart" uri="{C3380CC4-5D6E-409C-BE32-E72D297353CC}">
                <c16:uniqueId val="{00000015-7573-4035-83A4-336A9BBF85A3}"/>
              </c:ext>
            </c:extLst>
          </c:dPt>
          <c:dPt>
            <c:idx val="11"/>
            <c:bubble3D val="0"/>
            <c:extLst>
              <c:ext xmlns:c16="http://schemas.microsoft.com/office/drawing/2014/chart" uri="{C3380CC4-5D6E-409C-BE32-E72D297353CC}">
                <c16:uniqueId val="{00000017-7573-4035-83A4-336A9BBF85A3}"/>
              </c:ext>
            </c:extLst>
          </c:dPt>
          <c:dPt>
            <c:idx val="12"/>
            <c:bubble3D val="0"/>
            <c:extLst>
              <c:ext xmlns:c16="http://schemas.microsoft.com/office/drawing/2014/chart" uri="{C3380CC4-5D6E-409C-BE32-E72D297353CC}">
                <c16:uniqueId val="{00000019-7573-4035-83A4-336A9BBF85A3}"/>
              </c:ext>
            </c:extLst>
          </c:dPt>
          <c:dPt>
            <c:idx val="13"/>
            <c:bubble3D val="0"/>
            <c:extLst>
              <c:ext xmlns:c16="http://schemas.microsoft.com/office/drawing/2014/chart" uri="{C3380CC4-5D6E-409C-BE32-E72D297353CC}">
                <c16:uniqueId val="{0000001B-7573-4035-83A4-336A9BBF85A3}"/>
              </c:ext>
            </c:extLst>
          </c:dPt>
          <c:dPt>
            <c:idx val="14"/>
            <c:bubble3D val="0"/>
            <c:extLst>
              <c:ext xmlns:c16="http://schemas.microsoft.com/office/drawing/2014/chart" uri="{C3380CC4-5D6E-409C-BE32-E72D297353CC}">
                <c16:uniqueId val="{0000001D-7573-4035-83A4-336A9BBF85A3}"/>
              </c:ext>
            </c:extLst>
          </c:dPt>
          <c:dPt>
            <c:idx val="15"/>
            <c:bubble3D val="0"/>
            <c:extLst>
              <c:ext xmlns:c16="http://schemas.microsoft.com/office/drawing/2014/chart" uri="{C3380CC4-5D6E-409C-BE32-E72D297353CC}">
                <c16:uniqueId val="{0000001F-7573-4035-83A4-336A9BBF85A3}"/>
              </c:ext>
            </c:extLst>
          </c:dPt>
          <c:cat>
            <c:strRef>
              <c:f>'Loss by Category'!$A$6:$A$12</c:f>
              <c:strCache>
                <c:ptCount val="6"/>
                <c:pt idx="0">
                  <c:v>Agriculture</c:v>
                </c:pt>
                <c:pt idx="1">
                  <c:v>Infrastructure</c:v>
                </c:pt>
                <c:pt idx="2">
                  <c:v>Manufacturing</c:v>
                </c:pt>
                <c:pt idx="3">
                  <c:v>Premises</c:v>
                </c:pt>
                <c:pt idx="4">
                  <c:v>Vehicle</c:v>
                </c:pt>
                <c:pt idx="5">
                  <c:v>Living Quarter</c:v>
                </c:pt>
              </c:strCache>
            </c:strRef>
          </c:cat>
          <c:val>
            <c:numRef>
              <c:f>'Loss by Category'!$B$6:$B$12</c:f>
              <c:numCache>
                <c:formatCode>_("RM"* #,##0.00_);_("RM"* \(#,##0.00\);_("RM"* "-"??_);_(@_)</c:formatCode>
                <c:ptCount val="6"/>
                <c:pt idx="0">
                  <c:v>0</c:v>
                </c:pt>
                <c:pt idx="1">
                  <c:v>0</c:v>
                </c:pt>
                <c:pt idx="2">
                  <c:v>891360.02800000005</c:v>
                </c:pt>
                <c:pt idx="3">
                  <c:v>525763.94400000002</c:v>
                </c:pt>
                <c:pt idx="4">
                  <c:v>982773.71699999995</c:v>
                </c:pt>
                <c:pt idx="5">
                  <c:v>1621955.5279999999</c:v>
                </c:pt>
              </c:numCache>
            </c:numRef>
          </c:val>
          <c:extLst>
            <c:ext xmlns:c16="http://schemas.microsoft.com/office/drawing/2014/chart" uri="{C3380CC4-5D6E-409C-BE32-E72D297353CC}">
              <c16:uniqueId val="{00000020-7573-4035-83A4-336A9BBF85A3}"/>
            </c:ext>
          </c:extLst>
        </c:ser>
        <c:ser>
          <c:idx val="1"/>
          <c:order val="1"/>
          <c:tx>
            <c:strRef>
              <c:f>'Loss by Category'!$C$4:$C$5</c:f>
              <c:strCache>
                <c:ptCount val="1"/>
                <c:pt idx="0">
                  <c:v>2022</c:v>
                </c:pt>
              </c:strCache>
            </c:strRef>
          </c:tx>
          <c:spPr>
            <a:solidFill>
              <a:schemeClr val="accent2"/>
            </a:solidFill>
            <a:ln w="19050">
              <a:solidFill>
                <a:schemeClr val="lt1"/>
              </a:solidFill>
            </a:ln>
            <a:effectLst/>
          </c:spPr>
          <c:cat>
            <c:strRef>
              <c:f>'Loss by Category'!$A$6:$A$12</c:f>
              <c:strCache>
                <c:ptCount val="6"/>
                <c:pt idx="0">
                  <c:v>Agriculture</c:v>
                </c:pt>
                <c:pt idx="1">
                  <c:v>Infrastructure</c:v>
                </c:pt>
                <c:pt idx="2">
                  <c:v>Manufacturing</c:v>
                </c:pt>
                <c:pt idx="3">
                  <c:v>Premises</c:v>
                </c:pt>
                <c:pt idx="4">
                  <c:v>Vehicle</c:v>
                </c:pt>
                <c:pt idx="5">
                  <c:v>Living Quarter</c:v>
                </c:pt>
              </c:strCache>
            </c:strRef>
          </c:cat>
          <c:val>
            <c:numRef>
              <c:f>'Loss by Category'!$C$6:$C$12</c:f>
              <c:numCache>
                <c:formatCode>_("RM"* #,##0.00_);_("RM"* \(#,##0.00\);_("RM"* "-"??_);_(@_)</c:formatCode>
                <c:ptCount val="6"/>
                <c:pt idx="0">
                  <c:v>154515.47230000002</c:v>
                </c:pt>
                <c:pt idx="1">
                  <c:v>632878.06829999993</c:v>
                </c:pt>
                <c:pt idx="2">
                  <c:v>8706.5946999999996</c:v>
                </c:pt>
                <c:pt idx="3">
                  <c:v>50302.313999999998</c:v>
                </c:pt>
                <c:pt idx="4">
                  <c:v>18800.689300000002</c:v>
                </c:pt>
                <c:pt idx="5">
                  <c:v>157392.70019999999</c:v>
                </c:pt>
              </c:numCache>
            </c:numRef>
          </c:val>
          <c:extLst>
            <c:ext xmlns:c16="http://schemas.microsoft.com/office/drawing/2014/chart" uri="{C3380CC4-5D6E-409C-BE32-E72D297353CC}">
              <c16:uniqueId val="{00000021-F888-4E81-AB5A-397F1F0C14BB}"/>
            </c:ext>
          </c:extLst>
        </c:ser>
        <c:ser>
          <c:idx val="2"/>
          <c:order val="2"/>
          <c:tx>
            <c:strRef>
              <c:f>'Loss by Category'!$D$4:$D$5</c:f>
              <c:strCache>
                <c:ptCount val="1"/>
                <c:pt idx="0">
                  <c:v>2023</c:v>
                </c:pt>
              </c:strCache>
            </c:strRef>
          </c:tx>
          <c:spPr>
            <a:solidFill>
              <a:schemeClr val="accent3"/>
            </a:solidFill>
            <a:ln w="19050">
              <a:solidFill>
                <a:schemeClr val="lt1"/>
              </a:solidFill>
            </a:ln>
            <a:effectLst/>
          </c:spPr>
          <c:cat>
            <c:strRef>
              <c:f>'Loss by Category'!$A$6:$A$12</c:f>
              <c:strCache>
                <c:ptCount val="6"/>
                <c:pt idx="0">
                  <c:v>Agriculture</c:v>
                </c:pt>
                <c:pt idx="1">
                  <c:v>Infrastructure</c:v>
                </c:pt>
                <c:pt idx="2">
                  <c:v>Manufacturing</c:v>
                </c:pt>
                <c:pt idx="3">
                  <c:v>Premises</c:v>
                </c:pt>
                <c:pt idx="4">
                  <c:v>Vehicle</c:v>
                </c:pt>
                <c:pt idx="5">
                  <c:v>Living Quarter</c:v>
                </c:pt>
              </c:strCache>
            </c:strRef>
          </c:cat>
          <c:val>
            <c:numRef>
              <c:f>'Loss by Category'!$D$6:$D$12</c:f>
              <c:numCache>
                <c:formatCode>_("RM"* #,##0.00_);_("RM"* \(#,##0.00\);_("RM"* "-"??_);_(@_)</c:formatCode>
                <c:ptCount val="6"/>
                <c:pt idx="0">
                  <c:v>120629.37480000001</c:v>
                </c:pt>
                <c:pt idx="1">
                  <c:v>376498.35699999996</c:v>
                </c:pt>
                <c:pt idx="2">
                  <c:v>10259.6024</c:v>
                </c:pt>
                <c:pt idx="3">
                  <c:v>53197.133999999998</c:v>
                </c:pt>
                <c:pt idx="4">
                  <c:v>22326.884699999995</c:v>
                </c:pt>
                <c:pt idx="5">
                  <c:v>168258.19459999999</c:v>
                </c:pt>
              </c:numCache>
            </c:numRef>
          </c:val>
          <c:extLst>
            <c:ext xmlns:c16="http://schemas.microsoft.com/office/drawing/2014/chart" uri="{C3380CC4-5D6E-409C-BE32-E72D297353CC}">
              <c16:uniqueId val="{00000022-F888-4E81-AB5A-397F1F0C14BB}"/>
            </c:ext>
          </c:extLst>
        </c:ser>
        <c:ser>
          <c:idx val="3"/>
          <c:order val="3"/>
          <c:tx>
            <c:strRef>
              <c:f>'Loss by Category'!$E$4:$E$5</c:f>
              <c:strCache>
                <c:ptCount val="1"/>
                <c:pt idx="0">
                  <c:v>2024</c:v>
                </c:pt>
              </c:strCache>
            </c:strRef>
          </c:tx>
          <c:spPr>
            <a:solidFill>
              <a:schemeClr val="accent4"/>
            </a:solidFill>
            <a:ln w="19050">
              <a:solidFill>
                <a:schemeClr val="lt1"/>
              </a:solidFill>
            </a:ln>
            <a:effectLst/>
          </c:spPr>
          <c:dPt>
            <c:idx val="0"/>
            <c:bubble3D val="0"/>
            <c:spPr>
              <a:solidFill>
                <a:schemeClr val="accent4"/>
              </a:solidFill>
              <a:ln w="19050">
                <a:solidFill>
                  <a:schemeClr val="lt1"/>
                </a:solidFill>
              </a:ln>
              <a:effectLst/>
            </c:spPr>
            <c:extLst>
              <c:ext xmlns:c16="http://schemas.microsoft.com/office/drawing/2014/chart" uri="{C3380CC4-5D6E-409C-BE32-E72D297353CC}">
                <c16:uniqueId val="{00000011-E199-4545-8353-95BD542214FB}"/>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13-E199-4545-8353-95BD542214FB}"/>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15-E199-4545-8353-95BD542214F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E199-4545-8353-95BD542214FB}"/>
              </c:ext>
            </c:extLst>
          </c:dPt>
          <c:dPt>
            <c:idx val="4"/>
            <c:bubble3D val="0"/>
            <c:spPr>
              <a:solidFill>
                <a:schemeClr val="accent4"/>
              </a:solidFill>
              <a:ln w="19050">
                <a:solidFill>
                  <a:schemeClr val="lt1"/>
                </a:solidFill>
              </a:ln>
              <a:effectLst/>
            </c:spPr>
            <c:extLst>
              <c:ext xmlns:c16="http://schemas.microsoft.com/office/drawing/2014/chart" uri="{C3380CC4-5D6E-409C-BE32-E72D297353CC}">
                <c16:uniqueId val="{00000019-E199-4545-8353-95BD542214FB}"/>
              </c:ext>
            </c:extLst>
          </c:dPt>
          <c:dPt>
            <c:idx val="5"/>
            <c:bubble3D val="0"/>
            <c:extLst>
              <c:ext xmlns:c16="http://schemas.microsoft.com/office/drawing/2014/chart" uri="{C3380CC4-5D6E-409C-BE32-E72D297353CC}">
                <c16:uniqueId val="{0000001B-E199-4545-8353-95BD542214FB}"/>
              </c:ext>
            </c:extLst>
          </c:dPt>
          <c:cat>
            <c:strRef>
              <c:f>'Loss by Category'!$A$6:$A$12</c:f>
              <c:strCache>
                <c:ptCount val="6"/>
                <c:pt idx="0">
                  <c:v>Agriculture</c:v>
                </c:pt>
                <c:pt idx="1">
                  <c:v>Infrastructure</c:v>
                </c:pt>
                <c:pt idx="2">
                  <c:v>Manufacturing</c:v>
                </c:pt>
                <c:pt idx="3">
                  <c:v>Premises</c:v>
                </c:pt>
                <c:pt idx="4">
                  <c:v>Vehicle</c:v>
                </c:pt>
                <c:pt idx="5">
                  <c:v>Living Quarter</c:v>
                </c:pt>
              </c:strCache>
            </c:strRef>
          </c:cat>
          <c:val>
            <c:numRef>
              <c:f>'Loss by Category'!$E$6:$E$12</c:f>
              <c:numCache>
                <c:formatCode>_("RM"* #,##0.00_);_("RM"* \(#,##0.00\);_("RM"* "-"??_);_(@_)</c:formatCode>
                <c:ptCount val="6"/>
                <c:pt idx="0">
                  <c:v>185221.80379999991</c:v>
                </c:pt>
                <c:pt idx="1">
                  <c:v>300382.47960000008</c:v>
                </c:pt>
                <c:pt idx="2">
                  <c:v>1163.0909999999999</c:v>
                </c:pt>
                <c:pt idx="3">
                  <c:v>54059.4424</c:v>
                </c:pt>
                <c:pt idx="4">
                  <c:v>17298.247900000002</c:v>
                </c:pt>
                <c:pt idx="5">
                  <c:v>372231.79159999994</c:v>
                </c:pt>
              </c:numCache>
            </c:numRef>
          </c:val>
          <c:extLst>
            <c:ext xmlns:c16="http://schemas.microsoft.com/office/drawing/2014/chart" uri="{C3380CC4-5D6E-409C-BE32-E72D297353CC}">
              <c16:uniqueId val="{00000023-F888-4E81-AB5A-397F1F0C14BB}"/>
            </c:ext>
          </c:extLst>
        </c:ser>
        <c:ser>
          <c:idx val="4"/>
          <c:order val="4"/>
          <c:tx>
            <c:strRef>
              <c:f>'Loss by Category'!$F$4:$F$5</c:f>
              <c:strCache>
                <c:ptCount val="1"/>
                <c:pt idx="0">
                  <c:v>2025</c:v>
                </c:pt>
              </c:strCache>
            </c:strRef>
          </c:tx>
          <c:spPr>
            <a:solidFill>
              <a:schemeClr val="accent5"/>
            </a:solidFill>
            <a:ln w="19050">
              <a:solidFill>
                <a:schemeClr val="lt1"/>
              </a:solidFill>
            </a:ln>
            <a:effectLst/>
          </c:spPr>
          <c:cat>
            <c:strRef>
              <c:f>'Loss by Category'!$A$6:$A$12</c:f>
              <c:strCache>
                <c:ptCount val="6"/>
                <c:pt idx="0">
                  <c:v>Agriculture</c:v>
                </c:pt>
                <c:pt idx="1">
                  <c:v>Infrastructure</c:v>
                </c:pt>
                <c:pt idx="2">
                  <c:v>Manufacturing</c:v>
                </c:pt>
                <c:pt idx="3">
                  <c:v>Premises</c:v>
                </c:pt>
                <c:pt idx="4">
                  <c:v>Vehicle</c:v>
                </c:pt>
                <c:pt idx="5">
                  <c:v>Living Quarter</c:v>
                </c:pt>
              </c:strCache>
            </c:strRef>
          </c:cat>
          <c:val>
            <c:numRef>
              <c:f>'Loss by Category'!$F$6:$F$12</c:f>
              <c:numCache>
                <c:formatCode>_("RM"* #,##0.00_);_("RM"* \(#,##0.00\);_("RM"* "-"??_);_(@_)</c:formatCode>
                <c:ptCount val="6"/>
                <c:pt idx="0">
                  <c:v>52559.125700000004</c:v>
                </c:pt>
                <c:pt idx="1">
                  <c:v>376648.95510000002</c:v>
                </c:pt>
                <c:pt idx="2">
                  <c:v>75.599999999999994</c:v>
                </c:pt>
                <c:pt idx="3">
                  <c:v>13448.684499999999</c:v>
                </c:pt>
                <c:pt idx="4">
                  <c:v>6832.6792999999998</c:v>
                </c:pt>
                <c:pt idx="5">
                  <c:v>183815.51670000001</c:v>
                </c:pt>
              </c:numCache>
            </c:numRef>
          </c:val>
          <c:extLst>
            <c:ext xmlns:c16="http://schemas.microsoft.com/office/drawing/2014/chart" uri="{C3380CC4-5D6E-409C-BE32-E72D297353CC}">
              <c16:uniqueId val="{00000024-F888-4E81-AB5A-397F1F0C14BB}"/>
            </c:ext>
          </c:extLst>
        </c:ser>
        <c:dLbls>
          <c:showLegendKey val="0"/>
          <c:showVal val="0"/>
          <c:showCatName val="0"/>
          <c:showSerName val="0"/>
          <c:showPercent val="0"/>
          <c:showBubbleSize val="0"/>
        </c:dLbls>
        <c:axId val="1702659632"/>
        <c:axId val="1374783568"/>
      </c:areaChart>
      <c:catAx>
        <c:axId val="1702659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4783568"/>
        <c:crosses val="autoZero"/>
        <c:auto val="1"/>
        <c:lblAlgn val="ctr"/>
        <c:lblOffset val="100"/>
        <c:noMultiLvlLbl val="0"/>
      </c:catAx>
      <c:valAx>
        <c:axId val="1374783568"/>
        <c:scaling>
          <c:orientation val="minMax"/>
        </c:scaling>
        <c:delete val="0"/>
        <c:axPos val="l"/>
        <c:majorGridlines>
          <c:spPr>
            <a:ln w="9525" cap="flat" cmpd="sng" algn="ctr">
              <a:solidFill>
                <a:schemeClr val="tx1">
                  <a:lumMod val="15000"/>
                  <a:lumOff val="85000"/>
                </a:schemeClr>
              </a:solidFill>
              <a:round/>
            </a:ln>
            <a:effectLst/>
          </c:spPr>
        </c:majorGridlines>
        <c:numFmt formatCode="_(&quot;RM&quot;* #,##0.00_);_(&quot;RM&quot;* \(#,##0.00\);_(&quot;RM&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659632"/>
        <c:crosses val="autoZero"/>
        <c:crossBetween val="midCat"/>
        <c:majorUnit val="500000"/>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Agriculture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'Agriculture by State'!$A$4</c:f>
              <c:strCache>
                <c:ptCount val="1"/>
                <c:pt idx="0">
                  <c:v>Johor</c:v>
                </c:pt>
              </c:strCache>
            </c:strRef>
          </c:tx>
          <c:spPr>
            <a:solidFill>
              <a:schemeClr val="accent2"/>
            </a:solidFill>
            <a:ln>
              <a:noFill/>
            </a:ln>
            <a:effectLst/>
          </c:spPr>
          <c:invertIfNegative val="0"/>
          <c:cat>
            <c:strRef>
              <c:f>'Agriculture by State'!$B$2:$E$2</c:f>
              <c:strCache>
                <c:ptCount val="4"/>
                <c:pt idx="0">
                  <c:v>2022</c:v>
                </c:pt>
                <c:pt idx="1">
                  <c:v>2023</c:v>
                </c:pt>
                <c:pt idx="2">
                  <c:v>2024</c:v>
                </c:pt>
                <c:pt idx="3">
                  <c:v>2025</c:v>
                </c:pt>
              </c:strCache>
            </c:strRef>
          </c:cat>
          <c:val>
            <c:numRef>
              <c:f>'Agriculture by State'!$B$4:$E$4</c:f>
              <c:numCache>
                <c:formatCode>0.00</c:formatCode>
                <c:ptCount val="4"/>
                <c:pt idx="0">
                  <c:v>247.36</c:v>
                </c:pt>
                <c:pt idx="1">
                  <c:v>25196.239000000001</c:v>
                </c:pt>
                <c:pt idx="2">
                  <c:v>2429.7150000000001</c:v>
                </c:pt>
                <c:pt idx="3">
                  <c:v>13010.384</c:v>
                </c:pt>
              </c:numCache>
            </c:numRef>
          </c:val>
          <c:extLst>
            <c:ext xmlns:c16="http://schemas.microsoft.com/office/drawing/2014/chart" uri="{C3380CC4-5D6E-409C-BE32-E72D297353CC}">
              <c16:uniqueId val="{00000001-A64D-4E83-B5D9-44062F1A87CF}"/>
            </c:ext>
          </c:extLst>
        </c:ser>
        <c:ser>
          <c:idx val="2"/>
          <c:order val="2"/>
          <c:tx>
            <c:strRef>
              <c:f>'Agriculture by State'!$A$5</c:f>
              <c:strCache>
                <c:ptCount val="1"/>
                <c:pt idx="0">
                  <c:v>Kedah</c:v>
                </c:pt>
              </c:strCache>
            </c:strRef>
          </c:tx>
          <c:spPr>
            <a:solidFill>
              <a:schemeClr val="accent3"/>
            </a:solidFill>
            <a:ln>
              <a:noFill/>
            </a:ln>
            <a:effectLst/>
          </c:spPr>
          <c:invertIfNegative val="0"/>
          <c:cat>
            <c:strRef>
              <c:f>'Agriculture by State'!$B$2:$E$2</c:f>
              <c:strCache>
                <c:ptCount val="4"/>
                <c:pt idx="0">
                  <c:v>2022</c:v>
                </c:pt>
                <c:pt idx="1">
                  <c:v>2023</c:v>
                </c:pt>
                <c:pt idx="2">
                  <c:v>2024</c:v>
                </c:pt>
                <c:pt idx="3">
                  <c:v>2025</c:v>
                </c:pt>
              </c:strCache>
            </c:strRef>
          </c:cat>
          <c:val>
            <c:numRef>
              <c:f>'Agriculture by State'!$B$5:$E$5</c:f>
              <c:numCache>
                <c:formatCode>0.00</c:formatCode>
                <c:ptCount val="4"/>
                <c:pt idx="0">
                  <c:v>327.09999999999997</c:v>
                </c:pt>
                <c:pt idx="1">
                  <c:v>416.2</c:v>
                </c:pt>
                <c:pt idx="2">
                  <c:v>118210.03</c:v>
                </c:pt>
                <c:pt idx="3">
                  <c:v>5039.9400000000005</c:v>
                </c:pt>
              </c:numCache>
            </c:numRef>
          </c:val>
          <c:extLst>
            <c:ext xmlns:c16="http://schemas.microsoft.com/office/drawing/2014/chart" uri="{C3380CC4-5D6E-409C-BE32-E72D297353CC}">
              <c16:uniqueId val="{00000002-A64D-4E83-B5D9-44062F1A87CF}"/>
            </c:ext>
          </c:extLst>
        </c:ser>
        <c:ser>
          <c:idx val="3"/>
          <c:order val="3"/>
          <c:tx>
            <c:strRef>
              <c:f>'Agriculture by State'!$A$6</c:f>
              <c:strCache>
                <c:ptCount val="1"/>
                <c:pt idx="0">
                  <c:v>Kelantan</c:v>
                </c:pt>
              </c:strCache>
            </c:strRef>
          </c:tx>
          <c:spPr>
            <a:solidFill>
              <a:schemeClr val="accent4"/>
            </a:solidFill>
            <a:ln>
              <a:noFill/>
            </a:ln>
            <a:effectLst/>
          </c:spPr>
          <c:invertIfNegative val="0"/>
          <c:cat>
            <c:strRef>
              <c:f>'Agriculture by State'!$B$2:$E$2</c:f>
              <c:strCache>
                <c:ptCount val="4"/>
                <c:pt idx="0">
                  <c:v>2022</c:v>
                </c:pt>
                <c:pt idx="1">
                  <c:v>2023</c:v>
                </c:pt>
                <c:pt idx="2">
                  <c:v>2024</c:v>
                </c:pt>
                <c:pt idx="3">
                  <c:v>2025</c:v>
                </c:pt>
              </c:strCache>
            </c:strRef>
          </c:cat>
          <c:val>
            <c:numRef>
              <c:f>'Agriculture by State'!$B$6:$E$6</c:f>
              <c:numCache>
                <c:formatCode>0.00</c:formatCode>
                <c:ptCount val="4"/>
                <c:pt idx="0">
                  <c:v>66034.690300000002</c:v>
                </c:pt>
                <c:pt idx="1">
                  <c:v>52525.092299999997</c:v>
                </c:pt>
                <c:pt idx="2">
                  <c:v>22443.979500000001</c:v>
                </c:pt>
                <c:pt idx="3">
                  <c:v>4383.692</c:v>
                </c:pt>
              </c:numCache>
            </c:numRef>
          </c:val>
          <c:extLst>
            <c:ext xmlns:c16="http://schemas.microsoft.com/office/drawing/2014/chart" uri="{C3380CC4-5D6E-409C-BE32-E72D297353CC}">
              <c16:uniqueId val="{00000003-A64D-4E83-B5D9-44062F1A87CF}"/>
            </c:ext>
          </c:extLst>
        </c:ser>
        <c:ser>
          <c:idx val="4"/>
          <c:order val="4"/>
          <c:tx>
            <c:strRef>
              <c:f>'Agriculture by State'!$A$7</c:f>
              <c:strCache>
                <c:ptCount val="1"/>
                <c:pt idx="0">
                  <c:v>Melaka</c:v>
                </c:pt>
              </c:strCache>
            </c:strRef>
          </c:tx>
          <c:spPr>
            <a:solidFill>
              <a:schemeClr val="accent5"/>
            </a:solidFill>
            <a:ln>
              <a:noFill/>
            </a:ln>
            <a:effectLst/>
          </c:spPr>
          <c:invertIfNegative val="0"/>
          <c:cat>
            <c:strRef>
              <c:f>'Agriculture by State'!$B$2:$E$2</c:f>
              <c:strCache>
                <c:ptCount val="4"/>
                <c:pt idx="0">
                  <c:v>2022</c:v>
                </c:pt>
                <c:pt idx="1">
                  <c:v>2023</c:v>
                </c:pt>
                <c:pt idx="2">
                  <c:v>2024</c:v>
                </c:pt>
                <c:pt idx="3">
                  <c:v>2025</c:v>
                </c:pt>
              </c:strCache>
            </c:strRef>
          </c:cat>
          <c:val>
            <c:numRef>
              <c:f>'Agriculture by State'!$B$7:$E$7</c:f>
              <c:numCache>
                <c:formatCode>0.00</c:formatCode>
                <c:ptCount val="4"/>
                <c:pt idx="0">
                  <c:v>98.3</c:v>
                </c:pt>
                <c:pt idx="1">
                  <c:v>206.44239999999999</c:v>
                </c:pt>
                <c:pt idx="2">
                  <c:v>471.6866</c:v>
                </c:pt>
                <c:pt idx="3">
                  <c:v>512.298</c:v>
                </c:pt>
              </c:numCache>
            </c:numRef>
          </c:val>
          <c:extLst>
            <c:ext xmlns:c16="http://schemas.microsoft.com/office/drawing/2014/chart" uri="{C3380CC4-5D6E-409C-BE32-E72D297353CC}">
              <c16:uniqueId val="{00000004-A64D-4E83-B5D9-44062F1A87CF}"/>
            </c:ext>
          </c:extLst>
        </c:ser>
        <c:ser>
          <c:idx val="5"/>
          <c:order val="5"/>
          <c:tx>
            <c:strRef>
              <c:f>'Agriculture by State'!$A$8</c:f>
              <c:strCache>
                <c:ptCount val="1"/>
                <c:pt idx="0">
                  <c:v>Negeri Sembilan</c:v>
                </c:pt>
              </c:strCache>
            </c:strRef>
          </c:tx>
          <c:spPr>
            <a:solidFill>
              <a:schemeClr val="accent6"/>
            </a:solidFill>
            <a:ln>
              <a:noFill/>
            </a:ln>
            <a:effectLst/>
          </c:spPr>
          <c:invertIfNegative val="0"/>
          <c:cat>
            <c:strRef>
              <c:f>'Agriculture by State'!$B$2:$E$2</c:f>
              <c:strCache>
                <c:ptCount val="4"/>
                <c:pt idx="0">
                  <c:v>2022</c:v>
                </c:pt>
                <c:pt idx="1">
                  <c:v>2023</c:v>
                </c:pt>
                <c:pt idx="2">
                  <c:v>2024</c:v>
                </c:pt>
                <c:pt idx="3">
                  <c:v>2025</c:v>
                </c:pt>
              </c:strCache>
            </c:strRef>
          </c:cat>
          <c:val>
            <c:numRef>
              <c:f>'Agriculture by State'!$B$8:$E$8</c:f>
              <c:numCache>
                <c:formatCode>0.00</c:formatCode>
                <c:ptCount val="4"/>
                <c:pt idx="0">
                  <c:v>3007.1380000000004</c:v>
                </c:pt>
                <c:pt idx="1">
                  <c:v>3023.6379999999999</c:v>
                </c:pt>
                <c:pt idx="2">
                  <c:v>1209.9190000000001</c:v>
                </c:pt>
                <c:pt idx="3">
                  <c:v>2623.4051999999997</c:v>
                </c:pt>
              </c:numCache>
            </c:numRef>
          </c:val>
          <c:extLst>
            <c:ext xmlns:c16="http://schemas.microsoft.com/office/drawing/2014/chart" uri="{C3380CC4-5D6E-409C-BE32-E72D297353CC}">
              <c16:uniqueId val="{00000005-A64D-4E83-B5D9-44062F1A87CF}"/>
            </c:ext>
          </c:extLst>
        </c:ser>
        <c:ser>
          <c:idx val="6"/>
          <c:order val="6"/>
          <c:tx>
            <c:strRef>
              <c:f>'Agriculture by State'!$A$9</c:f>
              <c:strCache>
                <c:ptCount val="1"/>
                <c:pt idx="0">
                  <c:v>Pahang</c:v>
                </c:pt>
              </c:strCache>
            </c:strRef>
          </c:tx>
          <c:spPr>
            <a:solidFill>
              <a:schemeClr val="accent1">
                <a:lumMod val="60000"/>
              </a:schemeClr>
            </a:solidFill>
            <a:ln>
              <a:noFill/>
            </a:ln>
            <a:effectLst/>
          </c:spPr>
          <c:invertIfNegative val="0"/>
          <c:cat>
            <c:strRef>
              <c:f>'Agriculture by State'!$B$2:$E$2</c:f>
              <c:strCache>
                <c:ptCount val="4"/>
                <c:pt idx="0">
                  <c:v>2022</c:v>
                </c:pt>
                <c:pt idx="1">
                  <c:v>2023</c:v>
                </c:pt>
                <c:pt idx="2">
                  <c:v>2024</c:v>
                </c:pt>
                <c:pt idx="3">
                  <c:v>2025</c:v>
                </c:pt>
              </c:strCache>
            </c:strRef>
          </c:cat>
          <c:val>
            <c:numRef>
              <c:f>'Agriculture by State'!$B$9:$E$9</c:f>
              <c:numCache>
                <c:formatCode>0.00</c:formatCode>
                <c:ptCount val="4"/>
                <c:pt idx="0">
                  <c:v>1692.82</c:v>
                </c:pt>
                <c:pt idx="1">
                  <c:v>2694.02</c:v>
                </c:pt>
                <c:pt idx="2">
                  <c:v>8807.0689999999995</c:v>
                </c:pt>
                <c:pt idx="3">
                  <c:v>4288.7643599999992</c:v>
                </c:pt>
              </c:numCache>
            </c:numRef>
          </c:val>
          <c:extLst>
            <c:ext xmlns:c16="http://schemas.microsoft.com/office/drawing/2014/chart" uri="{C3380CC4-5D6E-409C-BE32-E72D297353CC}">
              <c16:uniqueId val="{00000006-A64D-4E83-B5D9-44062F1A87CF}"/>
            </c:ext>
          </c:extLst>
        </c:ser>
        <c:ser>
          <c:idx val="7"/>
          <c:order val="7"/>
          <c:tx>
            <c:strRef>
              <c:f>'Agriculture by State'!$A$10</c:f>
              <c:strCache>
                <c:ptCount val="1"/>
                <c:pt idx="0">
                  <c:v>Pulau Pinang</c:v>
                </c:pt>
              </c:strCache>
            </c:strRef>
          </c:tx>
          <c:spPr>
            <a:solidFill>
              <a:schemeClr val="accent2">
                <a:lumMod val="60000"/>
              </a:schemeClr>
            </a:solidFill>
            <a:ln>
              <a:noFill/>
            </a:ln>
            <a:effectLst/>
          </c:spPr>
          <c:invertIfNegative val="0"/>
          <c:cat>
            <c:strRef>
              <c:f>'Agriculture by State'!$B$2:$E$2</c:f>
              <c:strCache>
                <c:ptCount val="4"/>
                <c:pt idx="0">
                  <c:v>2022</c:v>
                </c:pt>
                <c:pt idx="1">
                  <c:v>2023</c:v>
                </c:pt>
                <c:pt idx="2">
                  <c:v>2024</c:v>
                </c:pt>
                <c:pt idx="3">
                  <c:v>2025</c:v>
                </c:pt>
              </c:strCache>
            </c:strRef>
          </c:cat>
          <c:val>
            <c:numRef>
              <c:f>'Agriculture by State'!$B$10:$E$10</c:f>
              <c:numCache>
                <c:formatCode>0.00</c:formatCode>
                <c:ptCount val="4"/>
                <c:pt idx="0">
                  <c:v>74.847999999999999</c:v>
                </c:pt>
                <c:pt idx="1">
                  <c:v>99.847999999999999</c:v>
                </c:pt>
                <c:pt idx="2">
                  <c:v>63</c:v>
                </c:pt>
                <c:pt idx="3">
                  <c:v>2592.7346000000002</c:v>
                </c:pt>
              </c:numCache>
            </c:numRef>
          </c:val>
          <c:extLst>
            <c:ext xmlns:c16="http://schemas.microsoft.com/office/drawing/2014/chart" uri="{C3380CC4-5D6E-409C-BE32-E72D297353CC}">
              <c16:uniqueId val="{00000007-A64D-4E83-B5D9-44062F1A87CF}"/>
            </c:ext>
          </c:extLst>
        </c:ser>
        <c:ser>
          <c:idx val="8"/>
          <c:order val="8"/>
          <c:tx>
            <c:strRef>
              <c:f>'Agriculture by State'!$A$11</c:f>
              <c:strCache>
                <c:ptCount val="1"/>
                <c:pt idx="0">
                  <c:v>Perak</c:v>
                </c:pt>
              </c:strCache>
            </c:strRef>
          </c:tx>
          <c:spPr>
            <a:solidFill>
              <a:schemeClr val="accent3">
                <a:lumMod val="60000"/>
              </a:schemeClr>
            </a:solidFill>
            <a:ln>
              <a:noFill/>
            </a:ln>
            <a:effectLst/>
          </c:spPr>
          <c:invertIfNegative val="0"/>
          <c:cat>
            <c:strRef>
              <c:f>'Agriculture by State'!$B$2:$E$2</c:f>
              <c:strCache>
                <c:ptCount val="4"/>
                <c:pt idx="0">
                  <c:v>2022</c:v>
                </c:pt>
                <c:pt idx="1">
                  <c:v>2023</c:v>
                </c:pt>
                <c:pt idx="2">
                  <c:v>2024</c:v>
                </c:pt>
                <c:pt idx="3">
                  <c:v>2025</c:v>
                </c:pt>
              </c:strCache>
            </c:strRef>
          </c:cat>
          <c:val>
            <c:numRef>
              <c:f>'Agriculture by State'!$B$11:$E$11</c:f>
              <c:numCache>
                <c:formatCode>0.00</c:formatCode>
                <c:ptCount val="4"/>
                <c:pt idx="0">
                  <c:v>767.81299999999999</c:v>
                </c:pt>
                <c:pt idx="1">
                  <c:v>767.81299999999999</c:v>
                </c:pt>
                <c:pt idx="2">
                  <c:v>312.34100000000001</c:v>
                </c:pt>
                <c:pt idx="3">
                  <c:v>4479.0749999999998</c:v>
                </c:pt>
              </c:numCache>
            </c:numRef>
          </c:val>
          <c:extLst>
            <c:ext xmlns:c16="http://schemas.microsoft.com/office/drawing/2014/chart" uri="{C3380CC4-5D6E-409C-BE32-E72D297353CC}">
              <c16:uniqueId val="{00000008-A64D-4E83-B5D9-44062F1A87CF}"/>
            </c:ext>
          </c:extLst>
        </c:ser>
        <c:ser>
          <c:idx val="9"/>
          <c:order val="9"/>
          <c:tx>
            <c:strRef>
              <c:f>'Agriculture by State'!$A$12</c:f>
              <c:strCache>
                <c:ptCount val="1"/>
                <c:pt idx="0">
                  <c:v>Perlis</c:v>
                </c:pt>
              </c:strCache>
            </c:strRef>
          </c:tx>
          <c:spPr>
            <a:solidFill>
              <a:schemeClr val="accent4">
                <a:lumMod val="60000"/>
              </a:schemeClr>
            </a:solidFill>
            <a:ln>
              <a:noFill/>
            </a:ln>
            <a:effectLst/>
          </c:spPr>
          <c:invertIfNegative val="0"/>
          <c:cat>
            <c:strRef>
              <c:f>'Agriculture by State'!$B$2:$E$2</c:f>
              <c:strCache>
                <c:ptCount val="4"/>
                <c:pt idx="0">
                  <c:v>2022</c:v>
                </c:pt>
                <c:pt idx="1">
                  <c:v>2023</c:v>
                </c:pt>
                <c:pt idx="2">
                  <c:v>2024</c:v>
                </c:pt>
                <c:pt idx="3">
                  <c:v>2025</c:v>
                </c:pt>
              </c:strCache>
            </c:strRef>
          </c:cat>
          <c:val>
            <c:numRef>
              <c:f>'Agriculture by State'!$B$12:$E$12</c:f>
              <c:numCache>
                <c:formatCode>0.00</c:formatCode>
                <c:ptCount val="4"/>
                <c:pt idx="0">
                  <c:v>0</c:v>
                </c:pt>
                <c:pt idx="1">
                  <c:v>0</c:v>
                </c:pt>
                <c:pt idx="2">
                  <c:v>176.15</c:v>
                </c:pt>
                <c:pt idx="3">
                  <c:v>1221.9720000000002</c:v>
                </c:pt>
              </c:numCache>
            </c:numRef>
          </c:val>
          <c:extLst>
            <c:ext xmlns:c16="http://schemas.microsoft.com/office/drawing/2014/chart" uri="{C3380CC4-5D6E-409C-BE32-E72D297353CC}">
              <c16:uniqueId val="{00000009-A64D-4E83-B5D9-44062F1A87CF}"/>
            </c:ext>
          </c:extLst>
        </c:ser>
        <c:ser>
          <c:idx val="10"/>
          <c:order val="10"/>
          <c:tx>
            <c:strRef>
              <c:f>'Agriculture by State'!$A$13</c:f>
              <c:strCache>
                <c:ptCount val="1"/>
                <c:pt idx="0">
                  <c:v>Selangor</c:v>
                </c:pt>
              </c:strCache>
            </c:strRef>
          </c:tx>
          <c:spPr>
            <a:solidFill>
              <a:schemeClr val="accent5">
                <a:lumMod val="60000"/>
              </a:schemeClr>
            </a:solidFill>
            <a:ln>
              <a:noFill/>
            </a:ln>
            <a:effectLst/>
          </c:spPr>
          <c:invertIfNegative val="0"/>
          <c:cat>
            <c:strRef>
              <c:f>'Agriculture by State'!$B$2:$E$2</c:f>
              <c:strCache>
                <c:ptCount val="4"/>
                <c:pt idx="0">
                  <c:v>2022</c:v>
                </c:pt>
                <c:pt idx="1">
                  <c:v>2023</c:v>
                </c:pt>
                <c:pt idx="2">
                  <c:v>2024</c:v>
                </c:pt>
                <c:pt idx="3">
                  <c:v>2025</c:v>
                </c:pt>
              </c:strCache>
            </c:strRef>
          </c:cat>
          <c:val>
            <c:numRef>
              <c:f>'Agriculture by State'!$B$13:$E$13</c:f>
              <c:numCache>
                <c:formatCode>0.00</c:formatCode>
                <c:ptCount val="4"/>
                <c:pt idx="0">
                  <c:v>3144.6039999999998</c:v>
                </c:pt>
                <c:pt idx="1">
                  <c:v>3284.3829999999998</c:v>
                </c:pt>
                <c:pt idx="2">
                  <c:v>1870.1579999999999</c:v>
                </c:pt>
                <c:pt idx="3">
                  <c:v>9582.0305000000008</c:v>
                </c:pt>
              </c:numCache>
            </c:numRef>
          </c:val>
          <c:extLst>
            <c:ext xmlns:c16="http://schemas.microsoft.com/office/drawing/2014/chart" uri="{C3380CC4-5D6E-409C-BE32-E72D297353CC}">
              <c16:uniqueId val="{0000000A-A64D-4E83-B5D9-44062F1A87CF}"/>
            </c:ext>
          </c:extLst>
        </c:ser>
        <c:ser>
          <c:idx val="11"/>
          <c:order val="11"/>
          <c:tx>
            <c:strRef>
              <c:f>'Agriculture by State'!$A$14</c:f>
              <c:strCache>
                <c:ptCount val="1"/>
                <c:pt idx="0">
                  <c:v>Terengganu</c:v>
                </c:pt>
              </c:strCache>
            </c:strRef>
          </c:tx>
          <c:spPr>
            <a:solidFill>
              <a:schemeClr val="accent6">
                <a:lumMod val="60000"/>
              </a:schemeClr>
            </a:solidFill>
            <a:ln>
              <a:noFill/>
            </a:ln>
            <a:effectLst/>
          </c:spPr>
          <c:invertIfNegative val="0"/>
          <c:cat>
            <c:strRef>
              <c:f>'Agriculture by State'!$B$2:$E$2</c:f>
              <c:strCache>
                <c:ptCount val="4"/>
                <c:pt idx="0">
                  <c:v>2022</c:v>
                </c:pt>
                <c:pt idx="1">
                  <c:v>2023</c:v>
                </c:pt>
                <c:pt idx="2">
                  <c:v>2024</c:v>
                </c:pt>
                <c:pt idx="3">
                  <c:v>2025</c:v>
                </c:pt>
              </c:strCache>
            </c:strRef>
          </c:cat>
          <c:val>
            <c:numRef>
              <c:f>'Agriculture by State'!$B$14:$E$14</c:f>
              <c:numCache>
                <c:formatCode>0.00</c:formatCode>
                <c:ptCount val="4"/>
                <c:pt idx="0">
                  <c:v>79022.298999999999</c:v>
                </c:pt>
                <c:pt idx="1">
                  <c:v>31186.999</c:v>
                </c:pt>
                <c:pt idx="2">
                  <c:v>6132.1365000000005</c:v>
                </c:pt>
                <c:pt idx="3">
                  <c:v>1012.3599999999999</c:v>
                </c:pt>
              </c:numCache>
            </c:numRef>
          </c:val>
          <c:extLst>
            <c:ext xmlns:c16="http://schemas.microsoft.com/office/drawing/2014/chart" uri="{C3380CC4-5D6E-409C-BE32-E72D297353CC}">
              <c16:uniqueId val="{0000000B-A64D-4E83-B5D9-44062F1A87CF}"/>
            </c:ext>
          </c:extLst>
        </c:ser>
        <c:ser>
          <c:idx val="12"/>
          <c:order val="12"/>
          <c:tx>
            <c:strRef>
              <c:f>'Agriculture by State'!$A$15</c:f>
              <c:strCache>
                <c:ptCount val="1"/>
                <c:pt idx="0">
                  <c:v>Sabah</c:v>
                </c:pt>
              </c:strCache>
            </c:strRef>
          </c:tx>
          <c:spPr>
            <a:solidFill>
              <a:schemeClr val="accent1">
                <a:lumMod val="80000"/>
                <a:lumOff val="20000"/>
              </a:schemeClr>
            </a:solidFill>
            <a:ln>
              <a:noFill/>
            </a:ln>
            <a:effectLst/>
          </c:spPr>
          <c:invertIfNegative val="0"/>
          <c:cat>
            <c:strRef>
              <c:f>'Agriculture by State'!$B$2:$E$2</c:f>
              <c:strCache>
                <c:ptCount val="4"/>
                <c:pt idx="0">
                  <c:v>2022</c:v>
                </c:pt>
                <c:pt idx="1">
                  <c:v>2023</c:v>
                </c:pt>
                <c:pt idx="2">
                  <c:v>2024</c:v>
                </c:pt>
                <c:pt idx="3">
                  <c:v>2025</c:v>
                </c:pt>
              </c:strCache>
            </c:strRef>
          </c:cat>
          <c:val>
            <c:numRef>
              <c:f>'Agriculture by State'!$B$15:$E$15</c:f>
              <c:numCache>
                <c:formatCode>0.00</c:formatCode>
                <c:ptCount val="4"/>
                <c:pt idx="0">
                  <c:v>0</c:v>
                </c:pt>
                <c:pt idx="1">
                  <c:v>5.5</c:v>
                </c:pt>
                <c:pt idx="2">
                  <c:v>44.377000000000002</c:v>
                </c:pt>
                <c:pt idx="3">
                  <c:v>3646.3219999999997</c:v>
                </c:pt>
              </c:numCache>
            </c:numRef>
          </c:val>
          <c:extLst>
            <c:ext xmlns:c16="http://schemas.microsoft.com/office/drawing/2014/chart" uri="{C3380CC4-5D6E-409C-BE32-E72D297353CC}">
              <c16:uniqueId val="{0000000C-A64D-4E83-B5D9-44062F1A87CF}"/>
            </c:ext>
          </c:extLst>
        </c:ser>
        <c:ser>
          <c:idx val="13"/>
          <c:order val="13"/>
          <c:tx>
            <c:strRef>
              <c:f>'Agriculture by State'!$A$16</c:f>
              <c:strCache>
                <c:ptCount val="1"/>
                <c:pt idx="0">
                  <c:v>Sarawak</c:v>
                </c:pt>
              </c:strCache>
            </c:strRef>
          </c:tx>
          <c:spPr>
            <a:solidFill>
              <a:schemeClr val="accent2">
                <a:lumMod val="80000"/>
                <a:lumOff val="20000"/>
              </a:schemeClr>
            </a:solidFill>
            <a:ln>
              <a:noFill/>
            </a:ln>
            <a:effectLst/>
          </c:spPr>
          <c:invertIfNegative val="0"/>
          <c:cat>
            <c:strRef>
              <c:f>'Agriculture by State'!$B$2:$E$2</c:f>
              <c:strCache>
                <c:ptCount val="4"/>
                <c:pt idx="0">
                  <c:v>2022</c:v>
                </c:pt>
                <c:pt idx="1">
                  <c:v>2023</c:v>
                </c:pt>
                <c:pt idx="2">
                  <c:v>2024</c:v>
                </c:pt>
                <c:pt idx="3">
                  <c:v>2025</c:v>
                </c:pt>
              </c:strCache>
            </c:strRef>
          </c:cat>
          <c:val>
            <c:numRef>
              <c:f>'Agriculture by State'!$B$16:$E$16</c:f>
              <c:numCache>
                <c:formatCode>0.00</c:formatCode>
                <c:ptCount val="4"/>
                <c:pt idx="0">
                  <c:v>98.5</c:v>
                </c:pt>
                <c:pt idx="1">
                  <c:v>98.5</c:v>
                </c:pt>
                <c:pt idx="2">
                  <c:v>453.22199999999998</c:v>
                </c:pt>
                <c:pt idx="3">
                  <c:v>94</c:v>
                </c:pt>
              </c:numCache>
            </c:numRef>
          </c:val>
          <c:extLst>
            <c:ext xmlns:c16="http://schemas.microsoft.com/office/drawing/2014/chart" uri="{C3380CC4-5D6E-409C-BE32-E72D297353CC}">
              <c16:uniqueId val="{0000000D-A64D-4E83-B5D9-44062F1A87CF}"/>
            </c:ext>
          </c:extLst>
        </c:ser>
        <c:dLbls>
          <c:showLegendKey val="0"/>
          <c:showVal val="0"/>
          <c:showCatName val="0"/>
          <c:showSerName val="0"/>
          <c:showPercent val="0"/>
          <c:showBubbleSize val="0"/>
        </c:dLbls>
        <c:gapWidth val="150"/>
        <c:axId val="1528549167"/>
        <c:axId val="1792488655"/>
        <c:extLst>
          <c:ext xmlns:c15="http://schemas.microsoft.com/office/drawing/2012/chart" uri="{02D57815-91ED-43cb-92C2-25804820EDAC}">
            <c15:filteredBarSeries>
              <c15:ser>
                <c:idx val="0"/>
                <c:order val="0"/>
                <c:tx>
                  <c:strRef>
                    <c:extLst>
                      <c:ext uri="{02D57815-91ED-43cb-92C2-25804820EDAC}">
                        <c15:formulaRef>
                          <c15:sqref>'Agriculture by State'!$A$3</c15:sqref>
                        </c15:formulaRef>
                      </c:ext>
                    </c:extLst>
                    <c:strCache>
                      <c:ptCount val="1"/>
                      <c:pt idx="0">
                        <c:v>Malaysia</c:v>
                      </c:pt>
                    </c:strCache>
                  </c:strRef>
                </c:tx>
                <c:spPr>
                  <a:solidFill>
                    <a:schemeClr val="accent1"/>
                  </a:solidFill>
                  <a:ln>
                    <a:noFill/>
                  </a:ln>
                  <a:effectLst/>
                </c:spPr>
                <c:invertIfNegative val="0"/>
                <c:cat>
                  <c:strRef>
                    <c:extLst>
                      <c:ext uri="{02D57815-91ED-43cb-92C2-25804820EDAC}">
                        <c15:formulaRef>
                          <c15:sqref>'Agriculture by State'!$B$2:$E$2</c15:sqref>
                        </c15:formulaRef>
                      </c:ext>
                    </c:extLst>
                    <c:strCache>
                      <c:ptCount val="4"/>
                      <c:pt idx="0">
                        <c:v>2022</c:v>
                      </c:pt>
                      <c:pt idx="1">
                        <c:v>2023</c:v>
                      </c:pt>
                      <c:pt idx="2">
                        <c:v>2024</c:v>
                      </c:pt>
                      <c:pt idx="3">
                        <c:v>2025</c:v>
                      </c:pt>
                    </c:strCache>
                  </c:strRef>
                </c:cat>
                <c:val>
                  <c:numRef>
                    <c:extLst>
                      <c:ext uri="{02D57815-91ED-43cb-92C2-25804820EDAC}">
                        <c15:formulaRef>
                          <c15:sqref>'Agriculture by State'!$B$3:$E$3</c15:sqref>
                        </c15:formulaRef>
                      </c:ext>
                    </c:extLst>
                    <c:numCache>
                      <c:formatCode>_-* #,##0_-;\-* #,##0_-;_-* "-"??_-;_-@_-</c:formatCode>
                      <c:ptCount val="4"/>
                      <c:pt idx="0">
                        <c:v>154515.47230000002</c:v>
                      </c:pt>
                      <c:pt idx="1">
                        <c:v>119504.6747</c:v>
                      </c:pt>
                      <c:pt idx="2" formatCode="_(* #,##0_);_(* \(#,##0\);_(* &quot;-&quot;??_);_(@_)">
                        <c:v>162623.78359999997</c:v>
                      </c:pt>
                      <c:pt idx="3" formatCode="_(* #,##0_);_(* \(#,##0\);_(* &quot;-&quot;??_);_(@_)">
                        <c:v>52486.977660000004</c:v>
                      </c:pt>
                    </c:numCache>
                  </c:numRef>
                </c:val>
                <c:extLst>
                  <c:ext xmlns:c16="http://schemas.microsoft.com/office/drawing/2014/chart" uri="{C3380CC4-5D6E-409C-BE32-E72D297353CC}">
                    <c16:uniqueId val="{00000000-A64D-4E83-B5D9-44062F1A87CF}"/>
                  </c:ext>
                </c:extLst>
              </c15:ser>
            </c15:filteredBarSeries>
          </c:ext>
        </c:extLst>
      </c:barChart>
      <c:catAx>
        <c:axId val="152854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488655"/>
        <c:crosses val="autoZero"/>
        <c:auto val="1"/>
        <c:lblAlgn val="ctr"/>
        <c:lblOffset val="100"/>
        <c:noMultiLvlLbl val="0"/>
      </c:catAx>
      <c:valAx>
        <c:axId val="17924886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5491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Plantation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'Agriculture by State'!$A$37</c:f>
              <c:strCache>
                <c:ptCount val="1"/>
                <c:pt idx="0">
                  <c:v>Malaysia</c:v>
                </c:pt>
              </c:strCache>
            </c:strRef>
          </c:tx>
          <c:spPr>
            <a:solidFill>
              <a:schemeClr val="accent1"/>
            </a:solidFill>
            <a:ln>
              <a:noFill/>
            </a:ln>
            <a:effectLst/>
          </c:spPr>
          <c:invertIfNegative val="0"/>
          <c:cat>
            <c:strRef>
              <c:f>'Agriculture by State'!$B$36:$E$36</c:f>
              <c:strCache>
                <c:ptCount val="4"/>
                <c:pt idx="0">
                  <c:v>2022</c:v>
                </c:pt>
                <c:pt idx="1">
                  <c:v>2023</c:v>
                </c:pt>
                <c:pt idx="2">
                  <c:v>2024</c:v>
                </c:pt>
                <c:pt idx="3">
                  <c:v>2025</c:v>
                </c:pt>
              </c:strCache>
            </c:strRef>
          </c:cat>
          <c:val>
            <c:numRef>
              <c:f>'Agriculture by State'!$B$37:$E$37</c:f>
              <c:numCache>
                <c:formatCode>_-* #,##0_-;\-* #,##0_-;_-* "-"??_-;_-@_-</c:formatCode>
                <c:ptCount val="4"/>
                <c:pt idx="0">
                  <c:v>#N/A</c:v>
                </c:pt>
                <c:pt idx="1">
                  <c:v>1124.70011</c:v>
                </c:pt>
                <c:pt idx="2">
                  <c:v>22598.020197662507</c:v>
                </c:pt>
                <c:pt idx="3">
                  <c:v>72.147999999999996</c:v>
                </c:pt>
              </c:numCache>
            </c:numRef>
          </c:val>
          <c:extLst>
            <c:ext xmlns:c16="http://schemas.microsoft.com/office/drawing/2014/chart" uri="{C3380CC4-5D6E-409C-BE32-E72D297353CC}">
              <c16:uniqueId val="{00000000-2F65-488B-9031-412CABBA81BD}"/>
            </c:ext>
          </c:extLst>
        </c:ser>
        <c:ser>
          <c:idx val="1"/>
          <c:order val="1"/>
          <c:tx>
            <c:strRef>
              <c:f>'Agriculture by State'!$A$38</c:f>
              <c:strCache>
                <c:ptCount val="1"/>
                <c:pt idx="0">
                  <c:v>Johor</c:v>
                </c:pt>
              </c:strCache>
            </c:strRef>
          </c:tx>
          <c:spPr>
            <a:solidFill>
              <a:schemeClr val="accent2"/>
            </a:solidFill>
            <a:ln>
              <a:noFill/>
            </a:ln>
            <a:effectLst/>
          </c:spPr>
          <c:invertIfNegative val="0"/>
          <c:cat>
            <c:strRef>
              <c:f>'Agriculture by State'!$B$36:$E$36</c:f>
              <c:strCache>
                <c:ptCount val="4"/>
                <c:pt idx="0">
                  <c:v>2022</c:v>
                </c:pt>
                <c:pt idx="1">
                  <c:v>2023</c:v>
                </c:pt>
                <c:pt idx="2">
                  <c:v>2024</c:v>
                </c:pt>
                <c:pt idx="3">
                  <c:v>2025</c:v>
                </c:pt>
              </c:strCache>
            </c:strRef>
          </c:cat>
          <c:val>
            <c:numRef>
              <c:f>'Agriculture by State'!$B$38:$E$38</c:f>
              <c:numCache>
                <c:formatCode>_-* #,##0_-;\-* #,##0_-;_-* "-"??_-;_-@_-</c:formatCode>
                <c:ptCount val="4"/>
                <c:pt idx="0">
                  <c:v>#N/A</c:v>
                </c:pt>
                <c:pt idx="1">
                  <c:v>42.43</c:v>
                </c:pt>
                <c:pt idx="2">
                  <c:v>3.0751200000000001</c:v>
                </c:pt>
                <c:pt idx="3">
                  <c:v>#N/A</c:v>
                </c:pt>
              </c:numCache>
            </c:numRef>
          </c:val>
          <c:extLst>
            <c:ext xmlns:c16="http://schemas.microsoft.com/office/drawing/2014/chart" uri="{C3380CC4-5D6E-409C-BE32-E72D297353CC}">
              <c16:uniqueId val="{00000001-2F65-488B-9031-412CABBA81BD}"/>
            </c:ext>
          </c:extLst>
        </c:ser>
        <c:ser>
          <c:idx val="2"/>
          <c:order val="2"/>
          <c:tx>
            <c:strRef>
              <c:f>'Agriculture by State'!$A$39</c:f>
              <c:strCache>
                <c:ptCount val="1"/>
                <c:pt idx="0">
                  <c:v>Kedah</c:v>
                </c:pt>
              </c:strCache>
            </c:strRef>
          </c:tx>
          <c:spPr>
            <a:solidFill>
              <a:schemeClr val="accent3"/>
            </a:solidFill>
            <a:ln>
              <a:noFill/>
            </a:ln>
            <a:effectLst/>
          </c:spPr>
          <c:invertIfNegative val="0"/>
          <c:cat>
            <c:strRef>
              <c:f>'Agriculture by State'!$B$36:$E$36</c:f>
              <c:strCache>
                <c:ptCount val="4"/>
                <c:pt idx="0">
                  <c:v>2022</c:v>
                </c:pt>
                <c:pt idx="1">
                  <c:v>2023</c:v>
                </c:pt>
                <c:pt idx="2">
                  <c:v>2024</c:v>
                </c:pt>
                <c:pt idx="3">
                  <c:v>2025</c:v>
                </c:pt>
              </c:strCache>
            </c:strRef>
          </c:cat>
          <c:val>
            <c:numRef>
              <c:f>'Agriculture by State'!$B$39:$E$39</c:f>
              <c:numCache>
                <c:formatCode>_-* #,##0_-;\-* #,##0_-;_-* "-"??_-;_-@_-</c:formatCode>
                <c:ptCount val="4"/>
                <c:pt idx="0">
                  <c:v>#N/A</c:v>
                </c:pt>
                <c:pt idx="1">
                  <c:v>#N/A</c:v>
                </c:pt>
                <c:pt idx="2">
                  <c:v>#N/A</c:v>
                </c:pt>
                <c:pt idx="3">
                  <c:v>#N/A</c:v>
                </c:pt>
              </c:numCache>
            </c:numRef>
          </c:val>
          <c:extLst>
            <c:ext xmlns:c16="http://schemas.microsoft.com/office/drawing/2014/chart" uri="{C3380CC4-5D6E-409C-BE32-E72D297353CC}">
              <c16:uniqueId val="{00000002-2F65-488B-9031-412CABBA81BD}"/>
            </c:ext>
          </c:extLst>
        </c:ser>
        <c:ser>
          <c:idx val="3"/>
          <c:order val="3"/>
          <c:tx>
            <c:strRef>
              <c:f>'Agriculture by State'!$A$40</c:f>
              <c:strCache>
                <c:ptCount val="1"/>
                <c:pt idx="0">
                  <c:v>Kelantan</c:v>
                </c:pt>
              </c:strCache>
            </c:strRef>
          </c:tx>
          <c:spPr>
            <a:solidFill>
              <a:schemeClr val="accent4"/>
            </a:solidFill>
            <a:ln>
              <a:noFill/>
            </a:ln>
            <a:effectLst/>
          </c:spPr>
          <c:invertIfNegative val="0"/>
          <c:cat>
            <c:strRef>
              <c:f>'Agriculture by State'!$B$36:$E$36</c:f>
              <c:strCache>
                <c:ptCount val="4"/>
                <c:pt idx="0">
                  <c:v>2022</c:v>
                </c:pt>
                <c:pt idx="1">
                  <c:v>2023</c:v>
                </c:pt>
                <c:pt idx="2">
                  <c:v>2024</c:v>
                </c:pt>
                <c:pt idx="3">
                  <c:v>2025</c:v>
                </c:pt>
              </c:strCache>
            </c:strRef>
          </c:cat>
          <c:val>
            <c:numRef>
              <c:f>'Agriculture by State'!$B$40:$E$40</c:f>
              <c:numCache>
                <c:formatCode>_-* #,##0_-;\-* #,##0_-;_-* "-"??_-;_-@_-</c:formatCode>
                <c:ptCount val="4"/>
                <c:pt idx="0">
                  <c:v>#N/A</c:v>
                </c:pt>
                <c:pt idx="1">
                  <c:v>22.4</c:v>
                </c:pt>
                <c:pt idx="2">
                  <c:v>21344.106426362501</c:v>
                </c:pt>
                <c:pt idx="3">
                  <c:v>#N/A</c:v>
                </c:pt>
              </c:numCache>
            </c:numRef>
          </c:val>
          <c:extLst>
            <c:ext xmlns:c16="http://schemas.microsoft.com/office/drawing/2014/chart" uri="{C3380CC4-5D6E-409C-BE32-E72D297353CC}">
              <c16:uniqueId val="{00000003-2F65-488B-9031-412CABBA81BD}"/>
            </c:ext>
          </c:extLst>
        </c:ser>
        <c:ser>
          <c:idx val="4"/>
          <c:order val="4"/>
          <c:tx>
            <c:strRef>
              <c:f>'Agriculture by State'!$A$41</c:f>
              <c:strCache>
                <c:ptCount val="1"/>
                <c:pt idx="0">
                  <c:v>Melaka</c:v>
                </c:pt>
              </c:strCache>
            </c:strRef>
          </c:tx>
          <c:spPr>
            <a:solidFill>
              <a:schemeClr val="accent5"/>
            </a:solidFill>
            <a:ln>
              <a:noFill/>
            </a:ln>
            <a:effectLst/>
          </c:spPr>
          <c:invertIfNegative val="0"/>
          <c:cat>
            <c:strRef>
              <c:f>'Agriculture by State'!$B$36:$E$36</c:f>
              <c:strCache>
                <c:ptCount val="4"/>
                <c:pt idx="0">
                  <c:v>2022</c:v>
                </c:pt>
                <c:pt idx="1">
                  <c:v>2023</c:v>
                </c:pt>
                <c:pt idx="2">
                  <c:v>2024</c:v>
                </c:pt>
                <c:pt idx="3">
                  <c:v>2025</c:v>
                </c:pt>
              </c:strCache>
            </c:strRef>
          </c:cat>
          <c:val>
            <c:numRef>
              <c:f>'Agriculture by State'!$B$41:$E$41</c:f>
              <c:numCache>
                <c:formatCode>_-* #,##0_-;\-* #,##0_-;_-* "-"??_-;_-@_-</c:formatCode>
                <c:ptCount val="4"/>
                <c:pt idx="0">
                  <c:v>#N/A</c:v>
                </c:pt>
                <c:pt idx="1">
                  <c:v>1.3</c:v>
                </c:pt>
                <c:pt idx="2">
                  <c:v>#N/A</c:v>
                </c:pt>
                <c:pt idx="3">
                  <c:v>#N/A</c:v>
                </c:pt>
              </c:numCache>
            </c:numRef>
          </c:val>
          <c:extLst>
            <c:ext xmlns:c16="http://schemas.microsoft.com/office/drawing/2014/chart" uri="{C3380CC4-5D6E-409C-BE32-E72D297353CC}">
              <c16:uniqueId val="{00000004-2F65-488B-9031-412CABBA81BD}"/>
            </c:ext>
          </c:extLst>
        </c:ser>
        <c:ser>
          <c:idx val="5"/>
          <c:order val="5"/>
          <c:tx>
            <c:strRef>
              <c:f>'Agriculture by State'!$A$42</c:f>
              <c:strCache>
                <c:ptCount val="1"/>
                <c:pt idx="0">
                  <c:v>Negeri Sembilan</c:v>
                </c:pt>
              </c:strCache>
            </c:strRef>
          </c:tx>
          <c:spPr>
            <a:solidFill>
              <a:schemeClr val="accent6"/>
            </a:solidFill>
            <a:ln>
              <a:noFill/>
            </a:ln>
            <a:effectLst/>
          </c:spPr>
          <c:invertIfNegative val="0"/>
          <c:cat>
            <c:strRef>
              <c:f>'Agriculture by State'!$B$36:$E$36</c:f>
              <c:strCache>
                <c:ptCount val="4"/>
                <c:pt idx="0">
                  <c:v>2022</c:v>
                </c:pt>
                <c:pt idx="1">
                  <c:v>2023</c:v>
                </c:pt>
                <c:pt idx="2">
                  <c:v>2024</c:v>
                </c:pt>
                <c:pt idx="3">
                  <c:v>2025</c:v>
                </c:pt>
              </c:strCache>
            </c:strRef>
          </c:cat>
          <c:val>
            <c:numRef>
              <c:f>'Agriculture by State'!$B$42:$E$42</c:f>
              <c:numCache>
                <c:formatCode>_-* #,##0_-;\-* #,##0_-;_-* "-"??_-;_-@_-</c:formatCode>
                <c:ptCount val="4"/>
                <c:pt idx="0">
                  <c:v>#N/A</c:v>
                </c:pt>
                <c:pt idx="1">
                  <c:v>#N/A</c:v>
                </c:pt>
                <c:pt idx="2">
                  <c:v>#N/A</c:v>
                </c:pt>
                <c:pt idx="3">
                  <c:v>#N/A</c:v>
                </c:pt>
              </c:numCache>
            </c:numRef>
          </c:val>
          <c:extLst>
            <c:ext xmlns:c16="http://schemas.microsoft.com/office/drawing/2014/chart" uri="{C3380CC4-5D6E-409C-BE32-E72D297353CC}">
              <c16:uniqueId val="{00000005-2F65-488B-9031-412CABBA81BD}"/>
            </c:ext>
          </c:extLst>
        </c:ser>
        <c:ser>
          <c:idx val="6"/>
          <c:order val="6"/>
          <c:tx>
            <c:strRef>
              <c:f>'Agriculture by State'!$A$43</c:f>
              <c:strCache>
                <c:ptCount val="1"/>
                <c:pt idx="0">
                  <c:v>Pahang</c:v>
                </c:pt>
              </c:strCache>
            </c:strRef>
          </c:tx>
          <c:spPr>
            <a:solidFill>
              <a:schemeClr val="accent1">
                <a:lumMod val="60000"/>
              </a:schemeClr>
            </a:solidFill>
            <a:ln>
              <a:noFill/>
            </a:ln>
            <a:effectLst/>
          </c:spPr>
          <c:invertIfNegative val="0"/>
          <c:cat>
            <c:strRef>
              <c:f>'Agriculture by State'!$B$36:$E$36</c:f>
              <c:strCache>
                <c:ptCount val="4"/>
                <c:pt idx="0">
                  <c:v>2022</c:v>
                </c:pt>
                <c:pt idx="1">
                  <c:v>2023</c:v>
                </c:pt>
                <c:pt idx="2">
                  <c:v>2024</c:v>
                </c:pt>
                <c:pt idx="3">
                  <c:v>2025</c:v>
                </c:pt>
              </c:strCache>
            </c:strRef>
          </c:cat>
          <c:val>
            <c:numRef>
              <c:f>'Agriculture by State'!$B$43:$E$43</c:f>
              <c:numCache>
                <c:formatCode>_-* #,##0_-;\-* #,##0_-;_-* "-"??_-;_-@_-</c:formatCode>
                <c:ptCount val="4"/>
                <c:pt idx="0">
                  <c:v>#N/A</c:v>
                </c:pt>
                <c:pt idx="1">
                  <c:v>675.4</c:v>
                </c:pt>
                <c:pt idx="2">
                  <c:v>#N/A</c:v>
                </c:pt>
                <c:pt idx="3">
                  <c:v>#N/A</c:v>
                </c:pt>
              </c:numCache>
            </c:numRef>
          </c:val>
          <c:extLst>
            <c:ext xmlns:c16="http://schemas.microsoft.com/office/drawing/2014/chart" uri="{C3380CC4-5D6E-409C-BE32-E72D297353CC}">
              <c16:uniqueId val="{00000006-2F65-488B-9031-412CABBA81BD}"/>
            </c:ext>
          </c:extLst>
        </c:ser>
        <c:ser>
          <c:idx val="7"/>
          <c:order val="7"/>
          <c:tx>
            <c:strRef>
              <c:f>'Agriculture by State'!$A$44</c:f>
              <c:strCache>
                <c:ptCount val="1"/>
                <c:pt idx="0">
                  <c:v>Pulau Pinang</c:v>
                </c:pt>
              </c:strCache>
            </c:strRef>
          </c:tx>
          <c:spPr>
            <a:solidFill>
              <a:schemeClr val="accent2">
                <a:lumMod val="60000"/>
              </a:schemeClr>
            </a:solidFill>
            <a:ln>
              <a:noFill/>
            </a:ln>
            <a:effectLst/>
          </c:spPr>
          <c:invertIfNegative val="0"/>
          <c:cat>
            <c:strRef>
              <c:f>'Agriculture by State'!$B$36:$E$36</c:f>
              <c:strCache>
                <c:ptCount val="4"/>
                <c:pt idx="0">
                  <c:v>2022</c:v>
                </c:pt>
                <c:pt idx="1">
                  <c:v>2023</c:v>
                </c:pt>
                <c:pt idx="2">
                  <c:v>2024</c:v>
                </c:pt>
                <c:pt idx="3">
                  <c:v>2025</c:v>
                </c:pt>
              </c:strCache>
            </c:strRef>
          </c:cat>
          <c:val>
            <c:numRef>
              <c:f>'Agriculture by State'!$B$44:$E$44</c:f>
              <c:numCache>
                <c:formatCode>_-* #,##0_-;\-* #,##0_-;_-* "-"??_-;_-@_-</c:formatCode>
                <c:ptCount val="4"/>
                <c:pt idx="0">
                  <c:v>#N/A</c:v>
                </c:pt>
                <c:pt idx="1">
                  <c:v>#N/A</c:v>
                </c:pt>
                <c:pt idx="2">
                  <c:v>#N/A</c:v>
                </c:pt>
                <c:pt idx="3">
                  <c:v>#N/A</c:v>
                </c:pt>
              </c:numCache>
            </c:numRef>
          </c:val>
          <c:extLst>
            <c:ext xmlns:c16="http://schemas.microsoft.com/office/drawing/2014/chart" uri="{C3380CC4-5D6E-409C-BE32-E72D297353CC}">
              <c16:uniqueId val="{00000007-2F65-488B-9031-412CABBA81BD}"/>
            </c:ext>
          </c:extLst>
        </c:ser>
        <c:ser>
          <c:idx val="8"/>
          <c:order val="8"/>
          <c:tx>
            <c:strRef>
              <c:f>'Agriculture by State'!$A$45</c:f>
              <c:strCache>
                <c:ptCount val="1"/>
                <c:pt idx="0">
                  <c:v>Perak</c:v>
                </c:pt>
              </c:strCache>
            </c:strRef>
          </c:tx>
          <c:spPr>
            <a:solidFill>
              <a:schemeClr val="accent3">
                <a:lumMod val="60000"/>
              </a:schemeClr>
            </a:solidFill>
            <a:ln>
              <a:noFill/>
            </a:ln>
            <a:effectLst/>
          </c:spPr>
          <c:invertIfNegative val="0"/>
          <c:cat>
            <c:strRef>
              <c:f>'Agriculture by State'!$B$36:$E$36</c:f>
              <c:strCache>
                <c:ptCount val="4"/>
                <c:pt idx="0">
                  <c:v>2022</c:v>
                </c:pt>
                <c:pt idx="1">
                  <c:v>2023</c:v>
                </c:pt>
                <c:pt idx="2">
                  <c:v>2024</c:v>
                </c:pt>
                <c:pt idx="3">
                  <c:v>2025</c:v>
                </c:pt>
              </c:strCache>
            </c:strRef>
          </c:cat>
          <c:val>
            <c:numRef>
              <c:f>'Agriculture by State'!$B$45:$E$45</c:f>
              <c:numCache>
                <c:formatCode>_-* #,##0_-;\-* #,##0_-;_-* "-"??_-;_-@_-</c:formatCode>
                <c:ptCount val="4"/>
                <c:pt idx="0">
                  <c:v>#N/A</c:v>
                </c:pt>
                <c:pt idx="1">
                  <c:v>#N/A</c:v>
                </c:pt>
                <c:pt idx="2">
                  <c:v>#N/A</c:v>
                </c:pt>
                <c:pt idx="3">
                  <c:v>#N/A</c:v>
                </c:pt>
              </c:numCache>
            </c:numRef>
          </c:val>
          <c:extLst>
            <c:ext xmlns:c16="http://schemas.microsoft.com/office/drawing/2014/chart" uri="{C3380CC4-5D6E-409C-BE32-E72D297353CC}">
              <c16:uniqueId val="{00000008-2F65-488B-9031-412CABBA81BD}"/>
            </c:ext>
          </c:extLst>
        </c:ser>
        <c:ser>
          <c:idx val="9"/>
          <c:order val="9"/>
          <c:tx>
            <c:strRef>
              <c:f>'Agriculture by State'!$A$46</c:f>
              <c:strCache>
                <c:ptCount val="1"/>
                <c:pt idx="0">
                  <c:v>Perlis</c:v>
                </c:pt>
              </c:strCache>
            </c:strRef>
          </c:tx>
          <c:spPr>
            <a:solidFill>
              <a:schemeClr val="accent4">
                <a:lumMod val="60000"/>
              </a:schemeClr>
            </a:solidFill>
            <a:ln>
              <a:noFill/>
            </a:ln>
            <a:effectLst/>
          </c:spPr>
          <c:invertIfNegative val="0"/>
          <c:cat>
            <c:strRef>
              <c:f>'Agriculture by State'!$B$36:$E$36</c:f>
              <c:strCache>
                <c:ptCount val="4"/>
                <c:pt idx="0">
                  <c:v>2022</c:v>
                </c:pt>
                <c:pt idx="1">
                  <c:v>2023</c:v>
                </c:pt>
                <c:pt idx="2">
                  <c:v>2024</c:v>
                </c:pt>
                <c:pt idx="3">
                  <c:v>2025</c:v>
                </c:pt>
              </c:strCache>
            </c:strRef>
          </c:cat>
          <c:val>
            <c:numRef>
              <c:f>'Agriculture by State'!$B$46:$E$46</c:f>
              <c:numCache>
                <c:formatCode>_-* #,##0_-;\-* #,##0_-;_-* "-"??_-;_-@_-</c:formatCode>
                <c:ptCount val="4"/>
                <c:pt idx="0">
                  <c:v>#N/A</c:v>
                </c:pt>
                <c:pt idx="1">
                  <c:v>#N/A</c:v>
                </c:pt>
                <c:pt idx="2">
                  <c:v>#N/A</c:v>
                </c:pt>
                <c:pt idx="3">
                  <c:v>#N/A</c:v>
                </c:pt>
              </c:numCache>
            </c:numRef>
          </c:val>
          <c:extLst>
            <c:ext xmlns:c16="http://schemas.microsoft.com/office/drawing/2014/chart" uri="{C3380CC4-5D6E-409C-BE32-E72D297353CC}">
              <c16:uniqueId val="{00000009-2F65-488B-9031-412CABBA81BD}"/>
            </c:ext>
          </c:extLst>
        </c:ser>
        <c:ser>
          <c:idx val="10"/>
          <c:order val="10"/>
          <c:tx>
            <c:strRef>
              <c:f>'Agriculture by State'!$A$47</c:f>
              <c:strCache>
                <c:ptCount val="1"/>
                <c:pt idx="0">
                  <c:v>Selangor</c:v>
                </c:pt>
              </c:strCache>
            </c:strRef>
          </c:tx>
          <c:spPr>
            <a:solidFill>
              <a:schemeClr val="accent5">
                <a:lumMod val="60000"/>
              </a:schemeClr>
            </a:solidFill>
            <a:ln>
              <a:noFill/>
            </a:ln>
            <a:effectLst/>
          </c:spPr>
          <c:invertIfNegative val="0"/>
          <c:cat>
            <c:strRef>
              <c:f>'Agriculture by State'!$B$36:$E$36</c:f>
              <c:strCache>
                <c:ptCount val="4"/>
                <c:pt idx="0">
                  <c:v>2022</c:v>
                </c:pt>
                <c:pt idx="1">
                  <c:v>2023</c:v>
                </c:pt>
                <c:pt idx="2">
                  <c:v>2024</c:v>
                </c:pt>
                <c:pt idx="3">
                  <c:v>2025</c:v>
                </c:pt>
              </c:strCache>
            </c:strRef>
          </c:cat>
          <c:val>
            <c:numRef>
              <c:f>'Agriculture by State'!$B$47:$E$47</c:f>
              <c:numCache>
                <c:formatCode>_-* #,##0_-;\-* #,##0_-;_-* "-"??_-;_-@_-</c:formatCode>
                <c:ptCount val="4"/>
                <c:pt idx="0">
                  <c:v>#N/A</c:v>
                </c:pt>
                <c:pt idx="1">
                  <c:v>#N/A</c:v>
                </c:pt>
                <c:pt idx="2">
                  <c:v>17.322659999999999</c:v>
                </c:pt>
                <c:pt idx="3">
                  <c:v>#N/A</c:v>
                </c:pt>
              </c:numCache>
            </c:numRef>
          </c:val>
          <c:extLst>
            <c:ext xmlns:c16="http://schemas.microsoft.com/office/drawing/2014/chart" uri="{C3380CC4-5D6E-409C-BE32-E72D297353CC}">
              <c16:uniqueId val="{0000000A-2F65-488B-9031-412CABBA81BD}"/>
            </c:ext>
          </c:extLst>
        </c:ser>
        <c:ser>
          <c:idx val="11"/>
          <c:order val="11"/>
          <c:tx>
            <c:strRef>
              <c:f>'Agriculture by State'!$A$48</c:f>
              <c:strCache>
                <c:ptCount val="1"/>
                <c:pt idx="0">
                  <c:v>Terengganu</c:v>
                </c:pt>
              </c:strCache>
            </c:strRef>
          </c:tx>
          <c:spPr>
            <a:solidFill>
              <a:schemeClr val="accent6">
                <a:lumMod val="60000"/>
              </a:schemeClr>
            </a:solidFill>
            <a:ln>
              <a:noFill/>
            </a:ln>
            <a:effectLst/>
          </c:spPr>
          <c:invertIfNegative val="0"/>
          <c:cat>
            <c:strRef>
              <c:f>'Agriculture by State'!$B$36:$E$36</c:f>
              <c:strCache>
                <c:ptCount val="4"/>
                <c:pt idx="0">
                  <c:v>2022</c:v>
                </c:pt>
                <c:pt idx="1">
                  <c:v>2023</c:v>
                </c:pt>
                <c:pt idx="2">
                  <c:v>2024</c:v>
                </c:pt>
                <c:pt idx="3">
                  <c:v>2025</c:v>
                </c:pt>
              </c:strCache>
            </c:strRef>
          </c:cat>
          <c:val>
            <c:numRef>
              <c:f>'Agriculture by State'!$B$48:$E$48</c:f>
              <c:numCache>
                <c:formatCode>_-* #,##0_-;\-* #,##0_-;_-* "-"??_-;_-@_-</c:formatCode>
                <c:ptCount val="4"/>
                <c:pt idx="0">
                  <c:v>#N/A</c:v>
                </c:pt>
                <c:pt idx="1">
                  <c:v>94.640109999999993</c:v>
                </c:pt>
                <c:pt idx="2">
                  <c:v>529.08199130000003</c:v>
                </c:pt>
                <c:pt idx="3">
                  <c:v>#N/A</c:v>
                </c:pt>
              </c:numCache>
            </c:numRef>
          </c:val>
          <c:extLst>
            <c:ext xmlns:c16="http://schemas.microsoft.com/office/drawing/2014/chart" uri="{C3380CC4-5D6E-409C-BE32-E72D297353CC}">
              <c16:uniqueId val="{0000000B-2F65-488B-9031-412CABBA81BD}"/>
            </c:ext>
          </c:extLst>
        </c:ser>
        <c:ser>
          <c:idx val="12"/>
          <c:order val="12"/>
          <c:tx>
            <c:strRef>
              <c:f>'Agriculture by State'!$A$49</c:f>
              <c:strCache>
                <c:ptCount val="1"/>
                <c:pt idx="0">
                  <c:v>Sabah</c:v>
                </c:pt>
              </c:strCache>
            </c:strRef>
          </c:tx>
          <c:spPr>
            <a:solidFill>
              <a:schemeClr val="accent1">
                <a:lumMod val="80000"/>
                <a:lumOff val="20000"/>
              </a:schemeClr>
            </a:solidFill>
            <a:ln>
              <a:noFill/>
            </a:ln>
            <a:effectLst/>
          </c:spPr>
          <c:invertIfNegative val="0"/>
          <c:cat>
            <c:strRef>
              <c:f>'Agriculture by State'!$B$36:$E$36</c:f>
              <c:strCache>
                <c:ptCount val="4"/>
                <c:pt idx="0">
                  <c:v>2022</c:v>
                </c:pt>
                <c:pt idx="1">
                  <c:v>2023</c:v>
                </c:pt>
                <c:pt idx="2">
                  <c:v>2024</c:v>
                </c:pt>
                <c:pt idx="3">
                  <c:v>2025</c:v>
                </c:pt>
              </c:strCache>
            </c:strRef>
          </c:cat>
          <c:val>
            <c:numRef>
              <c:f>'Agriculture by State'!$B$49:$E$49</c:f>
              <c:numCache>
                <c:formatCode>_-* #,##0_-;\-* #,##0_-;_-* "-"??_-;_-@_-</c:formatCode>
                <c:ptCount val="4"/>
                <c:pt idx="0">
                  <c:v>#N/A</c:v>
                </c:pt>
                <c:pt idx="1">
                  <c:v>190.25</c:v>
                </c:pt>
                <c:pt idx="2">
                  <c:v>639.25</c:v>
                </c:pt>
                <c:pt idx="3">
                  <c:v>2.5</c:v>
                </c:pt>
              </c:numCache>
            </c:numRef>
          </c:val>
          <c:extLst>
            <c:ext xmlns:c16="http://schemas.microsoft.com/office/drawing/2014/chart" uri="{C3380CC4-5D6E-409C-BE32-E72D297353CC}">
              <c16:uniqueId val="{0000000C-2F65-488B-9031-412CABBA81BD}"/>
            </c:ext>
          </c:extLst>
        </c:ser>
        <c:ser>
          <c:idx val="13"/>
          <c:order val="13"/>
          <c:tx>
            <c:strRef>
              <c:f>'Agriculture by State'!$A$50</c:f>
              <c:strCache>
                <c:ptCount val="1"/>
                <c:pt idx="0">
                  <c:v>Sarawak</c:v>
                </c:pt>
              </c:strCache>
            </c:strRef>
          </c:tx>
          <c:spPr>
            <a:solidFill>
              <a:schemeClr val="accent2">
                <a:lumMod val="80000"/>
                <a:lumOff val="20000"/>
              </a:schemeClr>
            </a:solidFill>
            <a:ln>
              <a:noFill/>
            </a:ln>
            <a:effectLst/>
          </c:spPr>
          <c:invertIfNegative val="0"/>
          <c:cat>
            <c:strRef>
              <c:f>'Agriculture by State'!$B$36:$E$36</c:f>
              <c:strCache>
                <c:ptCount val="4"/>
                <c:pt idx="0">
                  <c:v>2022</c:v>
                </c:pt>
                <c:pt idx="1">
                  <c:v>2023</c:v>
                </c:pt>
                <c:pt idx="2">
                  <c:v>2024</c:v>
                </c:pt>
                <c:pt idx="3">
                  <c:v>2025</c:v>
                </c:pt>
              </c:strCache>
            </c:strRef>
          </c:cat>
          <c:val>
            <c:numRef>
              <c:f>'Agriculture by State'!$B$50:$E$50</c:f>
              <c:numCache>
                <c:formatCode>_-* #,##0_-;\-* #,##0_-;_-* "-"??_-;_-@_-</c:formatCode>
                <c:ptCount val="4"/>
                <c:pt idx="0">
                  <c:v>#N/A</c:v>
                </c:pt>
                <c:pt idx="1">
                  <c:v>98.28</c:v>
                </c:pt>
                <c:pt idx="2">
                  <c:v>65.183999999999997</c:v>
                </c:pt>
                <c:pt idx="3">
                  <c:v>69</c:v>
                </c:pt>
              </c:numCache>
            </c:numRef>
          </c:val>
          <c:extLst>
            <c:ext xmlns:c16="http://schemas.microsoft.com/office/drawing/2014/chart" uri="{C3380CC4-5D6E-409C-BE32-E72D297353CC}">
              <c16:uniqueId val="{0000000D-2F65-488B-9031-412CABBA81BD}"/>
            </c:ext>
          </c:extLst>
        </c:ser>
        <c:dLbls>
          <c:showLegendKey val="0"/>
          <c:showVal val="0"/>
          <c:showCatName val="0"/>
          <c:showSerName val="0"/>
          <c:showPercent val="0"/>
          <c:showBubbleSize val="0"/>
        </c:dLbls>
        <c:gapWidth val="219"/>
        <c:overlap val="-27"/>
        <c:axId val="1622806767"/>
        <c:axId val="1622798607"/>
      </c:barChart>
      <c:catAx>
        <c:axId val="162280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798607"/>
        <c:crosses val="autoZero"/>
        <c:auto val="1"/>
        <c:lblAlgn val="ctr"/>
        <c:lblOffset val="100"/>
        <c:noMultiLvlLbl val="0"/>
      </c:catAx>
      <c:valAx>
        <c:axId val="1622798607"/>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8067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Total Loss (RM '000)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'States Total Loss'!$A$2</c:f>
              <c:strCache>
                <c:ptCount val="1"/>
                <c:pt idx="0">
                  <c:v>W.P. Putrajaya</c:v>
                </c:pt>
              </c:strCache>
            </c:strRef>
          </c:tx>
          <c:spPr>
            <a:solidFill>
              <a:schemeClr val="accent1"/>
            </a:solidFill>
            <a:ln>
              <a:noFill/>
            </a:ln>
            <a:effectLst/>
          </c:spPr>
          <c:invertIfNegative val="0"/>
          <c:cat>
            <c:strRef>
              <c:f>'States Total Loss'!$B$1:$G$1</c:f>
              <c:strCache>
                <c:ptCount val="6"/>
                <c:pt idx="0">
                  <c:v>2021</c:v>
                </c:pt>
                <c:pt idx="1">
                  <c:v>2022</c:v>
                </c:pt>
                <c:pt idx="2">
                  <c:v>2023</c:v>
                </c:pt>
                <c:pt idx="3">
                  <c:v>2024</c:v>
                </c:pt>
                <c:pt idx="4">
                  <c:v>2025</c:v>
                </c:pt>
                <c:pt idx="5">
                  <c:v>Total Cummulative Losses</c:v>
                </c:pt>
              </c:strCache>
            </c:strRef>
          </c:cat>
          <c:val>
            <c:numRef>
              <c:f>'States Total Loss'!$B$2:$G$2</c:f>
              <c:numCache>
                <c:formatCode>_("RM"* #,##0.00_);_("RM"* \(#,##0.00\);_("RM"* "-"??_);_(@_)</c:formatCode>
                <c:ptCount val="6"/>
                <c:pt idx="0">
                  <c:v>0</c:v>
                </c:pt>
                <c:pt idx="1">
                  <c:v>289.90999999999997</c:v>
                </c:pt>
                <c:pt idx="2">
                  <c:v>799.82</c:v>
                </c:pt>
                <c:pt idx="3">
                  <c:v>707.07708000000002</c:v>
                </c:pt>
                <c:pt idx="4">
                  <c:v>1279.1865499999999</c:v>
                </c:pt>
                <c:pt idx="5">
                  <c:v>3075.9936299999999</c:v>
                </c:pt>
              </c:numCache>
            </c:numRef>
          </c:val>
          <c:extLst>
            <c:ext xmlns:c16="http://schemas.microsoft.com/office/drawing/2014/chart" uri="{C3380CC4-5D6E-409C-BE32-E72D297353CC}">
              <c16:uniqueId val="{00000000-E90E-44DE-96C7-A3F52D3C7EC8}"/>
            </c:ext>
          </c:extLst>
        </c:ser>
        <c:ser>
          <c:idx val="1"/>
          <c:order val="1"/>
          <c:tx>
            <c:strRef>
              <c:f>'States Total Loss'!$A$3</c:f>
              <c:strCache>
                <c:ptCount val="1"/>
                <c:pt idx="0">
                  <c:v>W.P. Labuan</c:v>
                </c:pt>
              </c:strCache>
            </c:strRef>
          </c:tx>
          <c:spPr>
            <a:solidFill>
              <a:schemeClr val="accent2"/>
            </a:solidFill>
            <a:ln>
              <a:noFill/>
            </a:ln>
            <a:effectLst/>
          </c:spPr>
          <c:invertIfNegative val="0"/>
          <c:cat>
            <c:strRef>
              <c:f>'States Total Loss'!$B$1:$G$1</c:f>
              <c:strCache>
                <c:ptCount val="6"/>
                <c:pt idx="0">
                  <c:v>2021</c:v>
                </c:pt>
                <c:pt idx="1">
                  <c:v>2022</c:v>
                </c:pt>
                <c:pt idx="2">
                  <c:v>2023</c:v>
                </c:pt>
                <c:pt idx="3">
                  <c:v>2024</c:v>
                </c:pt>
                <c:pt idx="4">
                  <c:v>2025</c:v>
                </c:pt>
                <c:pt idx="5">
                  <c:v>Total Cummulative Losses</c:v>
                </c:pt>
              </c:strCache>
            </c:strRef>
          </c:cat>
          <c:val>
            <c:numRef>
              <c:f>'States Total Loss'!$B$3:$G$3</c:f>
              <c:numCache>
                <c:formatCode>_("RM"* #,##0.00_);_("RM"* \(#,##0.00\);_("RM"* "-"??_);_(@_)</c:formatCode>
                <c:ptCount val="6"/>
                <c:pt idx="0">
                  <c:v>0</c:v>
                </c:pt>
                <c:pt idx="1">
                  <c:v>3599.8704000000002</c:v>
                </c:pt>
                <c:pt idx="2">
                  <c:v>3443.3285999999998</c:v>
                </c:pt>
                <c:pt idx="3">
                  <c:v>2368.5100000000002</c:v>
                </c:pt>
                <c:pt idx="4">
                  <c:v>2254</c:v>
                </c:pt>
                <c:pt idx="5">
                  <c:v>11665.709000000001</c:v>
                </c:pt>
              </c:numCache>
            </c:numRef>
          </c:val>
          <c:extLst>
            <c:ext xmlns:c16="http://schemas.microsoft.com/office/drawing/2014/chart" uri="{C3380CC4-5D6E-409C-BE32-E72D297353CC}">
              <c16:uniqueId val="{00000001-E90E-44DE-96C7-A3F52D3C7EC8}"/>
            </c:ext>
          </c:extLst>
        </c:ser>
        <c:ser>
          <c:idx val="2"/>
          <c:order val="2"/>
          <c:tx>
            <c:strRef>
              <c:f>'States Total Loss'!$A$4</c:f>
              <c:strCache>
                <c:ptCount val="1"/>
                <c:pt idx="0">
                  <c:v>Pulau Pinang</c:v>
                </c:pt>
              </c:strCache>
            </c:strRef>
          </c:tx>
          <c:spPr>
            <a:solidFill>
              <a:schemeClr val="accent3"/>
            </a:solidFill>
            <a:ln>
              <a:noFill/>
            </a:ln>
            <a:effectLst/>
          </c:spPr>
          <c:invertIfNegative val="0"/>
          <c:cat>
            <c:strRef>
              <c:f>'States Total Loss'!$B$1:$G$1</c:f>
              <c:strCache>
                <c:ptCount val="6"/>
                <c:pt idx="0">
                  <c:v>2021</c:v>
                </c:pt>
                <c:pt idx="1">
                  <c:v>2022</c:v>
                </c:pt>
                <c:pt idx="2">
                  <c:v>2023</c:v>
                </c:pt>
                <c:pt idx="3">
                  <c:v>2024</c:v>
                </c:pt>
                <c:pt idx="4">
                  <c:v>2025</c:v>
                </c:pt>
                <c:pt idx="5">
                  <c:v>Total Cummulative Losses</c:v>
                </c:pt>
              </c:strCache>
            </c:strRef>
          </c:cat>
          <c:val>
            <c:numRef>
              <c:f>'States Total Loss'!$B$4:$G$4</c:f>
              <c:numCache>
                <c:formatCode>_("RM"* #,##0.00_);_("RM"* \(#,##0.00\);_("RM"* "-"??_);_(@_)</c:formatCode>
                <c:ptCount val="6"/>
                <c:pt idx="0">
                  <c:v>0</c:v>
                </c:pt>
                <c:pt idx="1">
                  <c:v>12700.0589</c:v>
                </c:pt>
                <c:pt idx="2">
                  <c:v>8281.2127485714282</c:v>
                </c:pt>
                <c:pt idx="3">
                  <c:v>8718.1328799999992</c:v>
                </c:pt>
                <c:pt idx="4">
                  <c:v>12254.348630085471</c:v>
                </c:pt>
                <c:pt idx="5">
                  <c:v>41953.753158656895</c:v>
                </c:pt>
              </c:numCache>
            </c:numRef>
          </c:val>
          <c:extLst>
            <c:ext xmlns:c16="http://schemas.microsoft.com/office/drawing/2014/chart" uri="{C3380CC4-5D6E-409C-BE32-E72D297353CC}">
              <c16:uniqueId val="{00000002-E90E-44DE-96C7-A3F52D3C7EC8}"/>
            </c:ext>
          </c:extLst>
        </c:ser>
        <c:ser>
          <c:idx val="3"/>
          <c:order val="3"/>
          <c:tx>
            <c:strRef>
              <c:f>'States Total Loss'!$A$5</c:f>
              <c:strCache>
                <c:ptCount val="1"/>
                <c:pt idx="0">
                  <c:v>Perlis</c:v>
                </c:pt>
              </c:strCache>
            </c:strRef>
          </c:tx>
          <c:spPr>
            <a:solidFill>
              <a:schemeClr val="accent4"/>
            </a:solidFill>
            <a:ln>
              <a:noFill/>
            </a:ln>
            <a:effectLst/>
          </c:spPr>
          <c:invertIfNegative val="0"/>
          <c:cat>
            <c:strRef>
              <c:f>'States Total Loss'!$B$1:$G$1</c:f>
              <c:strCache>
                <c:ptCount val="6"/>
                <c:pt idx="0">
                  <c:v>2021</c:v>
                </c:pt>
                <c:pt idx="1">
                  <c:v>2022</c:v>
                </c:pt>
                <c:pt idx="2">
                  <c:v>2023</c:v>
                </c:pt>
                <c:pt idx="3">
                  <c:v>2024</c:v>
                </c:pt>
                <c:pt idx="4">
                  <c:v>2025</c:v>
                </c:pt>
                <c:pt idx="5">
                  <c:v>Total Cummulative Losses</c:v>
                </c:pt>
              </c:strCache>
            </c:strRef>
          </c:cat>
          <c:val>
            <c:numRef>
              <c:f>'States Total Loss'!$B$5:$G$5</c:f>
              <c:numCache>
                <c:formatCode>_("RM"* #,##0.00_);_("RM"* \(#,##0.00\);_("RM"* "-"??_);_(@_)</c:formatCode>
                <c:ptCount val="6"/>
                <c:pt idx="0">
                  <c:v>0</c:v>
                </c:pt>
                <c:pt idx="1">
                  <c:v>3590.4620500000005</c:v>
                </c:pt>
                <c:pt idx="2">
                  <c:v>4729.8907799999997</c:v>
                </c:pt>
                <c:pt idx="3">
                  <c:v>5144.4357300000001</c:v>
                </c:pt>
                <c:pt idx="4">
                  <c:v>30000.794889999997</c:v>
                </c:pt>
                <c:pt idx="5">
                  <c:v>43465.583449999998</c:v>
                </c:pt>
              </c:numCache>
            </c:numRef>
          </c:val>
          <c:extLst>
            <c:ext xmlns:c16="http://schemas.microsoft.com/office/drawing/2014/chart" uri="{C3380CC4-5D6E-409C-BE32-E72D297353CC}">
              <c16:uniqueId val="{00000003-E90E-44DE-96C7-A3F52D3C7EC8}"/>
            </c:ext>
          </c:extLst>
        </c:ser>
        <c:ser>
          <c:idx val="4"/>
          <c:order val="4"/>
          <c:tx>
            <c:strRef>
              <c:f>'States Total Loss'!$A$6</c:f>
              <c:strCache>
                <c:ptCount val="1"/>
                <c:pt idx="0">
                  <c:v>W.P. Kuala Lumpur</c:v>
                </c:pt>
              </c:strCache>
            </c:strRef>
          </c:tx>
          <c:spPr>
            <a:solidFill>
              <a:schemeClr val="accent5"/>
            </a:solidFill>
            <a:ln>
              <a:noFill/>
            </a:ln>
            <a:effectLst/>
          </c:spPr>
          <c:invertIfNegative val="0"/>
          <c:cat>
            <c:strRef>
              <c:f>'States Total Loss'!$B$1:$G$1</c:f>
              <c:strCache>
                <c:ptCount val="6"/>
                <c:pt idx="0">
                  <c:v>2021</c:v>
                </c:pt>
                <c:pt idx="1">
                  <c:v>2022</c:v>
                </c:pt>
                <c:pt idx="2">
                  <c:v>2023</c:v>
                </c:pt>
                <c:pt idx="3">
                  <c:v>2024</c:v>
                </c:pt>
                <c:pt idx="4">
                  <c:v>2025</c:v>
                </c:pt>
                <c:pt idx="5">
                  <c:v>Total Cummulative Losses</c:v>
                </c:pt>
              </c:strCache>
            </c:strRef>
          </c:cat>
          <c:val>
            <c:numRef>
              <c:f>'States Total Loss'!$B$6:$G$6</c:f>
              <c:numCache>
                <c:formatCode>_("RM"* #,##0.00_);_("RM"* \(#,##0.00\);_("RM"* "-"??_);_(@_)</c:formatCode>
                <c:ptCount val="6"/>
                <c:pt idx="0">
                  <c:v>32361.434044072874</c:v>
                </c:pt>
                <c:pt idx="1">
                  <c:v>45100.947060000006</c:v>
                </c:pt>
                <c:pt idx="2">
                  <c:v>15562.070309999999</c:v>
                </c:pt>
                <c:pt idx="3">
                  <c:v>8146.1360199999999</c:v>
                </c:pt>
                <c:pt idx="4">
                  <c:v>20759.115600000001</c:v>
                </c:pt>
                <c:pt idx="5">
                  <c:v>121929.70303407288</c:v>
                </c:pt>
              </c:numCache>
            </c:numRef>
          </c:val>
          <c:extLst>
            <c:ext xmlns:c16="http://schemas.microsoft.com/office/drawing/2014/chart" uri="{C3380CC4-5D6E-409C-BE32-E72D297353CC}">
              <c16:uniqueId val="{00000004-E90E-44DE-96C7-A3F52D3C7EC8}"/>
            </c:ext>
          </c:extLst>
        </c:ser>
        <c:ser>
          <c:idx val="5"/>
          <c:order val="5"/>
          <c:tx>
            <c:strRef>
              <c:f>'States Total Loss'!$A$7</c:f>
              <c:strCache>
                <c:ptCount val="1"/>
                <c:pt idx="0">
                  <c:v>Melaka</c:v>
                </c:pt>
              </c:strCache>
            </c:strRef>
          </c:tx>
          <c:spPr>
            <a:solidFill>
              <a:schemeClr val="accent6"/>
            </a:solidFill>
            <a:ln>
              <a:noFill/>
            </a:ln>
            <a:effectLst/>
          </c:spPr>
          <c:invertIfNegative val="0"/>
          <c:cat>
            <c:strRef>
              <c:f>'States Total Loss'!$B$1:$G$1</c:f>
              <c:strCache>
                <c:ptCount val="6"/>
                <c:pt idx="0">
                  <c:v>2021</c:v>
                </c:pt>
                <c:pt idx="1">
                  <c:v>2022</c:v>
                </c:pt>
                <c:pt idx="2">
                  <c:v>2023</c:v>
                </c:pt>
                <c:pt idx="3">
                  <c:v>2024</c:v>
                </c:pt>
                <c:pt idx="4">
                  <c:v>2025</c:v>
                </c:pt>
                <c:pt idx="5">
                  <c:v>Total Cummulative Losses</c:v>
                </c:pt>
              </c:strCache>
            </c:strRef>
          </c:cat>
          <c:val>
            <c:numRef>
              <c:f>'States Total Loss'!$B$7:$G$7</c:f>
              <c:numCache>
                <c:formatCode>_("RM"* #,##0.00_);_("RM"* \(#,##0.00\);_("RM"* "-"??_);_(@_)</c:formatCode>
                <c:ptCount val="6"/>
                <c:pt idx="0">
                  <c:v>85218.69200000001</c:v>
                </c:pt>
                <c:pt idx="1">
                  <c:v>17417.060958587754</c:v>
                </c:pt>
                <c:pt idx="2">
                  <c:v>5806.2947198198199</c:v>
                </c:pt>
                <c:pt idx="3">
                  <c:v>8912.9135999999999</c:v>
                </c:pt>
                <c:pt idx="4">
                  <c:v>14207.999499999998</c:v>
                </c:pt>
                <c:pt idx="5">
                  <c:v>131562.96077840758</c:v>
                </c:pt>
              </c:numCache>
            </c:numRef>
          </c:val>
          <c:extLst>
            <c:ext xmlns:c16="http://schemas.microsoft.com/office/drawing/2014/chart" uri="{C3380CC4-5D6E-409C-BE32-E72D297353CC}">
              <c16:uniqueId val="{00000005-E90E-44DE-96C7-A3F52D3C7EC8}"/>
            </c:ext>
          </c:extLst>
        </c:ser>
        <c:ser>
          <c:idx val="6"/>
          <c:order val="6"/>
          <c:tx>
            <c:strRef>
              <c:f>'States Total Loss'!$A$8</c:f>
              <c:strCache>
                <c:ptCount val="1"/>
                <c:pt idx="0">
                  <c:v>Sarawak</c:v>
                </c:pt>
              </c:strCache>
            </c:strRef>
          </c:tx>
          <c:spPr>
            <a:solidFill>
              <a:schemeClr val="accent1">
                <a:lumMod val="60000"/>
              </a:schemeClr>
            </a:solidFill>
            <a:ln>
              <a:noFill/>
            </a:ln>
            <a:effectLst/>
          </c:spPr>
          <c:invertIfNegative val="0"/>
          <c:cat>
            <c:strRef>
              <c:f>'States Total Loss'!$B$1:$G$1</c:f>
              <c:strCache>
                <c:ptCount val="6"/>
                <c:pt idx="0">
                  <c:v>2021</c:v>
                </c:pt>
                <c:pt idx="1">
                  <c:v>2022</c:v>
                </c:pt>
                <c:pt idx="2">
                  <c:v>2023</c:v>
                </c:pt>
                <c:pt idx="3">
                  <c:v>2024</c:v>
                </c:pt>
                <c:pt idx="4">
                  <c:v>2025</c:v>
                </c:pt>
                <c:pt idx="5">
                  <c:v>Total Cummulative Losses</c:v>
                </c:pt>
              </c:strCache>
            </c:strRef>
          </c:cat>
          <c:val>
            <c:numRef>
              <c:f>'States Total Loss'!$B$8:$G$8</c:f>
              <c:numCache>
                <c:formatCode>_("RM"* #,##0.00_);_("RM"* \(#,##0.00\);_("RM"* "-"??_);_(@_)</c:formatCode>
                <c:ptCount val="6"/>
                <c:pt idx="0">
                  <c:v>10</c:v>
                </c:pt>
                <c:pt idx="1">
                  <c:v>32530.074474806206</c:v>
                </c:pt>
                <c:pt idx="2">
                  <c:v>29783.849399999999</c:v>
                </c:pt>
                <c:pt idx="3">
                  <c:v>27356.98571095238</c:v>
                </c:pt>
                <c:pt idx="4">
                  <c:v>61233.744829999996</c:v>
                </c:pt>
                <c:pt idx="5">
                  <c:v>150914.65441575856</c:v>
                </c:pt>
              </c:numCache>
            </c:numRef>
          </c:val>
          <c:extLst>
            <c:ext xmlns:c16="http://schemas.microsoft.com/office/drawing/2014/chart" uri="{C3380CC4-5D6E-409C-BE32-E72D297353CC}">
              <c16:uniqueId val="{00000006-E90E-44DE-96C7-A3F52D3C7EC8}"/>
            </c:ext>
          </c:extLst>
        </c:ser>
        <c:ser>
          <c:idx val="7"/>
          <c:order val="7"/>
          <c:tx>
            <c:strRef>
              <c:f>'States Total Loss'!$A$9</c:f>
              <c:strCache>
                <c:ptCount val="1"/>
                <c:pt idx="0">
                  <c:v>Negeri Sembilan</c:v>
                </c:pt>
              </c:strCache>
            </c:strRef>
          </c:tx>
          <c:spPr>
            <a:solidFill>
              <a:schemeClr val="accent2">
                <a:lumMod val="60000"/>
              </a:schemeClr>
            </a:solidFill>
            <a:ln>
              <a:noFill/>
            </a:ln>
            <a:effectLst/>
          </c:spPr>
          <c:invertIfNegative val="0"/>
          <c:cat>
            <c:strRef>
              <c:f>'States Total Loss'!$B$1:$G$1</c:f>
              <c:strCache>
                <c:ptCount val="6"/>
                <c:pt idx="0">
                  <c:v>2021</c:v>
                </c:pt>
                <c:pt idx="1">
                  <c:v>2022</c:v>
                </c:pt>
                <c:pt idx="2">
                  <c:v>2023</c:v>
                </c:pt>
                <c:pt idx="3">
                  <c:v>2024</c:v>
                </c:pt>
                <c:pt idx="4">
                  <c:v>2025</c:v>
                </c:pt>
                <c:pt idx="5">
                  <c:v>Total Cummulative Losses</c:v>
                </c:pt>
              </c:strCache>
            </c:strRef>
          </c:cat>
          <c:val>
            <c:numRef>
              <c:f>'States Total Loss'!$B$9:$G$9</c:f>
              <c:numCache>
                <c:formatCode>_("RM"* #,##0.00_);_("RM"* \(#,##0.00\);_("RM"* "-"??_);_(@_)</c:formatCode>
                <c:ptCount val="6"/>
                <c:pt idx="0">
                  <c:v>77138.00075556591</c:v>
                </c:pt>
                <c:pt idx="1">
                  <c:v>38639.479050000002</c:v>
                </c:pt>
                <c:pt idx="2">
                  <c:v>11551.43915</c:v>
                </c:pt>
                <c:pt idx="3">
                  <c:v>20450.957285714285</c:v>
                </c:pt>
                <c:pt idx="4">
                  <c:v>16435.902533333334</c:v>
                </c:pt>
                <c:pt idx="5">
                  <c:v>164215.77877461354</c:v>
                </c:pt>
              </c:numCache>
            </c:numRef>
          </c:val>
          <c:extLst>
            <c:ext xmlns:c16="http://schemas.microsoft.com/office/drawing/2014/chart" uri="{C3380CC4-5D6E-409C-BE32-E72D297353CC}">
              <c16:uniqueId val="{00000007-E90E-44DE-96C7-A3F52D3C7EC8}"/>
            </c:ext>
          </c:extLst>
        </c:ser>
        <c:ser>
          <c:idx val="8"/>
          <c:order val="8"/>
          <c:tx>
            <c:strRef>
              <c:f>'States Total Loss'!$A$10</c:f>
              <c:strCache>
                <c:ptCount val="1"/>
                <c:pt idx="0">
                  <c:v>Sabah</c:v>
                </c:pt>
              </c:strCache>
            </c:strRef>
          </c:tx>
          <c:spPr>
            <a:solidFill>
              <a:schemeClr val="accent3">
                <a:lumMod val="60000"/>
              </a:schemeClr>
            </a:solidFill>
            <a:ln>
              <a:noFill/>
            </a:ln>
            <a:effectLst/>
          </c:spPr>
          <c:invertIfNegative val="0"/>
          <c:cat>
            <c:strRef>
              <c:f>'States Total Loss'!$B$1:$G$1</c:f>
              <c:strCache>
                <c:ptCount val="6"/>
                <c:pt idx="0">
                  <c:v>2021</c:v>
                </c:pt>
                <c:pt idx="1">
                  <c:v>2022</c:v>
                </c:pt>
                <c:pt idx="2">
                  <c:v>2023</c:v>
                </c:pt>
                <c:pt idx="3">
                  <c:v>2024</c:v>
                </c:pt>
                <c:pt idx="4">
                  <c:v>2025</c:v>
                </c:pt>
                <c:pt idx="5">
                  <c:v>Total Cummulative Losses</c:v>
                </c:pt>
              </c:strCache>
            </c:strRef>
          </c:cat>
          <c:val>
            <c:numRef>
              <c:f>'States Total Loss'!$B$10:$G$10</c:f>
              <c:numCache>
                <c:formatCode>_("RM"* #,##0.00_);_("RM"* \(#,##0.00\);_("RM"* "-"??_);_(@_)</c:formatCode>
                <c:ptCount val="6"/>
                <c:pt idx="0">
                  <c:v>9346.366</c:v>
                </c:pt>
                <c:pt idx="1">
                  <c:v>37088.286073256371</c:v>
                </c:pt>
                <c:pt idx="2">
                  <c:v>26140.280116190479</c:v>
                </c:pt>
                <c:pt idx="3">
                  <c:v>36840.440287619014</c:v>
                </c:pt>
                <c:pt idx="4">
                  <c:v>58417.337803333328</c:v>
                </c:pt>
                <c:pt idx="5">
                  <c:v>167832.71028039919</c:v>
                </c:pt>
              </c:numCache>
            </c:numRef>
          </c:val>
          <c:extLst>
            <c:ext xmlns:c16="http://schemas.microsoft.com/office/drawing/2014/chart" uri="{C3380CC4-5D6E-409C-BE32-E72D297353CC}">
              <c16:uniqueId val="{00000008-E90E-44DE-96C7-A3F52D3C7EC8}"/>
            </c:ext>
          </c:extLst>
        </c:ser>
        <c:ser>
          <c:idx val="9"/>
          <c:order val="9"/>
          <c:tx>
            <c:strRef>
              <c:f>'States Total Loss'!$A$11</c:f>
              <c:strCache>
                <c:ptCount val="1"/>
                <c:pt idx="0">
                  <c:v>Perak</c:v>
                </c:pt>
              </c:strCache>
            </c:strRef>
          </c:tx>
          <c:spPr>
            <a:solidFill>
              <a:schemeClr val="accent4">
                <a:lumMod val="60000"/>
              </a:schemeClr>
            </a:solidFill>
            <a:ln>
              <a:noFill/>
            </a:ln>
            <a:effectLst/>
          </c:spPr>
          <c:invertIfNegative val="0"/>
          <c:cat>
            <c:strRef>
              <c:f>'States Total Loss'!$B$1:$G$1</c:f>
              <c:strCache>
                <c:ptCount val="6"/>
                <c:pt idx="0">
                  <c:v>2021</c:v>
                </c:pt>
                <c:pt idx="1">
                  <c:v>2022</c:v>
                </c:pt>
                <c:pt idx="2">
                  <c:v>2023</c:v>
                </c:pt>
                <c:pt idx="3">
                  <c:v>2024</c:v>
                </c:pt>
                <c:pt idx="4">
                  <c:v>2025</c:v>
                </c:pt>
                <c:pt idx="5">
                  <c:v>Total Cummulative Losses</c:v>
                </c:pt>
              </c:strCache>
            </c:strRef>
          </c:cat>
          <c:val>
            <c:numRef>
              <c:f>'States Total Loss'!$B$11:$G$11</c:f>
              <c:numCache>
                <c:formatCode>_("RM"* #,##0.00_);_("RM"* \(#,##0.00\);_("RM"* "-"??_);_(@_)</c:formatCode>
                <c:ptCount val="6"/>
                <c:pt idx="0">
                  <c:v>3421.1</c:v>
                </c:pt>
                <c:pt idx="1">
                  <c:v>33106.372810000001</c:v>
                </c:pt>
                <c:pt idx="2">
                  <c:v>46853.820178571434</c:v>
                </c:pt>
                <c:pt idx="3">
                  <c:v>57239.482199151826</c:v>
                </c:pt>
                <c:pt idx="4">
                  <c:v>36653.125</c:v>
                </c:pt>
                <c:pt idx="5">
                  <c:v>177273.90018772325</c:v>
                </c:pt>
              </c:numCache>
            </c:numRef>
          </c:val>
          <c:extLst>
            <c:ext xmlns:c16="http://schemas.microsoft.com/office/drawing/2014/chart" uri="{C3380CC4-5D6E-409C-BE32-E72D297353CC}">
              <c16:uniqueId val="{00000009-E90E-44DE-96C7-A3F52D3C7EC8}"/>
            </c:ext>
          </c:extLst>
        </c:ser>
        <c:ser>
          <c:idx val="10"/>
          <c:order val="10"/>
          <c:tx>
            <c:strRef>
              <c:f>'States Total Loss'!$A$12</c:f>
              <c:strCache>
                <c:ptCount val="1"/>
                <c:pt idx="0">
                  <c:v>Kedah</c:v>
                </c:pt>
              </c:strCache>
            </c:strRef>
          </c:tx>
          <c:spPr>
            <a:solidFill>
              <a:schemeClr val="accent5">
                <a:lumMod val="60000"/>
              </a:schemeClr>
            </a:solidFill>
            <a:ln>
              <a:noFill/>
            </a:ln>
            <a:effectLst/>
          </c:spPr>
          <c:invertIfNegative val="0"/>
          <c:cat>
            <c:strRef>
              <c:f>'States Total Loss'!$B$1:$G$1</c:f>
              <c:strCache>
                <c:ptCount val="6"/>
                <c:pt idx="0">
                  <c:v>2021</c:v>
                </c:pt>
                <c:pt idx="1">
                  <c:v>2022</c:v>
                </c:pt>
                <c:pt idx="2">
                  <c:v>2023</c:v>
                </c:pt>
                <c:pt idx="3">
                  <c:v>2024</c:v>
                </c:pt>
                <c:pt idx="4">
                  <c:v>2025</c:v>
                </c:pt>
                <c:pt idx="5">
                  <c:v>Total Cummulative Losses</c:v>
                </c:pt>
              </c:strCache>
            </c:strRef>
          </c:cat>
          <c:val>
            <c:numRef>
              <c:f>'States Total Loss'!$B$12:$G$12</c:f>
              <c:numCache>
                <c:formatCode>_("RM"* #,##0.00_);_("RM"* \(#,##0.00\);_("RM"* "-"??_);_(@_)</c:formatCode>
                <c:ptCount val="6"/>
                <c:pt idx="0">
                  <c:v>1041.9549999999999</c:v>
                </c:pt>
                <c:pt idx="1">
                  <c:v>54233.455990000002</c:v>
                </c:pt>
                <c:pt idx="2">
                  <c:v>21438.004316666666</c:v>
                </c:pt>
                <c:pt idx="3">
                  <c:v>193662.16872000002</c:v>
                </c:pt>
                <c:pt idx="4">
                  <c:v>36665.527199999997</c:v>
                </c:pt>
                <c:pt idx="5">
                  <c:v>307041.11122666672</c:v>
                </c:pt>
              </c:numCache>
            </c:numRef>
          </c:val>
          <c:extLst>
            <c:ext xmlns:c16="http://schemas.microsoft.com/office/drawing/2014/chart" uri="{C3380CC4-5D6E-409C-BE32-E72D297353CC}">
              <c16:uniqueId val="{0000000A-E90E-44DE-96C7-A3F52D3C7EC8}"/>
            </c:ext>
          </c:extLst>
        </c:ser>
        <c:ser>
          <c:idx val="11"/>
          <c:order val="11"/>
          <c:tx>
            <c:strRef>
              <c:f>'States Total Loss'!$A$13</c:f>
              <c:strCache>
                <c:ptCount val="1"/>
                <c:pt idx="0">
                  <c:v>Johor</c:v>
                </c:pt>
              </c:strCache>
            </c:strRef>
          </c:tx>
          <c:spPr>
            <a:solidFill>
              <a:schemeClr val="accent6">
                <a:lumMod val="60000"/>
              </a:schemeClr>
            </a:solidFill>
            <a:ln>
              <a:noFill/>
            </a:ln>
            <a:effectLst/>
          </c:spPr>
          <c:invertIfNegative val="0"/>
          <c:cat>
            <c:strRef>
              <c:f>'States Total Loss'!$B$1:$G$1</c:f>
              <c:strCache>
                <c:ptCount val="6"/>
                <c:pt idx="0">
                  <c:v>2021</c:v>
                </c:pt>
                <c:pt idx="1">
                  <c:v>2022</c:v>
                </c:pt>
                <c:pt idx="2">
                  <c:v>2023</c:v>
                </c:pt>
                <c:pt idx="3">
                  <c:v>2024</c:v>
                </c:pt>
                <c:pt idx="4">
                  <c:v>2025</c:v>
                </c:pt>
                <c:pt idx="5">
                  <c:v>Total Cummulative Losses</c:v>
                </c:pt>
              </c:strCache>
            </c:strRef>
          </c:cat>
          <c:val>
            <c:numRef>
              <c:f>'States Total Loss'!$B$13:$G$13</c:f>
              <c:numCache>
                <c:formatCode>_("RM"* #,##0.00_);_("RM"* \(#,##0.00\);_("RM"* "-"??_);_(@_)</c:formatCode>
                <c:ptCount val="6"/>
                <c:pt idx="0">
                  <c:v>50080.631000000001</c:v>
                </c:pt>
                <c:pt idx="1">
                  <c:v>39179.180129345557</c:v>
                </c:pt>
                <c:pt idx="2">
                  <c:v>274962.0540910617</c:v>
                </c:pt>
                <c:pt idx="3">
                  <c:v>58967.817028112906</c:v>
                </c:pt>
                <c:pt idx="4">
                  <c:v>72059.356700000004</c:v>
                </c:pt>
                <c:pt idx="5">
                  <c:v>495249.03894852014</c:v>
                </c:pt>
              </c:numCache>
            </c:numRef>
          </c:val>
          <c:extLst>
            <c:ext xmlns:c16="http://schemas.microsoft.com/office/drawing/2014/chart" uri="{C3380CC4-5D6E-409C-BE32-E72D297353CC}">
              <c16:uniqueId val="{0000000B-E90E-44DE-96C7-A3F52D3C7EC8}"/>
            </c:ext>
          </c:extLst>
        </c:ser>
        <c:ser>
          <c:idx val="12"/>
          <c:order val="12"/>
          <c:tx>
            <c:strRef>
              <c:f>'States Total Loss'!$A$14</c:f>
              <c:strCache>
                <c:ptCount val="1"/>
                <c:pt idx="0">
                  <c:v>Terengganu</c:v>
                </c:pt>
              </c:strCache>
            </c:strRef>
          </c:tx>
          <c:spPr>
            <a:solidFill>
              <a:schemeClr val="accent1">
                <a:lumMod val="80000"/>
                <a:lumOff val="20000"/>
              </a:schemeClr>
            </a:solidFill>
            <a:ln>
              <a:noFill/>
            </a:ln>
            <a:effectLst/>
          </c:spPr>
          <c:invertIfNegative val="0"/>
          <c:cat>
            <c:strRef>
              <c:f>'States Total Loss'!$B$1:$G$1</c:f>
              <c:strCache>
                <c:ptCount val="6"/>
                <c:pt idx="0">
                  <c:v>2021</c:v>
                </c:pt>
                <c:pt idx="1">
                  <c:v>2022</c:v>
                </c:pt>
                <c:pt idx="2">
                  <c:v>2023</c:v>
                </c:pt>
                <c:pt idx="3">
                  <c:v>2024</c:v>
                </c:pt>
                <c:pt idx="4">
                  <c:v>2025</c:v>
                </c:pt>
                <c:pt idx="5">
                  <c:v>Total Cummulative Losses</c:v>
                </c:pt>
              </c:strCache>
            </c:strRef>
          </c:cat>
          <c:val>
            <c:numRef>
              <c:f>'States Total Loss'!$B$14:$G$14</c:f>
              <c:numCache>
                <c:formatCode>_("RM"* #,##0.00_);_("RM"* \(#,##0.00\);_("RM"* "-"??_);_(@_)</c:formatCode>
                <c:ptCount val="6"/>
                <c:pt idx="0">
                  <c:v>437.11999999999995</c:v>
                </c:pt>
                <c:pt idx="1">
                  <c:v>240100.41917139775</c:v>
                </c:pt>
                <c:pt idx="2">
                  <c:v>77677.976232424233</c:v>
                </c:pt>
                <c:pt idx="3">
                  <c:v>181956.88296130003</c:v>
                </c:pt>
                <c:pt idx="4">
                  <c:v>89172.390760000009</c:v>
                </c:pt>
                <c:pt idx="5">
                  <c:v>589344.78912512201</c:v>
                </c:pt>
              </c:numCache>
            </c:numRef>
          </c:val>
          <c:extLst>
            <c:ext xmlns:c16="http://schemas.microsoft.com/office/drawing/2014/chart" uri="{C3380CC4-5D6E-409C-BE32-E72D297353CC}">
              <c16:uniqueId val="{0000000C-E90E-44DE-96C7-A3F52D3C7EC8}"/>
            </c:ext>
          </c:extLst>
        </c:ser>
        <c:ser>
          <c:idx val="13"/>
          <c:order val="13"/>
          <c:tx>
            <c:strRef>
              <c:f>'States Total Loss'!$A$15</c:f>
              <c:strCache>
                <c:ptCount val="1"/>
                <c:pt idx="0">
                  <c:v>Kelantan</c:v>
                </c:pt>
              </c:strCache>
            </c:strRef>
          </c:tx>
          <c:spPr>
            <a:solidFill>
              <a:schemeClr val="accent2">
                <a:lumMod val="80000"/>
                <a:lumOff val="20000"/>
              </a:schemeClr>
            </a:solidFill>
            <a:ln>
              <a:noFill/>
            </a:ln>
            <a:effectLst/>
          </c:spPr>
          <c:invertIfNegative val="0"/>
          <c:cat>
            <c:strRef>
              <c:f>'States Total Loss'!$B$1:$G$1</c:f>
              <c:strCache>
                <c:ptCount val="6"/>
                <c:pt idx="0">
                  <c:v>2021</c:v>
                </c:pt>
                <c:pt idx="1">
                  <c:v>2022</c:v>
                </c:pt>
                <c:pt idx="2">
                  <c:v>2023</c:v>
                </c:pt>
                <c:pt idx="3">
                  <c:v>2024</c:v>
                </c:pt>
                <c:pt idx="4">
                  <c:v>2025</c:v>
                </c:pt>
                <c:pt idx="5">
                  <c:v>Total Cummulative Losses</c:v>
                </c:pt>
              </c:strCache>
            </c:strRef>
          </c:cat>
          <c:val>
            <c:numRef>
              <c:f>'States Total Loss'!$B$15:$G$15</c:f>
              <c:numCache>
                <c:formatCode>_("RM"* #,##0.00_);_("RM"* \(#,##0.00\);_("RM"* "-"??_);_(@_)</c:formatCode>
                <c:ptCount val="6"/>
                <c:pt idx="0">
                  <c:v>21984.736000000001</c:v>
                </c:pt>
                <c:pt idx="1">
                  <c:v>193934.52743109612</c:v>
                </c:pt>
                <c:pt idx="2">
                  <c:v>139678.45522666667</c:v>
                </c:pt>
                <c:pt idx="3">
                  <c:v>263033.3394817572</c:v>
                </c:pt>
                <c:pt idx="4">
                  <c:v>88538.011143408366</c:v>
                </c:pt>
                <c:pt idx="5">
                  <c:v>707169.06928292837</c:v>
                </c:pt>
              </c:numCache>
            </c:numRef>
          </c:val>
          <c:extLst>
            <c:ext xmlns:c16="http://schemas.microsoft.com/office/drawing/2014/chart" uri="{C3380CC4-5D6E-409C-BE32-E72D297353CC}">
              <c16:uniqueId val="{0000000D-E90E-44DE-96C7-A3F52D3C7EC8}"/>
            </c:ext>
          </c:extLst>
        </c:ser>
        <c:ser>
          <c:idx val="14"/>
          <c:order val="14"/>
          <c:tx>
            <c:strRef>
              <c:f>'States Total Loss'!$A$16</c:f>
              <c:strCache>
                <c:ptCount val="1"/>
                <c:pt idx="0">
                  <c:v>Pahang</c:v>
                </c:pt>
              </c:strCache>
            </c:strRef>
          </c:tx>
          <c:spPr>
            <a:solidFill>
              <a:schemeClr val="accent3">
                <a:lumMod val="80000"/>
                <a:lumOff val="20000"/>
              </a:schemeClr>
            </a:solidFill>
            <a:ln>
              <a:noFill/>
            </a:ln>
            <a:effectLst/>
          </c:spPr>
          <c:invertIfNegative val="0"/>
          <c:cat>
            <c:strRef>
              <c:f>'States Total Loss'!$B$1:$G$1</c:f>
              <c:strCache>
                <c:ptCount val="6"/>
                <c:pt idx="0">
                  <c:v>2021</c:v>
                </c:pt>
                <c:pt idx="1">
                  <c:v>2022</c:v>
                </c:pt>
                <c:pt idx="2">
                  <c:v>2023</c:v>
                </c:pt>
                <c:pt idx="3">
                  <c:v>2024</c:v>
                </c:pt>
                <c:pt idx="4">
                  <c:v>2025</c:v>
                </c:pt>
                <c:pt idx="5">
                  <c:v>Total Cummulative Losses</c:v>
                </c:pt>
              </c:strCache>
            </c:strRef>
          </c:cat>
          <c:val>
            <c:numRef>
              <c:f>'States Total Loss'!$B$16:$G$16</c:f>
              <c:numCache>
                <c:formatCode>_("RM"* #,##0.00_);_("RM"* \(#,##0.00\);_("RM"* "-"??_);_(@_)</c:formatCode>
                <c:ptCount val="6"/>
                <c:pt idx="0">
                  <c:v>593168.3852557505</c:v>
                </c:pt>
                <c:pt idx="1">
                  <c:v>179927.5661714795</c:v>
                </c:pt>
                <c:pt idx="2">
                  <c:v>74793.416109184152</c:v>
                </c:pt>
                <c:pt idx="3">
                  <c:v>37273.073835265837</c:v>
                </c:pt>
                <c:pt idx="4">
                  <c:v>44119.200567428605</c:v>
                </c:pt>
                <c:pt idx="5">
                  <c:v>929281.64193910861</c:v>
                </c:pt>
              </c:numCache>
            </c:numRef>
          </c:val>
          <c:extLst>
            <c:ext xmlns:c16="http://schemas.microsoft.com/office/drawing/2014/chart" uri="{C3380CC4-5D6E-409C-BE32-E72D297353CC}">
              <c16:uniqueId val="{0000000E-E90E-44DE-96C7-A3F52D3C7EC8}"/>
            </c:ext>
          </c:extLst>
        </c:ser>
        <c:ser>
          <c:idx val="15"/>
          <c:order val="15"/>
          <c:tx>
            <c:strRef>
              <c:f>'States Total Loss'!$A$17</c:f>
              <c:strCache>
                <c:ptCount val="1"/>
                <c:pt idx="0">
                  <c:v>Selangor</c:v>
                </c:pt>
              </c:strCache>
            </c:strRef>
          </c:tx>
          <c:spPr>
            <a:solidFill>
              <a:schemeClr val="accent4">
                <a:lumMod val="80000"/>
                <a:lumOff val="20000"/>
              </a:schemeClr>
            </a:solidFill>
            <a:ln>
              <a:noFill/>
            </a:ln>
            <a:effectLst/>
          </c:spPr>
          <c:invertIfNegative val="0"/>
          <c:cat>
            <c:strRef>
              <c:f>'States Total Loss'!$B$1:$G$1</c:f>
              <c:strCache>
                <c:ptCount val="6"/>
                <c:pt idx="0">
                  <c:v>2021</c:v>
                </c:pt>
                <c:pt idx="1">
                  <c:v>2022</c:v>
                </c:pt>
                <c:pt idx="2">
                  <c:v>2023</c:v>
                </c:pt>
                <c:pt idx="3">
                  <c:v>2024</c:v>
                </c:pt>
                <c:pt idx="4">
                  <c:v>2025</c:v>
                </c:pt>
                <c:pt idx="5">
                  <c:v>Total Cummulative Losses</c:v>
                </c:pt>
              </c:strCache>
            </c:strRef>
          </c:cat>
          <c:val>
            <c:numRef>
              <c:f>'States Total Loss'!$B$17:$G$17</c:f>
              <c:numCache>
                <c:formatCode>_("RM"* #,##0.00_);_("RM"* \(#,##0.00\);_("RM"* "-"??_);_(@_)</c:formatCode>
                <c:ptCount val="6"/>
                <c:pt idx="0">
                  <c:v>3147644.7968898164</c:v>
                </c:pt>
                <c:pt idx="1">
                  <c:v>95047.519500000009</c:v>
                </c:pt>
                <c:pt idx="2">
                  <c:v>13911.2338</c:v>
                </c:pt>
                <c:pt idx="3">
                  <c:v>22575.671490867848</c:v>
                </c:pt>
                <c:pt idx="4">
                  <c:v>52863.28258535693</c:v>
                </c:pt>
                <c:pt idx="5">
                  <c:v>3332042.5042660409</c:v>
                </c:pt>
              </c:numCache>
            </c:numRef>
          </c:val>
          <c:extLst>
            <c:ext xmlns:c16="http://schemas.microsoft.com/office/drawing/2014/chart" uri="{C3380CC4-5D6E-409C-BE32-E72D297353CC}">
              <c16:uniqueId val="{0000000F-E90E-44DE-96C7-A3F52D3C7EC8}"/>
            </c:ext>
          </c:extLst>
        </c:ser>
        <c:dLbls>
          <c:showLegendKey val="0"/>
          <c:showVal val="0"/>
          <c:showCatName val="0"/>
          <c:showSerName val="0"/>
          <c:showPercent val="0"/>
          <c:showBubbleSize val="0"/>
        </c:dLbls>
        <c:gapWidth val="219"/>
        <c:overlap val="-27"/>
        <c:axId val="1360561583"/>
        <c:axId val="1360557743"/>
      </c:barChart>
      <c:catAx>
        <c:axId val="136056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557743"/>
        <c:crosses val="autoZero"/>
        <c:auto val="1"/>
        <c:lblAlgn val="ctr"/>
        <c:lblOffset val="100"/>
        <c:noMultiLvlLbl val="0"/>
      </c:catAx>
      <c:valAx>
        <c:axId val="1360557743"/>
        <c:scaling>
          <c:orientation val="minMax"/>
        </c:scaling>
        <c:delete val="0"/>
        <c:axPos val="l"/>
        <c:majorGridlines>
          <c:spPr>
            <a:ln w="9525" cap="flat" cmpd="sng" algn="ctr">
              <a:solidFill>
                <a:schemeClr val="tx1">
                  <a:lumMod val="15000"/>
                  <a:lumOff val="85000"/>
                </a:schemeClr>
              </a:solidFill>
              <a:round/>
            </a:ln>
            <a:effectLst/>
          </c:spPr>
        </c:majorGridlines>
        <c:numFmt formatCode="_(&quot;RM&quot;* #,##0.00_);_(&quot;RM&quot;* \(#,##0.00\);_(&quot;RM&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5615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Button" lockText="1"/>
</file>

<file path=xl/ctrlProps/ctrlProp12.xml><?xml version="1.0" encoding="utf-8"?>
<formControlPr xmlns="http://schemas.microsoft.com/office/spreadsheetml/2009/9/main" objectType="Button" lockText="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Button" lockText="1"/>
</file>

<file path=xl/ctrlProps/ctrlProp19.xml><?xml version="1.0" encoding="utf-8"?>
<formControlPr xmlns="http://schemas.microsoft.com/office/spreadsheetml/2009/9/main" objectType="Button" lockText="1"/>
</file>

<file path=xl/ctrlProps/ctrlProp20.xml><?xml version="1.0" encoding="utf-8"?>
<formControlPr xmlns="http://schemas.microsoft.com/office/spreadsheetml/2009/9/main" objectType="Button" lockText="1"/>
</file>

<file path=xl/ctrlProps/ctrlProp21.xml><?xml version="1.0" encoding="utf-8"?>
<formControlPr xmlns="http://schemas.microsoft.com/office/spreadsheetml/2009/9/main" objectType="Button" lockText="1"/>
</file>

<file path=xl/ctrlProps/ctrlProp22.xml><?xml version="1.0" encoding="utf-8"?>
<formControlPr xmlns="http://schemas.microsoft.com/office/spreadsheetml/2009/9/main" objectType="Button" lockText="1"/>
</file>

<file path=xl/ctrlProps/ctrlProp23.xml><?xml version="1.0" encoding="utf-8"?>
<formControlPr xmlns="http://schemas.microsoft.com/office/spreadsheetml/2009/9/main" objectType="Button" lockText="1"/>
</file>

<file path=xl/ctrlProps/ctrlProp24.xml><?xml version="1.0" encoding="utf-8"?>
<formControlPr xmlns="http://schemas.microsoft.com/office/spreadsheetml/2009/9/main" objectType="Button" lockText="1"/>
</file>

<file path=xl/ctrlProps/ctrlProp25.xml><?xml version="1.0" encoding="utf-8"?>
<formControlPr xmlns="http://schemas.microsoft.com/office/spreadsheetml/2009/9/main" objectType="Button" lockText="1"/>
</file>

<file path=xl/ctrlProps/ctrlProp26.xml><?xml version="1.0" encoding="utf-8"?>
<formControlPr xmlns="http://schemas.microsoft.com/office/spreadsheetml/2009/9/main" objectType="Button" lockText="1"/>
</file>

<file path=xl/ctrlProps/ctrlProp27.xml><?xml version="1.0" encoding="utf-8"?>
<formControlPr xmlns="http://schemas.microsoft.com/office/spreadsheetml/2009/9/main" objectType="Button" lockText="1"/>
</file>

<file path=xl/ctrlProps/ctrlProp28.xml><?xml version="1.0" encoding="utf-8"?>
<formControlPr xmlns="http://schemas.microsoft.com/office/spreadsheetml/2009/9/main" objectType="Button" lockText="1"/>
</file>

<file path=xl/ctrlProps/ctrlProp29.xml><?xml version="1.0" encoding="utf-8"?>
<formControlPr xmlns="http://schemas.microsoft.com/office/spreadsheetml/2009/9/main" objectType="Button" lockText="1"/>
</file>

<file path=xl/ctrlProps/ctrlProp30.xml><?xml version="1.0" encoding="utf-8"?>
<formControlPr xmlns="http://schemas.microsoft.com/office/spreadsheetml/2009/9/main" objectType="Button" lockText="1"/>
</file>

<file path=xl/ctrlProps/ctrlProp31.xml><?xml version="1.0" encoding="utf-8"?>
<formControlPr xmlns="http://schemas.microsoft.com/office/spreadsheetml/2009/9/main" objectType="Button" lockText="1"/>
</file>

<file path=xl/ctrlProps/ctrlProp32.xml><?xml version="1.0" encoding="utf-8"?>
<formControlPr xmlns="http://schemas.microsoft.com/office/spreadsheetml/2009/9/main" objectType="Button" lockText="1"/>
</file>

<file path=xl/ctrlProps/ctrlProp33.xml><?xml version="1.0" encoding="utf-8"?>
<formControlPr xmlns="http://schemas.microsoft.com/office/spreadsheetml/2009/9/main" objectType="Button" lockText="1"/>
</file>

<file path=xl/ctrlProps/ctrlProp34.xml><?xml version="1.0" encoding="utf-8"?>
<formControlPr xmlns="http://schemas.microsoft.com/office/spreadsheetml/2009/9/main" objectType="Button" lockText="1"/>
</file>

<file path=xl/ctrlProps/ctrlProp35.xml><?xml version="1.0" encoding="utf-8"?>
<formControlPr xmlns="http://schemas.microsoft.com/office/spreadsheetml/2009/9/main" objectType="Button" lockText="1"/>
</file>

<file path=xl/ctrlProps/ctrlProp36.xml><?xml version="1.0" encoding="utf-8"?>
<formControlPr xmlns="http://schemas.microsoft.com/office/spreadsheetml/2009/9/main" objectType="Button" lockText="1"/>
</file>

<file path=xl/ctrlProps/ctrlProp37.xml><?xml version="1.0" encoding="utf-8"?>
<formControlPr xmlns="http://schemas.microsoft.com/office/spreadsheetml/2009/9/main" objectType="Button" lockText="1"/>
</file>

<file path=xl/ctrlProps/ctrlProp38.xml><?xml version="1.0" encoding="utf-8"?>
<formControlPr xmlns="http://schemas.microsoft.com/office/spreadsheetml/2009/9/main" objectType="Button" lockText="1"/>
</file>

<file path=xl/ctrlProps/ctrlProp39.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11</xdr:col>
      <xdr:colOff>625312</xdr:colOff>
      <xdr:row>7</xdr:row>
      <xdr:rowOff>145942</xdr:rowOff>
    </xdr:from>
    <xdr:to>
      <xdr:col>15</xdr:col>
      <xdr:colOff>773839</xdr:colOff>
      <xdr:row>23</xdr:row>
      <xdr:rowOff>144651</xdr:rowOff>
    </xdr:to>
    <xdr:graphicFrame macro="">
      <xdr:nvGraphicFramePr>
        <xdr:cNvPr id="3" name="Chart 2">
          <a:extLst>
            <a:ext uri="{FF2B5EF4-FFF2-40B4-BE49-F238E27FC236}">
              <a16:creationId xmlns:a16="http://schemas.microsoft.com/office/drawing/2014/main" id="{D3A64C40-D950-45A6-4DAF-0F8B0916CD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65960</xdr:colOff>
      <xdr:row>1</xdr:row>
      <xdr:rowOff>25508</xdr:rowOff>
    </xdr:from>
    <xdr:to>
      <xdr:col>20</xdr:col>
      <xdr:colOff>537058</xdr:colOff>
      <xdr:row>16</xdr:row>
      <xdr:rowOff>163278</xdr:rowOff>
    </xdr:to>
    <xdr:grpSp>
      <xdr:nvGrpSpPr>
        <xdr:cNvPr id="4" name="Group 3">
          <a:extLst>
            <a:ext uri="{FF2B5EF4-FFF2-40B4-BE49-F238E27FC236}">
              <a16:creationId xmlns:a16="http://schemas.microsoft.com/office/drawing/2014/main" id="{46E74FC1-12D2-4B5B-A45C-A0DDD1629296}"/>
            </a:ext>
          </a:extLst>
        </xdr:cNvPr>
        <xdr:cNvGrpSpPr/>
      </xdr:nvGrpSpPr>
      <xdr:grpSpPr>
        <a:xfrm>
          <a:off x="19567994" y="208474"/>
          <a:ext cx="2731267" cy="2882262"/>
          <a:chOff x="11332307" y="1595640"/>
          <a:chExt cx="2759808" cy="3101731"/>
        </a:xfrm>
      </xdr:grpSpPr>
      <xdr:sp macro="" textlink="">
        <xdr:nvSpPr>
          <xdr:cNvPr id="5" name="Rectangle 4">
            <a:extLst>
              <a:ext uri="{FF2B5EF4-FFF2-40B4-BE49-F238E27FC236}">
                <a16:creationId xmlns:a16="http://schemas.microsoft.com/office/drawing/2014/main" id="{F2B5D4EC-BB39-A210-698A-907B7513F20E}"/>
              </a:ext>
            </a:extLst>
          </xdr:cNvPr>
          <xdr:cNvSpPr/>
        </xdr:nvSpPr>
        <xdr:spPr>
          <a:xfrm>
            <a:off x="11332307" y="1595640"/>
            <a:ext cx="2759808" cy="310173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mc:AlternateContent xmlns:mc="http://schemas.openxmlformats.org/markup-compatibility/2006">
        <mc:Choice xmlns:a14="http://schemas.microsoft.com/office/drawing/2010/main" Requires="a14">
          <xdr:sp macro="" textlink="">
            <xdr:nvSpPr>
              <xdr:cNvPr id="95233" name="Button 1" hidden="1">
                <a:extLst>
                  <a:ext uri="{63B3BB69-23CF-44E3-9099-C40C66FF867C}">
                    <a14:compatExt spid="_x0000_s95233"/>
                  </a:ext>
                  <a:ext uri="{FF2B5EF4-FFF2-40B4-BE49-F238E27FC236}">
                    <a16:creationId xmlns:a16="http://schemas.microsoft.com/office/drawing/2014/main" id="{00000000-0008-0000-0200-000001740100}"/>
                  </a:ext>
                </a:extLst>
              </xdr:cNvPr>
              <xdr:cNvSpPr/>
            </xdr:nvSpPr>
            <xdr:spPr bwMode="auto">
              <a:xfrm>
                <a:off x="11575400" y="2611478"/>
                <a:ext cx="1119553" cy="539588"/>
              </a:xfrm>
              <a:prstGeom prst="rect">
                <a:avLst/>
              </a:prstGeom>
              <a:noFill/>
              <a:ln w="9525">
                <a:miter lim="800000"/>
                <a:headEnd/>
                <a:tailEnd/>
              </a:ln>
            </xdr:spPr>
            <xdr:txBody>
              <a:bodyPr vertOverflow="clip" wrap="square" lIns="36576" tIns="36576" rIns="36576" bIns="36576" anchor="ctr" upright="1"/>
              <a:lstStyle/>
              <a:p>
                <a:pPr algn="ctr" rtl="0">
                  <a:defRPr sz="1000"/>
                </a:pPr>
                <a:r>
                  <a:rPr lang="en-MY" sz="1100" b="0" i="0" u="none" strike="noStrike" baseline="0">
                    <a:solidFill>
                      <a:srgbClr val="000000"/>
                    </a:solidFill>
                    <a:latin typeface="Aptos Narrow"/>
                  </a:rPr>
                  <a:t>Living Quarter</a:t>
                </a:r>
              </a:p>
            </xdr:txBody>
          </xdr:sp>
        </mc:Choice>
        <mc:Fallback/>
      </mc:AlternateContent>
      <mc:AlternateContent xmlns:mc="http://schemas.openxmlformats.org/markup-compatibility/2006">
        <mc:Choice xmlns:a14="http://schemas.microsoft.com/office/drawing/2010/main" Requires="a14">
          <xdr:sp macro="" textlink="">
            <xdr:nvSpPr>
              <xdr:cNvPr id="95234" name="Button 2" hidden="1">
                <a:extLst>
                  <a:ext uri="{63B3BB69-23CF-44E3-9099-C40C66FF867C}">
                    <a14:compatExt spid="_x0000_s95234"/>
                  </a:ext>
                  <a:ext uri="{FF2B5EF4-FFF2-40B4-BE49-F238E27FC236}">
                    <a16:creationId xmlns:a16="http://schemas.microsoft.com/office/drawing/2014/main" id="{00000000-0008-0000-0200-000002740100}"/>
                  </a:ext>
                </a:extLst>
              </xdr:cNvPr>
              <xdr:cNvSpPr/>
            </xdr:nvSpPr>
            <xdr:spPr bwMode="auto">
              <a:xfrm>
                <a:off x="12844097" y="3211634"/>
                <a:ext cx="1118576" cy="542681"/>
              </a:xfrm>
              <a:prstGeom prst="rect">
                <a:avLst/>
              </a:prstGeom>
              <a:noFill/>
              <a:ln w="9525">
                <a:miter lim="800000"/>
                <a:headEnd/>
                <a:tailEnd/>
              </a:ln>
            </xdr:spPr>
            <xdr:txBody>
              <a:bodyPr vertOverflow="clip" wrap="square" lIns="36576" tIns="36576" rIns="36576" bIns="36576" anchor="ctr" upright="1"/>
              <a:lstStyle/>
              <a:p>
                <a:pPr algn="ctr" rtl="0">
                  <a:defRPr sz="1000"/>
                </a:pPr>
                <a:r>
                  <a:rPr lang="en-MY" sz="1100" b="0" i="0" u="none" strike="noStrike" baseline="0">
                    <a:solidFill>
                      <a:srgbClr val="000000"/>
                    </a:solidFill>
                    <a:latin typeface="Aptos Narrow"/>
                  </a:rPr>
                  <a:t>Manufacturing</a:t>
                </a:r>
              </a:p>
            </xdr:txBody>
          </xdr:sp>
        </mc:Choice>
        <mc:Fallback/>
      </mc:AlternateContent>
      <mc:AlternateContent xmlns:mc="http://schemas.openxmlformats.org/markup-compatibility/2006">
        <mc:Choice xmlns:a14="http://schemas.microsoft.com/office/drawing/2010/main" Requires="a14">
          <xdr:sp macro="" textlink="">
            <xdr:nvSpPr>
              <xdr:cNvPr id="95235" name="Button 3" hidden="1">
                <a:extLst>
                  <a:ext uri="{63B3BB69-23CF-44E3-9099-C40C66FF867C}">
                    <a14:compatExt spid="_x0000_s95235"/>
                  </a:ext>
                  <a:ext uri="{FF2B5EF4-FFF2-40B4-BE49-F238E27FC236}">
                    <a16:creationId xmlns:a16="http://schemas.microsoft.com/office/drawing/2014/main" id="{00000000-0008-0000-0200-000003740100}"/>
                  </a:ext>
                </a:extLst>
              </xdr:cNvPr>
              <xdr:cNvSpPr/>
            </xdr:nvSpPr>
            <xdr:spPr bwMode="auto">
              <a:xfrm>
                <a:off x="11571816" y="3847446"/>
                <a:ext cx="1119553" cy="542681"/>
              </a:xfrm>
              <a:prstGeom prst="rect">
                <a:avLst/>
              </a:prstGeom>
              <a:noFill/>
              <a:ln w="9525">
                <a:miter lim="800000"/>
                <a:headEnd/>
                <a:tailEnd/>
              </a:ln>
            </xdr:spPr>
            <xdr:txBody>
              <a:bodyPr vertOverflow="clip" wrap="square" lIns="36576" tIns="36576" rIns="36576" bIns="36576" anchor="ctr" upright="1"/>
              <a:lstStyle/>
              <a:p>
                <a:pPr algn="ctr" rtl="0">
                  <a:defRPr sz="1000"/>
                </a:pPr>
                <a:r>
                  <a:rPr lang="en-MY" sz="1100" b="0" i="0" u="none" strike="noStrike" baseline="0">
                    <a:solidFill>
                      <a:srgbClr val="000000"/>
                    </a:solidFill>
                    <a:latin typeface="Aptos Narrow"/>
                  </a:rPr>
                  <a:t>Agriculture</a:t>
                </a:r>
              </a:p>
            </xdr:txBody>
          </xdr:sp>
        </mc:Choice>
        <mc:Fallback/>
      </mc:AlternateContent>
      <mc:AlternateContent xmlns:mc="http://schemas.openxmlformats.org/markup-compatibility/2006">
        <mc:Choice xmlns:a14="http://schemas.microsoft.com/office/drawing/2010/main" Requires="a14">
          <xdr:sp macro="" textlink="">
            <xdr:nvSpPr>
              <xdr:cNvPr id="95236" name="Button 4" hidden="1">
                <a:extLst>
                  <a:ext uri="{63B3BB69-23CF-44E3-9099-C40C66FF867C}">
                    <a14:compatExt spid="_x0000_s95236"/>
                  </a:ext>
                  <a:ext uri="{FF2B5EF4-FFF2-40B4-BE49-F238E27FC236}">
                    <a16:creationId xmlns:a16="http://schemas.microsoft.com/office/drawing/2014/main" id="{00000000-0008-0000-0200-000004740100}"/>
                  </a:ext>
                </a:extLst>
              </xdr:cNvPr>
              <xdr:cNvSpPr/>
            </xdr:nvSpPr>
            <xdr:spPr bwMode="auto">
              <a:xfrm>
                <a:off x="12855821" y="3807558"/>
                <a:ext cx="1119553" cy="542681"/>
              </a:xfrm>
              <a:prstGeom prst="rect">
                <a:avLst/>
              </a:prstGeom>
              <a:noFill/>
              <a:ln w="9525">
                <a:miter lim="800000"/>
                <a:headEnd/>
                <a:tailEnd/>
              </a:ln>
            </xdr:spPr>
            <xdr:txBody>
              <a:bodyPr vertOverflow="clip" wrap="square" lIns="36576" tIns="36576" rIns="36576" bIns="36576" anchor="ctr" upright="1"/>
              <a:lstStyle/>
              <a:p>
                <a:pPr algn="ctr" rtl="0">
                  <a:defRPr sz="1000"/>
                </a:pPr>
                <a:r>
                  <a:rPr lang="en-MY" sz="1100" b="0" i="0" u="none" strike="noStrike" baseline="0">
                    <a:solidFill>
                      <a:srgbClr val="000000"/>
                    </a:solidFill>
                    <a:latin typeface="Aptos Narrow"/>
                  </a:rPr>
                  <a:t>Infrastructure</a:t>
                </a:r>
              </a:p>
            </xdr:txBody>
          </xdr:sp>
        </mc:Choice>
        <mc:Fallback/>
      </mc:AlternateContent>
      <mc:AlternateContent xmlns:mc="http://schemas.openxmlformats.org/markup-compatibility/2006">
        <mc:Choice xmlns:a14="http://schemas.microsoft.com/office/drawing/2010/main" Requires="a14">
          <xdr:sp macro="" textlink="">
            <xdr:nvSpPr>
              <xdr:cNvPr id="95237" name="Button 5" hidden="1">
                <a:extLst>
                  <a:ext uri="{63B3BB69-23CF-44E3-9099-C40C66FF867C}">
                    <a14:compatExt spid="_x0000_s95237"/>
                  </a:ext>
                  <a:ext uri="{FF2B5EF4-FFF2-40B4-BE49-F238E27FC236}">
                    <a16:creationId xmlns:a16="http://schemas.microsoft.com/office/drawing/2014/main" id="{00000000-0008-0000-0200-000005740100}"/>
                  </a:ext>
                </a:extLst>
              </xdr:cNvPr>
              <xdr:cNvSpPr/>
            </xdr:nvSpPr>
            <xdr:spPr bwMode="auto">
              <a:xfrm>
                <a:off x="11567260" y="3222218"/>
                <a:ext cx="1119553" cy="542681"/>
              </a:xfrm>
              <a:prstGeom prst="rect">
                <a:avLst/>
              </a:prstGeom>
              <a:noFill/>
              <a:ln w="9525">
                <a:miter lim="800000"/>
                <a:headEnd/>
                <a:tailEnd/>
              </a:ln>
            </xdr:spPr>
            <xdr:txBody>
              <a:bodyPr vertOverflow="clip" wrap="square" lIns="36576" tIns="36576" rIns="36576" bIns="36576" anchor="ctr" upright="1"/>
              <a:lstStyle/>
              <a:p>
                <a:pPr algn="ctr" rtl="0">
                  <a:defRPr sz="1000"/>
                </a:pPr>
                <a:r>
                  <a:rPr lang="en-MY" sz="1100" b="0" i="0" u="none" strike="noStrike" baseline="0">
                    <a:solidFill>
                      <a:srgbClr val="000000"/>
                    </a:solidFill>
                    <a:latin typeface="Aptos Narrow"/>
                  </a:rPr>
                  <a:t>Premises</a:t>
                </a:r>
              </a:p>
            </xdr:txBody>
          </xdr:sp>
        </mc:Choice>
        <mc:Fallback/>
      </mc:AlternateContent>
      <mc:AlternateContent xmlns:mc="http://schemas.openxmlformats.org/markup-compatibility/2006">
        <mc:Choice xmlns:a14="http://schemas.microsoft.com/office/drawing/2010/main" Requires="a14">
          <xdr:sp macro="" textlink="">
            <xdr:nvSpPr>
              <xdr:cNvPr id="95238" name="Button 6" hidden="1">
                <a:extLst>
                  <a:ext uri="{63B3BB69-23CF-44E3-9099-C40C66FF867C}">
                    <a14:compatExt spid="_x0000_s95238"/>
                  </a:ext>
                  <a:ext uri="{FF2B5EF4-FFF2-40B4-BE49-F238E27FC236}">
                    <a16:creationId xmlns:a16="http://schemas.microsoft.com/office/drawing/2014/main" id="{00000000-0008-0000-0200-000006740100}"/>
                  </a:ext>
                </a:extLst>
              </xdr:cNvPr>
              <xdr:cNvSpPr/>
            </xdr:nvSpPr>
            <xdr:spPr bwMode="auto">
              <a:xfrm>
                <a:off x="12835953" y="2612456"/>
                <a:ext cx="1118577" cy="542681"/>
              </a:xfrm>
              <a:prstGeom prst="rect">
                <a:avLst/>
              </a:prstGeom>
              <a:noFill/>
              <a:ln w="9525">
                <a:miter lim="800000"/>
                <a:headEnd/>
                <a:tailEnd/>
              </a:ln>
            </xdr:spPr>
            <xdr:txBody>
              <a:bodyPr vertOverflow="clip" wrap="square" lIns="36576" tIns="36576" rIns="36576" bIns="36576" anchor="ctr" upright="1"/>
              <a:lstStyle/>
              <a:p>
                <a:pPr algn="ctr" rtl="0">
                  <a:defRPr sz="1000"/>
                </a:pPr>
                <a:r>
                  <a:rPr lang="en-MY" sz="1100" b="0" i="0" u="none" strike="noStrike" baseline="0">
                    <a:solidFill>
                      <a:srgbClr val="000000"/>
                    </a:solidFill>
                    <a:latin typeface="Aptos Narrow"/>
                  </a:rPr>
                  <a:t>Vehicles</a:t>
                </a:r>
              </a:p>
            </xdr:txBody>
          </xdr:sp>
        </mc:Choice>
        <mc:Fallback/>
      </mc:AlternateContent>
      <xdr:sp macro="" textlink="">
        <xdr:nvSpPr>
          <xdr:cNvPr id="6" name="TextBox 5">
            <a:extLst>
              <a:ext uri="{FF2B5EF4-FFF2-40B4-BE49-F238E27FC236}">
                <a16:creationId xmlns:a16="http://schemas.microsoft.com/office/drawing/2014/main" id="{68C57579-1294-1F7B-7DC0-0AA1706272FA}"/>
              </a:ext>
            </a:extLst>
          </xdr:cNvPr>
          <xdr:cNvSpPr txBox="1"/>
        </xdr:nvSpPr>
        <xdr:spPr>
          <a:xfrm>
            <a:off x="11568397" y="1750321"/>
            <a:ext cx="2352757" cy="6757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MY" sz="4000"/>
              <a:t>Full</a:t>
            </a:r>
            <a:r>
              <a:rPr lang="en-MY" sz="4000" baseline="0"/>
              <a:t> Data</a:t>
            </a:r>
            <a:endParaRPr lang="en-MY" sz="4000"/>
          </a:p>
        </xdr:txBody>
      </xdr:sp>
    </xdr:grpSp>
    <xdr:clientData/>
  </xdr:twoCellAnchor>
  <mc:AlternateContent xmlns:mc="http://schemas.openxmlformats.org/markup-compatibility/2006">
    <mc:Choice xmlns:a14="http://schemas.microsoft.com/office/drawing/2010/main" Requires="a14">
      <xdr:twoCellAnchor>
        <xdr:from>
          <xdr:col>11</xdr:col>
          <xdr:colOff>431800</xdr:colOff>
          <xdr:row>25</xdr:row>
          <xdr:rowOff>63500</xdr:rowOff>
        </xdr:from>
        <xdr:to>
          <xdr:col>12</xdr:col>
          <xdr:colOff>825500</xdr:colOff>
          <xdr:row>27</xdr:row>
          <xdr:rowOff>171450</xdr:rowOff>
        </xdr:to>
        <xdr:sp macro="" textlink="">
          <xdr:nvSpPr>
            <xdr:cNvPr id="95239" name="Button 7" hidden="1">
              <a:extLst>
                <a:ext uri="{63B3BB69-23CF-44E3-9099-C40C66FF867C}">
                  <a14:compatExt spid="_x0000_s95239"/>
                </a:ext>
                <a:ext uri="{FF2B5EF4-FFF2-40B4-BE49-F238E27FC236}">
                  <a16:creationId xmlns:a16="http://schemas.microsoft.com/office/drawing/2014/main" id="{00000000-0008-0000-0200-0000077401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MY" sz="1100" b="0" i="0" u="none" strike="noStrike" baseline="0">
                  <a:solidFill>
                    <a:srgbClr val="000000"/>
                  </a:solidFill>
                  <a:latin typeface="Aptos Narrow"/>
                </a:rPr>
                <a:t>Dashboard</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933450</xdr:colOff>
          <xdr:row>25</xdr:row>
          <xdr:rowOff>57150</xdr:rowOff>
        </xdr:from>
        <xdr:to>
          <xdr:col>13</xdr:col>
          <xdr:colOff>755650</xdr:colOff>
          <xdr:row>27</xdr:row>
          <xdr:rowOff>165100</xdr:rowOff>
        </xdr:to>
        <xdr:sp macro="" textlink="">
          <xdr:nvSpPr>
            <xdr:cNvPr id="95240" name="Button 8" hidden="1">
              <a:extLst>
                <a:ext uri="{63B3BB69-23CF-44E3-9099-C40C66FF867C}">
                  <a14:compatExt spid="_x0000_s95240"/>
                </a:ext>
                <a:ext uri="{FF2B5EF4-FFF2-40B4-BE49-F238E27FC236}">
                  <a16:creationId xmlns:a16="http://schemas.microsoft.com/office/drawing/2014/main" id="{00000000-0008-0000-0200-0000087401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MY" sz="1100" b="0" i="0" u="none" strike="noStrike" baseline="0">
                  <a:solidFill>
                    <a:srgbClr val="000000"/>
                  </a:solidFill>
                  <a:latin typeface="Aptos Narrow"/>
                </a:rPr>
                <a:t>State Overall</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124367</xdr:rowOff>
    </xdr:from>
    <xdr:to>
      <xdr:col>1</xdr:col>
      <xdr:colOff>549960</xdr:colOff>
      <xdr:row>14</xdr:row>
      <xdr:rowOff>64080</xdr:rowOff>
    </xdr:to>
    <xdr:grpSp>
      <xdr:nvGrpSpPr>
        <xdr:cNvPr id="2" name="Group 1">
          <a:extLst>
            <a:ext uri="{FF2B5EF4-FFF2-40B4-BE49-F238E27FC236}">
              <a16:creationId xmlns:a16="http://schemas.microsoft.com/office/drawing/2014/main" id="{F60D1888-3B49-4AEE-A398-87F61DAA10D7}"/>
            </a:ext>
          </a:extLst>
        </xdr:cNvPr>
        <xdr:cNvGrpSpPr/>
      </xdr:nvGrpSpPr>
      <xdr:grpSpPr>
        <a:xfrm>
          <a:off x="0" y="1406579"/>
          <a:ext cx="1355922" cy="1221924"/>
          <a:chOff x="11332308" y="1595640"/>
          <a:chExt cx="2759808" cy="3101731"/>
        </a:xfrm>
      </xdr:grpSpPr>
      <xdr:sp macro="" textlink="">
        <xdr:nvSpPr>
          <xdr:cNvPr id="3" name="Rectangle 2">
            <a:extLst>
              <a:ext uri="{FF2B5EF4-FFF2-40B4-BE49-F238E27FC236}">
                <a16:creationId xmlns:a16="http://schemas.microsoft.com/office/drawing/2014/main" id="{333004C6-2B1E-9713-0381-6B347C757103}"/>
              </a:ext>
            </a:extLst>
          </xdr:cNvPr>
          <xdr:cNvSpPr/>
        </xdr:nvSpPr>
        <xdr:spPr>
          <a:xfrm>
            <a:off x="11332308" y="1595640"/>
            <a:ext cx="2759808" cy="310173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mc:AlternateContent xmlns:mc="http://schemas.openxmlformats.org/markup-compatibility/2006">
        <mc:Choice xmlns:a14="http://schemas.microsoft.com/office/drawing/2010/main" Requires="a14">
          <xdr:sp macro="" textlink="">
            <xdr:nvSpPr>
              <xdr:cNvPr id="80897" name="Button 1" hidden="1">
                <a:extLst>
                  <a:ext uri="{63B3BB69-23CF-44E3-9099-C40C66FF867C}">
                    <a14:compatExt spid="_x0000_s80897"/>
                  </a:ext>
                  <a:ext uri="{FF2B5EF4-FFF2-40B4-BE49-F238E27FC236}">
                    <a16:creationId xmlns:a16="http://schemas.microsoft.com/office/drawing/2014/main" id="{00000000-0008-0000-0400-0000013C0100}"/>
                  </a:ext>
                </a:extLst>
              </xdr:cNvPr>
              <xdr:cNvSpPr/>
            </xdr:nvSpPr>
            <xdr:spPr bwMode="auto">
              <a:xfrm>
                <a:off x="11575399" y="2611479"/>
                <a:ext cx="1119553" cy="539590"/>
              </a:xfrm>
              <a:prstGeom prst="rect">
                <a:avLst/>
              </a:prstGeom>
              <a:noFill/>
              <a:ln w="9525">
                <a:miter lim="800000"/>
                <a:headEnd/>
                <a:tailEnd/>
              </a:ln>
            </xdr:spPr>
            <xdr:txBody>
              <a:bodyPr vertOverflow="clip" wrap="square" lIns="36576" tIns="36576" rIns="36576" bIns="36576" anchor="ctr" upright="1"/>
              <a:lstStyle/>
              <a:p>
                <a:pPr algn="ctr" rtl="0">
                  <a:defRPr sz="1000"/>
                </a:pPr>
                <a:r>
                  <a:rPr lang="en-MY" sz="1100" b="0" i="0" u="none" strike="noStrike" baseline="0">
                    <a:solidFill>
                      <a:srgbClr val="000000"/>
                    </a:solidFill>
                    <a:latin typeface="Aptos Narrow"/>
                  </a:rPr>
                  <a:t>Living Quarter</a:t>
                </a:r>
              </a:p>
            </xdr:txBody>
          </xdr:sp>
        </mc:Choice>
        <mc:Fallback/>
      </mc:AlternateContent>
      <mc:AlternateContent xmlns:mc="http://schemas.openxmlformats.org/markup-compatibility/2006">
        <mc:Choice xmlns:a14="http://schemas.microsoft.com/office/drawing/2010/main" Requires="a14">
          <xdr:sp macro="" textlink="">
            <xdr:nvSpPr>
              <xdr:cNvPr id="80898" name="Button 2" hidden="1">
                <a:extLst>
                  <a:ext uri="{63B3BB69-23CF-44E3-9099-C40C66FF867C}">
                    <a14:compatExt spid="_x0000_s80898"/>
                  </a:ext>
                  <a:ext uri="{FF2B5EF4-FFF2-40B4-BE49-F238E27FC236}">
                    <a16:creationId xmlns:a16="http://schemas.microsoft.com/office/drawing/2014/main" id="{00000000-0008-0000-0400-0000023C0100}"/>
                  </a:ext>
                </a:extLst>
              </xdr:cNvPr>
              <xdr:cNvSpPr/>
            </xdr:nvSpPr>
            <xdr:spPr bwMode="auto">
              <a:xfrm>
                <a:off x="12844096" y="3211633"/>
                <a:ext cx="1118578" cy="542679"/>
              </a:xfrm>
              <a:prstGeom prst="rect">
                <a:avLst/>
              </a:prstGeom>
              <a:noFill/>
              <a:ln w="9525">
                <a:miter lim="800000"/>
                <a:headEnd/>
                <a:tailEnd/>
              </a:ln>
            </xdr:spPr>
            <xdr:txBody>
              <a:bodyPr vertOverflow="clip" wrap="square" lIns="36576" tIns="36576" rIns="36576" bIns="36576" anchor="ctr" upright="1"/>
              <a:lstStyle/>
              <a:p>
                <a:pPr algn="ctr" rtl="0">
                  <a:defRPr sz="1000"/>
                </a:pPr>
                <a:r>
                  <a:rPr lang="en-MY" sz="1100" b="0" i="0" u="none" strike="noStrike" baseline="0">
                    <a:solidFill>
                      <a:srgbClr val="000000"/>
                    </a:solidFill>
                    <a:latin typeface="Aptos Narrow"/>
                  </a:rPr>
                  <a:t>Manufacturing</a:t>
                </a:r>
              </a:p>
            </xdr:txBody>
          </xdr:sp>
        </mc:Choice>
        <mc:Fallback/>
      </mc:AlternateContent>
      <mc:AlternateContent xmlns:mc="http://schemas.openxmlformats.org/markup-compatibility/2006">
        <mc:Choice xmlns:a14="http://schemas.microsoft.com/office/drawing/2010/main" Requires="a14">
          <xdr:sp macro="" textlink="">
            <xdr:nvSpPr>
              <xdr:cNvPr id="80899" name="Button 3" hidden="1">
                <a:extLst>
                  <a:ext uri="{63B3BB69-23CF-44E3-9099-C40C66FF867C}">
                    <a14:compatExt spid="_x0000_s80899"/>
                  </a:ext>
                  <a:ext uri="{FF2B5EF4-FFF2-40B4-BE49-F238E27FC236}">
                    <a16:creationId xmlns:a16="http://schemas.microsoft.com/office/drawing/2014/main" id="{00000000-0008-0000-0400-0000033C0100}"/>
                  </a:ext>
                </a:extLst>
              </xdr:cNvPr>
              <xdr:cNvSpPr/>
            </xdr:nvSpPr>
            <xdr:spPr bwMode="auto">
              <a:xfrm>
                <a:off x="11571819" y="3847449"/>
                <a:ext cx="1119553" cy="542679"/>
              </a:xfrm>
              <a:prstGeom prst="rect">
                <a:avLst/>
              </a:prstGeom>
              <a:noFill/>
              <a:ln w="9525">
                <a:miter lim="800000"/>
                <a:headEnd/>
                <a:tailEnd/>
              </a:ln>
            </xdr:spPr>
            <xdr:txBody>
              <a:bodyPr vertOverflow="clip" wrap="square" lIns="36576" tIns="36576" rIns="36576" bIns="36576" anchor="ctr" upright="1"/>
              <a:lstStyle/>
              <a:p>
                <a:pPr algn="ctr" rtl="0">
                  <a:defRPr sz="1000"/>
                </a:pPr>
                <a:r>
                  <a:rPr lang="en-MY" sz="1100" b="0" i="0" u="none" strike="noStrike" baseline="0">
                    <a:solidFill>
                      <a:srgbClr val="000000"/>
                    </a:solidFill>
                    <a:latin typeface="Aptos Narrow"/>
                  </a:rPr>
                  <a:t>Agriculture</a:t>
                </a:r>
              </a:p>
            </xdr:txBody>
          </xdr:sp>
        </mc:Choice>
        <mc:Fallback/>
      </mc:AlternateContent>
      <mc:AlternateContent xmlns:mc="http://schemas.openxmlformats.org/markup-compatibility/2006">
        <mc:Choice xmlns:a14="http://schemas.microsoft.com/office/drawing/2010/main" Requires="a14">
          <xdr:sp macro="" textlink="">
            <xdr:nvSpPr>
              <xdr:cNvPr id="80900" name="Button 4" hidden="1">
                <a:extLst>
                  <a:ext uri="{63B3BB69-23CF-44E3-9099-C40C66FF867C}">
                    <a14:compatExt spid="_x0000_s80900"/>
                  </a:ext>
                  <a:ext uri="{FF2B5EF4-FFF2-40B4-BE49-F238E27FC236}">
                    <a16:creationId xmlns:a16="http://schemas.microsoft.com/office/drawing/2014/main" id="{00000000-0008-0000-0400-0000043C0100}"/>
                  </a:ext>
                </a:extLst>
              </xdr:cNvPr>
              <xdr:cNvSpPr/>
            </xdr:nvSpPr>
            <xdr:spPr bwMode="auto">
              <a:xfrm>
                <a:off x="12855822" y="3807558"/>
                <a:ext cx="1119553" cy="542679"/>
              </a:xfrm>
              <a:prstGeom prst="rect">
                <a:avLst/>
              </a:prstGeom>
              <a:noFill/>
              <a:ln w="9525">
                <a:miter lim="800000"/>
                <a:headEnd/>
                <a:tailEnd/>
              </a:ln>
            </xdr:spPr>
            <xdr:txBody>
              <a:bodyPr vertOverflow="clip" wrap="square" lIns="36576" tIns="36576" rIns="36576" bIns="36576" anchor="ctr" upright="1"/>
              <a:lstStyle/>
              <a:p>
                <a:pPr algn="ctr" rtl="0">
                  <a:defRPr sz="1000"/>
                </a:pPr>
                <a:r>
                  <a:rPr lang="en-MY" sz="1100" b="0" i="0" u="none" strike="noStrike" baseline="0">
                    <a:solidFill>
                      <a:srgbClr val="000000"/>
                    </a:solidFill>
                    <a:latin typeface="Aptos Narrow"/>
                  </a:rPr>
                  <a:t>Infrastructure</a:t>
                </a:r>
              </a:p>
            </xdr:txBody>
          </xdr:sp>
        </mc:Choice>
        <mc:Fallback/>
      </mc:AlternateContent>
      <mc:AlternateContent xmlns:mc="http://schemas.openxmlformats.org/markup-compatibility/2006">
        <mc:Choice xmlns:a14="http://schemas.microsoft.com/office/drawing/2010/main" Requires="a14">
          <xdr:sp macro="" textlink="">
            <xdr:nvSpPr>
              <xdr:cNvPr id="80901" name="Button 5" hidden="1">
                <a:extLst>
                  <a:ext uri="{63B3BB69-23CF-44E3-9099-C40C66FF867C}">
                    <a14:compatExt spid="_x0000_s80901"/>
                  </a:ext>
                  <a:ext uri="{FF2B5EF4-FFF2-40B4-BE49-F238E27FC236}">
                    <a16:creationId xmlns:a16="http://schemas.microsoft.com/office/drawing/2014/main" id="{00000000-0008-0000-0400-0000053C0100}"/>
                  </a:ext>
                </a:extLst>
              </xdr:cNvPr>
              <xdr:cNvSpPr/>
            </xdr:nvSpPr>
            <xdr:spPr bwMode="auto">
              <a:xfrm>
                <a:off x="11567259" y="3222221"/>
                <a:ext cx="1119553" cy="542679"/>
              </a:xfrm>
              <a:prstGeom prst="rect">
                <a:avLst/>
              </a:prstGeom>
              <a:noFill/>
              <a:ln w="9525">
                <a:miter lim="800000"/>
                <a:headEnd/>
                <a:tailEnd/>
              </a:ln>
            </xdr:spPr>
            <xdr:txBody>
              <a:bodyPr vertOverflow="clip" wrap="square" lIns="36576" tIns="36576" rIns="36576" bIns="36576" anchor="ctr" upright="1"/>
              <a:lstStyle/>
              <a:p>
                <a:pPr algn="ctr" rtl="0">
                  <a:defRPr sz="1000"/>
                </a:pPr>
                <a:r>
                  <a:rPr lang="en-MY" sz="1100" b="0" i="0" u="none" strike="noStrike" baseline="0">
                    <a:solidFill>
                      <a:srgbClr val="000000"/>
                    </a:solidFill>
                    <a:latin typeface="Aptos Narrow"/>
                  </a:rPr>
                  <a:t>Premises</a:t>
                </a:r>
              </a:p>
            </xdr:txBody>
          </xdr:sp>
        </mc:Choice>
        <mc:Fallback/>
      </mc:AlternateContent>
      <mc:AlternateContent xmlns:mc="http://schemas.openxmlformats.org/markup-compatibility/2006">
        <mc:Choice xmlns:a14="http://schemas.microsoft.com/office/drawing/2010/main" Requires="a14">
          <xdr:sp macro="" textlink="">
            <xdr:nvSpPr>
              <xdr:cNvPr id="80902" name="Button 6" hidden="1">
                <a:extLst>
                  <a:ext uri="{63B3BB69-23CF-44E3-9099-C40C66FF867C}">
                    <a14:compatExt spid="_x0000_s80902"/>
                  </a:ext>
                  <a:ext uri="{FF2B5EF4-FFF2-40B4-BE49-F238E27FC236}">
                    <a16:creationId xmlns:a16="http://schemas.microsoft.com/office/drawing/2014/main" id="{00000000-0008-0000-0400-0000063C0100}"/>
                  </a:ext>
                </a:extLst>
              </xdr:cNvPr>
              <xdr:cNvSpPr/>
            </xdr:nvSpPr>
            <xdr:spPr bwMode="auto">
              <a:xfrm>
                <a:off x="12835953" y="2612454"/>
                <a:ext cx="1118580" cy="542679"/>
              </a:xfrm>
              <a:prstGeom prst="rect">
                <a:avLst/>
              </a:prstGeom>
              <a:noFill/>
              <a:ln w="9525">
                <a:miter lim="800000"/>
                <a:headEnd/>
                <a:tailEnd/>
              </a:ln>
            </xdr:spPr>
            <xdr:txBody>
              <a:bodyPr vertOverflow="clip" wrap="square" lIns="36576" tIns="36576" rIns="36576" bIns="36576" anchor="ctr" upright="1"/>
              <a:lstStyle/>
              <a:p>
                <a:pPr algn="ctr" rtl="0">
                  <a:defRPr sz="1000"/>
                </a:pPr>
                <a:r>
                  <a:rPr lang="en-MY" sz="1100" b="0" i="0" u="none" strike="noStrike" baseline="0">
                    <a:solidFill>
                      <a:srgbClr val="000000"/>
                    </a:solidFill>
                    <a:latin typeface="Aptos Narrow"/>
                  </a:rPr>
                  <a:t>Vehicles</a:t>
                </a:r>
              </a:p>
            </xdr:txBody>
          </xdr:sp>
        </mc:Choice>
        <mc:Fallback/>
      </mc:AlternateContent>
      <xdr:sp macro="" textlink="">
        <xdr:nvSpPr>
          <xdr:cNvPr id="4" name="TextBox 3">
            <a:extLst>
              <a:ext uri="{FF2B5EF4-FFF2-40B4-BE49-F238E27FC236}">
                <a16:creationId xmlns:a16="http://schemas.microsoft.com/office/drawing/2014/main" id="{E856CC29-230B-BE42-B47F-33113E4210D8}"/>
              </a:ext>
            </a:extLst>
          </xdr:cNvPr>
          <xdr:cNvSpPr txBox="1"/>
        </xdr:nvSpPr>
        <xdr:spPr>
          <a:xfrm>
            <a:off x="11568397" y="1750321"/>
            <a:ext cx="2352757" cy="6757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MY" sz="1400"/>
              <a:t>Full</a:t>
            </a:r>
            <a:r>
              <a:rPr lang="en-MY" sz="1400" baseline="0"/>
              <a:t> Data:</a:t>
            </a:r>
            <a:endParaRPr lang="en-MY" sz="1400"/>
          </a:p>
        </xdr:txBody>
      </xdr:sp>
    </xdr:grpSp>
    <xdr:clientData/>
  </xdr:twoCellAnchor>
  <mc:AlternateContent xmlns:mc="http://schemas.openxmlformats.org/markup-compatibility/2006">
    <mc:Choice xmlns:a14="http://schemas.microsoft.com/office/drawing/2010/main" Requires="a14">
      <xdr:twoCellAnchor>
        <xdr:from>
          <xdr:col>1</xdr:col>
          <xdr:colOff>622300</xdr:colOff>
          <xdr:row>7</xdr:row>
          <xdr:rowOff>88900</xdr:rowOff>
        </xdr:from>
        <xdr:to>
          <xdr:col>3</xdr:col>
          <xdr:colOff>520700</xdr:colOff>
          <xdr:row>10</xdr:row>
          <xdr:rowOff>0</xdr:rowOff>
        </xdr:to>
        <xdr:sp macro="" textlink="">
          <xdr:nvSpPr>
            <xdr:cNvPr id="80903" name="Button 7" hidden="1">
              <a:extLst>
                <a:ext uri="{63B3BB69-23CF-44E3-9099-C40C66FF867C}">
                  <a14:compatExt spid="_x0000_s80903"/>
                </a:ext>
                <a:ext uri="{FF2B5EF4-FFF2-40B4-BE49-F238E27FC236}">
                  <a16:creationId xmlns:a16="http://schemas.microsoft.com/office/drawing/2014/main" id="{00000000-0008-0000-0400-0000073C01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MY" sz="1100" b="0" i="0" u="none" strike="noStrike" baseline="0">
                  <a:solidFill>
                    <a:srgbClr val="000000"/>
                  </a:solidFill>
                  <a:latin typeface="Aptos Narrow"/>
                </a:rPr>
                <a:t>Dashboard</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546100</xdr:colOff>
          <xdr:row>7</xdr:row>
          <xdr:rowOff>107950</xdr:rowOff>
        </xdr:from>
        <xdr:to>
          <xdr:col>5</xdr:col>
          <xdr:colOff>0</xdr:colOff>
          <xdr:row>10</xdr:row>
          <xdr:rowOff>101600</xdr:rowOff>
        </xdr:to>
        <xdr:sp macro="" textlink="">
          <xdr:nvSpPr>
            <xdr:cNvPr id="80904" name="Button 8" hidden="1">
              <a:extLst>
                <a:ext uri="{63B3BB69-23CF-44E3-9099-C40C66FF867C}">
                  <a14:compatExt spid="_x0000_s80904"/>
                </a:ext>
                <a:ext uri="{FF2B5EF4-FFF2-40B4-BE49-F238E27FC236}">
                  <a16:creationId xmlns:a16="http://schemas.microsoft.com/office/drawing/2014/main" id="{00000000-0008-0000-0400-0000083C01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MY" sz="1100" b="0" i="0" u="none" strike="noStrike" baseline="0">
                  <a:solidFill>
                    <a:srgbClr val="000000"/>
                  </a:solidFill>
                  <a:latin typeface="Aptos Narrow"/>
                </a:rPr>
                <a:t>Loss by Category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438150</xdr:colOff>
          <xdr:row>11</xdr:row>
          <xdr:rowOff>158750</xdr:rowOff>
        </xdr:from>
        <xdr:to>
          <xdr:col>3</xdr:col>
          <xdr:colOff>711200</xdr:colOff>
          <xdr:row>14</xdr:row>
          <xdr:rowOff>146050</xdr:rowOff>
        </xdr:to>
        <xdr:sp macro="" textlink="">
          <xdr:nvSpPr>
            <xdr:cNvPr id="80905" name="Button 9" hidden="1">
              <a:extLst>
                <a:ext uri="{63B3BB69-23CF-44E3-9099-C40C66FF867C}">
                  <a14:compatExt spid="_x0000_s80905"/>
                </a:ext>
                <a:ext uri="{FF2B5EF4-FFF2-40B4-BE49-F238E27FC236}">
                  <a16:creationId xmlns:a16="http://schemas.microsoft.com/office/drawing/2014/main" id="{00000000-0008-0000-0400-0000093C01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MY" sz="1100" b="0" i="0" u="none" strike="noStrike" baseline="0">
                  <a:solidFill>
                    <a:srgbClr val="000000"/>
                  </a:solidFill>
                  <a:latin typeface="Aptos Narrow"/>
                </a:rPr>
                <a:t>Loss by State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781050</xdr:colOff>
          <xdr:row>11</xdr:row>
          <xdr:rowOff>133350</xdr:rowOff>
        </xdr:from>
        <xdr:to>
          <xdr:col>5</xdr:col>
          <xdr:colOff>0</xdr:colOff>
          <xdr:row>14</xdr:row>
          <xdr:rowOff>158750</xdr:rowOff>
        </xdr:to>
        <xdr:sp macro="" textlink="">
          <xdr:nvSpPr>
            <xdr:cNvPr id="80906" name="Button 10" hidden="1">
              <a:extLst>
                <a:ext uri="{63B3BB69-23CF-44E3-9099-C40C66FF867C}">
                  <a14:compatExt spid="_x0000_s80906"/>
                </a:ext>
                <a:ext uri="{FF2B5EF4-FFF2-40B4-BE49-F238E27FC236}">
                  <a16:creationId xmlns:a16="http://schemas.microsoft.com/office/drawing/2014/main" id="{00000000-0008-0000-0400-00000A3C01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MY" sz="1100" b="0" i="0" u="none" strike="noStrike" baseline="0">
                  <a:solidFill>
                    <a:srgbClr val="000000"/>
                  </a:solidFill>
                  <a:latin typeface="Aptos Narrow"/>
                </a:rPr>
                <a:t>Malaysia Overall</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0</xdr:colOff>
      <xdr:row>24</xdr:row>
      <xdr:rowOff>156147</xdr:rowOff>
    </xdr:from>
    <xdr:to>
      <xdr:col>3</xdr:col>
      <xdr:colOff>957705</xdr:colOff>
      <xdr:row>40</xdr:row>
      <xdr:rowOff>106036</xdr:rowOff>
    </xdr:to>
    <xdr:graphicFrame macro="">
      <xdr:nvGraphicFramePr>
        <xdr:cNvPr id="5" name="Chart 4">
          <a:extLst>
            <a:ext uri="{FF2B5EF4-FFF2-40B4-BE49-F238E27FC236}">
              <a16:creationId xmlns:a16="http://schemas.microsoft.com/office/drawing/2014/main" id="{F19704DB-CDD0-4C2D-BE92-267AD6A79A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7453</xdr:colOff>
      <xdr:row>23</xdr:row>
      <xdr:rowOff>83279</xdr:rowOff>
    </xdr:from>
    <xdr:to>
      <xdr:col>7</xdr:col>
      <xdr:colOff>197787</xdr:colOff>
      <xdr:row>40</xdr:row>
      <xdr:rowOff>29784</xdr:rowOff>
    </xdr:to>
    <xdr:graphicFrame macro="">
      <xdr:nvGraphicFramePr>
        <xdr:cNvPr id="6" name="Chart 5">
          <a:extLst>
            <a:ext uri="{FF2B5EF4-FFF2-40B4-BE49-F238E27FC236}">
              <a16:creationId xmlns:a16="http://schemas.microsoft.com/office/drawing/2014/main" id="{733F0EDA-3A67-4E03-8711-FF360A4368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xdr:from>
          <xdr:col>2</xdr:col>
          <xdr:colOff>457200</xdr:colOff>
          <xdr:row>13</xdr:row>
          <xdr:rowOff>76200</xdr:rowOff>
        </xdr:from>
        <xdr:to>
          <xdr:col>3</xdr:col>
          <xdr:colOff>349250</xdr:colOff>
          <xdr:row>15</xdr:row>
          <xdr:rowOff>165100</xdr:rowOff>
        </xdr:to>
        <xdr:sp macro="" textlink="">
          <xdr:nvSpPr>
            <xdr:cNvPr id="43015" name="Button 7" hidden="1">
              <a:extLst>
                <a:ext uri="{63B3BB69-23CF-44E3-9099-C40C66FF867C}">
                  <a14:compatExt spid="_x0000_s43015"/>
                </a:ext>
                <a:ext uri="{FF2B5EF4-FFF2-40B4-BE49-F238E27FC236}">
                  <a16:creationId xmlns:a16="http://schemas.microsoft.com/office/drawing/2014/main" id="{00000000-0008-0000-0500-000007A8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MY" sz="1100" b="0" i="0" u="none" strike="noStrike" baseline="0">
                  <a:solidFill>
                    <a:srgbClr val="000000"/>
                  </a:solidFill>
                  <a:latin typeface="Aptos Narrow"/>
                </a:rPr>
                <a:t>Malaysia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0</xdr:col>
          <xdr:colOff>146050</xdr:colOff>
          <xdr:row>13</xdr:row>
          <xdr:rowOff>38100</xdr:rowOff>
        </xdr:from>
        <xdr:to>
          <xdr:col>1</xdr:col>
          <xdr:colOff>342900</xdr:colOff>
          <xdr:row>15</xdr:row>
          <xdr:rowOff>139700</xdr:rowOff>
        </xdr:to>
        <xdr:sp macro="" textlink="">
          <xdr:nvSpPr>
            <xdr:cNvPr id="43016" name="Button 8" hidden="1">
              <a:extLst>
                <a:ext uri="{63B3BB69-23CF-44E3-9099-C40C66FF867C}">
                  <a14:compatExt spid="_x0000_s43016"/>
                </a:ext>
                <a:ext uri="{FF2B5EF4-FFF2-40B4-BE49-F238E27FC236}">
                  <a16:creationId xmlns:a16="http://schemas.microsoft.com/office/drawing/2014/main" id="{00000000-0008-0000-0500-000008A8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MY" sz="1100" b="0" i="0" u="none" strike="noStrike" baseline="0">
                  <a:solidFill>
                    <a:srgbClr val="000000"/>
                  </a:solidFill>
                  <a:latin typeface="Aptos Narrow"/>
                </a:rPr>
                <a:t>Dashboard</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419100</xdr:colOff>
          <xdr:row>13</xdr:row>
          <xdr:rowOff>63500</xdr:rowOff>
        </xdr:from>
        <xdr:to>
          <xdr:col>2</xdr:col>
          <xdr:colOff>374650</xdr:colOff>
          <xdr:row>15</xdr:row>
          <xdr:rowOff>165100</xdr:rowOff>
        </xdr:to>
        <xdr:sp macro="" textlink="">
          <xdr:nvSpPr>
            <xdr:cNvPr id="43018" name="Button 10" hidden="1">
              <a:extLst>
                <a:ext uri="{63B3BB69-23CF-44E3-9099-C40C66FF867C}">
                  <a14:compatExt spid="_x0000_s43018"/>
                </a:ext>
                <a:ext uri="{FF2B5EF4-FFF2-40B4-BE49-F238E27FC236}">
                  <a16:creationId xmlns:a16="http://schemas.microsoft.com/office/drawing/2014/main" id="{00000000-0008-0000-0500-00000AA8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MY" sz="1100" b="0" i="0" u="none" strike="noStrike" baseline="0">
                  <a:solidFill>
                    <a:srgbClr val="000000"/>
                  </a:solidFill>
                  <a:latin typeface="Aptos Narrow"/>
                </a:rPr>
                <a:t>Loss by State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450850</xdr:colOff>
          <xdr:row>13</xdr:row>
          <xdr:rowOff>12700</xdr:rowOff>
        </xdr:from>
        <xdr:to>
          <xdr:col>4</xdr:col>
          <xdr:colOff>508000</xdr:colOff>
          <xdr:row>15</xdr:row>
          <xdr:rowOff>133350</xdr:rowOff>
        </xdr:to>
        <xdr:sp macro="" textlink="">
          <xdr:nvSpPr>
            <xdr:cNvPr id="43019" name="Button 11" hidden="1">
              <a:extLst>
                <a:ext uri="{63B3BB69-23CF-44E3-9099-C40C66FF867C}">
                  <a14:compatExt spid="_x0000_s43019"/>
                </a:ext>
                <a:ext uri="{FF2B5EF4-FFF2-40B4-BE49-F238E27FC236}">
                  <a16:creationId xmlns:a16="http://schemas.microsoft.com/office/drawing/2014/main" id="{00000000-0008-0000-0500-00000BA8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MY" sz="1100" b="0" i="0" u="none" strike="noStrike" baseline="0">
                  <a:solidFill>
                    <a:srgbClr val="000000"/>
                  </a:solidFill>
                  <a:latin typeface="Aptos Narrow"/>
                </a:rPr>
                <a:t>State Overall</a:t>
              </a:r>
            </a:p>
          </xdr:txBody>
        </xdr:sp>
        <xdr:clientData fPrintsWithSheet="0"/>
      </xdr:twoCellAnchor>
    </mc:Choice>
    <mc:Fallback/>
  </mc:AlternateContent>
  <xdr:twoCellAnchor editAs="oneCell">
    <xdr:from>
      <xdr:col>0</xdr:col>
      <xdr:colOff>83278</xdr:colOff>
      <xdr:row>16</xdr:row>
      <xdr:rowOff>124919</xdr:rowOff>
    </xdr:from>
    <xdr:to>
      <xdr:col>3</xdr:col>
      <xdr:colOff>770326</xdr:colOff>
      <xdr:row>24</xdr:row>
      <xdr:rowOff>52051</xdr:rowOff>
    </xdr:to>
    <mc:AlternateContent xmlns:mc="http://schemas.openxmlformats.org/markup-compatibility/2006" xmlns:a14="http://schemas.microsoft.com/office/drawing/2010/main">
      <mc:Choice Requires="a14">
        <xdr:graphicFrame macro="">
          <xdr:nvGraphicFramePr>
            <xdr:cNvPr id="3" name="State 1">
              <a:extLst>
                <a:ext uri="{FF2B5EF4-FFF2-40B4-BE49-F238E27FC236}">
                  <a16:creationId xmlns:a16="http://schemas.microsoft.com/office/drawing/2014/main" id="{71E63416-767E-5AEC-55BF-9B91FD505C66}"/>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83278" y="3122952"/>
              <a:ext cx="3726720" cy="1426148"/>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22</xdr:row>
          <xdr:rowOff>76200</xdr:rowOff>
        </xdr:from>
        <xdr:to>
          <xdr:col>1</xdr:col>
          <xdr:colOff>533400</xdr:colOff>
          <xdr:row>24</xdr:row>
          <xdr:rowOff>177800</xdr:rowOff>
        </xdr:to>
        <xdr:sp macro="" textlink="">
          <xdr:nvSpPr>
            <xdr:cNvPr id="44039" name="Button 7" hidden="1">
              <a:extLst>
                <a:ext uri="{63B3BB69-23CF-44E3-9099-C40C66FF867C}">
                  <a14:compatExt spid="_x0000_s44039"/>
                </a:ext>
                <a:ext uri="{FF2B5EF4-FFF2-40B4-BE49-F238E27FC236}">
                  <a16:creationId xmlns:a16="http://schemas.microsoft.com/office/drawing/2014/main" id="{00000000-0008-0000-0600-000007AC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MY" sz="1100" b="0" i="0" u="none" strike="noStrike" baseline="0">
                  <a:solidFill>
                    <a:srgbClr val="000000"/>
                  </a:solidFill>
                  <a:latin typeface="Aptos Narrow"/>
                </a:rPr>
                <a:t>Dashboard</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584200</xdr:colOff>
          <xdr:row>22</xdr:row>
          <xdr:rowOff>57150</xdr:rowOff>
        </xdr:from>
        <xdr:to>
          <xdr:col>3</xdr:col>
          <xdr:colOff>44450</xdr:colOff>
          <xdr:row>25</xdr:row>
          <xdr:rowOff>44450</xdr:rowOff>
        </xdr:to>
        <xdr:sp macro="" textlink="">
          <xdr:nvSpPr>
            <xdr:cNvPr id="44040" name="Button 8" hidden="1">
              <a:extLst>
                <a:ext uri="{63B3BB69-23CF-44E3-9099-C40C66FF867C}">
                  <a14:compatExt spid="_x0000_s44040"/>
                </a:ext>
                <a:ext uri="{FF2B5EF4-FFF2-40B4-BE49-F238E27FC236}">
                  <a16:creationId xmlns:a16="http://schemas.microsoft.com/office/drawing/2014/main" id="{00000000-0008-0000-0600-000008AC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MY" sz="1100" b="0" i="0" u="none" strike="noStrike" baseline="0">
                  <a:solidFill>
                    <a:srgbClr val="000000"/>
                  </a:solidFill>
                  <a:latin typeface="Aptos Narrow"/>
                </a:rPr>
                <a:t>Loss by Category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190500</xdr:colOff>
          <xdr:row>22</xdr:row>
          <xdr:rowOff>76200</xdr:rowOff>
        </xdr:from>
        <xdr:to>
          <xdr:col>4</xdr:col>
          <xdr:colOff>571500</xdr:colOff>
          <xdr:row>24</xdr:row>
          <xdr:rowOff>165100</xdr:rowOff>
        </xdr:to>
        <xdr:sp macro="" textlink="">
          <xdr:nvSpPr>
            <xdr:cNvPr id="44041" name="Button 9" hidden="1">
              <a:extLst>
                <a:ext uri="{63B3BB69-23CF-44E3-9099-C40C66FF867C}">
                  <a14:compatExt spid="_x0000_s44041"/>
                </a:ext>
                <a:ext uri="{FF2B5EF4-FFF2-40B4-BE49-F238E27FC236}">
                  <a16:creationId xmlns:a16="http://schemas.microsoft.com/office/drawing/2014/main" id="{00000000-0008-0000-0600-000009AC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MY" sz="1100" b="0" i="0" u="none" strike="noStrike" baseline="0">
                  <a:solidFill>
                    <a:srgbClr val="000000"/>
                  </a:solidFill>
                  <a:latin typeface="Aptos Narrow"/>
                </a:rPr>
                <a:t>Malaysia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622300</xdr:colOff>
          <xdr:row>22</xdr:row>
          <xdr:rowOff>44450</xdr:rowOff>
        </xdr:from>
        <xdr:to>
          <xdr:col>6</xdr:col>
          <xdr:colOff>146050</xdr:colOff>
          <xdr:row>24</xdr:row>
          <xdr:rowOff>158750</xdr:rowOff>
        </xdr:to>
        <xdr:sp macro="" textlink="">
          <xdr:nvSpPr>
            <xdr:cNvPr id="44042" name="Button 10" hidden="1">
              <a:extLst>
                <a:ext uri="{63B3BB69-23CF-44E3-9099-C40C66FF867C}">
                  <a14:compatExt spid="_x0000_s44042"/>
                </a:ext>
                <a:ext uri="{FF2B5EF4-FFF2-40B4-BE49-F238E27FC236}">
                  <a16:creationId xmlns:a16="http://schemas.microsoft.com/office/drawing/2014/main" id="{00000000-0008-0000-0600-00000AAC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MY" sz="1100" b="0" i="0" u="none" strike="noStrike" baseline="0">
                  <a:solidFill>
                    <a:srgbClr val="000000"/>
                  </a:solidFill>
                  <a:latin typeface="Aptos Narrow"/>
                </a:rPr>
                <a:t>State Overall</a:t>
              </a:r>
            </a:p>
          </xdr:txBody>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16</xdr:col>
      <xdr:colOff>291353</xdr:colOff>
      <xdr:row>0</xdr:row>
      <xdr:rowOff>153645</xdr:rowOff>
    </xdr:from>
    <xdr:to>
      <xdr:col>21</xdr:col>
      <xdr:colOff>617568</xdr:colOff>
      <xdr:row>14</xdr:row>
      <xdr:rowOff>145178</xdr:rowOff>
    </xdr:to>
    <xdr:graphicFrame macro="">
      <xdr:nvGraphicFramePr>
        <xdr:cNvPr id="3" name="Chart 2">
          <a:extLst>
            <a:ext uri="{FF2B5EF4-FFF2-40B4-BE49-F238E27FC236}">
              <a16:creationId xmlns:a16="http://schemas.microsoft.com/office/drawing/2014/main" id="{845F8D69-810B-FC59-CDA4-D10BC3DF9D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249115</xdr:colOff>
      <xdr:row>17</xdr:row>
      <xdr:rowOff>93784</xdr:rowOff>
    </xdr:from>
    <xdr:to>
      <xdr:col>21</xdr:col>
      <xdr:colOff>571499</xdr:colOff>
      <xdr:row>31</xdr:row>
      <xdr:rowOff>91830</xdr:rowOff>
    </xdr:to>
    <xdr:graphicFrame macro="">
      <xdr:nvGraphicFramePr>
        <xdr:cNvPr id="2" name="Chart 1">
          <a:extLst>
            <a:ext uri="{FF2B5EF4-FFF2-40B4-BE49-F238E27FC236}">
              <a16:creationId xmlns:a16="http://schemas.microsoft.com/office/drawing/2014/main" id="{D4409C10-2BEC-9ADC-8E74-24285790C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123824</xdr:colOff>
      <xdr:row>0</xdr:row>
      <xdr:rowOff>0</xdr:rowOff>
    </xdr:from>
    <xdr:to>
      <xdr:col>15</xdr:col>
      <xdr:colOff>380999</xdr:colOff>
      <xdr:row>16</xdr:row>
      <xdr:rowOff>152400</xdr:rowOff>
    </xdr:to>
    <xdr:graphicFrame macro="">
      <xdr:nvGraphicFramePr>
        <xdr:cNvPr id="5" name="Chart 4">
          <a:extLst>
            <a:ext uri="{FF2B5EF4-FFF2-40B4-BE49-F238E27FC236}">
              <a16:creationId xmlns:a16="http://schemas.microsoft.com/office/drawing/2014/main" id="{4FEC30AD-0C27-0674-DC9C-19D9D8CAAB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xdr:from>
          <xdr:col>7</xdr:col>
          <xdr:colOff>120650</xdr:colOff>
          <xdr:row>18</xdr:row>
          <xdr:rowOff>19050</xdr:rowOff>
        </xdr:from>
        <xdr:to>
          <xdr:col>8</xdr:col>
          <xdr:colOff>349250</xdr:colOff>
          <xdr:row>20</xdr:row>
          <xdr:rowOff>88900</xdr:rowOff>
        </xdr:to>
        <xdr:sp macro="" textlink="">
          <xdr:nvSpPr>
            <xdr:cNvPr id="3073" name="Button 1" hidden="1">
              <a:extLst>
                <a:ext uri="{63B3BB69-23CF-44E3-9099-C40C66FF867C}">
                  <a14:compatExt spid="_x0000_s3073"/>
                </a:ext>
                <a:ext uri="{FF2B5EF4-FFF2-40B4-BE49-F238E27FC236}">
                  <a16:creationId xmlns:a16="http://schemas.microsoft.com/office/drawing/2014/main" id="{00000000-0008-0000-1E00-0000010C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MY" sz="1100" b="0" i="0" u="none" strike="noStrike" baseline="0">
                  <a:solidFill>
                    <a:srgbClr val="000000"/>
                  </a:solidFill>
                  <a:latin typeface="Aptos Narrow"/>
                </a:rPr>
                <a:t>Pivot Malaysia</a:t>
              </a:r>
            </a:p>
          </xdr:txBody>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7</xdr:col>
          <xdr:colOff>127000</xdr:colOff>
          <xdr:row>1</xdr:row>
          <xdr:rowOff>184150</xdr:rowOff>
        </xdr:from>
        <xdr:to>
          <xdr:col>8</xdr:col>
          <xdr:colOff>1085850</xdr:colOff>
          <xdr:row>6</xdr:row>
          <xdr:rowOff>82550</xdr:rowOff>
        </xdr:to>
        <xdr:sp macro="" textlink="">
          <xdr:nvSpPr>
            <xdr:cNvPr id="4097" name="Button 1" hidden="1">
              <a:extLst>
                <a:ext uri="{63B3BB69-23CF-44E3-9099-C40C66FF867C}">
                  <a14:compatExt spid="_x0000_s4097"/>
                </a:ext>
                <a:ext uri="{FF2B5EF4-FFF2-40B4-BE49-F238E27FC236}">
                  <a16:creationId xmlns:a16="http://schemas.microsoft.com/office/drawing/2014/main" id="{00000000-0008-0000-1F00-0000011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MY" sz="1100" b="0" i="0" u="none" strike="noStrike" baseline="0">
                  <a:solidFill>
                    <a:srgbClr val="000000"/>
                  </a:solidFill>
                  <a:latin typeface="Aptos Narrow"/>
                </a:rPr>
                <a:t>Go Back (Malaysia)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158750</xdr:colOff>
          <xdr:row>7</xdr:row>
          <xdr:rowOff>69850</xdr:rowOff>
        </xdr:from>
        <xdr:to>
          <xdr:col>8</xdr:col>
          <xdr:colOff>1130300</xdr:colOff>
          <xdr:row>11</xdr:row>
          <xdr:rowOff>44450</xdr:rowOff>
        </xdr:to>
        <xdr:sp macro="" textlink="">
          <xdr:nvSpPr>
            <xdr:cNvPr id="4098" name="Button 2" hidden="1">
              <a:extLst>
                <a:ext uri="{63B3BB69-23CF-44E3-9099-C40C66FF867C}">
                  <a14:compatExt spid="_x0000_s4098"/>
                </a:ext>
                <a:ext uri="{FF2B5EF4-FFF2-40B4-BE49-F238E27FC236}">
                  <a16:creationId xmlns:a16="http://schemas.microsoft.com/office/drawing/2014/main" id="{00000000-0008-0000-1F00-0000021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MY" sz="1100" b="0" i="0" u="none" strike="noStrike" baseline="0">
                  <a:solidFill>
                    <a:srgbClr val="000000"/>
                  </a:solidFill>
                  <a:latin typeface="Aptos Narrow"/>
                </a:rPr>
                <a:t>Dashboard</a:t>
              </a:r>
            </a:p>
          </xdr:txBody>
        </xdr:sp>
        <xdr:clientData fPrintsWithSheet="0"/>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12</xdr:col>
          <xdr:colOff>82550</xdr:colOff>
          <xdr:row>23</xdr:row>
          <xdr:rowOff>63500</xdr:rowOff>
        </xdr:from>
        <xdr:to>
          <xdr:col>16</xdr:col>
          <xdr:colOff>425450</xdr:colOff>
          <xdr:row>27</xdr:row>
          <xdr:rowOff>146050</xdr:rowOff>
        </xdr:to>
        <xdr:sp macro="" textlink="">
          <xdr:nvSpPr>
            <xdr:cNvPr id="8193" name="Button 1" hidden="1">
              <a:extLst>
                <a:ext uri="{63B3BB69-23CF-44E3-9099-C40C66FF867C}">
                  <a14:compatExt spid="_x0000_s8193"/>
                </a:ext>
                <a:ext uri="{FF2B5EF4-FFF2-40B4-BE49-F238E27FC236}">
                  <a16:creationId xmlns:a16="http://schemas.microsoft.com/office/drawing/2014/main" id="{00000000-0008-0000-2000-000001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MY" sz="1100" b="0" i="0" u="none" strike="noStrike" baseline="0">
                  <a:solidFill>
                    <a:srgbClr val="000000"/>
                  </a:solidFill>
                  <a:latin typeface="Aptos Narrow"/>
                </a:rPr>
                <a:t>Go Back (Malaysia)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76200</xdr:colOff>
          <xdr:row>19</xdr:row>
          <xdr:rowOff>152400</xdr:rowOff>
        </xdr:from>
        <xdr:to>
          <xdr:col>16</xdr:col>
          <xdr:colOff>438150</xdr:colOff>
          <xdr:row>22</xdr:row>
          <xdr:rowOff>152400</xdr:rowOff>
        </xdr:to>
        <xdr:sp macro="" textlink="">
          <xdr:nvSpPr>
            <xdr:cNvPr id="8194" name="Button 2" hidden="1">
              <a:extLst>
                <a:ext uri="{63B3BB69-23CF-44E3-9099-C40C66FF867C}">
                  <a14:compatExt spid="_x0000_s8194"/>
                </a:ext>
                <a:ext uri="{FF2B5EF4-FFF2-40B4-BE49-F238E27FC236}">
                  <a16:creationId xmlns:a16="http://schemas.microsoft.com/office/drawing/2014/main" id="{00000000-0008-0000-2000-0000022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MY" sz="1100" b="0" i="0" u="none" strike="noStrike" baseline="0">
                  <a:solidFill>
                    <a:srgbClr val="000000"/>
                  </a:solidFill>
                  <a:latin typeface="Aptos Narrow"/>
                </a:rPr>
                <a:t>Dashboard</a:t>
              </a:r>
            </a:p>
          </xdr:txBody>
        </xdr:sp>
        <xdr:clientData fPrintsWithSheet="0"/>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10</xdr:col>
          <xdr:colOff>850900</xdr:colOff>
          <xdr:row>20</xdr:row>
          <xdr:rowOff>95250</xdr:rowOff>
        </xdr:from>
        <xdr:to>
          <xdr:col>14</xdr:col>
          <xdr:colOff>215900</xdr:colOff>
          <xdr:row>24</xdr:row>
          <xdr:rowOff>177800</xdr:rowOff>
        </xdr:to>
        <xdr:sp macro="" textlink="">
          <xdr:nvSpPr>
            <xdr:cNvPr id="5214" name="Button 94" hidden="1">
              <a:extLst>
                <a:ext uri="{63B3BB69-23CF-44E3-9099-C40C66FF867C}">
                  <a14:compatExt spid="_x0000_s5214"/>
                </a:ext>
                <a:ext uri="{FF2B5EF4-FFF2-40B4-BE49-F238E27FC236}">
                  <a16:creationId xmlns:a16="http://schemas.microsoft.com/office/drawing/2014/main" id="{00000000-0008-0000-2200-00005E14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MY" sz="1100" b="0" i="0" u="none" strike="noStrike" baseline="0">
                  <a:solidFill>
                    <a:srgbClr val="000000"/>
                  </a:solidFill>
                  <a:latin typeface="Aptos Narrow"/>
                </a:rPr>
                <a:t>Go Back (Malaysia)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863600</xdr:colOff>
          <xdr:row>25</xdr:row>
          <xdr:rowOff>95250</xdr:rowOff>
        </xdr:from>
        <xdr:to>
          <xdr:col>14</xdr:col>
          <xdr:colOff>260350</xdr:colOff>
          <xdr:row>29</xdr:row>
          <xdr:rowOff>0</xdr:rowOff>
        </xdr:to>
        <xdr:sp macro="" textlink="">
          <xdr:nvSpPr>
            <xdr:cNvPr id="5667" name="Button 547" hidden="1">
              <a:extLst>
                <a:ext uri="{63B3BB69-23CF-44E3-9099-C40C66FF867C}">
                  <a14:compatExt spid="_x0000_s5667"/>
                </a:ext>
                <a:ext uri="{FF2B5EF4-FFF2-40B4-BE49-F238E27FC236}">
                  <a16:creationId xmlns:a16="http://schemas.microsoft.com/office/drawing/2014/main" id="{00000000-0008-0000-2200-00002316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MY" sz="1100" b="0" i="0" u="none" strike="noStrike" baseline="0">
                  <a:solidFill>
                    <a:srgbClr val="000000"/>
                  </a:solidFill>
                  <a:latin typeface="Aptos Narrow"/>
                </a:rPr>
                <a:t>Dashboard</a:t>
              </a:r>
            </a:p>
          </xdr:txBody>
        </xdr:sp>
        <xdr:clientData fPrintsWithSheet="0"/>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577850</xdr:colOff>
          <xdr:row>19</xdr:row>
          <xdr:rowOff>127000</xdr:rowOff>
        </xdr:from>
        <xdr:to>
          <xdr:col>6</xdr:col>
          <xdr:colOff>730250</xdr:colOff>
          <xdr:row>24</xdr:row>
          <xdr:rowOff>25400</xdr:rowOff>
        </xdr:to>
        <xdr:sp macro="" textlink="">
          <xdr:nvSpPr>
            <xdr:cNvPr id="9217" name="Button 1" hidden="1">
              <a:extLst>
                <a:ext uri="{63B3BB69-23CF-44E3-9099-C40C66FF867C}">
                  <a14:compatExt spid="_x0000_s9217"/>
                </a:ext>
                <a:ext uri="{FF2B5EF4-FFF2-40B4-BE49-F238E27FC236}">
                  <a16:creationId xmlns:a16="http://schemas.microsoft.com/office/drawing/2014/main" id="{00000000-0008-0000-2300-00000124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MY" sz="1100" b="0" i="0" u="none" strike="noStrike" baseline="0">
                  <a:solidFill>
                    <a:srgbClr val="000000"/>
                  </a:solidFill>
                  <a:latin typeface="Aptos Narrow"/>
                </a:rPr>
                <a:t>Go Back (Malaysia)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596900</xdr:colOff>
          <xdr:row>24</xdr:row>
          <xdr:rowOff>95250</xdr:rowOff>
        </xdr:from>
        <xdr:to>
          <xdr:col>6</xdr:col>
          <xdr:colOff>800100</xdr:colOff>
          <xdr:row>27</xdr:row>
          <xdr:rowOff>95250</xdr:rowOff>
        </xdr:to>
        <xdr:sp macro="" textlink="">
          <xdr:nvSpPr>
            <xdr:cNvPr id="9218" name="Button 2" hidden="1">
              <a:extLst>
                <a:ext uri="{63B3BB69-23CF-44E3-9099-C40C66FF867C}">
                  <a14:compatExt spid="_x0000_s9218"/>
                </a:ext>
                <a:ext uri="{FF2B5EF4-FFF2-40B4-BE49-F238E27FC236}">
                  <a16:creationId xmlns:a16="http://schemas.microsoft.com/office/drawing/2014/main" id="{00000000-0008-0000-2300-00000224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MY" sz="1100" b="0" i="0" u="none" strike="noStrike" baseline="0">
                  <a:solidFill>
                    <a:srgbClr val="000000"/>
                  </a:solidFill>
                  <a:latin typeface="Aptos Narrow"/>
                </a:rPr>
                <a:t>Dashboard</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8</xdr:col>
          <xdr:colOff>57150</xdr:colOff>
          <xdr:row>19</xdr:row>
          <xdr:rowOff>95250</xdr:rowOff>
        </xdr:from>
        <xdr:to>
          <xdr:col>9</xdr:col>
          <xdr:colOff>819150</xdr:colOff>
          <xdr:row>23</xdr:row>
          <xdr:rowOff>6350</xdr:rowOff>
        </xdr:to>
        <xdr:sp macro="" textlink="">
          <xdr:nvSpPr>
            <xdr:cNvPr id="7169" name="Button 1" hidden="1">
              <a:extLst>
                <a:ext uri="{63B3BB69-23CF-44E3-9099-C40C66FF867C}">
                  <a14:compatExt spid="_x0000_s7169"/>
                </a:ext>
                <a:ext uri="{FF2B5EF4-FFF2-40B4-BE49-F238E27FC236}">
                  <a16:creationId xmlns:a16="http://schemas.microsoft.com/office/drawing/2014/main" id="{00000000-0008-0000-2400-0000011C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MY" sz="1100" b="0" i="0" u="none" strike="noStrike" baseline="0">
                  <a:solidFill>
                    <a:srgbClr val="000000"/>
                  </a:solidFill>
                  <a:latin typeface="Aptos Narrow"/>
                </a:rPr>
                <a:t>Go Back (Malaysia)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44450</xdr:colOff>
          <xdr:row>23</xdr:row>
          <xdr:rowOff>88900</xdr:rowOff>
        </xdr:from>
        <xdr:to>
          <xdr:col>9</xdr:col>
          <xdr:colOff>812800</xdr:colOff>
          <xdr:row>26</xdr:row>
          <xdr:rowOff>95250</xdr:rowOff>
        </xdr:to>
        <xdr:sp macro="" textlink="">
          <xdr:nvSpPr>
            <xdr:cNvPr id="7170" name="Button 2" hidden="1">
              <a:extLst>
                <a:ext uri="{63B3BB69-23CF-44E3-9099-C40C66FF867C}">
                  <a14:compatExt spid="_x0000_s7170"/>
                </a:ext>
                <a:ext uri="{FF2B5EF4-FFF2-40B4-BE49-F238E27FC236}">
                  <a16:creationId xmlns:a16="http://schemas.microsoft.com/office/drawing/2014/main" id="{00000000-0008-0000-2400-0000021C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MY" sz="1100" b="0" i="0" u="none" strike="noStrike" baseline="0">
                  <a:solidFill>
                    <a:srgbClr val="000000"/>
                  </a:solidFill>
                  <a:latin typeface="Aptos Narrow"/>
                </a:rPr>
                <a:t>Dashboard</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5</xdr:col>
          <xdr:colOff>82550</xdr:colOff>
          <xdr:row>19</xdr:row>
          <xdr:rowOff>127000</xdr:rowOff>
        </xdr:from>
        <xdr:to>
          <xdr:col>7</xdr:col>
          <xdr:colOff>311150</xdr:colOff>
          <xdr:row>24</xdr:row>
          <xdr:rowOff>25400</xdr:rowOff>
        </xdr:to>
        <xdr:sp macro="" textlink="">
          <xdr:nvSpPr>
            <xdr:cNvPr id="6145" name="Button 1" hidden="1">
              <a:extLst>
                <a:ext uri="{63B3BB69-23CF-44E3-9099-C40C66FF867C}">
                  <a14:compatExt spid="_x0000_s6145"/>
                </a:ext>
                <a:ext uri="{FF2B5EF4-FFF2-40B4-BE49-F238E27FC236}">
                  <a16:creationId xmlns:a16="http://schemas.microsoft.com/office/drawing/2014/main" id="{00000000-0008-0000-2500-00000118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MY" sz="1100" b="0" i="0" u="none" strike="noStrike" baseline="0">
                  <a:solidFill>
                    <a:srgbClr val="000000"/>
                  </a:solidFill>
                  <a:latin typeface="Aptos Narrow"/>
                </a:rPr>
                <a:t>Go Back (Malaysia)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5</xdr:col>
          <xdr:colOff>69850</xdr:colOff>
          <xdr:row>24</xdr:row>
          <xdr:rowOff>101600</xdr:rowOff>
        </xdr:from>
        <xdr:to>
          <xdr:col>7</xdr:col>
          <xdr:colOff>247650</xdr:colOff>
          <xdr:row>28</xdr:row>
          <xdr:rowOff>19050</xdr:rowOff>
        </xdr:to>
        <xdr:sp macro="" textlink="">
          <xdr:nvSpPr>
            <xdr:cNvPr id="6146" name="Button 2" hidden="1">
              <a:extLst>
                <a:ext uri="{63B3BB69-23CF-44E3-9099-C40C66FF867C}">
                  <a14:compatExt spid="_x0000_s6146"/>
                </a:ext>
                <a:ext uri="{FF2B5EF4-FFF2-40B4-BE49-F238E27FC236}">
                  <a16:creationId xmlns:a16="http://schemas.microsoft.com/office/drawing/2014/main" id="{00000000-0008-0000-2500-00000218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MY" sz="1100" b="0" i="0" u="none" strike="noStrike" baseline="0">
                  <a:solidFill>
                    <a:srgbClr val="000000"/>
                  </a:solidFill>
                  <a:latin typeface="Aptos Narrow"/>
                </a:rPr>
                <a:t>Dashboard</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1704335\Downloads\flood_impact_2022.xlsx" TargetMode="External"/><Relationship Id="rId1" Type="http://schemas.openxmlformats.org/officeDocument/2006/relationships/externalLinkPath" Target="file:///C:\Users\n1704335\Downloads\flood_impact_2022.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n1704335\Downloads\flood_impact_2023.xlsx" TargetMode="External"/><Relationship Id="rId1" Type="http://schemas.openxmlformats.org/officeDocument/2006/relationships/externalLinkPath" Target="file:///C:\Users\n1704335\Downloads\flood_impact_2023.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n1704335\Downloads\flood_impact_2025.xlsx" TargetMode="External"/><Relationship Id="rId1" Type="http://schemas.openxmlformats.org/officeDocument/2006/relationships/externalLinkPath" Target="file:///C:\Users\n1704335\Downloads\flood_impact_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Jadual 1"/>
      <sheetName val="Jadual 2"/>
      <sheetName val="Jadual 3 "/>
      <sheetName val="Jadual 4 "/>
    </sheetNames>
    <sheetDataSet>
      <sheetData sheetId="0">
        <row r="8">
          <cell r="F8">
            <v>1621955.5280000002</v>
          </cell>
          <cell r="I8">
            <v>982773.71700000006</v>
          </cell>
          <cell r="L8">
            <v>525763.9439999999</v>
          </cell>
          <cell r="O8">
            <v>891360.02794520557</v>
          </cell>
          <cell r="R8">
            <v>90600</v>
          </cell>
          <cell r="U8">
            <v>2000000</v>
          </cell>
        </row>
      </sheetData>
      <sheetData sheetId="1">
        <row r="65">
          <cell r="M65">
            <v>9755.7060000000001</v>
          </cell>
        </row>
      </sheetData>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Jadual 1"/>
      <sheetName val="Jadual 2"/>
      <sheetName val="Jadual 3"/>
      <sheetName val="Jadual 3.1"/>
      <sheetName val="Jadual 4"/>
      <sheetName val="Jadual 4.1 "/>
      <sheetName val="Jadual 4.2"/>
    </sheetNames>
    <sheetDataSet>
      <sheetData sheetId="0">
        <row r="9">
          <cell r="F9">
            <v>157392.70022828193</v>
          </cell>
          <cell r="G9">
            <v>168258.19477053755</v>
          </cell>
          <cell r="I9">
            <v>18800.68930676231</v>
          </cell>
          <cell r="J9">
            <v>22326.88466528571</v>
          </cell>
          <cell r="L9">
            <v>50302.314000000006</v>
          </cell>
          <cell r="M9">
            <v>53197.133973333344</v>
          </cell>
          <cell r="O9">
            <v>8706.5946549249838</v>
          </cell>
          <cell r="P9">
            <v>10259.602419999999</v>
          </cell>
          <cell r="R9">
            <v>154515.47230000002</v>
          </cell>
          <cell r="S9">
            <v>120629.37481000001</v>
          </cell>
          <cell r="U9">
            <v>636767.41968000005</v>
          </cell>
          <cell r="V9">
            <v>380741.95513999998</v>
          </cell>
        </row>
      </sheetData>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Jadual 1"/>
      <sheetName val="Jadual 2"/>
      <sheetName val="Jadual 3"/>
      <sheetName val="Jadual 3.1"/>
      <sheetName val="Jadual 4"/>
      <sheetName val="Jadual 4.1 "/>
      <sheetName val="Jadual 4.2"/>
    </sheetNames>
    <sheetDataSet>
      <sheetData sheetId="0">
        <row r="9">
          <cell r="F9">
            <v>372231.79154263175</v>
          </cell>
          <cell r="G9">
            <v>183815.51662189595</v>
          </cell>
          <cell r="I9">
            <v>17298.247910447</v>
          </cell>
          <cell r="J9">
            <v>6832.6792843833937</v>
          </cell>
          <cell r="L9">
            <v>54059.442399999985</v>
          </cell>
          <cell r="M9">
            <v>13448.684466666668</v>
          </cell>
          <cell r="O9">
            <v>1163.0909999999999</v>
          </cell>
          <cell r="P9">
            <v>75.599999999999994</v>
          </cell>
          <cell r="R9">
            <v>185221.80379766246</v>
          </cell>
          <cell r="S9">
            <v>52559.125660000005</v>
          </cell>
          <cell r="U9">
            <v>303379.64765999996</v>
          </cell>
          <cell r="V9">
            <v>380181.71825999999</v>
          </cell>
        </row>
      </sheetData>
      <sheetData sheetId="1"/>
      <sheetData sheetId="2"/>
      <sheetData sheetId="3"/>
      <sheetData sheetId="4"/>
      <sheetData sheetId="5"/>
      <sheetData sheetId="6"/>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zizul, Alif Firdaus" refreshedDate="46135.702131944447" createdVersion="8" refreshedVersion="8" minRefreshableVersion="3" recordCount="30" xr:uid="{CACD677B-AD71-4E8F-B102-1A2BDFA0E062}">
  <cacheSource type="worksheet">
    <worksheetSource name="MalaysiaOverall"/>
  </cacheSource>
  <cacheFields count="3">
    <cacheField name="Categories" numFmtId="0">
      <sharedItems count="7">
        <s v="Agriculture"/>
        <s v="Business Premises"/>
        <s v="Infrastructure"/>
        <s v="Living Quarters"/>
        <s v="Manufacturing"/>
        <s v="Vehicles"/>
        <s v="Total Loss" u="1"/>
      </sharedItems>
    </cacheField>
    <cacheField name="Year" numFmtId="0">
      <sharedItems containsSemiMixedTypes="0" containsString="0" containsNumber="1" containsInteger="1" minValue="2021" maxValue="2025" count="5">
        <n v="2021"/>
        <n v="2022"/>
        <n v="2023"/>
        <n v="2024"/>
        <n v="2025"/>
      </sharedItems>
    </cacheField>
    <cacheField name="Value" numFmtId="0">
      <sharedItems containsSemiMixedTypes="0" containsString="0" containsNumber="1" minValue="75.599999999999994" maxValue="2000000"/>
    </cacheField>
  </cacheFields>
  <extLst>
    <ext xmlns:x14="http://schemas.microsoft.com/office/spreadsheetml/2009/9/main" uri="{725AE2AE-9491-48be-B2B4-4EB974FC3084}">
      <x14:pivotCacheDefinition pivotCacheId="165385626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zizul, Alif Firdaus" refreshedDate="46135.702133217594" createdVersion="8" refreshedVersion="8" minRefreshableVersion="3" recordCount="392" xr:uid="{3BA48041-9771-4443-91CD-47C95D81CABC}">
  <cacheSource type="worksheet">
    <worksheetSource name="AgriSubCat"/>
  </cacheSource>
  <cacheFields count="4">
    <cacheField name="State" numFmtId="0">
      <sharedItems count="14">
        <s v="Johor"/>
        <s v="Kedah"/>
        <s v="Kelantan"/>
        <s v="Melaka"/>
        <s v="Negeri Sembilan"/>
        <s v="Pahang"/>
        <s v="Pulau Pinang"/>
        <s v="Perak"/>
        <s v="Perlis"/>
        <s v="Selangor"/>
        <s v="Terengganu"/>
        <s v="Sabah"/>
        <s v="Sarawak"/>
        <s v="W.P. Kuala Lumpur"/>
      </sharedItems>
    </cacheField>
    <cacheField name="Year" numFmtId="0">
      <sharedItems containsSemiMixedTypes="0" containsString="0" containsNumber="1" containsInteger="1" minValue="2022" maxValue="2025" count="4">
        <n v="2022"/>
        <n v="2023"/>
        <n v="2024"/>
        <n v="2025"/>
      </sharedItems>
    </cacheField>
    <cacheField name="Value" numFmtId="0">
      <sharedItems containsSemiMixedTypes="0" containsString="0" containsNumber="1" minValue="0" maxValue="117473.68799999999"/>
    </cacheField>
    <cacheField name="Category" numFmtId="0">
      <sharedItems count="7">
        <s v="Paddy"/>
        <s v="Crops"/>
        <s v="Fisheries"/>
        <s v="Livestock"/>
        <s v="Fisherman"/>
        <s v="IMAT"/>
        <s v="Commodity"/>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zizul, Alif Firdaus" refreshedDate="46135.702133449071" createdVersion="8" refreshedVersion="8" minRefreshableVersion="3" recordCount="256" xr:uid="{F42BCEE1-B335-490C-B4B3-7A387B9867EF}">
  <cacheSource type="worksheet">
    <worksheetSource name="InfraLossQuery"/>
  </cacheSource>
  <cacheFields count="4">
    <cacheField name="State" numFmtId="0">
      <sharedItems count="16">
        <s v="Johor"/>
        <s v="Kedah"/>
        <s v="Kelantan"/>
        <s v="Melaka"/>
        <s v="Negeri Sembilan"/>
        <s v="Pahang"/>
        <s v="Pulau Pinang"/>
        <s v="Perak"/>
        <s v="Perlis"/>
        <s v="Selangor"/>
        <s v="Terengganu"/>
        <s v="Sabah"/>
        <s v="Sarawak"/>
        <s v="W.P. Kuala Lumpur"/>
        <s v="W.P. Labuan"/>
        <s v="W.P. Putrajaya"/>
      </sharedItems>
    </cacheField>
    <cacheField name="Year" numFmtId="0">
      <sharedItems containsSemiMixedTypes="0" containsString="0" containsNumber="1" containsInteger="1" minValue="2022" maxValue="2025" count="4">
        <n v="2022"/>
        <n v="2023"/>
        <n v="2024"/>
        <n v="2025"/>
      </sharedItems>
    </cacheField>
    <cacheField name="Value" numFmtId="0">
      <sharedItems containsSemiMixedTypes="0" containsString="0" containsNumber="1" minValue="0" maxValue="140090"/>
    </cacheField>
    <cacheField name="Category" numFmtId="0">
      <sharedItems count="4">
        <s v="Farmer"/>
        <s v="Studies"/>
        <s v="Village"/>
        <s v="Water"/>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zizul, Alif Firdaus" refreshedDate="46135.702133564817" createdVersion="8" refreshedVersion="8" minRefreshableVersion="3" recordCount="104" xr:uid="{86FBE216-AC87-4D1C-BCA2-A4C1AC03BB85}">
  <cacheSource type="worksheet">
    <worksheetSource name="AgricultureRawData"/>
  </cacheSource>
  <cacheFields count="4">
    <cacheField name="State" numFmtId="0">
      <sharedItems count="13">
        <s v="Johor"/>
        <s v="Kedah"/>
        <s v="Kelantan"/>
        <s v="Melaka"/>
        <s v="Negeri Sembilan"/>
        <s v="Pahang"/>
        <s v="Pulau Pinang"/>
        <s v="Perak"/>
        <s v="Perlis"/>
        <s v="Selangor"/>
        <s v="Terengganu"/>
        <s v="Sabah"/>
        <s v="Sarawak"/>
      </sharedItems>
    </cacheField>
    <cacheField name="Year" numFmtId="0">
      <sharedItems containsSemiMixedTypes="0" containsString="0" containsNumber="1" containsInteger="1" minValue="2022" maxValue="2025" count="4">
        <n v="2022"/>
        <n v="2023"/>
        <n v="2024"/>
        <n v="2025"/>
      </sharedItems>
    </cacheField>
    <cacheField name="Value" numFmtId="0">
      <sharedItems containsSemiMixedTypes="0" containsString="0" containsNumber="1" minValue="0" maxValue="118210.03"/>
    </cacheField>
    <cacheField name="Category" numFmtId="0">
      <sharedItems count="2">
        <s v="Agriculture"/>
        <s v="Commodity"/>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zizul, Alif Firdaus" refreshedDate="46135.70213391204" createdVersion="8" refreshedVersion="8" minRefreshableVersion="3" recordCount="128" xr:uid="{26AD6D90-A8B9-441D-AAF1-7EA428EA4CD1}">
  <cacheSource type="worksheet">
    <worksheetSource name="JPS_Losses"/>
  </cacheSource>
  <cacheFields count="4">
    <cacheField name="State" numFmtId="0">
      <sharedItems count="16">
        <s v="Johor"/>
        <s v="Kedah"/>
        <s v="Kelantan"/>
        <s v="Melaka"/>
        <s v="Negeri Sembilan"/>
        <s v="Pahang"/>
        <s v="Pulau Pinang"/>
        <s v="Perak"/>
        <s v="Perlis"/>
        <s v="Selangor"/>
        <s v="Terengganu"/>
        <s v="Sabah"/>
        <s v="Sarawak"/>
        <s v="W.P. Kuala Lumpur"/>
        <s v="W.P. Labuan"/>
        <s v="W.P. Putrajaya"/>
      </sharedItems>
    </cacheField>
    <cacheField name="Year" numFmtId="0">
      <sharedItems containsSemiMixedTypes="0" containsString="0" containsNumber="1" containsInteger="1" minValue="2022" maxValue="2025" count="4">
        <n v="2022"/>
        <n v="2023"/>
        <n v="2024"/>
        <n v="2025"/>
      </sharedItems>
    </cacheField>
    <cacheField name="Value" numFmtId="0">
      <sharedItems containsSemiMixedTypes="0" containsString="0" containsNumber="1" minValue="0" maxValue="49581.681799999998"/>
    </cacheField>
    <cacheField name="Category" numFmtId="0">
      <sharedItems count="2">
        <s v="Flood Emergency"/>
        <s v="Flood Conservation"/>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zizul, Alif Firdaus" refreshedDate="46135.702134027779" createdVersion="8" refreshedVersion="8" minRefreshableVersion="3" recordCount="168" xr:uid="{04F6411E-D2AF-40FC-889D-D9123D0AD62D}">
  <cacheSource type="worksheet">
    <worksheetSource name="JKRQuery"/>
  </cacheSource>
  <cacheFields count="4">
    <cacheField name="State" numFmtId="0">
      <sharedItems count="14">
        <s v="Johor"/>
        <s v="Kedah"/>
        <s v="Kelantan"/>
        <s v="Melaka"/>
        <s v="Negeri Sembilan"/>
        <s v="Pahang"/>
        <s v="Pulau Pinang"/>
        <s v="Perak"/>
        <s v="Perlis"/>
        <s v="Selangor"/>
        <s v="Terengganu"/>
        <s v="Sabah"/>
        <s v="Sarawak"/>
        <s v="W.P. Kuala Lumpur"/>
      </sharedItems>
    </cacheField>
    <cacheField name="Year" numFmtId="0">
      <sharedItems containsSemiMixedTypes="0" containsString="0" containsNumber="1" containsInteger="1" minValue="2022" maxValue="2025" count="4">
        <n v="2022"/>
        <n v="2023"/>
        <n v="2024"/>
        <n v="2025"/>
      </sharedItems>
    </cacheField>
    <cacheField name="Value" numFmtId="0">
      <sharedItems containsSemiMixedTypes="0" containsString="0" containsNumber="1" minValue="0" maxValue="18700"/>
    </cacheField>
    <cacheField name="Category" numFmtId="0">
      <sharedItems count="3">
        <s v="Road"/>
        <s v="Bridge"/>
        <s v="Electric"/>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zizul, Alif Firdaus" refreshedDate="46135.708565162036" createdVersion="8" refreshedVersion="8" minRefreshableVersion="3" recordCount="480" xr:uid="{2CB136BF-5AF4-4865-AF76-AD85121C893D}">
  <cacheSource type="worksheet">
    <worksheetSource name="RawDataAll"/>
  </cacheSource>
  <cacheFields count="4">
    <cacheField name="State" numFmtId="0">
      <sharedItems count="16">
        <s v="Johor"/>
        <s v="Kedah"/>
        <s v="Kelantan"/>
        <s v="Melaka"/>
        <s v="Negeri Sembilan"/>
        <s v="Pahang"/>
        <s v="Perak"/>
        <s v="Perlis"/>
        <s v="Pulau Pinang"/>
        <s v="Sabah"/>
        <s v="Sarawak"/>
        <s v="Selangor"/>
        <s v="Terengganu"/>
        <s v="W.P. Kuala Lumpur"/>
        <s v="W.P. Labuan"/>
        <s v="W.P. Putrajaya"/>
      </sharedItems>
    </cacheField>
    <cacheField name="Year" numFmtId="0">
      <sharedItems containsSemiMixedTypes="0" containsString="0" containsNumber="1" containsInteger="1" minValue="2021" maxValue="2025" count="5">
        <n v="2021"/>
        <n v="2022"/>
        <n v="2023"/>
        <n v="2024"/>
        <n v="2025"/>
      </sharedItems>
    </cacheField>
    <cacheField name="Loss" numFmtId="0">
      <sharedItems containsSemiMixedTypes="0" containsString="0" containsNumber="1" minValue="0" maxValue="1011762.22"/>
    </cacheField>
    <cacheField name="Category" numFmtId="0">
      <sharedItems count="7">
        <s v="Living Quarter"/>
        <s v="Vehicle"/>
        <s v="Premises"/>
        <s v="Manufacturing"/>
        <s v="Agriculture"/>
        <s v="Infrastructure"/>
        <s v="Living Quarters" u="1"/>
      </sharedItems>
    </cacheField>
  </cacheFields>
  <extLst>
    <ext xmlns:x14="http://schemas.microsoft.com/office/spreadsheetml/2009/9/main" uri="{725AE2AE-9491-48be-B2B4-4EB974FC3084}">
      <x14:pivotCacheDefinition pivotCacheId="44207054"/>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zizul, Alif Firdaus" refreshedDate="46135.715657291665" createdVersion="8" refreshedVersion="8" minRefreshableVersion="3" recordCount="480" xr:uid="{68D71F37-A7B9-49B9-88B6-2D3A09906E9C}">
  <cacheSource type="worksheet">
    <worksheetSource name="Test_1"/>
  </cacheSource>
  <cacheFields count="4">
    <cacheField name="State" numFmtId="0">
      <sharedItems count="16">
        <s v="Johor"/>
        <s v="Kedah"/>
        <s v="Kelantan"/>
        <s v="Melaka"/>
        <s v="Negeri Sembilan"/>
        <s v="Pahang"/>
        <s v="Perak"/>
        <s v="Perlis"/>
        <s v="Pulau Pinang"/>
        <s v="Sabah"/>
        <s v="Sarawak"/>
        <s v="Selangor"/>
        <s v="Terengganu"/>
        <s v="W.P. Kuala Lumpur"/>
        <s v="W.P. Labuan"/>
        <s v="W.P. Putrajaya"/>
      </sharedItems>
    </cacheField>
    <cacheField name="Year" numFmtId="0">
      <sharedItems containsSemiMixedTypes="0" containsString="0" containsNumber="1" containsInteger="1" minValue="2021" maxValue="2025" count="5">
        <n v="2021"/>
        <n v="2022"/>
        <n v="2023"/>
        <n v="2024"/>
        <n v="2025"/>
      </sharedItems>
    </cacheField>
    <cacheField name="Loss" numFmtId="0">
      <sharedItems containsSemiMixedTypes="0" containsString="0" containsNumber="1" minValue="0" maxValue="1011762.22"/>
    </cacheField>
    <cacheField name="Category" numFmtId="0">
      <sharedItems count="6">
        <s v="Living Quarter"/>
        <s v="Vehicle"/>
        <s v="Premises"/>
        <s v="Manufacturing"/>
        <s v="Agriculture"/>
        <s v="Infrastructure"/>
      </sharedItems>
    </cacheField>
  </cacheFields>
  <extLst>
    <ext xmlns:x14="http://schemas.microsoft.com/office/spreadsheetml/2009/9/main" uri="{725AE2AE-9491-48be-B2B4-4EB974FC3084}">
      <x14:pivotCacheDefinition pivotCacheId="85010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n v="90600"/>
  </r>
  <r>
    <x v="0"/>
    <x v="1"/>
    <n v="154515.47230000002"/>
  </r>
  <r>
    <x v="0"/>
    <x v="2"/>
    <n v="120629.37481000001"/>
  </r>
  <r>
    <x v="0"/>
    <x v="3"/>
    <n v="185221.80379766246"/>
  </r>
  <r>
    <x v="0"/>
    <x v="4"/>
    <n v="52559.125660000005"/>
  </r>
  <r>
    <x v="1"/>
    <x v="0"/>
    <n v="525763.9439999999"/>
  </r>
  <r>
    <x v="1"/>
    <x v="1"/>
    <n v="50302.314000000006"/>
  </r>
  <r>
    <x v="1"/>
    <x v="2"/>
    <n v="53197.133973333344"/>
  </r>
  <r>
    <x v="1"/>
    <x v="3"/>
    <n v="54059.442399999985"/>
  </r>
  <r>
    <x v="1"/>
    <x v="4"/>
    <n v="13448.684466666668"/>
  </r>
  <r>
    <x v="2"/>
    <x v="0"/>
    <n v="2000000"/>
  </r>
  <r>
    <x v="2"/>
    <x v="1"/>
    <n v="636767.41968000005"/>
  </r>
  <r>
    <x v="2"/>
    <x v="2"/>
    <n v="380741.95513999998"/>
  </r>
  <r>
    <x v="2"/>
    <x v="3"/>
    <n v="303379.64765999996"/>
  </r>
  <r>
    <x v="2"/>
    <x v="4"/>
    <n v="380181.71825999999"/>
  </r>
  <r>
    <x v="3"/>
    <x v="0"/>
    <n v="1621955.5280000002"/>
  </r>
  <r>
    <x v="3"/>
    <x v="1"/>
    <n v="157392.70022828193"/>
  </r>
  <r>
    <x v="3"/>
    <x v="2"/>
    <n v="168258.19477053755"/>
  </r>
  <r>
    <x v="3"/>
    <x v="3"/>
    <n v="372231.79154263175"/>
  </r>
  <r>
    <x v="3"/>
    <x v="4"/>
    <n v="183815.51662189595"/>
  </r>
  <r>
    <x v="4"/>
    <x v="0"/>
    <n v="891360.02794520557"/>
  </r>
  <r>
    <x v="4"/>
    <x v="1"/>
    <n v="8706.5946549249838"/>
  </r>
  <r>
    <x v="4"/>
    <x v="2"/>
    <n v="10259.602419999999"/>
  </r>
  <r>
    <x v="4"/>
    <x v="3"/>
    <n v="1163.0909999999999"/>
  </r>
  <r>
    <x v="4"/>
    <x v="4"/>
    <n v="75.599999999999994"/>
  </r>
  <r>
    <x v="5"/>
    <x v="0"/>
    <n v="982773.71700000006"/>
  </r>
  <r>
    <x v="5"/>
    <x v="1"/>
    <n v="18800.68930676231"/>
  </r>
  <r>
    <x v="5"/>
    <x v="2"/>
    <n v="22326.88466528571"/>
  </r>
  <r>
    <x v="5"/>
    <x v="3"/>
    <n v="17298.247910447"/>
  </r>
  <r>
    <x v="5"/>
    <x v="4"/>
    <n v="6832.679284383393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2">
  <r>
    <x v="0"/>
    <x v="0"/>
    <n v="16"/>
    <x v="0"/>
  </r>
  <r>
    <x v="0"/>
    <x v="1"/>
    <n v="0"/>
    <x v="0"/>
  </r>
  <r>
    <x v="0"/>
    <x v="2"/>
    <n v="0"/>
    <x v="0"/>
  </r>
  <r>
    <x v="0"/>
    <x v="3"/>
    <n v="0"/>
    <x v="0"/>
  </r>
  <r>
    <x v="1"/>
    <x v="0"/>
    <n v="305.89999999999998"/>
    <x v="0"/>
  </r>
  <r>
    <x v="1"/>
    <x v="1"/>
    <n v="0"/>
    <x v="0"/>
  </r>
  <r>
    <x v="1"/>
    <x v="2"/>
    <n v="117473.68799999999"/>
    <x v="0"/>
  </r>
  <r>
    <x v="1"/>
    <x v="3"/>
    <n v="0"/>
    <x v="0"/>
  </r>
  <r>
    <x v="2"/>
    <x v="0"/>
    <n v="61654.010299999994"/>
    <x v="0"/>
  </r>
  <r>
    <x v="2"/>
    <x v="1"/>
    <n v="0"/>
    <x v="0"/>
  </r>
  <r>
    <x v="2"/>
    <x v="2"/>
    <n v="10374.332"/>
    <x v="0"/>
  </r>
  <r>
    <x v="2"/>
    <x v="3"/>
    <n v="0"/>
    <x v="0"/>
  </r>
  <r>
    <x v="3"/>
    <x v="0"/>
    <n v="0"/>
    <x v="0"/>
  </r>
  <r>
    <x v="3"/>
    <x v="1"/>
    <n v="0"/>
    <x v="0"/>
  </r>
  <r>
    <x v="3"/>
    <x v="2"/>
    <n v="0"/>
    <x v="0"/>
  </r>
  <r>
    <x v="3"/>
    <x v="3"/>
    <n v="0"/>
    <x v="0"/>
  </r>
  <r>
    <x v="4"/>
    <x v="0"/>
    <n v="16.038"/>
    <x v="0"/>
  </r>
  <r>
    <x v="4"/>
    <x v="1"/>
    <n v="0"/>
    <x v="0"/>
  </r>
  <r>
    <x v="4"/>
    <x v="2"/>
    <n v="0"/>
    <x v="0"/>
  </r>
  <r>
    <x v="4"/>
    <x v="3"/>
    <n v="0"/>
    <x v="0"/>
  </r>
  <r>
    <x v="5"/>
    <x v="0"/>
    <n v="301.5"/>
    <x v="0"/>
  </r>
  <r>
    <x v="5"/>
    <x v="1"/>
    <n v="0"/>
    <x v="0"/>
  </r>
  <r>
    <x v="5"/>
    <x v="2"/>
    <n v="0"/>
    <x v="0"/>
  </r>
  <r>
    <x v="5"/>
    <x v="3"/>
    <n v="0"/>
    <x v="0"/>
  </r>
  <r>
    <x v="6"/>
    <x v="0"/>
    <n v="71.847999999999999"/>
    <x v="0"/>
  </r>
  <r>
    <x v="6"/>
    <x v="1"/>
    <n v="0"/>
    <x v="0"/>
  </r>
  <r>
    <x v="6"/>
    <x v="2"/>
    <n v="0"/>
    <x v="0"/>
  </r>
  <r>
    <x v="6"/>
    <x v="3"/>
    <n v="0"/>
    <x v="0"/>
  </r>
  <r>
    <x v="7"/>
    <x v="0"/>
    <n v="85.813000000000002"/>
    <x v="0"/>
  </r>
  <r>
    <x v="7"/>
    <x v="1"/>
    <n v="0"/>
    <x v="0"/>
  </r>
  <r>
    <x v="7"/>
    <x v="2"/>
    <n v="0"/>
    <x v="0"/>
  </r>
  <r>
    <x v="7"/>
    <x v="3"/>
    <n v="0"/>
    <x v="0"/>
  </r>
  <r>
    <x v="8"/>
    <x v="0"/>
    <n v="0"/>
    <x v="0"/>
  </r>
  <r>
    <x v="8"/>
    <x v="1"/>
    <n v="0"/>
    <x v="0"/>
  </r>
  <r>
    <x v="8"/>
    <x v="2"/>
    <n v="0"/>
    <x v="0"/>
  </r>
  <r>
    <x v="8"/>
    <x v="3"/>
    <n v="0"/>
    <x v="0"/>
  </r>
  <r>
    <x v="9"/>
    <x v="0"/>
    <n v="26.603999999999999"/>
    <x v="0"/>
  </r>
  <r>
    <x v="9"/>
    <x v="1"/>
    <n v="0"/>
    <x v="0"/>
  </r>
  <r>
    <x v="9"/>
    <x v="2"/>
    <n v="0"/>
    <x v="0"/>
  </r>
  <r>
    <x v="9"/>
    <x v="3"/>
    <n v="0"/>
    <x v="0"/>
  </r>
  <r>
    <x v="10"/>
    <x v="0"/>
    <n v="18926.241999999998"/>
    <x v="0"/>
  </r>
  <r>
    <x v="10"/>
    <x v="1"/>
    <n v="0"/>
    <x v="0"/>
  </r>
  <r>
    <x v="10"/>
    <x v="2"/>
    <n v="0"/>
    <x v="0"/>
  </r>
  <r>
    <x v="10"/>
    <x v="3"/>
    <n v="0"/>
    <x v="0"/>
  </r>
  <r>
    <x v="11"/>
    <x v="0"/>
    <n v="0"/>
    <x v="0"/>
  </r>
  <r>
    <x v="11"/>
    <x v="1"/>
    <n v="0"/>
    <x v="0"/>
  </r>
  <r>
    <x v="11"/>
    <x v="2"/>
    <n v="0"/>
    <x v="0"/>
  </r>
  <r>
    <x v="11"/>
    <x v="3"/>
    <n v="0"/>
    <x v="0"/>
  </r>
  <r>
    <x v="12"/>
    <x v="0"/>
    <n v="0"/>
    <x v="0"/>
  </r>
  <r>
    <x v="12"/>
    <x v="1"/>
    <n v="0"/>
    <x v="0"/>
  </r>
  <r>
    <x v="12"/>
    <x v="2"/>
    <n v="0"/>
    <x v="0"/>
  </r>
  <r>
    <x v="12"/>
    <x v="3"/>
    <n v="0"/>
    <x v="0"/>
  </r>
  <r>
    <x v="13"/>
    <x v="0"/>
    <n v="0"/>
    <x v="0"/>
  </r>
  <r>
    <x v="13"/>
    <x v="1"/>
    <n v="0"/>
    <x v="0"/>
  </r>
  <r>
    <x v="13"/>
    <x v="2"/>
    <n v="0"/>
    <x v="0"/>
  </r>
  <r>
    <x v="13"/>
    <x v="3"/>
    <n v="0"/>
    <x v="0"/>
  </r>
  <r>
    <x v="0"/>
    <x v="0"/>
    <n v="111"/>
    <x v="1"/>
  </r>
  <r>
    <x v="0"/>
    <x v="1"/>
    <n v="0"/>
    <x v="1"/>
  </r>
  <r>
    <x v="0"/>
    <x v="2"/>
    <n v="724.61900000000003"/>
    <x v="1"/>
  </r>
  <r>
    <x v="0"/>
    <x v="3"/>
    <n v="719.93499999999995"/>
    <x v="1"/>
  </r>
  <r>
    <x v="1"/>
    <x v="0"/>
    <n v="14.2"/>
    <x v="1"/>
  </r>
  <r>
    <x v="1"/>
    <x v="1"/>
    <n v="0"/>
    <x v="1"/>
  </r>
  <r>
    <x v="1"/>
    <x v="2"/>
    <n v="346.85"/>
    <x v="1"/>
  </r>
  <r>
    <x v="1"/>
    <x v="3"/>
    <n v="222.85"/>
    <x v="1"/>
  </r>
  <r>
    <x v="2"/>
    <x v="0"/>
    <n v="2121.98"/>
    <x v="1"/>
  </r>
  <r>
    <x v="2"/>
    <x v="1"/>
    <n v="0"/>
    <x v="1"/>
  </r>
  <r>
    <x v="2"/>
    <x v="2"/>
    <n v="8544.4495000000006"/>
    <x v="1"/>
  </r>
  <r>
    <x v="2"/>
    <x v="3"/>
    <n v="2322.9899999999998"/>
    <x v="1"/>
  </r>
  <r>
    <x v="3"/>
    <x v="0"/>
    <n v="0"/>
    <x v="1"/>
  </r>
  <r>
    <x v="3"/>
    <x v="1"/>
    <n v="0"/>
    <x v="1"/>
  </r>
  <r>
    <x v="3"/>
    <x v="2"/>
    <n v="229.95"/>
    <x v="1"/>
  </r>
  <r>
    <x v="3"/>
    <x v="3"/>
    <n v="232"/>
    <x v="1"/>
  </r>
  <r>
    <x v="4"/>
    <x v="0"/>
    <n v="2930.55"/>
    <x v="1"/>
  </r>
  <r>
    <x v="4"/>
    <x v="1"/>
    <n v="0"/>
    <x v="1"/>
  </r>
  <r>
    <x v="4"/>
    <x v="2"/>
    <n v="698.69899999999996"/>
    <x v="1"/>
  </r>
  <r>
    <x v="4"/>
    <x v="3"/>
    <n v="395.45"/>
    <x v="1"/>
  </r>
  <r>
    <x v="5"/>
    <x v="0"/>
    <n v="1267.32"/>
    <x v="1"/>
  </r>
  <r>
    <x v="5"/>
    <x v="1"/>
    <n v="0"/>
    <x v="1"/>
  </r>
  <r>
    <x v="5"/>
    <x v="2"/>
    <n v="2155.8690000000001"/>
    <x v="1"/>
  </r>
  <r>
    <x v="5"/>
    <x v="3"/>
    <n v="2413.9499999999998"/>
    <x v="1"/>
  </r>
  <r>
    <x v="6"/>
    <x v="0"/>
    <n v="0"/>
    <x v="1"/>
  </r>
  <r>
    <x v="6"/>
    <x v="1"/>
    <n v="0"/>
    <x v="1"/>
  </r>
  <r>
    <x v="6"/>
    <x v="2"/>
    <n v="11.4"/>
    <x v="1"/>
  </r>
  <r>
    <x v="6"/>
    <x v="3"/>
    <n v="251.65"/>
    <x v="1"/>
  </r>
  <r>
    <x v="7"/>
    <x v="0"/>
    <n v="519"/>
    <x v="1"/>
  </r>
  <r>
    <x v="7"/>
    <x v="1"/>
    <n v="0"/>
    <x v="1"/>
  </r>
  <r>
    <x v="7"/>
    <x v="2"/>
    <n v="136.84100000000001"/>
    <x v="1"/>
  </r>
  <r>
    <x v="7"/>
    <x v="3"/>
    <n v="2426.4349999999999"/>
    <x v="1"/>
  </r>
  <r>
    <x v="8"/>
    <x v="0"/>
    <n v="0"/>
    <x v="1"/>
  </r>
  <r>
    <x v="8"/>
    <x v="1"/>
    <n v="0"/>
    <x v="1"/>
  </r>
  <r>
    <x v="8"/>
    <x v="2"/>
    <n v="167.35"/>
    <x v="1"/>
  </r>
  <r>
    <x v="8"/>
    <x v="3"/>
    <n v="381.399"/>
    <x v="1"/>
  </r>
  <r>
    <x v="9"/>
    <x v="0"/>
    <n v="3082"/>
    <x v="1"/>
  </r>
  <r>
    <x v="9"/>
    <x v="1"/>
    <n v="0"/>
    <x v="1"/>
  </r>
  <r>
    <x v="9"/>
    <x v="2"/>
    <n v="1698.6679999999999"/>
    <x v="1"/>
  </r>
  <r>
    <x v="9"/>
    <x v="3"/>
    <n v="4224.5"/>
    <x v="1"/>
  </r>
  <r>
    <x v="10"/>
    <x v="0"/>
    <n v="23098.703000000001"/>
    <x v="1"/>
  </r>
  <r>
    <x v="10"/>
    <x v="1"/>
    <n v="0"/>
    <x v="1"/>
  </r>
  <r>
    <x v="10"/>
    <x v="2"/>
    <n v="2069.3000000000002"/>
    <x v="1"/>
  </r>
  <r>
    <x v="10"/>
    <x v="3"/>
    <n v="784.86"/>
    <x v="1"/>
  </r>
  <r>
    <x v="11"/>
    <x v="0"/>
    <n v="0"/>
    <x v="1"/>
  </r>
  <r>
    <x v="11"/>
    <x v="1"/>
    <n v="0"/>
    <x v="1"/>
  </r>
  <r>
    <x v="11"/>
    <x v="2"/>
    <n v="0"/>
    <x v="1"/>
  </r>
  <r>
    <x v="11"/>
    <x v="3"/>
    <n v="0"/>
    <x v="1"/>
  </r>
  <r>
    <x v="12"/>
    <x v="0"/>
    <n v="82"/>
    <x v="1"/>
  </r>
  <r>
    <x v="12"/>
    <x v="1"/>
    <n v="0"/>
    <x v="1"/>
  </r>
  <r>
    <x v="12"/>
    <x v="2"/>
    <n v="443.7"/>
    <x v="1"/>
  </r>
  <r>
    <x v="12"/>
    <x v="3"/>
    <n v="0"/>
    <x v="1"/>
  </r>
  <r>
    <x v="13"/>
    <x v="0"/>
    <n v="0"/>
    <x v="1"/>
  </r>
  <r>
    <x v="13"/>
    <x v="1"/>
    <n v="0"/>
    <x v="1"/>
  </r>
  <r>
    <x v="13"/>
    <x v="2"/>
    <n v="0"/>
    <x v="1"/>
  </r>
  <r>
    <x v="13"/>
    <x v="3"/>
    <n v="0"/>
    <x v="1"/>
  </r>
  <r>
    <x v="0"/>
    <x v="0"/>
    <n v="120.36"/>
    <x v="2"/>
  </r>
  <r>
    <x v="0"/>
    <x v="1"/>
    <n v="1"/>
    <x v="2"/>
  </r>
  <r>
    <x v="0"/>
    <x v="2"/>
    <n v="1634.7460000000001"/>
    <x v="2"/>
  </r>
  <r>
    <x v="0"/>
    <x v="3"/>
    <n v="12236.12"/>
    <x v="2"/>
  </r>
  <r>
    <x v="1"/>
    <x v="0"/>
    <n v="7"/>
    <x v="2"/>
  </r>
  <r>
    <x v="1"/>
    <x v="1"/>
    <n v="1"/>
    <x v="2"/>
  </r>
  <r>
    <x v="1"/>
    <x v="2"/>
    <n v="27.114999999999998"/>
    <x v="2"/>
  </r>
  <r>
    <x v="1"/>
    <x v="3"/>
    <n v="4238"/>
    <x v="2"/>
  </r>
  <r>
    <x v="2"/>
    <x v="0"/>
    <n v="1841.0640000000001"/>
    <x v="2"/>
  </r>
  <r>
    <x v="2"/>
    <x v="1"/>
    <n v="1"/>
    <x v="2"/>
  </r>
  <r>
    <x v="2"/>
    <x v="2"/>
    <n v="1020.4"/>
    <x v="2"/>
  </r>
  <r>
    <x v="2"/>
    <x v="3"/>
    <n v="1276"/>
    <x v="2"/>
  </r>
  <r>
    <x v="3"/>
    <x v="0"/>
    <n v="98.3"/>
    <x v="2"/>
  </r>
  <r>
    <x v="3"/>
    <x v="1"/>
    <n v="1"/>
    <x v="2"/>
  </r>
  <r>
    <x v="3"/>
    <x v="2"/>
    <n v="144.8366"/>
    <x v="2"/>
  </r>
  <r>
    <x v="3"/>
    <x v="3"/>
    <n v="0"/>
    <x v="2"/>
  </r>
  <r>
    <x v="4"/>
    <x v="0"/>
    <n v="60.55"/>
    <x v="2"/>
  </r>
  <r>
    <x v="4"/>
    <x v="1"/>
    <n v="1"/>
    <x v="2"/>
  </r>
  <r>
    <x v="4"/>
    <x v="2"/>
    <n v="442.83"/>
    <x v="2"/>
  </r>
  <r>
    <x v="4"/>
    <x v="3"/>
    <n v="1957.82"/>
    <x v="2"/>
  </r>
  <r>
    <x v="5"/>
    <x v="0"/>
    <n v="111"/>
    <x v="2"/>
  </r>
  <r>
    <x v="5"/>
    <x v="1"/>
    <n v="1"/>
    <x v="2"/>
  </r>
  <r>
    <x v="5"/>
    <x v="2"/>
    <n v="6461.7"/>
    <x v="2"/>
  </r>
  <r>
    <x v="5"/>
    <x v="3"/>
    <n v="1570"/>
    <x v="2"/>
  </r>
  <r>
    <x v="6"/>
    <x v="0"/>
    <n v="3"/>
    <x v="2"/>
  </r>
  <r>
    <x v="6"/>
    <x v="1"/>
    <n v="1"/>
    <x v="2"/>
  </r>
  <r>
    <x v="6"/>
    <x v="2"/>
    <n v="50"/>
    <x v="2"/>
  </r>
  <r>
    <x v="6"/>
    <x v="3"/>
    <n v="2334.4746"/>
    <x v="2"/>
  </r>
  <r>
    <x v="7"/>
    <x v="0"/>
    <n v="153"/>
    <x v="2"/>
  </r>
  <r>
    <x v="7"/>
    <x v="1"/>
    <n v="1"/>
    <x v="2"/>
  </r>
  <r>
    <x v="7"/>
    <x v="2"/>
    <n v="150"/>
    <x v="2"/>
  </r>
  <r>
    <x v="7"/>
    <x v="3"/>
    <n v="1986.64"/>
    <x v="2"/>
  </r>
  <r>
    <x v="8"/>
    <x v="0"/>
    <n v="0"/>
    <x v="2"/>
  </r>
  <r>
    <x v="8"/>
    <x v="1"/>
    <n v="1"/>
    <x v="2"/>
  </r>
  <r>
    <x v="8"/>
    <x v="2"/>
    <n v="0"/>
    <x v="2"/>
  </r>
  <r>
    <x v="8"/>
    <x v="3"/>
    <n v="375.55"/>
    <x v="2"/>
  </r>
  <r>
    <x v="9"/>
    <x v="0"/>
    <n v="36"/>
    <x v="2"/>
  </r>
  <r>
    <x v="9"/>
    <x v="1"/>
    <n v="1"/>
    <x v="2"/>
  </r>
  <r>
    <x v="9"/>
    <x v="2"/>
    <n v="171.49"/>
    <x v="2"/>
  </r>
  <r>
    <x v="9"/>
    <x v="3"/>
    <n v="5054.2"/>
    <x v="2"/>
  </r>
  <r>
    <x v="10"/>
    <x v="0"/>
    <n v="279.18"/>
    <x v="2"/>
  </r>
  <r>
    <x v="10"/>
    <x v="1"/>
    <n v="1"/>
    <x v="2"/>
  </r>
  <r>
    <x v="10"/>
    <x v="2"/>
    <n v="2768.7114999999999"/>
    <x v="2"/>
  </r>
  <r>
    <x v="10"/>
    <x v="3"/>
    <n v="222.7"/>
    <x v="2"/>
  </r>
  <r>
    <x v="11"/>
    <x v="0"/>
    <n v="0"/>
    <x v="2"/>
  </r>
  <r>
    <x v="11"/>
    <x v="1"/>
    <n v="1"/>
    <x v="2"/>
  </r>
  <r>
    <x v="11"/>
    <x v="2"/>
    <n v="0"/>
    <x v="2"/>
  </r>
  <r>
    <x v="11"/>
    <x v="3"/>
    <n v="3088.48"/>
    <x v="2"/>
  </r>
  <r>
    <x v="12"/>
    <x v="0"/>
    <n v="0"/>
    <x v="2"/>
  </r>
  <r>
    <x v="12"/>
    <x v="1"/>
    <n v="1"/>
    <x v="2"/>
  </r>
  <r>
    <x v="12"/>
    <x v="2"/>
    <n v="9.5220000000000002"/>
    <x v="2"/>
  </r>
  <r>
    <x v="12"/>
    <x v="3"/>
    <n v="0"/>
    <x v="2"/>
  </r>
  <r>
    <x v="13"/>
    <x v="0"/>
    <n v="0"/>
    <x v="2"/>
  </r>
  <r>
    <x v="13"/>
    <x v="1"/>
    <n v="1"/>
    <x v="2"/>
  </r>
  <r>
    <x v="13"/>
    <x v="2"/>
    <n v="0"/>
    <x v="2"/>
  </r>
  <r>
    <x v="13"/>
    <x v="3"/>
    <n v="0"/>
    <x v="2"/>
  </r>
  <r>
    <x v="0"/>
    <x v="0"/>
    <n v="0"/>
    <x v="3"/>
  </r>
  <r>
    <x v="0"/>
    <x v="1"/>
    <n v="0"/>
    <x v="3"/>
  </r>
  <r>
    <x v="0"/>
    <x v="2"/>
    <n v="52.35"/>
    <x v="3"/>
  </r>
  <r>
    <x v="0"/>
    <x v="3"/>
    <n v="54.329000000000001"/>
    <x v="3"/>
  </r>
  <r>
    <x v="1"/>
    <x v="0"/>
    <n v="0"/>
    <x v="3"/>
  </r>
  <r>
    <x v="1"/>
    <x v="1"/>
    <n v="0"/>
    <x v="3"/>
  </r>
  <r>
    <x v="1"/>
    <x v="2"/>
    <n v="268.71499999999997"/>
    <x v="3"/>
  </r>
  <r>
    <x v="1"/>
    <x v="3"/>
    <n v="579.09"/>
    <x v="3"/>
  </r>
  <r>
    <x v="2"/>
    <x v="0"/>
    <n v="352.63600000000002"/>
    <x v="3"/>
  </r>
  <r>
    <x v="2"/>
    <x v="1"/>
    <n v="0"/>
    <x v="3"/>
  </r>
  <r>
    <x v="2"/>
    <x v="2"/>
    <n v="2158.7979999999998"/>
    <x v="3"/>
  </r>
  <r>
    <x v="2"/>
    <x v="3"/>
    <n v="780.60199999999998"/>
    <x v="3"/>
  </r>
  <r>
    <x v="3"/>
    <x v="0"/>
    <n v="0"/>
    <x v="3"/>
  </r>
  <r>
    <x v="3"/>
    <x v="1"/>
    <n v="0"/>
    <x v="3"/>
  </r>
  <r>
    <x v="3"/>
    <x v="2"/>
    <n v="96.9"/>
    <x v="3"/>
  </r>
  <r>
    <x v="3"/>
    <x v="3"/>
    <n v="280.298"/>
    <x v="3"/>
  </r>
  <r>
    <x v="4"/>
    <x v="0"/>
    <n v="0"/>
    <x v="3"/>
  </r>
  <r>
    <x v="4"/>
    <x v="1"/>
    <n v="0"/>
    <x v="3"/>
  </r>
  <r>
    <x v="4"/>
    <x v="2"/>
    <n v="68.39"/>
    <x v="3"/>
  </r>
  <r>
    <x v="4"/>
    <x v="3"/>
    <n v="21.5352"/>
    <x v="3"/>
  </r>
  <r>
    <x v="5"/>
    <x v="0"/>
    <n v="10"/>
    <x v="3"/>
  </r>
  <r>
    <x v="5"/>
    <x v="1"/>
    <n v="0"/>
    <x v="3"/>
  </r>
  <r>
    <x v="5"/>
    <x v="2"/>
    <n v="189.5"/>
    <x v="3"/>
  </r>
  <r>
    <x v="5"/>
    <x v="3"/>
    <n v="281.49935999999997"/>
    <x v="3"/>
  </r>
  <r>
    <x v="6"/>
    <x v="0"/>
    <n v="0"/>
    <x v="3"/>
  </r>
  <r>
    <x v="6"/>
    <x v="1"/>
    <n v="0"/>
    <x v="3"/>
  </r>
  <r>
    <x v="6"/>
    <x v="2"/>
    <n v="0"/>
    <x v="3"/>
  </r>
  <r>
    <x v="6"/>
    <x v="3"/>
    <n v="6.61"/>
    <x v="3"/>
  </r>
  <r>
    <x v="7"/>
    <x v="0"/>
    <n v="10"/>
    <x v="3"/>
  </r>
  <r>
    <x v="7"/>
    <x v="1"/>
    <n v="0"/>
    <x v="3"/>
  </r>
  <r>
    <x v="7"/>
    <x v="2"/>
    <n v="25.5"/>
    <x v="3"/>
  </r>
  <r>
    <x v="7"/>
    <x v="3"/>
    <n v="0"/>
    <x v="3"/>
  </r>
  <r>
    <x v="8"/>
    <x v="0"/>
    <n v="0"/>
    <x v="3"/>
  </r>
  <r>
    <x v="8"/>
    <x v="1"/>
    <n v="0"/>
    <x v="3"/>
  </r>
  <r>
    <x v="8"/>
    <x v="2"/>
    <n v="0"/>
    <x v="3"/>
  </r>
  <r>
    <x v="8"/>
    <x v="3"/>
    <n v="465.02300000000002"/>
    <x v="3"/>
  </r>
  <r>
    <x v="9"/>
    <x v="0"/>
    <n v="0"/>
    <x v="3"/>
  </r>
  <r>
    <x v="9"/>
    <x v="1"/>
    <n v="0"/>
    <x v="3"/>
  </r>
  <r>
    <x v="9"/>
    <x v="2"/>
    <n v="0"/>
    <x v="3"/>
  </r>
  <r>
    <x v="9"/>
    <x v="3"/>
    <n v="303.33049999999997"/>
    <x v="3"/>
  </r>
  <r>
    <x v="10"/>
    <x v="0"/>
    <n v="36526.173999999999"/>
    <x v="3"/>
  </r>
  <r>
    <x v="10"/>
    <x v="1"/>
    <n v="0"/>
    <x v="3"/>
  </r>
  <r>
    <x v="10"/>
    <x v="2"/>
    <n v="1294.125"/>
    <x v="3"/>
  </r>
  <r>
    <x v="10"/>
    <x v="3"/>
    <n v="0"/>
    <x v="3"/>
  </r>
  <r>
    <x v="11"/>
    <x v="0"/>
    <n v="0"/>
    <x v="3"/>
  </r>
  <r>
    <x v="11"/>
    <x v="1"/>
    <n v="0"/>
    <x v="3"/>
  </r>
  <r>
    <x v="11"/>
    <x v="2"/>
    <n v="44.377000000000002"/>
    <x v="3"/>
  </r>
  <r>
    <x v="11"/>
    <x v="3"/>
    <n v="349.142"/>
    <x v="3"/>
  </r>
  <r>
    <x v="12"/>
    <x v="0"/>
    <n v="0"/>
    <x v="3"/>
  </r>
  <r>
    <x v="12"/>
    <x v="1"/>
    <n v="0"/>
    <x v="3"/>
  </r>
  <r>
    <x v="12"/>
    <x v="2"/>
    <n v="0"/>
    <x v="3"/>
  </r>
  <r>
    <x v="12"/>
    <x v="3"/>
    <n v="0"/>
    <x v="3"/>
  </r>
  <r>
    <x v="13"/>
    <x v="0"/>
    <n v="0"/>
    <x v="3"/>
  </r>
  <r>
    <x v="13"/>
    <x v="1"/>
    <n v="0"/>
    <x v="3"/>
  </r>
  <r>
    <x v="13"/>
    <x v="2"/>
    <n v="0"/>
    <x v="3"/>
  </r>
  <r>
    <x v="13"/>
    <x v="3"/>
    <n v="0"/>
    <x v="3"/>
  </r>
  <r>
    <x v="0"/>
    <x v="0"/>
    <n v="0"/>
    <x v="4"/>
  </r>
  <r>
    <x v="0"/>
    <x v="1"/>
    <n v="0"/>
    <x v="4"/>
  </r>
  <r>
    <x v="0"/>
    <x v="2"/>
    <n v="0"/>
    <x v="4"/>
  </r>
  <r>
    <x v="0"/>
    <x v="3"/>
    <n v="0"/>
    <x v="4"/>
  </r>
  <r>
    <x v="1"/>
    <x v="0"/>
    <n v="0"/>
    <x v="4"/>
  </r>
  <r>
    <x v="1"/>
    <x v="1"/>
    <n v="0"/>
    <x v="4"/>
  </r>
  <r>
    <x v="1"/>
    <x v="2"/>
    <n v="0"/>
    <x v="4"/>
  </r>
  <r>
    <x v="1"/>
    <x v="3"/>
    <n v="0"/>
    <x v="4"/>
  </r>
  <r>
    <x v="2"/>
    <x v="0"/>
    <n v="0"/>
    <x v="4"/>
  </r>
  <r>
    <x v="2"/>
    <x v="1"/>
    <n v="0"/>
    <x v="4"/>
  </r>
  <r>
    <x v="2"/>
    <x v="2"/>
    <n v="0"/>
    <x v="4"/>
  </r>
  <r>
    <x v="2"/>
    <x v="3"/>
    <n v="0"/>
    <x v="4"/>
  </r>
  <r>
    <x v="3"/>
    <x v="0"/>
    <n v="0"/>
    <x v="4"/>
  </r>
  <r>
    <x v="3"/>
    <x v="1"/>
    <n v="0"/>
    <x v="4"/>
  </r>
  <r>
    <x v="3"/>
    <x v="2"/>
    <n v="0"/>
    <x v="4"/>
  </r>
  <r>
    <x v="3"/>
    <x v="3"/>
    <n v="0"/>
    <x v="4"/>
  </r>
  <r>
    <x v="4"/>
    <x v="0"/>
    <n v="0"/>
    <x v="4"/>
  </r>
  <r>
    <x v="4"/>
    <x v="1"/>
    <n v="0"/>
    <x v="4"/>
  </r>
  <r>
    <x v="4"/>
    <x v="2"/>
    <n v="0"/>
    <x v="4"/>
  </r>
  <r>
    <x v="4"/>
    <x v="3"/>
    <n v="0"/>
    <x v="4"/>
  </r>
  <r>
    <x v="5"/>
    <x v="0"/>
    <n v="0"/>
    <x v="4"/>
  </r>
  <r>
    <x v="5"/>
    <x v="1"/>
    <n v="0"/>
    <x v="4"/>
  </r>
  <r>
    <x v="5"/>
    <x v="2"/>
    <n v="0"/>
    <x v="4"/>
  </r>
  <r>
    <x v="5"/>
    <x v="3"/>
    <n v="0"/>
    <x v="4"/>
  </r>
  <r>
    <x v="6"/>
    <x v="0"/>
    <n v="0"/>
    <x v="4"/>
  </r>
  <r>
    <x v="6"/>
    <x v="1"/>
    <n v="0"/>
    <x v="4"/>
  </r>
  <r>
    <x v="6"/>
    <x v="2"/>
    <n v="0"/>
    <x v="4"/>
  </r>
  <r>
    <x v="6"/>
    <x v="3"/>
    <n v="0"/>
    <x v="4"/>
  </r>
  <r>
    <x v="7"/>
    <x v="0"/>
    <n v="0"/>
    <x v="4"/>
  </r>
  <r>
    <x v="7"/>
    <x v="1"/>
    <n v="0"/>
    <x v="4"/>
  </r>
  <r>
    <x v="7"/>
    <x v="2"/>
    <n v="0"/>
    <x v="4"/>
  </r>
  <r>
    <x v="7"/>
    <x v="3"/>
    <n v="0"/>
    <x v="4"/>
  </r>
  <r>
    <x v="8"/>
    <x v="0"/>
    <n v="0"/>
    <x v="4"/>
  </r>
  <r>
    <x v="8"/>
    <x v="1"/>
    <n v="0"/>
    <x v="4"/>
  </r>
  <r>
    <x v="8"/>
    <x v="2"/>
    <n v="0"/>
    <x v="4"/>
  </r>
  <r>
    <x v="8"/>
    <x v="3"/>
    <n v="0"/>
    <x v="4"/>
  </r>
  <r>
    <x v="9"/>
    <x v="0"/>
    <n v="0"/>
    <x v="4"/>
  </r>
  <r>
    <x v="9"/>
    <x v="1"/>
    <n v="0"/>
    <x v="4"/>
  </r>
  <r>
    <x v="9"/>
    <x v="2"/>
    <n v="0"/>
    <x v="4"/>
  </r>
  <r>
    <x v="9"/>
    <x v="3"/>
    <n v="0"/>
    <x v="4"/>
  </r>
  <r>
    <x v="10"/>
    <x v="0"/>
    <n v="0"/>
    <x v="4"/>
  </r>
  <r>
    <x v="10"/>
    <x v="1"/>
    <n v="0"/>
    <x v="4"/>
  </r>
  <r>
    <x v="10"/>
    <x v="2"/>
    <n v="0"/>
    <x v="4"/>
  </r>
  <r>
    <x v="10"/>
    <x v="3"/>
    <n v="0"/>
    <x v="4"/>
  </r>
  <r>
    <x v="11"/>
    <x v="0"/>
    <n v="0"/>
    <x v="4"/>
  </r>
  <r>
    <x v="11"/>
    <x v="1"/>
    <n v="0"/>
    <x v="4"/>
  </r>
  <r>
    <x v="11"/>
    <x v="2"/>
    <n v="0"/>
    <x v="4"/>
  </r>
  <r>
    <x v="11"/>
    <x v="3"/>
    <n v="0"/>
    <x v="4"/>
  </r>
  <r>
    <x v="12"/>
    <x v="0"/>
    <n v="16.5"/>
    <x v="4"/>
  </r>
  <r>
    <x v="12"/>
    <x v="1"/>
    <n v="0"/>
    <x v="4"/>
  </r>
  <r>
    <x v="12"/>
    <x v="2"/>
    <n v="0"/>
    <x v="4"/>
  </r>
  <r>
    <x v="12"/>
    <x v="3"/>
    <n v="0"/>
    <x v="4"/>
  </r>
  <r>
    <x v="13"/>
    <x v="0"/>
    <n v="0"/>
    <x v="4"/>
  </r>
  <r>
    <x v="13"/>
    <x v="1"/>
    <n v="0"/>
    <x v="4"/>
  </r>
  <r>
    <x v="13"/>
    <x v="2"/>
    <n v="0"/>
    <x v="4"/>
  </r>
  <r>
    <x v="13"/>
    <x v="3"/>
    <n v="0"/>
    <x v="4"/>
  </r>
  <r>
    <x v="0"/>
    <x v="0"/>
    <n v="0"/>
    <x v="5"/>
  </r>
  <r>
    <x v="0"/>
    <x v="1"/>
    <n v="0"/>
    <x v="5"/>
  </r>
  <r>
    <x v="0"/>
    <x v="2"/>
    <n v="18"/>
    <x v="5"/>
  </r>
  <r>
    <x v="0"/>
    <x v="3"/>
    <n v="0"/>
    <x v="5"/>
  </r>
  <r>
    <x v="1"/>
    <x v="0"/>
    <n v="0"/>
    <x v="5"/>
  </r>
  <r>
    <x v="1"/>
    <x v="1"/>
    <n v="0"/>
    <x v="5"/>
  </r>
  <r>
    <x v="1"/>
    <x v="2"/>
    <n v="4.3319999999999999"/>
    <x v="5"/>
  </r>
  <r>
    <x v="1"/>
    <x v="3"/>
    <n v="0"/>
    <x v="5"/>
  </r>
  <r>
    <x v="2"/>
    <x v="0"/>
    <n v="65"/>
    <x v="5"/>
  </r>
  <r>
    <x v="2"/>
    <x v="1"/>
    <n v="0"/>
    <x v="5"/>
  </r>
  <r>
    <x v="2"/>
    <x v="2"/>
    <n v="346"/>
    <x v="5"/>
  </r>
  <r>
    <x v="2"/>
    <x v="3"/>
    <n v="4.0999999999999996"/>
    <x v="5"/>
  </r>
  <r>
    <x v="3"/>
    <x v="0"/>
    <n v="0"/>
    <x v="5"/>
  </r>
  <r>
    <x v="3"/>
    <x v="1"/>
    <n v="0"/>
    <x v="5"/>
  </r>
  <r>
    <x v="3"/>
    <x v="2"/>
    <n v="0"/>
    <x v="5"/>
  </r>
  <r>
    <x v="3"/>
    <x v="3"/>
    <n v="0"/>
    <x v="5"/>
  </r>
  <r>
    <x v="4"/>
    <x v="0"/>
    <n v="0"/>
    <x v="5"/>
  </r>
  <r>
    <x v="4"/>
    <x v="1"/>
    <n v="0"/>
    <x v="5"/>
  </r>
  <r>
    <x v="4"/>
    <x v="2"/>
    <n v="0"/>
    <x v="5"/>
  </r>
  <r>
    <x v="4"/>
    <x v="3"/>
    <n v="248.6"/>
    <x v="5"/>
  </r>
  <r>
    <x v="5"/>
    <x v="0"/>
    <n v="3"/>
    <x v="5"/>
  </r>
  <r>
    <x v="5"/>
    <x v="1"/>
    <n v="0"/>
    <x v="5"/>
  </r>
  <r>
    <x v="5"/>
    <x v="2"/>
    <n v="0"/>
    <x v="5"/>
  </r>
  <r>
    <x v="5"/>
    <x v="3"/>
    <n v="23.315000000000001"/>
    <x v="5"/>
  </r>
  <r>
    <x v="6"/>
    <x v="0"/>
    <n v="0"/>
    <x v="5"/>
  </r>
  <r>
    <x v="6"/>
    <x v="1"/>
    <n v="0"/>
    <x v="5"/>
  </r>
  <r>
    <x v="6"/>
    <x v="2"/>
    <n v="1.6"/>
    <x v="5"/>
  </r>
  <r>
    <x v="6"/>
    <x v="3"/>
    <n v="0"/>
    <x v="5"/>
  </r>
  <r>
    <x v="7"/>
    <x v="0"/>
    <n v="0"/>
    <x v="5"/>
  </r>
  <r>
    <x v="7"/>
    <x v="1"/>
    <n v="0"/>
    <x v="5"/>
  </r>
  <r>
    <x v="7"/>
    <x v="2"/>
    <n v="0"/>
    <x v="5"/>
  </r>
  <r>
    <x v="7"/>
    <x v="3"/>
    <n v="66"/>
    <x v="5"/>
  </r>
  <r>
    <x v="8"/>
    <x v="0"/>
    <n v="0"/>
    <x v="5"/>
  </r>
  <r>
    <x v="8"/>
    <x v="1"/>
    <n v="0"/>
    <x v="5"/>
  </r>
  <r>
    <x v="8"/>
    <x v="2"/>
    <n v="8.8000000000000007"/>
    <x v="5"/>
  </r>
  <r>
    <x v="8"/>
    <x v="3"/>
    <n v="0"/>
    <x v="5"/>
  </r>
  <r>
    <x v="9"/>
    <x v="0"/>
    <n v="0"/>
    <x v="5"/>
  </r>
  <r>
    <x v="9"/>
    <x v="1"/>
    <n v="0"/>
    <x v="5"/>
  </r>
  <r>
    <x v="9"/>
    <x v="2"/>
    <n v="0"/>
    <x v="5"/>
  </r>
  <r>
    <x v="9"/>
    <x v="3"/>
    <n v="0"/>
    <x v="5"/>
  </r>
  <r>
    <x v="10"/>
    <x v="0"/>
    <n v="192"/>
    <x v="5"/>
  </r>
  <r>
    <x v="10"/>
    <x v="1"/>
    <n v="0"/>
    <x v="5"/>
  </r>
  <r>
    <x v="10"/>
    <x v="2"/>
    <n v="0"/>
    <x v="5"/>
  </r>
  <r>
    <x v="10"/>
    <x v="3"/>
    <n v="4.8"/>
    <x v="5"/>
  </r>
  <r>
    <x v="11"/>
    <x v="0"/>
    <n v="0"/>
    <x v="5"/>
  </r>
  <r>
    <x v="11"/>
    <x v="1"/>
    <n v="0"/>
    <x v="5"/>
  </r>
  <r>
    <x v="11"/>
    <x v="2"/>
    <n v="0"/>
    <x v="5"/>
  </r>
  <r>
    <x v="11"/>
    <x v="3"/>
    <n v="208.7"/>
    <x v="5"/>
  </r>
  <r>
    <x v="12"/>
    <x v="0"/>
    <n v="0"/>
    <x v="5"/>
  </r>
  <r>
    <x v="12"/>
    <x v="1"/>
    <n v="0"/>
    <x v="5"/>
  </r>
  <r>
    <x v="12"/>
    <x v="2"/>
    <n v="0"/>
    <x v="5"/>
  </r>
  <r>
    <x v="12"/>
    <x v="3"/>
    <n v="94"/>
    <x v="5"/>
  </r>
  <r>
    <x v="13"/>
    <x v="0"/>
    <n v="0"/>
    <x v="5"/>
  </r>
  <r>
    <x v="13"/>
    <x v="1"/>
    <n v="0"/>
    <x v="5"/>
  </r>
  <r>
    <x v="13"/>
    <x v="2"/>
    <n v="0"/>
    <x v="5"/>
  </r>
  <r>
    <x v="13"/>
    <x v="3"/>
    <n v="0"/>
    <x v="5"/>
  </r>
  <r>
    <x v="0"/>
    <x v="0"/>
    <n v="0"/>
    <x v="6"/>
  </r>
  <r>
    <x v="0"/>
    <x v="1"/>
    <n v="0"/>
    <x v="6"/>
  </r>
  <r>
    <x v="0"/>
    <x v="2"/>
    <n v="0"/>
    <x v="6"/>
  </r>
  <r>
    <x v="0"/>
    <x v="3"/>
    <n v="0"/>
    <x v="6"/>
  </r>
  <r>
    <x v="1"/>
    <x v="0"/>
    <n v="0"/>
    <x v="6"/>
  </r>
  <r>
    <x v="1"/>
    <x v="1"/>
    <n v="0"/>
    <x v="6"/>
  </r>
  <r>
    <x v="1"/>
    <x v="2"/>
    <n v="89.33"/>
    <x v="6"/>
  </r>
  <r>
    <x v="1"/>
    <x v="3"/>
    <n v="0"/>
    <x v="6"/>
  </r>
  <r>
    <x v="2"/>
    <x v="0"/>
    <n v="0"/>
    <x v="6"/>
  </r>
  <r>
    <x v="2"/>
    <x v="1"/>
    <n v="0"/>
    <x v="6"/>
  </r>
  <r>
    <x v="2"/>
    <x v="2"/>
    <n v="0"/>
    <x v="6"/>
  </r>
  <r>
    <x v="2"/>
    <x v="3"/>
    <n v="0"/>
    <x v="6"/>
  </r>
  <r>
    <x v="3"/>
    <x v="0"/>
    <n v="0"/>
    <x v="6"/>
  </r>
  <r>
    <x v="3"/>
    <x v="1"/>
    <n v="0"/>
    <x v="6"/>
  </r>
  <r>
    <x v="3"/>
    <x v="2"/>
    <n v="0"/>
    <x v="6"/>
  </r>
  <r>
    <x v="3"/>
    <x v="3"/>
    <n v="0"/>
    <x v="6"/>
  </r>
  <r>
    <x v="4"/>
    <x v="0"/>
    <n v="0"/>
    <x v="6"/>
  </r>
  <r>
    <x v="4"/>
    <x v="1"/>
    <n v="0"/>
    <x v="6"/>
  </r>
  <r>
    <x v="4"/>
    <x v="2"/>
    <n v="0"/>
    <x v="6"/>
  </r>
  <r>
    <x v="4"/>
    <x v="3"/>
    <n v="0"/>
    <x v="6"/>
  </r>
  <r>
    <x v="5"/>
    <x v="0"/>
    <n v="0"/>
    <x v="6"/>
  </r>
  <r>
    <x v="5"/>
    <x v="1"/>
    <n v="0"/>
    <x v="6"/>
  </r>
  <r>
    <x v="5"/>
    <x v="2"/>
    <n v="0"/>
    <x v="6"/>
  </r>
  <r>
    <x v="5"/>
    <x v="3"/>
    <n v="0"/>
    <x v="6"/>
  </r>
  <r>
    <x v="6"/>
    <x v="0"/>
    <n v="0"/>
    <x v="6"/>
  </r>
  <r>
    <x v="6"/>
    <x v="1"/>
    <n v="0"/>
    <x v="6"/>
  </r>
  <r>
    <x v="6"/>
    <x v="2"/>
    <n v="0"/>
    <x v="6"/>
  </r>
  <r>
    <x v="6"/>
    <x v="3"/>
    <n v="0"/>
    <x v="6"/>
  </r>
  <r>
    <x v="7"/>
    <x v="0"/>
    <n v="0"/>
    <x v="6"/>
  </r>
  <r>
    <x v="7"/>
    <x v="1"/>
    <n v="0"/>
    <x v="6"/>
  </r>
  <r>
    <x v="7"/>
    <x v="2"/>
    <n v="0"/>
    <x v="6"/>
  </r>
  <r>
    <x v="7"/>
    <x v="3"/>
    <n v="0"/>
    <x v="6"/>
  </r>
  <r>
    <x v="8"/>
    <x v="0"/>
    <n v="0"/>
    <x v="6"/>
  </r>
  <r>
    <x v="8"/>
    <x v="1"/>
    <n v="0"/>
    <x v="6"/>
  </r>
  <r>
    <x v="8"/>
    <x v="2"/>
    <n v="0"/>
    <x v="6"/>
  </r>
  <r>
    <x v="8"/>
    <x v="3"/>
    <n v="0"/>
    <x v="6"/>
  </r>
  <r>
    <x v="9"/>
    <x v="0"/>
    <n v="0"/>
    <x v="6"/>
  </r>
  <r>
    <x v="9"/>
    <x v="1"/>
    <n v="0"/>
    <x v="6"/>
  </r>
  <r>
    <x v="9"/>
    <x v="2"/>
    <n v="0"/>
    <x v="6"/>
  </r>
  <r>
    <x v="9"/>
    <x v="3"/>
    <n v="0"/>
    <x v="6"/>
  </r>
  <r>
    <x v="10"/>
    <x v="0"/>
    <n v="0"/>
    <x v="6"/>
  </r>
  <r>
    <x v="10"/>
    <x v="1"/>
    <n v="0"/>
    <x v="6"/>
  </r>
  <r>
    <x v="10"/>
    <x v="2"/>
    <n v="0"/>
    <x v="6"/>
  </r>
  <r>
    <x v="10"/>
    <x v="3"/>
    <n v="0"/>
    <x v="6"/>
  </r>
  <r>
    <x v="11"/>
    <x v="0"/>
    <n v="0"/>
    <x v="6"/>
  </r>
  <r>
    <x v="11"/>
    <x v="1"/>
    <n v="0"/>
    <x v="6"/>
  </r>
  <r>
    <x v="11"/>
    <x v="2"/>
    <n v="0"/>
    <x v="6"/>
  </r>
  <r>
    <x v="11"/>
    <x v="3"/>
    <n v="0"/>
    <x v="6"/>
  </r>
  <r>
    <x v="12"/>
    <x v="0"/>
    <n v="0"/>
    <x v="6"/>
  </r>
  <r>
    <x v="12"/>
    <x v="1"/>
    <n v="0"/>
    <x v="6"/>
  </r>
  <r>
    <x v="12"/>
    <x v="2"/>
    <n v="0"/>
    <x v="6"/>
  </r>
  <r>
    <x v="12"/>
    <x v="3"/>
    <n v="0"/>
    <x v="6"/>
  </r>
  <r>
    <x v="13"/>
    <x v="0"/>
    <n v="0"/>
    <x v="6"/>
  </r>
  <r>
    <x v="13"/>
    <x v="1"/>
    <n v="0"/>
    <x v="6"/>
  </r>
  <r>
    <x v="13"/>
    <x v="2"/>
    <n v="0"/>
    <x v="6"/>
  </r>
  <r>
    <x v="13"/>
    <x v="3"/>
    <n v="0"/>
    <x v="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6">
  <r>
    <x v="0"/>
    <x v="0"/>
    <n v="3450"/>
    <x v="0"/>
  </r>
  <r>
    <x v="0"/>
    <x v="1"/>
    <n v="57086"/>
    <x v="0"/>
  </r>
  <r>
    <x v="0"/>
    <x v="2"/>
    <n v="12510"/>
    <x v="0"/>
  </r>
  <r>
    <x v="0"/>
    <x v="3"/>
    <n v="13510"/>
    <x v="0"/>
  </r>
  <r>
    <x v="1"/>
    <x v="0"/>
    <n v="880"/>
    <x v="0"/>
  </r>
  <r>
    <x v="1"/>
    <x v="1"/>
    <n v="900"/>
    <x v="0"/>
  </r>
  <r>
    <x v="1"/>
    <x v="2"/>
    <n v="1100"/>
    <x v="0"/>
  </r>
  <r>
    <x v="1"/>
    <x v="3"/>
    <n v="5600"/>
    <x v="0"/>
  </r>
  <r>
    <x v="2"/>
    <x v="0"/>
    <n v="21140"/>
    <x v="0"/>
  </r>
  <r>
    <x v="2"/>
    <x v="1"/>
    <n v="37398"/>
    <x v="0"/>
  </r>
  <r>
    <x v="2"/>
    <x v="2"/>
    <n v="19380"/>
    <x v="0"/>
  </r>
  <r>
    <x v="2"/>
    <x v="3"/>
    <n v="50880"/>
    <x v="0"/>
  </r>
  <r>
    <x v="3"/>
    <x v="0"/>
    <n v="1500"/>
    <x v="0"/>
  </r>
  <r>
    <x v="3"/>
    <x v="1"/>
    <n v="0"/>
    <x v="0"/>
  </r>
  <r>
    <x v="3"/>
    <x v="2"/>
    <n v="0"/>
    <x v="0"/>
  </r>
  <r>
    <x v="3"/>
    <x v="3"/>
    <n v="0"/>
    <x v="0"/>
  </r>
  <r>
    <x v="4"/>
    <x v="0"/>
    <n v="17940"/>
    <x v="0"/>
  </r>
  <r>
    <x v="4"/>
    <x v="1"/>
    <n v="0"/>
    <x v="0"/>
  </r>
  <r>
    <x v="4"/>
    <x v="2"/>
    <n v="1850"/>
    <x v="0"/>
  </r>
  <r>
    <x v="4"/>
    <x v="3"/>
    <n v="850"/>
    <x v="0"/>
  </r>
  <r>
    <x v="5"/>
    <x v="0"/>
    <n v="140090"/>
    <x v="0"/>
  </r>
  <r>
    <x v="5"/>
    <x v="1"/>
    <n v="49193"/>
    <x v="0"/>
  </r>
  <r>
    <x v="5"/>
    <x v="2"/>
    <n v="0"/>
    <x v="0"/>
  </r>
  <r>
    <x v="5"/>
    <x v="3"/>
    <n v="1000"/>
    <x v="0"/>
  </r>
  <r>
    <x v="6"/>
    <x v="0"/>
    <n v="0"/>
    <x v="0"/>
  </r>
  <r>
    <x v="6"/>
    <x v="1"/>
    <n v="0"/>
    <x v="0"/>
  </r>
  <r>
    <x v="6"/>
    <x v="2"/>
    <n v="0"/>
    <x v="0"/>
  </r>
  <r>
    <x v="6"/>
    <x v="3"/>
    <n v="1309"/>
    <x v="0"/>
  </r>
  <r>
    <x v="7"/>
    <x v="0"/>
    <n v="12159.7515"/>
    <x v="0"/>
  </r>
  <r>
    <x v="7"/>
    <x v="1"/>
    <n v="19010"/>
    <x v="0"/>
  </r>
  <r>
    <x v="7"/>
    <x v="2"/>
    <n v="29400"/>
    <x v="0"/>
  </r>
  <r>
    <x v="7"/>
    <x v="3"/>
    <n v="1400"/>
    <x v="0"/>
  </r>
  <r>
    <x v="8"/>
    <x v="0"/>
    <n v="0"/>
    <x v="0"/>
  </r>
  <r>
    <x v="8"/>
    <x v="1"/>
    <n v="0"/>
    <x v="0"/>
  </r>
  <r>
    <x v="8"/>
    <x v="2"/>
    <n v="0"/>
    <x v="0"/>
  </r>
  <r>
    <x v="8"/>
    <x v="3"/>
    <n v="15900"/>
    <x v="0"/>
  </r>
  <r>
    <x v="9"/>
    <x v="0"/>
    <n v="19250"/>
    <x v="0"/>
  </r>
  <r>
    <x v="9"/>
    <x v="1"/>
    <n v="0"/>
    <x v="0"/>
  </r>
  <r>
    <x v="9"/>
    <x v="2"/>
    <n v="0"/>
    <x v="0"/>
  </r>
  <r>
    <x v="9"/>
    <x v="3"/>
    <n v="7300"/>
    <x v="0"/>
  </r>
  <r>
    <x v="10"/>
    <x v="0"/>
    <n v="16285"/>
    <x v="0"/>
  </r>
  <r>
    <x v="10"/>
    <x v="1"/>
    <n v="11351.7"/>
    <x v="0"/>
  </r>
  <r>
    <x v="10"/>
    <x v="2"/>
    <n v="22130"/>
    <x v="0"/>
  </r>
  <r>
    <x v="10"/>
    <x v="3"/>
    <n v="56130"/>
    <x v="0"/>
  </r>
  <r>
    <x v="11"/>
    <x v="0"/>
    <n v="0"/>
    <x v="0"/>
  </r>
  <r>
    <x v="11"/>
    <x v="1"/>
    <n v="0"/>
    <x v="0"/>
  </r>
  <r>
    <x v="11"/>
    <x v="2"/>
    <n v="0"/>
    <x v="0"/>
  </r>
  <r>
    <x v="11"/>
    <x v="3"/>
    <n v="0"/>
    <x v="0"/>
  </r>
  <r>
    <x v="12"/>
    <x v="0"/>
    <n v="0"/>
    <x v="0"/>
  </r>
  <r>
    <x v="12"/>
    <x v="1"/>
    <n v="0"/>
    <x v="0"/>
  </r>
  <r>
    <x v="12"/>
    <x v="2"/>
    <n v="0"/>
    <x v="0"/>
  </r>
  <r>
    <x v="12"/>
    <x v="3"/>
    <n v="0"/>
    <x v="0"/>
  </r>
  <r>
    <x v="13"/>
    <x v="0"/>
    <n v="0"/>
    <x v="0"/>
  </r>
  <r>
    <x v="13"/>
    <x v="1"/>
    <n v="0"/>
    <x v="0"/>
  </r>
  <r>
    <x v="13"/>
    <x v="2"/>
    <n v="0"/>
    <x v="0"/>
  </r>
  <r>
    <x v="13"/>
    <x v="3"/>
    <n v="0"/>
    <x v="0"/>
  </r>
  <r>
    <x v="14"/>
    <x v="0"/>
    <n v="0"/>
    <x v="0"/>
  </r>
  <r>
    <x v="14"/>
    <x v="1"/>
    <n v="0"/>
    <x v="0"/>
  </r>
  <r>
    <x v="14"/>
    <x v="2"/>
    <n v="0"/>
    <x v="0"/>
  </r>
  <r>
    <x v="14"/>
    <x v="3"/>
    <n v="0"/>
    <x v="0"/>
  </r>
  <r>
    <x v="15"/>
    <x v="0"/>
    <n v="0"/>
    <x v="0"/>
  </r>
  <r>
    <x v="15"/>
    <x v="1"/>
    <n v="0"/>
    <x v="0"/>
  </r>
  <r>
    <x v="15"/>
    <x v="2"/>
    <n v="0"/>
    <x v="0"/>
  </r>
  <r>
    <x v="15"/>
    <x v="3"/>
    <n v="0"/>
    <x v="0"/>
  </r>
  <r>
    <x v="0"/>
    <x v="0"/>
    <n v="0"/>
    <x v="1"/>
  </r>
  <r>
    <x v="0"/>
    <x v="1"/>
    <n v="2363"/>
    <x v="1"/>
  </r>
  <r>
    <x v="0"/>
    <x v="2"/>
    <n v="1001.4554000000001"/>
    <x v="1"/>
  </r>
  <r>
    <x v="0"/>
    <x v="3"/>
    <n v="647"/>
    <x v="1"/>
  </r>
  <r>
    <x v="1"/>
    <x v="0"/>
    <n v="0"/>
    <x v="1"/>
  </r>
  <r>
    <x v="1"/>
    <x v="1"/>
    <n v="0"/>
    <x v="1"/>
  </r>
  <r>
    <x v="1"/>
    <x v="2"/>
    <n v="896.96159999999998"/>
    <x v="1"/>
  </r>
  <r>
    <x v="1"/>
    <x v="3"/>
    <n v="130"/>
    <x v="1"/>
  </r>
  <r>
    <x v="2"/>
    <x v="0"/>
    <n v="0"/>
    <x v="1"/>
  </r>
  <r>
    <x v="2"/>
    <x v="1"/>
    <n v="3068.415"/>
    <x v="1"/>
  </r>
  <r>
    <x v="2"/>
    <x v="2"/>
    <n v="8072.7763000000004"/>
    <x v="1"/>
  </r>
  <r>
    <x v="2"/>
    <x v="3"/>
    <n v="671.31219999999996"/>
    <x v="1"/>
  </r>
  <r>
    <x v="3"/>
    <x v="0"/>
    <n v="0"/>
    <x v="1"/>
  </r>
  <r>
    <x v="3"/>
    <x v="1"/>
    <n v="0"/>
    <x v="1"/>
  </r>
  <r>
    <x v="3"/>
    <x v="2"/>
    <n v="0"/>
    <x v="1"/>
  </r>
  <r>
    <x v="3"/>
    <x v="3"/>
    <n v="0"/>
    <x v="1"/>
  </r>
  <r>
    <x v="4"/>
    <x v="0"/>
    <n v="0"/>
    <x v="1"/>
  </r>
  <r>
    <x v="4"/>
    <x v="1"/>
    <n v="0"/>
    <x v="1"/>
  </r>
  <r>
    <x v="4"/>
    <x v="2"/>
    <n v="2334"/>
    <x v="1"/>
  </r>
  <r>
    <x v="4"/>
    <x v="3"/>
    <n v="712"/>
    <x v="1"/>
  </r>
  <r>
    <x v="5"/>
    <x v="0"/>
    <n v="0"/>
    <x v="1"/>
  </r>
  <r>
    <x v="5"/>
    <x v="1"/>
    <n v="423"/>
    <x v="1"/>
  </r>
  <r>
    <x v="5"/>
    <x v="2"/>
    <n v="1300"/>
    <x v="1"/>
  </r>
  <r>
    <x v="5"/>
    <x v="3"/>
    <n v="150"/>
    <x v="1"/>
  </r>
  <r>
    <x v="6"/>
    <x v="0"/>
    <n v="0"/>
    <x v="1"/>
  </r>
  <r>
    <x v="6"/>
    <x v="1"/>
    <n v="0"/>
    <x v="1"/>
  </r>
  <r>
    <x v="6"/>
    <x v="2"/>
    <n v="0"/>
    <x v="1"/>
  </r>
  <r>
    <x v="6"/>
    <x v="3"/>
    <n v="60"/>
    <x v="1"/>
  </r>
  <r>
    <x v="7"/>
    <x v="0"/>
    <n v="0"/>
    <x v="1"/>
  </r>
  <r>
    <x v="7"/>
    <x v="1"/>
    <n v="0"/>
    <x v="1"/>
  </r>
  <r>
    <x v="7"/>
    <x v="2"/>
    <n v="102.6"/>
    <x v="1"/>
  </r>
  <r>
    <x v="7"/>
    <x v="3"/>
    <n v="171"/>
    <x v="1"/>
  </r>
  <r>
    <x v="8"/>
    <x v="0"/>
    <n v="0"/>
    <x v="1"/>
  </r>
  <r>
    <x v="8"/>
    <x v="1"/>
    <n v="0"/>
    <x v="1"/>
  </r>
  <r>
    <x v="8"/>
    <x v="2"/>
    <n v="0"/>
    <x v="1"/>
  </r>
  <r>
    <x v="8"/>
    <x v="3"/>
    <n v="25.0688"/>
    <x v="1"/>
  </r>
  <r>
    <x v="9"/>
    <x v="0"/>
    <n v="0"/>
    <x v="1"/>
  </r>
  <r>
    <x v="9"/>
    <x v="1"/>
    <n v="0"/>
    <x v="1"/>
  </r>
  <r>
    <x v="9"/>
    <x v="2"/>
    <n v="680"/>
    <x v="1"/>
  </r>
  <r>
    <x v="9"/>
    <x v="3"/>
    <n v="59.789000000000001"/>
    <x v="1"/>
  </r>
  <r>
    <x v="10"/>
    <x v="0"/>
    <n v="0"/>
    <x v="1"/>
  </r>
  <r>
    <x v="10"/>
    <x v="1"/>
    <n v="7663"/>
    <x v="1"/>
  </r>
  <r>
    <x v="10"/>
    <x v="2"/>
    <n v="5201.8724000000002"/>
    <x v="1"/>
  </r>
  <r>
    <x v="10"/>
    <x v="3"/>
    <n v="1884.3803"/>
    <x v="1"/>
  </r>
  <r>
    <x v="11"/>
    <x v="0"/>
    <n v="0"/>
    <x v="1"/>
  </r>
  <r>
    <x v="11"/>
    <x v="1"/>
    <n v="735.4"/>
    <x v="1"/>
  </r>
  <r>
    <x v="11"/>
    <x v="2"/>
    <n v="4640"/>
    <x v="1"/>
  </r>
  <r>
    <x v="11"/>
    <x v="3"/>
    <n v="5786.6953999999996"/>
    <x v="1"/>
  </r>
  <r>
    <x v="12"/>
    <x v="0"/>
    <n v="0"/>
    <x v="1"/>
  </r>
  <r>
    <x v="12"/>
    <x v="1"/>
    <n v="484.75"/>
    <x v="1"/>
  </r>
  <r>
    <x v="12"/>
    <x v="2"/>
    <n v="5014.8226999999997"/>
    <x v="1"/>
  </r>
  <r>
    <x v="12"/>
    <x v="3"/>
    <n v="3610.6448999999998"/>
    <x v="1"/>
  </r>
  <r>
    <x v="13"/>
    <x v="0"/>
    <n v="0"/>
    <x v="1"/>
  </r>
  <r>
    <x v="13"/>
    <x v="1"/>
    <n v="0"/>
    <x v="1"/>
  </r>
  <r>
    <x v="13"/>
    <x v="2"/>
    <n v="0"/>
    <x v="1"/>
  </r>
  <r>
    <x v="13"/>
    <x v="3"/>
    <n v="150"/>
    <x v="1"/>
  </r>
  <r>
    <x v="14"/>
    <x v="0"/>
    <n v="0"/>
    <x v="1"/>
  </r>
  <r>
    <x v="14"/>
    <x v="1"/>
    <n v="0"/>
    <x v="1"/>
  </r>
  <r>
    <x v="14"/>
    <x v="2"/>
    <n v="0"/>
    <x v="1"/>
  </r>
  <r>
    <x v="14"/>
    <x v="3"/>
    <n v="0"/>
    <x v="1"/>
  </r>
  <r>
    <x v="15"/>
    <x v="0"/>
    <n v="0"/>
    <x v="1"/>
  </r>
  <r>
    <x v="15"/>
    <x v="1"/>
    <n v="0"/>
    <x v="1"/>
  </r>
  <r>
    <x v="15"/>
    <x v="2"/>
    <n v="18"/>
    <x v="1"/>
  </r>
  <r>
    <x v="15"/>
    <x v="3"/>
    <n v="0"/>
    <x v="1"/>
  </r>
  <r>
    <x v="0"/>
    <x v="0"/>
    <n v="0"/>
    <x v="2"/>
  </r>
  <r>
    <x v="0"/>
    <x v="1"/>
    <n v="0"/>
    <x v="2"/>
  </r>
  <r>
    <x v="0"/>
    <x v="2"/>
    <n v="108.08"/>
    <x v="2"/>
  </r>
  <r>
    <x v="0"/>
    <x v="3"/>
    <n v="30"/>
    <x v="2"/>
  </r>
  <r>
    <x v="1"/>
    <x v="0"/>
    <n v="0"/>
    <x v="2"/>
  </r>
  <r>
    <x v="1"/>
    <x v="1"/>
    <n v="0"/>
    <x v="2"/>
  </r>
  <r>
    <x v="1"/>
    <x v="2"/>
    <n v="613.38499999999999"/>
    <x v="2"/>
  </r>
  <r>
    <x v="1"/>
    <x v="3"/>
    <n v="210"/>
    <x v="2"/>
  </r>
  <r>
    <x v="2"/>
    <x v="0"/>
    <n v="0"/>
    <x v="2"/>
  </r>
  <r>
    <x v="2"/>
    <x v="1"/>
    <n v="0"/>
    <x v="2"/>
  </r>
  <r>
    <x v="2"/>
    <x v="2"/>
    <n v="5978.74"/>
    <x v="2"/>
  </r>
  <r>
    <x v="2"/>
    <x v="3"/>
    <n v="4440"/>
    <x v="2"/>
  </r>
  <r>
    <x v="3"/>
    <x v="0"/>
    <n v="0"/>
    <x v="2"/>
  </r>
  <r>
    <x v="3"/>
    <x v="1"/>
    <n v="0"/>
    <x v="2"/>
  </r>
  <r>
    <x v="3"/>
    <x v="2"/>
    <n v="0"/>
    <x v="2"/>
  </r>
  <r>
    <x v="3"/>
    <x v="3"/>
    <n v="90"/>
    <x v="2"/>
  </r>
  <r>
    <x v="4"/>
    <x v="0"/>
    <n v="0"/>
    <x v="2"/>
  </r>
  <r>
    <x v="4"/>
    <x v="1"/>
    <n v="0"/>
    <x v="2"/>
  </r>
  <r>
    <x v="4"/>
    <x v="2"/>
    <n v="26.5"/>
    <x v="2"/>
  </r>
  <r>
    <x v="4"/>
    <x v="3"/>
    <n v="270"/>
    <x v="2"/>
  </r>
  <r>
    <x v="5"/>
    <x v="0"/>
    <n v="0"/>
    <x v="2"/>
  </r>
  <r>
    <x v="5"/>
    <x v="1"/>
    <n v="0"/>
    <x v="2"/>
  </r>
  <r>
    <x v="5"/>
    <x v="2"/>
    <n v="177"/>
    <x v="2"/>
  </r>
  <r>
    <x v="5"/>
    <x v="3"/>
    <n v="95"/>
    <x v="2"/>
  </r>
  <r>
    <x v="6"/>
    <x v="0"/>
    <n v="0"/>
    <x v="2"/>
  </r>
  <r>
    <x v="6"/>
    <x v="1"/>
    <n v="0"/>
    <x v="2"/>
  </r>
  <r>
    <x v="6"/>
    <x v="2"/>
    <n v="1"/>
    <x v="2"/>
  </r>
  <r>
    <x v="6"/>
    <x v="3"/>
    <n v="0"/>
    <x v="2"/>
  </r>
  <r>
    <x v="7"/>
    <x v="0"/>
    <n v="0"/>
    <x v="2"/>
  </r>
  <r>
    <x v="7"/>
    <x v="1"/>
    <n v="0"/>
    <x v="2"/>
  </r>
  <r>
    <x v="7"/>
    <x v="2"/>
    <n v="167.69900000000001"/>
    <x v="2"/>
  </r>
  <r>
    <x v="7"/>
    <x v="3"/>
    <n v="520"/>
    <x v="2"/>
  </r>
  <r>
    <x v="8"/>
    <x v="0"/>
    <n v="0"/>
    <x v="2"/>
  </r>
  <r>
    <x v="8"/>
    <x v="1"/>
    <n v="0"/>
    <x v="2"/>
  </r>
  <r>
    <x v="8"/>
    <x v="2"/>
    <n v="0.5"/>
    <x v="2"/>
  </r>
  <r>
    <x v="8"/>
    <x v="3"/>
    <n v="760"/>
    <x v="2"/>
  </r>
  <r>
    <x v="9"/>
    <x v="0"/>
    <n v="0"/>
    <x v="2"/>
  </r>
  <r>
    <x v="9"/>
    <x v="1"/>
    <n v="0"/>
    <x v="2"/>
  </r>
  <r>
    <x v="9"/>
    <x v="2"/>
    <n v="0"/>
    <x v="2"/>
  </r>
  <r>
    <x v="9"/>
    <x v="3"/>
    <n v="0"/>
    <x v="2"/>
  </r>
  <r>
    <x v="10"/>
    <x v="0"/>
    <n v="0"/>
    <x v="2"/>
  </r>
  <r>
    <x v="10"/>
    <x v="1"/>
    <n v="0"/>
    <x v="2"/>
  </r>
  <r>
    <x v="10"/>
    <x v="2"/>
    <n v="14869.7919"/>
    <x v="2"/>
  </r>
  <r>
    <x v="10"/>
    <x v="3"/>
    <n v="2300"/>
    <x v="2"/>
  </r>
  <r>
    <x v="11"/>
    <x v="0"/>
    <n v="0"/>
    <x v="2"/>
  </r>
  <r>
    <x v="11"/>
    <x v="1"/>
    <n v="0"/>
    <x v="2"/>
  </r>
  <r>
    <x v="11"/>
    <x v="2"/>
    <n v="0"/>
    <x v="2"/>
  </r>
  <r>
    <x v="11"/>
    <x v="3"/>
    <n v="680"/>
    <x v="2"/>
  </r>
  <r>
    <x v="12"/>
    <x v="0"/>
    <n v="0"/>
    <x v="2"/>
  </r>
  <r>
    <x v="12"/>
    <x v="1"/>
    <n v="0"/>
    <x v="2"/>
  </r>
  <r>
    <x v="12"/>
    <x v="2"/>
    <n v="49.994999999999997"/>
    <x v="2"/>
  </r>
  <r>
    <x v="12"/>
    <x v="3"/>
    <n v="960"/>
    <x v="2"/>
  </r>
  <r>
    <x v="13"/>
    <x v="0"/>
    <n v="0"/>
    <x v="2"/>
  </r>
  <r>
    <x v="13"/>
    <x v="1"/>
    <n v="0"/>
    <x v="2"/>
  </r>
  <r>
    <x v="13"/>
    <x v="2"/>
    <n v="0"/>
    <x v="2"/>
  </r>
  <r>
    <x v="13"/>
    <x v="3"/>
    <n v="0"/>
    <x v="2"/>
  </r>
  <r>
    <x v="14"/>
    <x v="0"/>
    <n v="0"/>
    <x v="2"/>
  </r>
  <r>
    <x v="14"/>
    <x v="1"/>
    <n v="0"/>
    <x v="2"/>
  </r>
  <r>
    <x v="14"/>
    <x v="2"/>
    <n v="0"/>
    <x v="2"/>
  </r>
  <r>
    <x v="14"/>
    <x v="3"/>
    <n v="0"/>
    <x v="2"/>
  </r>
  <r>
    <x v="15"/>
    <x v="0"/>
    <n v="0"/>
    <x v="2"/>
  </r>
  <r>
    <x v="15"/>
    <x v="1"/>
    <n v="0"/>
    <x v="2"/>
  </r>
  <r>
    <x v="15"/>
    <x v="2"/>
    <n v="0"/>
    <x v="2"/>
  </r>
  <r>
    <x v="15"/>
    <x v="3"/>
    <n v="0"/>
    <x v="2"/>
  </r>
  <r>
    <x v="0"/>
    <x v="0"/>
    <n v="34788.571199999998"/>
    <x v="3"/>
  </r>
  <r>
    <x v="0"/>
    <x v="1"/>
    <n v="12396.4496"/>
    <x v="3"/>
  </r>
  <r>
    <x v="0"/>
    <x v="2"/>
    <n v="16128.9113"/>
    <x v="3"/>
  </r>
  <r>
    <x v="0"/>
    <x v="3"/>
    <n v="15655.5767"/>
    <x v="3"/>
  </r>
  <r>
    <x v="1"/>
    <x v="0"/>
    <n v="23429.591"/>
    <x v="3"/>
  </r>
  <r>
    <x v="1"/>
    <x v="1"/>
    <n v="19846.419099999999"/>
    <x v="3"/>
  </r>
  <r>
    <x v="1"/>
    <x v="2"/>
    <n v="12442.5571"/>
    <x v="3"/>
  </r>
  <r>
    <x v="1"/>
    <x v="3"/>
    <n v="14173.4192"/>
    <x v="3"/>
  </r>
  <r>
    <x v="2"/>
    <x v="0"/>
    <n v="40814.260300000002"/>
    <x v="3"/>
  </r>
  <r>
    <x v="2"/>
    <x v="1"/>
    <n v="10992.246300000001"/>
    <x v="3"/>
  </r>
  <r>
    <x v="2"/>
    <x v="2"/>
    <n v="14657.2726"/>
    <x v="3"/>
  </r>
  <r>
    <x v="2"/>
    <x v="3"/>
    <n v="11148.619699999999"/>
    <x v="3"/>
  </r>
  <r>
    <x v="3"/>
    <x v="0"/>
    <n v="15150.5429"/>
    <x v="3"/>
  </r>
  <r>
    <x v="3"/>
    <x v="1"/>
    <n v="5000"/>
    <x v="3"/>
  </r>
  <r>
    <x v="3"/>
    <x v="2"/>
    <n v="7248.7259999999997"/>
    <x v="3"/>
  </r>
  <r>
    <x v="3"/>
    <x v="3"/>
    <n v="12810.816999999999"/>
    <x v="3"/>
  </r>
  <r>
    <x v="4"/>
    <x v="0"/>
    <n v="17598.841"/>
    <x v="3"/>
  </r>
  <r>
    <x v="4"/>
    <x v="1"/>
    <n v="7579.9111000000003"/>
    <x v="3"/>
  </r>
  <r>
    <x v="4"/>
    <x v="2"/>
    <n v="11970"/>
    <x v="3"/>
  </r>
  <r>
    <x v="4"/>
    <x v="3"/>
    <n v="11070"/>
    <x v="3"/>
  </r>
  <r>
    <x v="5"/>
    <x v="0"/>
    <n v="35974.811999999998"/>
    <x v="3"/>
  </r>
  <r>
    <x v="5"/>
    <x v="1"/>
    <n v="13808.137000000001"/>
    <x v="3"/>
  </r>
  <r>
    <x v="5"/>
    <x v="2"/>
    <n v="14742.958000000001"/>
    <x v="3"/>
  </r>
  <r>
    <x v="5"/>
    <x v="3"/>
    <n v="17800.5435"/>
    <x v="3"/>
  </r>
  <r>
    <x v="6"/>
    <x v="0"/>
    <n v="12499.627899999999"/>
    <x v="3"/>
  </r>
  <r>
    <x v="6"/>
    <x v="1"/>
    <n v="8130.5333000000001"/>
    <x v="3"/>
  </r>
  <r>
    <x v="6"/>
    <x v="2"/>
    <n v="7659.9919"/>
    <x v="3"/>
  </r>
  <r>
    <x v="6"/>
    <x v="3"/>
    <n v="7372.9670999999998"/>
    <x v="3"/>
  </r>
  <r>
    <x v="7"/>
    <x v="0"/>
    <n v="18199.094799999999"/>
    <x v="3"/>
  </r>
  <r>
    <x v="7"/>
    <x v="1"/>
    <n v="26358.0828"/>
    <x v="3"/>
  </r>
  <r>
    <x v="7"/>
    <x v="2"/>
    <n v="13727.7644"/>
    <x v="3"/>
  </r>
  <r>
    <x v="7"/>
    <x v="3"/>
    <n v="13286.634"/>
    <x v="3"/>
  </r>
  <r>
    <x v="8"/>
    <x v="0"/>
    <n v="3584.8620999999998"/>
    <x v="3"/>
  </r>
  <r>
    <x v="8"/>
    <x v="1"/>
    <n v="4664.3908000000001"/>
    <x v="3"/>
  </r>
  <r>
    <x v="8"/>
    <x v="2"/>
    <n v="3987.5556999999999"/>
    <x v="3"/>
  </r>
  <r>
    <x v="8"/>
    <x v="3"/>
    <n v="6309.9641000000001"/>
    <x v="3"/>
  </r>
  <r>
    <x v="9"/>
    <x v="0"/>
    <n v="69528.224499999997"/>
    <x v="3"/>
  </r>
  <r>
    <x v="9"/>
    <x v="1"/>
    <n v="7957.0007999999998"/>
    <x v="3"/>
  </r>
  <r>
    <x v="9"/>
    <x v="2"/>
    <n v="13107.811299999999"/>
    <x v="3"/>
  </r>
  <r>
    <x v="9"/>
    <x v="3"/>
    <n v="19225.5"/>
    <x v="3"/>
  </r>
  <r>
    <x v="10"/>
    <x v="0"/>
    <n v="24856.8851"/>
    <x v="3"/>
  </r>
  <r>
    <x v="10"/>
    <x v="1"/>
    <n v="13696.729499999999"/>
    <x v="3"/>
  </r>
  <r>
    <x v="10"/>
    <x v="2"/>
    <n v="7653.1283000000003"/>
    <x v="3"/>
  </r>
  <r>
    <x v="10"/>
    <x v="3"/>
    <n v="11535"/>
    <x v="3"/>
  </r>
  <r>
    <x v="11"/>
    <x v="0"/>
    <n v="30776.1777"/>
    <x v="3"/>
  </r>
  <r>
    <x v="11"/>
    <x v="1"/>
    <n v="12099.875599999999"/>
    <x v="3"/>
  </r>
  <r>
    <x v="11"/>
    <x v="2"/>
    <n v="12273.8766"/>
    <x v="3"/>
  </r>
  <r>
    <x v="11"/>
    <x v="3"/>
    <n v="17515.720399999998"/>
    <x v="3"/>
  </r>
  <r>
    <x v="12"/>
    <x v="0"/>
    <n v="31249.7503"/>
    <x v="3"/>
  </r>
  <r>
    <x v="12"/>
    <x v="1"/>
    <n v="28730.695400000001"/>
    <x v="3"/>
  </r>
  <r>
    <x v="12"/>
    <x v="2"/>
    <n v="19214.973000000002"/>
    <x v="3"/>
  </r>
  <r>
    <x v="12"/>
    <x v="3"/>
    <n v="20454.263900000002"/>
    <x v="3"/>
  </r>
  <r>
    <x v="13"/>
    <x v="0"/>
    <n v="41731.647100000002"/>
    <x v="3"/>
  </r>
  <r>
    <x v="13"/>
    <x v="1"/>
    <n v="15562.070299999999"/>
    <x v="3"/>
  </r>
  <r>
    <x v="13"/>
    <x v="2"/>
    <n v="7960.2209999999995"/>
    <x v="3"/>
  </r>
  <r>
    <x v="13"/>
    <x v="3"/>
    <n v="19997.615600000001"/>
    <x v="3"/>
  </r>
  <r>
    <x v="14"/>
    <x v="0"/>
    <n v="3599.8703999999998"/>
    <x v="3"/>
  </r>
  <r>
    <x v="14"/>
    <x v="1"/>
    <n v="3443.3285999999998"/>
    <x v="3"/>
  </r>
  <r>
    <x v="14"/>
    <x v="2"/>
    <n v="2299.6439999999998"/>
    <x v="3"/>
  </r>
  <r>
    <x v="14"/>
    <x v="3"/>
    <n v="2254"/>
    <x v="3"/>
  </r>
  <r>
    <x v="15"/>
    <x v="0"/>
    <n v="289.91000000000003"/>
    <x v="3"/>
  </r>
  <r>
    <x v="15"/>
    <x v="1"/>
    <n v="799.82"/>
    <x v="3"/>
  </r>
  <r>
    <x v="15"/>
    <x v="2"/>
    <n v="679.07709999999997"/>
    <x v="3"/>
  </r>
  <r>
    <x v="15"/>
    <x v="3"/>
    <n v="1279.1865"/>
    <x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
  <r>
    <x v="0"/>
    <x v="0"/>
    <n v="247.36"/>
    <x v="0"/>
  </r>
  <r>
    <x v="0"/>
    <x v="1"/>
    <n v="25196.239000000001"/>
    <x v="0"/>
  </r>
  <r>
    <x v="0"/>
    <x v="2"/>
    <n v="2429.7150000000001"/>
    <x v="0"/>
  </r>
  <r>
    <x v="0"/>
    <x v="3"/>
    <n v="13010.384"/>
    <x v="0"/>
  </r>
  <r>
    <x v="1"/>
    <x v="0"/>
    <n v="327.09999999999997"/>
    <x v="0"/>
  </r>
  <r>
    <x v="1"/>
    <x v="1"/>
    <n v="416.2"/>
    <x v="0"/>
  </r>
  <r>
    <x v="1"/>
    <x v="2"/>
    <n v="118210.03"/>
    <x v="0"/>
  </r>
  <r>
    <x v="1"/>
    <x v="3"/>
    <n v="5039.9400000000005"/>
    <x v="0"/>
  </r>
  <r>
    <x v="2"/>
    <x v="0"/>
    <n v="66034.690300000002"/>
    <x v="0"/>
  </r>
  <r>
    <x v="2"/>
    <x v="1"/>
    <n v="52525.092299999997"/>
    <x v="0"/>
  </r>
  <r>
    <x v="2"/>
    <x v="2"/>
    <n v="22443.979500000001"/>
    <x v="0"/>
  </r>
  <r>
    <x v="2"/>
    <x v="3"/>
    <n v="4383.692"/>
    <x v="0"/>
  </r>
  <r>
    <x v="3"/>
    <x v="0"/>
    <n v="98.3"/>
    <x v="0"/>
  </r>
  <r>
    <x v="3"/>
    <x v="1"/>
    <n v="206.44239999999999"/>
    <x v="0"/>
  </r>
  <r>
    <x v="3"/>
    <x v="2"/>
    <n v="471.6866"/>
    <x v="0"/>
  </r>
  <r>
    <x v="3"/>
    <x v="3"/>
    <n v="512.298"/>
    <x v="0"/>
  </r>
  <r>
    <x v="4"/>
    <x v="0"/>
    <n v="3007.1380000000004"/>
    <x v="0"/>
  </r>
  <r>
    <x v="4"/>
    <x v="1"/>
    <n v="3023.6379999999999"/>
    <x v="0"/>
  </r>
  <r>
    <x v="4"/>
    <x v="2"/>
    <n v="1209.9190000000001"/>
    <x v="0"/>
  </r>
  <r>
    <x v="4"/>
    <x v="3"/>
    <n v="2623.4051999999997"/>
    <x v="0"/>
  </r>
  <r>
    <x v="5"/>
    <x v="0"/>
    <n v="1692.82"/>
    <x v="0"/>
  </r>
  <r>
    <x v="5"/>
    <x v="1"/>
    <n v="2694.02"/>
    <x v="0"/>
  </r>
  <r>
    <x v="5"/>
    <x v="2"/>
    <n v="8807.0689999999995"/>
    <x v="0"/>
  </r>
  <r>
    <x v="5"/>
    <x v="3"/>
    <n v="4288.7643599999992"/>
    <x v="0"/>
  </r>
  <r>
    <x v="6"/>
    <x v="0"/>
    <n v="74.847999999999999"/>
    <x v="0"/>
  </r>
  <r>
    <x v="6"/>
    <x v="1"/>
    <n v="99.847999999999999"/>
    <x v="0"/>
  </r>
  <r>
    <x v="6"/>
    <x v="2"/>
    <n v="63"/>
    <x v="0"/>
  </r>
  <r>
    <x v="6"/>
    <x v="3"/>
    <n v="2592.7346000000002"/>
    <x v="0"/>
  </r>
  <r>
    <x v="7"/>
    <x v="0"/>
    <n v="767.81299999999999"/>
    <x v="0"/>
  </r>
  <r>
    <x v="7"/>
    <x v="1"/>
    <n v="767.81299999999999"/>
    <x v="0"/>
  </r>
  <r>
    <x v="7"/>
    <x v="2"/>
    <n v="312.34100000000001"/>
    <x v="0"/>
  </r>
  <r>
    <x v="7"/>
    <x v="3"/>
    <n v="4479.0749999999998"/>
    <x v="0"/>
  </r>
  <r>
    <x v="8"/>
    <x v="0"/>
    <n v="0"/>
    <x v="0"/>
  </r>
  <r>
    <x v="8"/>
    <x v="1"/>
    <n v="0"/>
    <x v="0"/>
  </r>
  <r>
    <x v="8"/>
    <x v="2"/>
    <n v="176.15"/>
    <x v="0"/>
  </r>
  <r>
    <x v="8"/>
    <x v="3"/>
    <n v="1221.9720000000002"/>
    <x v="0"/>
  </r>
  <r>
    <x v="9"/>
    <x v="0"/>
    <n v="3144.6039999999998"/>
    <x v="0"/>
  </r>
  <r>
    <x v="9"/>
    <x v="1"/>
    <n v="3284.3829999999998"/>
    <x v="0"/>
  </r>
  <r>
    <x v="9"/>
    <x v="2"/>
    <n v="1870.1579999999999"/>
    <x v="0"/>
  </r>
  <r>
    <x v="9"/>
    <x v="3"/>
    <n v="9582.0305000000008"/>
    <x v="0"/>
  </r>
  <r>
    <x v="10"/>
    <x v="0"/>
    <n v="79022.298999999999"/>
    <x v="0"/>
  </r>
  <r>
    <x v="10"/>
    <x v="1"/>
    <n v="31186.999"/>
    <x v="0"/>
  </r>
  <r>
    <x v="10"/>
    <x v="2"/>
    <n v="6132.1365000000005"/>
    <x v="0"/>
  </r>
  <r>
    <x v="10"/>
    <x v="3"/>
    <n v="1012.3599999999999"/>
    <x v="0"/>
  </r>
  <r>
    <x v="11"/>
    <x v="0"/>
    <n v="0"/>
    <x v="0"/>
  </r>
  <r>
    <x v="11"/>
    <x v="1"/>
    <n v="5.5"/>
    <x v="0"/>
  </r>
  <r>
    <x v="11"/>
    <x v="2"/>
    <n v="44.377000000000002"/>
    <x v="0"/>
  </r>
  <r>
    <x v="11"/>
    <x v="3"/>
    <n v="3646.3219999999997"/>
    <x v="0"/>
  </r>
  <r>
    <x v="12"/>
    <x v="0"/>
    <n v="98.5"/>
    <x v="0"/>
  </r>
  <r>
    <x v="12"/>
    <x v="1"/>
    <n v="98.5"/>
    <x v="0"/>
  </r>
  <r>
    <x v="12"/>
    <x v="2"/>
    <n v="453.22199999999998"/>
    <x v="0"/>
  </r>
  <r>
    <x v="12"/>
    <x v="3"/>
    <n v="94"/>
    <x v="0"/>
  </r>
  <r>
    <x v="0"/>
    <x v="0"/>
    <n v="0"/>
    <x v="1"/>
  </r>
  <r>
    <x v="0"/>
    <x v="1"/>
    <n v="42.43"/>
    <x v="1"/>
  </r>
  <r>
    <x v="0"/>
    <x v="2"/>
    <n v="3.0751200000000001"/>
    <x v="1"/>
  </r>
  <r>
    <x v="0"/>
    <x v="3"/>
    <n v="0"/>
    <x v="1"/>
  </r>
  <r>
    <x v="1"/>
    <x v="0"/>
    <n v="0"/>
    <x v="1"/>
  </r>
  <r>
    <x v="1"/>
    <x v="1"/>
    <n v="0"/>
    <x v="1"/>
  </r>
  <r>
    <x v="1"/>
    <x v="2"/>
    <n v="0"/>
    <x v="1"/>
  </r>
  <r>
    <x v="1"/>
    <x v="3"/>
    <n v="0"/>
    <x v="1"/>
  </r>
  <r>
    <x v="2"/>
    <x v="0"/>
    <n v="0"/>
    <x v="1"/>
  </r>
  <r>
    <x v="2"/>
    <x v="1"/>
    <n v="22.4"/>
    <x v="1"/>
  </r>
  <r>
    <x v="2"/>
    <x v="2"/>
    <n v="21344.106426362501"/>
    <x v="1"/>
  </r>
  <r>
    <x v="2"/>
    <x v="3"/>
    <n v="0"/>
    <x v="1"/>
  </r>
  <r>
    <x v="3"/>
    <x v="0"/>
    <n v="0"/>
    <x v="1"/>
  </r>
  <r>
    <x v="3"/>
    <x v="1"/>
    <n v="1.3"/>
    <x v="1"/>
  </r>
  <r>
    <x v="3"/>
    <x v="2"/>
    <n v="0"/>
    <x v="1"/>
  </r>
  <r>
    <x v="3"/>
    <x v="3"/>
    <n v="0"/>
    <x v="1"/>
  </r>
  <r>
    <x v="4"/>
    <x v="0"/>
    <n v="0"/>
    <x v="1"/>
  </r>
  <r>
    <x v="4"/>
    <x v="1"/>
    <n v="0"/>
    <x v="1"/>
  </r>
  <r>
    <x v="4"/>
    <x v="2"/>
    <n v="0"/>
    <x v="1"/>
  </r>
  <r>
    <x v="4"/>
    <x v="3"/>
    <n v="0"/>
    <x v="1"/>
  </r>
  <r>
    <x v="5"/>
    <x v="0"/>
    <n v="0"/>
    <x v="1"/>
  </r>
  <r>
    <x v="5"/>
    <x v="1"/>
    <n v="675.4"/>
    <x v="1"/>
  </r>
  <r>
    <x v="5"/>
    <x v="2"/>
    <n v="0"/>
    <x v="1"/>
  </r>
  <r>
    <x v="5"/>
    <x v="3"/>
    <n v="0"/>
    <x v="1"/>
  </r>
  <r>
    <x v="6"/>
    <x v="0"/>
    <n v="0"/>
    <x v="1"/>
  </r>
  <r>
    <x v="6"/>
    <x v="1"/>
    <n v="0"/>
    <x v="1"/>
  </r>
  <r>
    <x v="6"/>
    <x v="2"/>
    <n v="0"/>
    <x v="1"/>
  </r>
  <r>
    <x v="6"/>
    <x v="3"/>
    <n v="0"/>
    <x v="1"/>
  </r>
  <r>
    <x v="7"/>
    <x v="0"/>
    <n v="0"/>
    <x v="1"/>
  </r>
  <r>
    <x v="7"/>
    <x v="1"/>
    <n v="0"/>
    <x v="1"/>
  </r>
  <r>
    <x v="7"/>
    <x v="2"/>
    <n v="0"/>
    <x v="1"/>
  </r>
  <r>
    <x v="7"/>
    <x v="3"/>
    <n v="0"/>
    <x v="1"/>
  </r>
  <r>
    <x v="8"/>
    <x v="0"/>
    <n v="0"/>
    <x v="1"/>
  </r>
  <r>
    <x v="8"/>
    <x v="1"/>
    <n v="0"/>
    <x v="1"/>
  </r>
  <r>
    <x v="8"/>
    <x v="2"/>
    <n v="0"/>
    <x v="1"/>
  </r>
  <r>
    <x v="8"/>
    <x v="3"/>
    <n v="0"/>
    <x v="1"/>
  </r>
  <r>
    <x v="9"/>
    <x v="0"/>
    <n v="0"/>
    <x v="1"/>
  </r>
  <r>
    <x v="9"/>
    <x v="1"/>
    <n v="0"/>
    <x v="1"/>
  </r>
  <r>
    <x v="9"/>
    <x v="2"/>
    <n v="17.322659999999999"/>
    <x v="1"/>
  </r>
  <r>
    <x v="9"/>
    <x v="3"/>
    <n v="0"/>
    <x v="1"/>
  </r>
  <r>
    <x v="10"/>
    <x v="0"/>
    <n v="0"/>
    <x v="1"/>
  </r>
  <r>
    <x v="10"/>
    <x v="1"/>
    <n v="94.640109999999993"/>
    <x v="1"/>
  </r>
  <r>
    <x v="10"/>
    <x v="2"/>
    <n v="529.08199130000003"/>
    <x v="1"/>
  </r>
  <r>
    <x v="10"/>
    <x v="3"/>
    <n v="0"/>
    <x v="1"/>
  </r>
  <r>
    <x v="11"/>
    <x v="0"/>
    <n v="0"/>
    <x v="1"/>
  </r>
  <r>
    <x v="11"/>
    <x v="1"/>
    <n v="190.25"/>
    <x v="1"/>
  </r>
  <r>
    <x v="11"/>
    <x v="2"/>
    <n v="639.25"/>
    <x v="1"/>
  </r>
  <r>
    <x v="11"/>
    <x v="3"/>
    <n v="2.5"/>
    <x v="1"/>
  </r>
  <r>
    <x v="12"/>
    <x v="0"/>
    <n v="0"/>
    <x v="1"/>
  </r>
  <r>
    <x v="12"/>
    <x v="1"/>
    <n v="98.28"/>
    <x v="1"/>
  </r>
  <r>
    <x v="12"/>
    <x v="2"/>
    <n v="65.183999999999997"/>
    <x v="1"/>
  </r>
  <r>
    <x v="12"/>
    <x v="3"/>
    <n v="69"/>
    <x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8">
  <r>
    <x v="0"/>
    <x v="0"/>
    <n v="8630"/>
    <x v="0"/>
  </r>
  <r>
    <x v="0"/>
    <x v="1"/>
    <n v="6495.9757"/>
    <x v="0"/>
  </r>
  <r>
    <x v="0"/>
    <x v="2"/>
    <n v="7279.3339999999998"/>
    <x v="0"/>
  </r>
  <r>
    <x v="0"/>
    <x v="3"/>
    <n v="6975.5780000000004"/>
    <x v="0"/>
  </r>
  <r>
    <x v="1"/>
    <x v="0"/>
    <n v="7915.6949000000004"/>
    <x v="0"/>
  </r>
  <r>
    <x v="1"/>
    <x v="1"/>
    <n v="5658.53"/>
    <x v="0"/>
  </r>
  <r>
    <x v="1"/>
    <x v="2"/>
    <n v="5949.0833000000002"/>
    <x v="0"/>
  </r>
  <r>
    <x v="1"/>
    <x v="3"/>
    <n v="4148.7960000000003"/>
    <x v="0"/>
  </r>
  <r>
    <x v="2"/>
    <x v="0"/>
    <n v="18599.8969"/>
    <x v="0"/>
  </r>
  <r>
    <x v="2"/>
    <x v="1"/>
    <n v="9999.9915999999994"/>
    <x v="0"/>
  </r>
  <r>
    <x v="2"/>
    <x v="2"/>
    <n v="8397.2999999999993"/>
    <x v="0"/>
  </r>
  <r>
    <x v="2"/>
    <x v="3"/>
    <n v="1802.7"/>
    <x v="0"/>
  </r>
  <r>
    <x v="3"/>
    <x v="0"/>
    <n v="5150.5429000000004"/>
    <x v="0"/>
  </r>
  <r>
    <x v="3"/>
    <x v="1"/>
    <n v="5000"/>
    <x v="0"/>
  </r>
  <r>
    <x v="3"/>
    <x v="2"/>
    <n v="2248.7260000000001"/>
    <x v="0"/>
  </r>
  <r>
    <x v="3"/>
    <x v="3"/>
    <n v="6310.9790000000003"/>
    <x v="0"/>
  </r>
  <r>
    <x v="4"/>
    <x v="0"/>
    <n v="6178.8513000000003"/>
    <x v="0"/>
  </r>
  <r>
    <x v="4"/>
    <x v="1"/>
    <n v="4999.9714999999997"/>
    <x v="0"/>
  </r>
  <r>
    <x v="4"/>
    <x v="2"/>
    <n v="6820"/>
    <x v="0"/>
  </r>
  <r>
    <x v="4"/>
    <x v="3"/>
    <n v="4770"/>
    <x v="0"/>
  </r>
  <r>
    <x v="5"/>
    <x v="0"/>
    <n v="5917.6666999999998"/>
    <x v="0"/>
  </r>
  <r>
    <x v="5"/>
    <x v="1"/>
    <n v="9000"/>
    <x v="0"/>
  </r>
  <r>
    <x v="5"/>
    <x v="2"/>
    <n v="8297.8209999999999"/>
    <x v="0"/>
  </r>
  <r>
    <x v="5"/>
    <x v="3"/>
    <n v="5979.9961999999996"/>
    <x v="0"/>
  </r>
  <r>
    <x v="6"/>
    <x v="0"/>
    <n v="3999.7329"/>
    <x v="0"/>
  </r>
  <r>
    <x v="6"/>
    <x v="1"/>
    <n v="4999.9880999999996"/>
    <x v="0"/>
  </r>
  <r>
    <x v="6"/>
    <x v="2"/>
    <n v="2949.9919"/>
    <x v="0"/>
  </r>
  <r>
    <x v="6"/>
    <x v="3"/>
    <n v="648.9674"/>
    <x v="0"/>
  </r>
  <r>
    <x v="7"/>
    <x v="0"/>
    <n v="6199.0947999999999"/>
    <x v="0"/>
  </r>
  <r>
    <x v="7"/>
    <x v="1"/>
    <n v="18358.0828"/>
    <x v="0"/>
  </r>
  <r>
    <x v="7"/>
    <x v="2"/>
    <n v="4927.7839999999997"/>
    <x v="0"/>
  </r>
  <r>
    <x v="7"/>
    <x v="3"/>
    <n v="4886.8540000000003"/>
    <x v="0"/>
  </r>
  <r>
    <x v="8"/>
    <x v="0"/>
    <n v="999.86739999999998"/>
    <x v="0"/>
  </r>
  <r>
    <x v="8"/>
    <x v="1"/>
    <n v="2999.8267000000001"/>
    <x v="0"/>
  </r>
  <r>
    <x v="8"/>
    <x v="2"/>
    <n v="1947.5693000000001"/>
    <x v="0"/>
  </r>
  <r>
    <x v="8"/>
    <x v="3"/>
    <n v="2499.9944999999998"/>
    <x v="0"/>
  </r>
  <r>
    <x v="9"/>
    <x v="0"/>
    <n v="49581.681799999998"/>
    <x v="0"/>
  </r>
  <r>
    <x v="9"/>
    <x v="1"/>
    <n v="7957.0007999999998"/>
    <x v="0"/>
  </r>
  <r>
    <x v="9"/>
    <x v="2"/>
    <n v="8107.8724000000002"/>
    <x v="0"/>
  </r>
  <r>
    <x v="9"/>
    <x v="3"/>
    <n v="3198.25"/>
    <x v="0"/>
  </r>
  <r>
    <x v="10"/>
    <x v="0"/>
    <n v="12999.091899999999"/>
    <x v="0"/>
  </r>
  <r>
    <x v="10"/>
    <x v="1"/>
    <n v="6998.7299000000003"/>
    <x v="0"/>
  </r>
  <r>
    <x v="10"/>
    <x v="2"/>
    <n v="3807.0282999999999"/>
    <x v="0"/>
  </r>
  <r>
    <x v="10"/>
    <x v="3"/>
    <n v="5440"/>
    <x v="0"/>
  </r>
  <r>
    <x v="11"/>
    <x v="0"/>
    <n v="8407.5200999999997"/>
    <x v="0"/>
  </r>
  <r>
    <x v="11"/>
    <x v="1"/>
    <n v="6999.9160000000002"/>
    <x v="0"/>
  </r>
  <r>
    <x v="11"/>
    <x v="2"/>
    <n v="3499.9695999999999"/>
    <x v="0"/>
  </r>
  <r>
    <x v="11"/>
    <x v="3"/>
    <n v="6899.9795999999997"/>
    <x v="0"/>
  </r>
  <r>
    <x v="12"/>
    <x v="0"/>
    <n v="12499.7531"/>
    <x v="0"/>
  </r>
  <r>
    <x v="12"/>
    <x v="1"/>
    <n v="16532.695599999999"/>
    <x v="0"/>
  </r>
  <r>
    <x v="12"/>
    <x v="2"/>
    <n v="12299.973"/>
    <x v="0"/>
  </r>
  <r>
    <x v="12"/>
    <x v="3"/>
    <n v="7317.2638999999999"/>
    <x v="0"/>
  </r>
  <r>
    <x v="13"/>
    <x v="0"/>
    <n v="1544.9303"/>
    <x v="0"/>
  </r>
  <r>
    <x v="13"/>
    <x v="1"/>
    <n v="2199.4065000000001"/>
    <x v="0"/>
  </r>
  <r>
    <x v="13"/>
    <x v="2"/>
    <n v="1349.4186"/>
    <x v="0"/>
  </r>
  <r>
    <x v="13"/>
    <x v="3"/>
    <n v="499.8"/>
    <x v="0"/>
  </r>
  <r>
    <x v="14"/>
    <x v="0"/>
    <n v="499.92"/>
    <x v="0"/>
  </r>
  <r>
    <x v="14"/>
    <x v="1"/>
    <n v="1999.72"/>
    <x v="0"/>
  </r>
  <r>
    <x v="14"/>
    <x v="2"/>
    <n v="499.70499999999998"/>
    <x v="0"/>
  </r>
  <r>
    <x v="14"/>
    <x v="3"/>
    <n v="280"/>
    <x v="0"/>
  </r>
  <r>
    <x v="15"/>
    <x v="0"/>
    <n v="39.909999999999997"/>
    <x v="0"/>
  </r>
  <r>
    <x v="15"/>
    <x v="1"/>
    <n v="299.85000000000002"/>
    <x v="0"/>
  </r>
  <r>
    <x v="15"/>
    <x v="2"/>
    <n v="483.89"/>
    <x v="0"/>
  </r>
  <r>
    <x v="15"/>
    <x v="3"/>
    <n v="448.16"/>
    <x v="0"/>
  </r>
  <r>
    <x v="0"/>
    <x v="0"/>
    <n v="26158.571199999998"/>
    <x v="1"/>
  </r>
  <r>
    <x v="0"/>
    <x v="1"/>
    <n v="5900.4737999999998"/>
    <x v="1"/>
  </r>
  <r>
    <x v="0"/>
    <x v="2"/>
    <n v="8849.5774000000001"/>
    <x v="1"/>
  </r>
  <r>
    <x v="0"/>
    <x v="3"/>
    <n v="8679.9987000000001"/>
    <x v="1"/>
  </r>
  <r>
    <x v="1"/>
    <x v="0"/>
    <n v="15513.8961"/>
    <x v="1"/>
  </r>
  <r>
    <x v="1"/>
    <x v="1"/>
    <n v="14187.8891"/>
    <x v="1"/>
  </r>
  <r>
    <x v="1"/>
    <x v="2"/>
    <n v="6493.4737999999998"/>
    <x v="1"/>
  </r>
  <r>
    <x v="1"/>
    <x v="3"/>
    <n v="10024.6232"/>
    <x v="1"/>
  </r>
  <r>
    <x v="2"/>
    <x v="0"/>
    <n v="22214.363499999999"/>
    <x v="1"/>
  </r>
  <r>
    <x v="2"/>
    <x v="1"/>
    <n v="992.25469999999996"/>
    <x v="1"/>
  </r>
  <r>
    <x v="2"/>
    <x v="2"/>
    <n v="6259.9726000000001"/>
    <x v="1"/>
  </r>
  <r>
    <x v="2"/>
    <x v="3"/>
    <n v="9345.9197000000004"/>
    <x v="1"/>
  </r>
  <r>
    <x v="3"/>
    <x v="0"/>
    <n v="10000"/>
    <x v="1"/>
  </r>
  <r>
    <x v="3"/>
    <x v="1"/>
    <n v="0"/>
    <x v="1"/>
  </r>
  <r>
    <x v="3"/>
    <x v="2"/>
    <n v="5000"/>
    <x v="1"/>
  </r>
  <r>
    <x v="3"/>
    <x v="3"/>
    <n v="6499.8379999999997"/>
    <x v="1"/>
  </r>
  <r>
    <x v="4"/>
    <x v="0"/>
    <n v="11419.9897"/>
    <x v="1"/>
  </r>
  <r>
    <x v="4"/>
    <x v="1"/>
    <n v="2579.9396000000002"/>
    <x v="1"/>
  </r>
  <r>
    <x v="4"/>
    <x v="2"/>
    <n v="5150"/>
    <x v="1"/>
  </r>
  <r>
    <x v="4"/>
    <x v="3"/>
    <n v="6300"/>
    <x v="1"/>
  </r>
  <r>
    <x v="5"/>
    <x v="0"/>
    <n v="30057.1453"/>
    <x v="1"/>
  </r>
  <r>
    <x v="5"/>
    <x v="1"/>
    <n v="4808.1369999999997"/>
    <x v="1"/>
  </r>
  <r>
    <x v="5"/>
    <x v="2"/>
    <n v="6445.1369999999997"/>
    <x v="1"/>
  </r>
  <r>
    <x v="5"/>
    <x v="3"/>
    <n v="11820.5473"/>
    <x v="1"/>
  </r>
  <r>
    <x v="6"/>
    <x v="0"/>
    <n v="8499.8950000000004"/>
    <x v="1"/>
  </r>
  <r>
    <x v="6"/>
    <x v="1"/>
    <n v="3130.5452"/>
    <x v="1"/>
  </r>
  <r>
    <x v="6"/>
    <x v="2"/>
    <n v="4710"/>
    <x v="1"/>
  </r>
  <r>
    <x v="6"/>
    <x v="3"/>
    <n v="6723.9997000000003"/>
    <x v="1"/>
  </r>
  <r>
    <x v="7"/>
    <x v="0"/>
    <n v="12000"/>
    <x v="1"/>
  </r>
  <r>
    <x v="7"/>
    <x v="1"/>
    <n v="8000"/>
    <x v="1"/>
  </r>
  <r>
    <x v="7"/>
    <x v="2"/>
    <n v="8799.9804000000004"/>
    <x v="1"/>
  </r>
  <r>
    <x v="7"/>
    <x v="3"/>
    <n v="8399.7800000000007"/>
    <x v="1"/>
  </r>
  <r>
    <x v="8"/>
    <x v="0"/>
    <n v="2584.9947000000002"/>
    <x v="1"/>
  </r>
  <r>
    <x v="8"/>
    <x v="1"/>
    <n v="1664.5641000000001"/>
    <x v="1"/>
  </r>
  <r>
    <x v="8"/>
    <x v="2"/>
    <n v="2039.9865"/>
    <x v="1"/>
  </r>
  <r>
    <x v="8"/>
    <x v="3"/>
    <n v="3809.9695999999999"/>
    <x v="1"/>
  </r>
  <r>
    <x v="9"/>
    <x v="0"/>
    <n v="19946.542700000002"/>
    <x v="1"/>
  </r>
  <r>
    <x v="9"/>
    <x v="1"/>
    <n v="0"/>
    <x v="1"/>
  </r>
  <r>
    <x v="9"/>
    <x v="2"/>
    <n v="4999.9390000000003"/>
    <x v="1"/>
  </r>
  <r>
    <x v="9"/>
    <x v="3"/>
    <n v="16027.25"/>
    <x v="1"/>
  </r>
  <r>
    <x v="10"/>
    <x v="0"/>
    <n v="11857.7932"/>
    <x v="1"/>
  </r>
  <r>
    <x v="10"/>
    <x v="1"/>
    <n v="6697.9996000000001"/>
    <x v="1"/>
  </r>
  <r>
    <x v="10"/>
    <x v="2"/>
    <n v="3846.1"/>
    <x v="1"/>
  </r>
  <r>
    <x v="10"/>
    <x v="3"/>
    <n v="6095"/>
    <x v="1"/>
  </r>
  <r>
    <x v="11"/>
    <x v="0"/>
    <n v="22368.657599999999"/>
    <x v="1"/>
  </r>
  <r>
    <x v="11"/>
    <x v="1"/>
    <n v="5099.9596000000001"/>
    <x v="1"/>
  </r>
  <r>
    <x v="11"/>
    <x v="2"/>
    <n v="8773.9069999999992"/>
    <x v="1"/>
  </r>
  <r>
    <x v="11"/>
    <x v="3"/>
    <n v="10615.7408"/>
    <x v="1"/>
  </r>
  <r>
    <x v="12"/>
    <x v="0"/>
    <n v="18749.997200000002"/>
    <x v="1"/>
  </r>
  <r>
    <x v="12"/>
    <x v="1"/>
    <n v="5099.9596000000001"/>
    <x v="1"/>
  </r>
  <r>
    <x v="12"/>
    <x v="2"/>
    <n v="6915"/>
    <x v="1"/>
  </r>
  <r>
    <x v="12"/>
    <x v="3"/>
    <n v="13137"/>
    <x v="1"/>
  </r>
  <r>
    <x v="13"/>
    <x v="0"/>
    <n v="40186.716800000002"/>
    <x v="1"/>
  </r>
  <r>
    <x v="13"/>
    <x v="1"/>
    <n v="5099.9596000000001"/>
    <x v="1"/>
  </r>
  <r>
    <x v="13"/>
    <x v="2"/>
    <n v="6610.8023999999996"/>
    <x v="1"/>
  </r>
  <r>
    <x v="13"/>
    <x v="3"/>
    <n v="19497.815600000002"/>
    <x v="1"/>
  </r>
  <r>
    <x v="14"/>
    <x v="0"/>
    <n v="3099.9504000000002"/>
    <x v="1"/>
  </r>
  <r>
    <x v="14"/>
    <x v="1"/>
    <n v="5099.9596000000001"/>
    <x v="1"/>
  </r>
  <r>
    <x v="14"/>
    <x v="2"/>
    <n v="1799.9390000000001"/>
    <x v="1"/>
  </r>
  <r>
    <x v="14"/>
    <x v="3"/>
    <n v="1974"/>
    <x v="1"/>
  </r>
  <r>
    <x v="15"/>
    <x v="0"/>
    <n v="250"/>
    <x v="1"/>
  </r>
  <r>
    <x v="15"/>
    <x v="1"/>
    <n v="5099.9596000000001"/>
    <x v="1"/>
  </r>
  <r>
    <x v="15"/>
    <x v="2"/>
    <n v="195.18709999999999"/>
    <x v="1"/>
  </r>
  <r>
    <x v="15"/>
    <x v="3"/>
    <n v="831.02650000000006"/>
    <x v="1"/>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8">
  <r>
    <x v="0"/>
    <x v="0"/>
    <n v="0"/>
    <x v="0"/>
  </r>
  <r>
    <x v="0"/>
    <x v="1"/>
    <n v="0"/>
    <x v="0"/>
  </r>
  <r>
    <x v="0"/>
    <x v="2"/>
    <n v="12510"/>
    <x v="0"/>
  </r>
  <r>
    <x v="0"/>
    <x v="3"/>
    <n v="12510"/>
    <x v="0"/>
  </r>
  <r>
    <x v="1"/>
    <x v="0"/>
    <n v="0"/>
    <x v="0"/>
  </r>
  <r>
    <x v="1"/>
    <x v="1"/>
    <n v="0"/>
    <x v="0"/>
  </r>
  <r>
    <x v="1"/>
    <x v="2"/>
    <n v="100"/>
    <x v="0"/>
  </r>
  <r>
    <x v="1"/>
    <x v="3"/>
    <n v="100"/>
    <x v="0"/>
  </r>
  <r>
    <x v="2"/>
    <x v="0"/>
    <n v="18700"/>
    <x v="0"/>
  </r>
  <r>
    <x v="2"/>
    <x v="1"/>
    <n v="0"/>
    <x v="0"/>
  </r>
  <r>
    <x v="2"/>
    <x v="2"/>
    <n v="12680"/>
    <x v="0"/>
  </r>
  <r>
    <x v="2"/>
    <x v="3"/>
    <n v="12680"/>
    <x v="0"/>
  </r>
  <r>
    <x v="3"/>
    <x v="0"/>
    <n v="0"/>
    <x v="0"/>
  </r>
  <r>
    <x v="3"/>
    <x v="1"/>
    <n v="0"/>
    <x v="0"/>
  </r>
  <r>
    <x v="3"/>
    <x v="2"/>
    <n v="0"/>
    <x v="0"/>
  </r>
  <r>
    <x v="3"/>
    <x v="3"/>
    <n v="0"/>
    <x v="0"/>
  </r>
  <r>
    <x v="4"/>
    <x v="0"/>
    <n v="0"/>
    <x v="0"/>
  </r>
  <r>
    <x v="4"/>
    <x v="1"/>
    <n v="0"/>
    <x v="0"/>
  </r>
  <r>
    <x v="4"/>
    <x v="2"/>
    <n v="1350"/>
    <x v="0"/>
  </r>
  <r>
    <x v="4"/>
    <x v="3"/>
    <n v="850"/>
    <x v="0"/>
  </r>
  <r>
    <x v="5"/>
    <x v="0"/>
    <n v="0"/>
    <x v="0"/>
  </r>
  <r>
    <x v="5"/>
    <x v="1"/>
    <n v="0"/>
    <x v="0"/>
  </r>
  <r>
    <x v="5"/>
    <x v="2"/>
    <n v="0"/>
    <x v="0"/>
  </r>
  <r>
    <x v="5"/>
    <x v="3"/>
    <n v="0"/>
    <x v="0"/>
  </r>
  <r>
    <x v="6"/>
    <x v="0"/>
    <n v="0"/>
    <x v="0"/>
  </r>
  <r>
    <x v="6"/>
    <x v="1"/>
    <n v="0"/>
    <x v="0"/>
  </r>
  <r>
    <x v="6"/>
    <x v="2"/>
    <n v="0"/>
    <x v="0"/>
  </r>
  <r>
    <x v="6"/>
    <x v="3"/>
    <n v="0"/>
    <x v="0"/>
  </r>
  <r>
    <x v="7"/>
    <x v="0"/>
    <n v="2789.7514999999999"/>
    <x v="0"/>
  </r>
  <r>
    <x v="7"/>
    <x v="1"/>
    <n v="0"/>
    <x v="0"/>
  </r>
  <r>
    <x v="7"/>
    <x v="2"/>
    <n v="400"/>
    <x v="0"/>
  </r>
  <r>
    <x v="7"/>
    <x v="3"/>
    <n v="400"/>
    <x v="0"/>
  </r>
  <r>
    <x v="8"/>
    <x v="0"/>
    <n v="0"/>
    <x v="0"/>
  </r>
  <r>
    <x v="8"/>
    <x v="1"/>
    <n v="0"/>
    <x v="0"/>
  </r>
  <r>
    <x v="8"/>
    <x v="2"/>
    <n v="0"/>
    <x v="0"/>
  </r>
  <r>
    <x v="8"/>
    <x v="3"/>
    <n v="0"/>
    <x v="0"/>
  </r>
  <r>
    <x v="9"/>
    <x v="0"/>
    <n v="0"/>
    <x v="0"/>
  </r>
  <r>
    <x v="9"/>
    <x v="1"/>
    <n v="0"/>
    <x v="0"/>
  </r>
  <r>
    <x v="9"/>
    <x v="2"/>
    <n v="0"/>
    <x v="0"/>
  </r>
  <r>
    <x v="9"/>
    <x v="3"/>
    <n v="0"/>
    <x v="0"/>
  </r>
  <r>
    <x v="10"/>
    <x v="0"/>
    <n v="9826"/>
    <x v="0"/>
  </r>
  <r>
    <x v="10"/>
    <x v="1"/>
    <n v="0"/>
    <x v="0"/>
  </r>
  <r>
    <x v="10"/>
    <x v="2"/>
    <n v="16130"/>
    <x v="0"/>
  </r>
  <r>
    <x v="10"/>
    <x v="3"/>
    <n v="16130"/>
    <x v="0"/>
  </r>
  <r>
    <x v="11"/>
    <x v="0"/>
    <n v="0"/>
    <x v="0"/>
  </r>
  <r>
    <x v="11"/>
    <x v="1"/>
    <n v="0"/>
    <x v="0"/>
  </r>
  <r>
    <x v="11"/>
    <x v="2"/>
    <n v="0"/>
    <x v="0"/>
  </r>
  <r>
    <x v="11"/>
    <x v="3"/>
    <n v="0"/>
    <x v="0"/>
  </r>
  <r>
    <x v="12"/>
    <x v="0"/>
    <n v="0"/>
    <x v="0"/>
  </r>
  <r>
    <x v="12"/>
    <x v="1"/>
    <n v="0"/>
    <x v="0"/>
  </r>
  <r>
    <x v="12"/>
    <x v="2"/>
    <n v="0"/>
    <x v="0"/>
  </r>
  <r>
    <x v="12"/>
    <x v="3"/>
    <n v="0"/>
    <x v="0"/>
  </r>
  <r>
    <x v="13"/>
    <x v="0"/>
    <n v="0"/>
    <x v="0"/>
  </r>
  <r>
    <x v="13"/>
    <x v="1"/>
    <n v="0"/>
    <x v="0"/>
  </r>
  <r>
    <x v="13"/>
    <x v="2"/>
    <n v="0"/>
    <x v="0"/>
  </r>
  <r>
    <x v="13"/>
    <x v="3"/>
    <n v="0"/>
    <x v="0"/>
  </r>
  <r>
    <x v="0"/>
    <x v="0"/>
    <n v="0"/>
    <x v="1"/>
  </r>
  <r>
    <x v="0"/>
    <x v="1"/>
    <n v="0"/>
    <x v="1"/>
  </r>
  <r>
    <x v="0"/>
    <x v="2"/>
    <n v="0"/>
    <x v="1"/>
  </r>
  <r>
    <x v="0"/>
    <x v="3"/>
    <n v="0"/>
    <x v="1"/>
  </r>
  <r>
    <x v="1"/>
    <x v="0"/>
    <n v="880"/>
    <x v="1"/>
  </r>
  <r>
    <x v="1"/>
    <x v="1"/>
    <n v="0"/>
    <x v="1"/>
  </r>
  <r>
    <x v="1"/>
    <x v="2"/>
    <n v="0"/>
    <x v="1"/>
  </r>
  <r>
    <x v="1"/>
    <x v="3"/>
    <n v="0"/>
    <x v="1"/>
  </r>
  <r>
    <x v="2"/>
    <x v="0"/>
    <n v="1350"/>
    <x v="1"/>
  </r>
  <r>
    <x v="2"/>
    <x v="1"/>
    <n v="0"/>
    <x v="1"/>
  </r>
  <r>
    <x v="2"/>
    <x v="2"/>
    <n v="1000"/>
    <x v="1"/>
  </r>
  <r>
    <x v="2"/>
    <x v="3"/>
    <n v="1000"/>
    <x v="1"/>
  </r>
  <r>
    <x v="3"/>
    <x v="0"/>
    <n v="0"/>
    <x v="1"/>
  </r>
  <r>
    <x v="3"/>
    <x v="1"/>
    <n v="0"/>
    <x v="1"/>
  </r>
  <r>
    <x v="3"/>
    <x v="2"/>
    <n v="0"/>
    <x v="1"/>
  </r>
  <r>
    <x v="3"/>
    <x v="3"/>
    <n v="0"/>
    <x v="1"/>
  </r>
  <r>
    <x v="4"/>
    <x v="0"/>
    <n v="350"/>
    <x v="1"/>
  </r>
  <r>
    <x v="4"/>
    <x v="1"/>
    <n v="0"/>
    <x v="1"/>
  </r>
  <r>
    <x v="4"/>
    <x v="2"/>
    <n v="500"/>
    <x v="1"/>
  </r>
  <r>
    <x v="4"/>
    <x v="3"/>
    <n v="0"/>
    <x v="1"/>
  </r>
  <r>
    <x v="5"/>
    <x v="0"/>
    <n v="1480"/>
    <x v="1"/>
  </r>
  <r>
    <x v="5"/>
    <x v="1"/>
    <n v="0"/>
    <x v="1"/>
  </r>
  <r>
    <x v="5"/>
    <x v="2"/>
    <n v="0"/>
    <x v="1"/>
  </r>
  <r>
    <x v="5"/>
    <x v="3"/>
    <n v="0"/>
    <x v="1"/>
  </r>
  <r>
    <x v="6"/>
    <x v="0"/>
    <n v="0"/>
    <x v="1"/>
  </r>
  <r>
    <x v="6"/>
    <x v="1"/>
    <n v="0"/>
    <x v="1"/>
  </r>
  <r>
    <x v="6"/>
    <x v="2"/>
    <n v="0"/>
    <x v="1"/>
  </r>
  <r>
    <x v="6"/>
    <x v="3"/>
    <n v="0"/>
    <x v="1"/>
  </r>
  <r>
    <x v="7"/>
    <x v="0"/>
    <n v="270"/>
    <x v="1"/>
  </r>
  <r>
    <x v="7"/>
    <x v="1"/>
    <n v="0"/>
    <x v="1"/>
  </r>
  <r>
    <x v="7"/>
    <x v="2"/>
    <n v="0"/>
    <x v="1"/>
  </r>
  <r>
    <x v="7"/>
    <x v="3"/>
    <n v="0"/>
    <x v="1"/>
  </r>
  <r>
    <x v="8"/>
    <x v="0"/>
    <n v="0"/>
    <x v="1"/>
  </r>
  <r>
    <x v="8"/>
    <x v="1"/>
    <n v="0"/>
    <x v="1"/>
  </r>
  <r>
    <x v="8"/>
    <x v="2"/>
    <n v="0"/>
    <x v="1"/>
  </r>
  <r>
    <x v="8"/>
    <x v="3"/>
    <n v="0"/>
    <x v="1"/>
  </r>
  <r>
    <x v="9"/>
    <x v="0"/>
    <n v="0"/>
    <x v="1"/>
  </r>
  <r>
    <x v="9"/>
    <x v="1"/>
    <n v="0"/>
    <x v="1"/>
  </r>
  <r>
    <x v="9"/>
    <x v="2"/>
    <n v="0"/>
    <x v="1"/>
  </r>
  <r>
    <x v="9"/>
    <x v="3"/>
    <n v="500"/>
    <x v="1"/>
  </r>
  <r>
    <x v="10"/>
    <x v="0"/>
    <n v="2669"/>
    <x v="1"/>
  </r>
  <r>
    <x v="10"/>
    <x v="1"/>
    <n v="0"/>
    <x v="1"/>
  </r>
  <r>
    <x v="10"/>
    <x v="2"/>
    <n v="0"/>
    <x v="1"/>
  </r>
  <r>
    <x v="10"/>
    <x v="3"/>
    <n v="0"/>
    <x v="1"/>
  </r>
  <r>
    <x v="11"/>
    <x v="0"/>
    <n v="0"/>
    <x v="1"/>
  </r>
  <r>
    <x v="11"/>
    <x v="1"/>
    <n v="0"/>
    <x v="1"/>
  </r>
  <r>
    <x v="11"/>
    <x v="2"/>
    <n v="0"/>
    <x v="1"/>
  </r>
  <r>
    <x v="11"/>
    <x v="3"/>
    <n v="0"/>
    <x v="1"/>
  </r>
  <r>
    <x v="12"/>
    <x v="0"/>
    <n v="0"/>
    <x v="1"/>
  </r>
  <r>
    <x v="12"/>
    <x v="1"/>
    <n v="0"/>
    <x v="1"/>
  </r>
  <r>
    <x v="12"/>
    <x v="2"/>
    <n v="0"/>
    <x v="1"/>
  </r>
  <r>
    <x v="12"/>
    <x v="3"/>
    <n v="0"/>
    <x v="1"/>
  </r>
  <r>
    <x v="13"/>
    <x v="0"/>
    <n v="0"/>
    <x v="1"/>
  </r>
  <r>
    <x v="13"/>
    <x v="1"/>
    <n v="0"/>
    <x v="1"/>
  </r>
  <r>
    <x v="13"/>
    <x v="2"/>
    <n v="0"/>
    <x v="1"/>
  </r>
  <r>
    <x v="13"/>
    <x v="3"/>
    <n v="0"/>
    <x v="1"/>
  </r>
  <r>
    <x v="0"/>
    <x v="0"/>
    <n v="80"/>
    <x v="2"/>
  </r>
  <r>
    <x v="0"/>
    <x v="1"/>
    <n v="0"/>
    <x v="2"/>
  </r>
  <r>
    <x v="0"/>
    <x v="2"/>
    <n v="0"/>
    <x v="2"/>
  </r>
  <r>
    <x v="0"/>
    <x v="3"/>
    <n v="0"/>
    <x v="2"/>
  </r>
  <r>
    <x v="1"/>
    <x v="0"/>
    <n v="0"/>
    <x v="2"/>
  </r>
  <r>
    <x v="1"/>
    <x v="1"/>
    <n v="0"/>
    <x v="2"/>
  </r>
  <r>
    <x v="1"/>
    <x v="2"/>
    <n v="1000"/>
    <x v="2"/>
  </r>
  <r>
    <x v="1"/>
    <x v="3"/>
    <n v="1000"/>
    <x v="2"/>
  </r>
  <r>
    <x v="2"/>
    <x v="0"/>
    <n v="600"/>
    <x v="2"/>
  </r>
  <r>
    <x v="2"/>
    <x v="1"/>
    <n v="0"/>
    <x v="2"/>
  </r>
  <r>
    <x v="2"/>
    <x v="2"/>
    <n v="200"/>
    <x v="2"/>
  </r>
  <r>
    <x v="2"/>
    <x v="3"/>
    <n v="200"/>
    <x v="2"/>
  </r>
  <r>
    <x v="3"/>
    <x v="0"/>
    <n v="0"/>
    <x v="2"/>
  </r>
  <r>
    <x v="3"/>
    <x v="1"/>
    <n v="0"/>
    <x v="2"/>
  </r>
  <r>
    <x v="3"/>
    <x v="2"/>
    <n v="0"/>
    <x v="2"/>
  </r>
  <r>
    <x v="3"/>
    <x v="3"/>
    <n v="0"/>
    <x v="2"/>
  </r>
  <r>
    <x v="4"/>
    <x v="0"/>
    <n v="0"/>
    <x v="2"/>
  </r>
  <r>
    <x v="4"/>
    <x v="1"/>
    <n v="0"/>
    <x v="2"/>
  </r>
  <r>
    <x v="4"/>
    <x v="2"/>
    <n v="0"/>
    <x v="2"/>
  </r>
  <r>
    <x v="4"/>
    <x v="3"/>
    <n v="0"/>
    <x v="2"/>
  </r>
  <r>
    <x v="5"/>
    <x v="0"/>
    <n v="130"/>
    <x v="2"/>
  </r>
  <r>
    <x v="5"/>
    <x v="1"/>
    <n v="0"/>
    <x v="2"/>
  </r>
  <r>
    <x v="5"/>
    <x v="2"/>
    <n v="0"/>
    <x v="2"/>
  </r>
  <r>
    <x v="5"/>
    <x v="3"/>
    <n v="0"/>
    <x v="2"/>
  </r>
  <r>
    <x v="6"/>
    <x v="0"/>
    <n v="0"/>
    <x v="2"/>
  </r>
  <r>
    <x v="6"/>
    <x v="1"/>
    <n v="0"/>
    <x v="2"/>
  </r>
  <r>
    <x v="6"/>
    <x v="2"/>
    <n v="0"/>
    <x v="2"/>
  </r>
  <r>
    <x v="6"/>
    <x v="3"/>
    <n v="0"/>
    <x v="2"/>
  </r>
  <r>
    <x v="7"/>
    <x v="0"/>
    <n v="0"/>
    <x v="2"/>
  </r>
  <r>
    <x v="7"/>
    <x v="1"/>
    <n v="0"/>
    <x v="2"/>
  </r>
  <r>
    <x v="7"/>
    <x v="2"/>
    <n v="0"/>
    <x v="2"/>
  </r>
  <r>
    <x v="7"/>
    <x v="3"/>
    <n v="0"/>
    <x v="2"/>
  </r>
  <r>
    <x v="8"/>
    <x v="0"/>
    <n v="0"/>
    <x v="2"/>
  </r>
  <r>
    <x v="8"/>
    <x v="1"/>
    <n v="0"/>
    <x v="2"/>
  </r>
  <r>
    <x v="8"/>
    <x v="2"/>
    <n v="0"/>
    <x v="2"/>
  </r>
  <r>
    <x v="8"/>
    <x v="3"/>
    <n v="0"/>
    <x v="2"/>
  </r>
  <r>
    <x v="9"/>
    <x v="0"/>
    <n v="0"/>
    <x v="2"/>
  </r>
  <r>
    <x v="9"/>
    <x v="1"/>
    <n v="0"/>
    <x v="2"/>
  </r>
  <r>
    <x v="9"/>
    <x v="2"/>
    <n v="0"/>
    <x v="2"/>
  </r>
  <r>
    <x v="9"/>
    <x v="3"/>
    <n v="0"/>
    <x v="2"/>
  </r>
  <r>
    <x v="10"/>
    <x v="0"/>
    <n v="790"/>
    <x v="2"/>
  </r>
  <r>
    <x v="10"/>
    <x v="1"/>
    <n v="0"/>
    <x v="2"/>
  </r>
  <r>
    <x v="10"/>
    <x v="2"/>
    <n v="0"/>
    <x v="2"/>
  </r>
  <r>
    <x v="10"/>
    <x v="3"/>
    <n v="0"/>
    <x v="2"/>
  </r>
  <r>
    <x v="11"/>
    <x v="0"/>
    <n v="0"/>
    <x v="2"/>
  </r>
  <r>
    <x v="11"/>
    <x v="1"/>
    <n v="0"/>
    <x v="2"/>
  </r>
  <r>
    <x v="11"/>
    <x v="2"/>
    <n v="0"/>
    <x v="2"/>
  </r>
  <r>
    <x v="11"/>
    <x v="3"/>
    <n v="0"/>
    <x v="2"/>
  </r>
  <r>
    <x v="12"/>
    <x v="0"/>
    <n v="0"/>
    <x v="2"/>
  </r>
  <r>
    <x v="12"/>
    <x v="1"/>
    <n v="0"/>
    <x v="2"/>
  </r>
  <r>
    <x v="12"/>
    <x v="2"/>
    <n v="0"/>
    <x v="2"/>
  </r>
  <r>
    <x v="12"/>
    <x v="3"/>
    <n v="0"/>
    <x v="2"/>
  </r>
  <r>
    <x v="13"/>
    <x v="0"/>
    <n v="0"/>
    <x v="2"/>
  </r>
  <r>
    <x v="13"/>
    <x v="1"/>
    <n v="0"/>
    <x v="2"/>
  </r>
  <r>
    <x v="13"/>
    <x v="2"/>
    <n v="0"/>
    <x v="2"/>
  </r>
  <r>
    <x v="13"/>
    <x v="3"/>
    <n v="0"/>
    <x v="2"/>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n v="19890.98"/>
    <x v="0"/>
  </r>
  <r>
    <x v="0"/>
    <x v="1"/>
    <n v="611.01819999999998"/>
    <x v="0"/>
  </r>
  <r>
    <x v="0"/>
    <x v="2"/>
    <n v="121906.4859"/>
    <x v="0"/>
  </r>
  <r>
    <x v="0"/>
    <x v="3"/>
    <n v="21280.371200000001"/>
    <x v="0"/>
  </r>
  <r>
    <x v="0"/>
    <x v="4"/>
    <n v="26188.954000000002"/>
    <x v="0"/>
  </r>
  <r>
    <x v="1"/>
    <x v="0"/>
    <n v="1041.9549999999999"/>
    <x v="0"/>
  </r>
  <r>
    <x v="1"/>
    <x v="1"/>
    <n v="15272.05"/>
    <x v="0"/>
  </r>
  <r>
    <x v="1"/>
    <x v="2"/>
    <n v="264.66669999999999"/>
    <x v="0"/>
  </r>
  <r>
    <x v="1"/>
    <x v="3"/>
    <n v="54013.122000000003"/>
    <x v="0"/>
  </r>
  <r>
    <x v="1"/>
    <x v="4"/>
    <n v="9773.9380000000001"/>
    <x v="0"/>
  </r>
  <r>
    <x v="2"/>
    <x v="0"/>
    <n v="15992.2"/>
    <x v="0"/>
  </r>
  <r>
    <x v="2"/>
    <x v="1"/>
    <n v="44434.408499999998"/>
    <x v="0"/>
  </r>
  <r>
    <x v="2"/>
    <x v="2"/>
    <n v="15431.800300000001"/>
    <x v="0"/>
  </r>
  <r>
    <x v="2"/>
    <x v="3"/>
    <n v="139014.91800000001"/>
    <x v="0"/>
  </r>
  <r>
    <x v="2"/>
    <x v="4"/>
    <n v="15617.65"/>
    <x v="0"/>
  </r>
  <r>
    <x v="3"/>
    <x v="0"/>
    <n v="69694.406000000003"/>
    <x v="0"/>
  </r>
  <r>
    <x v="3"/>
    <x v="1"/>
    <n v="557.65250000000003"/>
    <x v="0"/>
  </r>
  <r>
    <x v="3"/>
    <x v="2"/>
    <n v="540.85230000000001"/>
    <x v="0"/>
  </r>
  <r>
    <x v="3"/>
    <x v="3"/>
    <n v="1047.566"/>
    <x v="0"/>
  </r>
  <r>
    <x v="3"/>
    <x v="4"/>
    <n v="728.77200000000005"/>
    <x v="0"/>
  </r>
  <r>
    <x v="4"/>
    <x v="0"/>
    <n v="45557.718000000001"/>
    <x v="0"/>
  </r>
  <r>
    <x v="4"/>
    <x v="1"/>
    <n v="37"/>
    <x v="0"/>
  </r>
  <r>
    <x v="4"/>
    <x v="2"/>
    <n v="935.44"/>
    <x v="0"/>
  </r>
  <r>
    <x v="4"/>
    <x v="3"/>
    <n v="2921.9576000000002"/>
    <x v="0"/>
  </r>
  <r>
    <x v="4"/>
    <x v="4"/>
    <n v="839.96169999999995"/>
    <x v="0"/>
  </r>
  <r>
    <x v="5"/>
    <x v="0"/>
    <n v="425508.18"/>
    <x v="0"/>
  </r>
  <r>
    <x v="5"/>
    <x v="1"/>
    <n v="1828.2157999999999"/>
    <x v="0"/>
  </r>
  <r>
    <x v="5"/>
    <x v="2"/>
    <n v="6659.1094999999996"/>
    <x v="0"/>
  </r>
  <r>
    <x v="5"/>
    <x v="3"/>
    <n v="10961.249900000001"/>
    <x v="0"/>
  </r>
  <r>
    <x v="5"/>
    <x v="4"/>
    <n v="18775.599200000001"/>
    <x v="0"/>
  </r>
  <r>
    <x v="6"/>
    <x v="0"/>
    <n v="0"/>
    <x v="0"/>
  </r>
  <r>
    <x v="6"/>
    <x v="1"/>
    <n v="97.704999999999998"/>
    <x v="0"/>
  </r>
  <r>
    <x v="6"/>
    <x v="2"/>
    <n v="42.781399999999998"/>
    <x v="0"/>
  </r>
  <r>
    <x v="6"/>
    <x v="3"/>
    <n v="886.93100000000004"/>
    <x v="0"/>
  </r>
  <r>
    <x v="6"/>
    <x v="4"/>
    <n v="848.6739"/>
    <x v="0"/>
  </r>
  <r>
    <x v="7"/>
    <x v="0"/>
    <n v="2707.6"/>
    <x v="0"/>
  </r>
  <r>
    <x v="7"/>
    <x v="1"/>
    <n v="1575.3458000000001"/>
    <x v="0"/>
  </r>
  <r>
    <x v="7"/>
    <x v="2"/>
    <n v="496.70440000000002"/>
    <x v="0"/>
  </r>
  <r>
    <x v="7"/>
    <x v="3"/>
    <n v="12172.219800000001"/>
    <x v="0"/>
  </r>
  <r>
    <x v="7"/>
    <x v="4"/>
    <n v="15337.204"/>
    <x v="0"/>
  </r>
  <r>
    <x v="8"/>
    <x v="0"/>
    <n v="0"/>
    <x v="0"/>
  </r>
  <r>
    <x v="8"/>
    <x v="1"/>
    <n v="5.6"/>
    <x v="0"/>
  </r>
  <r>
    <x v="8"/>
    <x v="2"/>
    <n v="60"/>
    <x v="0"/>
  </r>
  <r>
    <x v="8"/>
    <x v="3"/>
    <n v="529.85"/>
    <x v="0"/>
  </r>
  <r>
    <x v="8"/>
    <x v="4"/>
    <n v="5207.01"/>
    <x v="0"/>
  </r>
  <r>
    <x v="9"/>
    <x v="0"/>
    <n v="7165.482"/>
    <x v="0"/>
  </r>
  <r>
    <x v="9"/>
    <x v="1"/>
    <n v="5359.5501999999997"/>
    <x v="0"/>
  </r>
  <r>
    <x v="9"/>
    <x v="2"/>
    <n v="10997.194100000001"/>
    <x v="0"/>
  </r>
  <r>
    <x v="9"/>
    <x v="3"/>
    <n v="17317.746599999999"/>
    <x v="0"/>
  </r>
  <r>
    <x v="9"/>
    <x v="4"/>
    <n v="27709.333999999999"/>
    <x v="0"/>
  </r>
  <r>
    <x v="10"/>
    <x v="0"/>
    <n v="10"/>
    <x v="0"/>
  </r>
  <r>
    <x v="10"/>
    <x v="1"/>
    <n v="903.08349999999996"/>
    <x v="0"/>
  </r>
  <r>
    <x v="10"/>
    <x v="2"/>
    <n v="328.56400000000002"/>
    <x v="0"/>
  </r>
  <r>
    <x v="10"/>
    <x v="3"/>
    <n v="2198.5731000000001"/>
    <x v="0"/>
  </r>
  <r>
    <x v="10"/>
    <x v="4"/>
    <n v="32553.620999999999"/>
    <x v="0"/>
  </r>
  <r>
    <x v="11"/>
    <x v="0"/>
    <n v="1011762.22"/>
    <x v="0"/>
  </r>
  <r>
    <x v="11"/>
    <x v="1"/>
    <n v="2548.8000000000002"/>
    <x v="0"/>
  </r>
  <r>
    <x v="11"/>
    <x v="2"/>
    <n v="880.85"/>
    <x v="0"/>
  </r>
  <r>
    <x v="11"/>
    <x v="3"/>
    <n v="6629.4920000000002"/>
    <x v="0"/>
  </r>
  <r>
    <x v="11"/>
    <x v="4"/>
    <n v="15288.2294"/>
    <x v="0"/>
  </r>
  <r>
    <x v="12"/>
    <x v="0"/>
    <n v="253.697"/>
    <x v="0"/>
  </r>
  <r>
    <x v="12"/>
    <x v="1"/>
    <n v="84162.270699999994"/>
    <x v="0"/>
  </r>
  <r>
    <x v="12"/>
    <x v="2"/>
    <n v="9713.7459999999992"/>
    <x v="0"/>
  </r>
  <r>
    <x v="12"/>
    <x v="3"/>
    <n v="103127.9054"/>
    <x v="0"/>
  </r>
  <r>
    <x v="12"/>
    <x v="4"/>
    <n v="14946.5695"/>
    <x v="0"/>
  </r>
  <r>
    <x v="13"/>
    <x v="0"/>
    <n v="22371.09"/>
    <x v="0"/>
  </r>
  <r>
    <x v="13"/>
    <x v="1"/>
    <n v="0"/>
    <x v="0"/>
  </r>
  <r>
    <x v="13"/>
    <x v="2"/>
    <n v="0"/>
    <x v="0"/>
  </r>
  <r>
    <x v="13"/>
    <x v="3"/>
    <n v="61.023000000000003"/>
    <x v="0"/>
  </r>
  <r>
    <x v="13"/>
    <x v="4"/>
    <n v="0"/>
    <x v="0"/>
  </r>
  <r>
    <x v="14"/>
    <x v="0"/>
    <n v="0"/>
    <x v="0"/>
  </r>
  <r>
    <x v="14"/>
    <x v="1"/>
    <n v="0"/>
    <x v="0"/>
  </r>
  <r>
    <x v="14"/>
    <x v="2"/>
    <n v="0"/>
    <x v="0"/>
  </r>
  <r>
    <x v="14"/>
    <x v="3"/>
    <n v="68.866"/>
    <x v="0"/>
  </r>
  <r>
    <x v="14"/>
    <x v="4"/>
    <n v="0"/>
    <x v="0"/>
  </r>
  <r>
    <x v="15"/>
    <x v="0"/>
    <n v="0"/>
    <x v="0"/>
  </r>
  <r>
    <x v="15"/>
    <x v="1"/>
    <n v="0"/>
    <x v="0"/>
  </r>
  <r>
    <x v="15"/>
    <x v="2"/>
    <n v="0"/>
    <x v="0"/>
  </r>
  <r>
    <x v="15"/>
    <x v="3"/>
    <n v="0"/>
    <x v="0"/>
  </r>
  <r>
    <x v="15"/>
    <x v="4"/>
    <n v="0"/>
    <x v="0"/>
  </r>
  <r>
    <x v="0"/>
    <x v="4"/>
    <n v="874.053"/>
    <x v="1"/>
  </r>
  <r>
    <x v="0"/>
    <x v="3"/>
    <n v="2072.3546000000001"/>
    <x v="1"/>
  </r>
  <r>
    <x v="0"/>
    <x v="2"/>
    <n v="15937.0861"/>
    <x v="1"/>
  </r>
  <r>
    <x v="0"/>
    <x v="1"/>
    <n v="35.639699999999998"/>
    <x v="1"/>
  </r>
  <r>
    <x v="0"/>
    <x v="0"/>
    <n v="16375.208000000001"/>
    <x v="1"/>
  </r>
  <r>
    <x v="1"/>
    <x v="4"/>
    <n v="416.70499999999998"/>
    <x v="1"/>
  </r>
  <r>
    <x v="1"/>
    <x v="3"/>
    <n v="2094.91"/>
    <x v="1"/>
  </r>
  <r>
    <x v="1"/>
    <x v="2"/>
    <n v="10.7186"/>
    <x v="1"/>
  </r>
  <r>
    <x v="1"/>
    <x v="1"/>
    <n v="11547.54"/>
    <x v="1"/>
  </r>
  <r>
    <x v="1"/>
    <x v="0"/>
    <n v="0"/>
    <x v="1"/>
  </r>
  <r>
    <x v="2"/>
    <x v="4"/>
    <n v="497.97230000000002"/>
    <x v="1"/>
  </r>
  <r>
    <x v="2"/>
    <x v="3"/>
    <n v="3984.3636999999999"/>
    <x v="1"/>
  </r>
  <r>
    <x v="2"/>
    <x v="2"/>
    <n v="430.9203"/>
    <x v="1"/>
  </r>
  <r>
    <x v="2"/>
    <x v="1"/>
    <n v="2033.2881"/>
    <x v="1"/>
  </r>
  <r>
    <x v="2"/>
    <x v="0"/>
    <n v="1456.606"/>
    <x v="1"/>
  </r>
  <r>
    <x v="3"/>
    <x v="4"/>
    <n v="44.3125"/>
    <x v="1"/>
  </r>
  <r>
    <x v="3"/>
    <x v="3"/>
    <n v="82.185000000000002"/>
    <x v="1"/>
  </r>
  <r>
    <x v="3"/>
    <x v="2"/>
    <n v="57.7"/>
    <x v="1"/>
  </r>
  <r>
    <x v="3"/>
    <x v="1"/>
    <n v="45.685600000000001"/>
    <x v="1"/>
  </r>
  <r>
    <x v="3"/>
    <x v="0"/>
    <n v="5768.58"/>
    <x v="1"/>
  </r>
  <r>
    <x v="4"/>
    <x v="4"/>
    <n v="40.091700000000003"/>
    <x v="1"/>
  </r>
  <r>
    <x v="4"/>
    <x v="3"/>
    <n v="76.580699999999993"/>
    <x v="1"/>
  </r>
  <r>
    <x v="4"/>
    <x v="2"/>
    <n v="12.45"/>
    <x v="1"/>
  </r>
  <r>
    <x v="4"/>
    <x v="1"/>
    <n v="0"/>
    <x v="1"/>
  </r>
  <r>
    <x v="4"/>
    <x v="0"/>
    <n v="18271.478999999999"/>
    <x v="1"/>
  </r>
  <r>
    <x v="5"/>
    <x v="4"/>
    <n v="702.16250000000002"/>
    <x v="1"/>
  </r>
  <r>
    <x v="5"/>
    <x v="3"/>
    <n v="892.02089999999998"/>
    <x v="1"/>
  </r>
  <r>
    <x v="5"/>
    <x v="2"/>
    <n v="1242.4067"/>
    <x v="1"/>
  </r>
  <r>
    <x v="5"/>
    <x v="1"/>
    <n v="76.354399999999998"/>
    <x v="1"/>
  </r>
  <r>
    <x v="5"/>
    <x v="0"/>
    <n v="78223.944000000003"/>
    <x v="1"/>
  </r>
  <r>
    <x v="6"/>
    <x v="4"/>
    <n v="615.42200000000003"/>
    <x v="1"/>
  </r>
  <r>
    <x v="6"/>
    <x v="3"/>
    <n v="720.23800000000006"/>
    <x v="1"/>
  </r>
  <r>
    <x v="6"/>
    <x v="2"/>
    <n v="119.71"/>
    <x v="1"/>
  </r>
  <r>
    <x v="6"/>
    <x v="1"/>
    <n v="52.6267"/>
    <x v="1"/>
  </r>
  <r>
    <x v="6"/>
    <x v="0"/>
    <n v="463.5"/>
    <x v="1"/>
  </r>
  <r>
    <x v="7"/>
    <x v="4"/>
    <n v="210.72"/>
    <x v="1"/>
  </r>
  <r>
    <x v="7"/>
    <x v="3"/>
    <n v="202.52500000000001"/>
    <x v="1"/>
  </r>
  <r>
    <x v="7"/>
    <x v="2"/>
    <n v="5.5"/>
    <x v="1"/>
  </r>
  <r>
    <x v="7"/>
    <x v="1"/>
    <n v="0"/>
    <x v="1"/>
  </r>
  <r>
    <x v="7"/>
    <x v="0"/>
    <n v="0"/>
    <x v="1"/>
  </r>
  <r>
    <x v="8"/>
    <x v="4"/>
    <n v="60.563099999999999"/>
    <x v="1"/>
  </r>
  <r>
    <x v="8"/>
    <x v="3"/>
    <n v="73.12"/>
    <x v="1"/>
  </r>
  <r>
    <x v="8"/>
    <x v="2"/>
    <n v="8.0500000000000007"/>
    <x v="1"/>
  </r>
  <r>
    <x v="8"/>
    <x v="1"/>
    <n v="1.91"/>
    <x v="1"/>
  </r>
  <r>
    <x v="8"/>
    <x v="0"/>
    <n v="0"/>
    <x v="1"/>
  </r>
  <r>
    <x v="9"/>
    <x v="4"/>
    <n v="1253.9502"/>
    <x v="1"/>
  </r>
  <r>
    <x v="9"/>
    <x v="3"/>
    <n v="687.74"/>
    <x v="1"/>
  </r>
  <r>
    <x v="9"/>
    <x v="2"/>
    <n v="1631.4770000000001"/>
    <x v="1"/>
  </r>
  <r>
    <x v="9"/>
    <x v="1"/>
    <n v="151.71520000000001"/>
    <x v="1"/>
  </r>
  <r>
    <x v="9"/>
    <x v="0"/>
    <n v="1033.884"/>
    <x v="1"/>
  </r>
  <r>
    <x v="10"/>
    <x v="4"/>
    <n v="805.62599999999998"/>
    <x v="1"/>
  </r>
  <r>
    <x v="10"/>
    <x v="3"/>
    <n v="192.21600000000001"/>
    <x v="1"/>
  </r>
  <r>
    <x v="10"/>
    <x v="2"/>
    <n v="25.015999999999998"/>
    <x v="1"/>
  </r>
  <r>
    <x v="10"/>
    <x v="1"/>
    <n v="27.6127"/>
    <x v="1"/>
  </r>
  <r>
    <x v="10"/>
    <x v="0"/>
    <n v="0"/>
    <x v="1"/>
  </r>
  <r>
    <x v="11"/>
    <x v="4"/>
    <n v="358.75"/>
    <x v="1"/>
  </r>
  <r>
    <x v="11"/>
    <x v="3"/>
    <n v="270.88749999999999"/>
    <x v="1"/>
  </r>
  <r>
    <x v="11"/>
    <x v="2"/>
    <n v="1789"/>
    <x v="1"/>
  </r>
  <r>
    <x v="11"/>
    <x v="1"/>
    <n v="57.287999999999997"/>
    <x v="1"/>
  </r>
  <r>
    <x v="11"/>
    <x v="0"/>
    <n v="855018.29299999995"/>
    <x v="1"/>
  </r>
  <r>
    <x v="12"/>
    <x v="4"/>
    <n v="430.351"/>
    <x v="1"/>
  </r>
  <r>
    <x v="12"/>
    <x v="3"/>
    <n v="5814.2145"/>
    <x v="1"/>
  </r>
  <r>
    <x v="12"/>
    <x v="2"/>
    <n v="1056.8499999999999"/>
    <x v="1"/>
  </r>
  <r>
    <x v="12"/>
    <x v="1"/>
    <n v="3421.0288999999998"/>
    <x v="1"/>
  </r>
  <r>
    <x v="12"/>
    <x v="0"/>
    <n v="42.222999999999999"/>
    <x v="1"/>
  </r>
  <r>
    <x v="13"/>
    <x v="4"/>
    <n v="522"/>
    <x v="1"/>
  </r>
  <r>
    <x v="13"/>
    <x v="3"/>
    <n v="124.892"/>
    <x v="1"/>
  </r>
  <r>
    <x v="13"/>
    <x v="2"/>
    <n v="0"/>
    <x v="1"/>
  </r>
  <r>
    <x v="13"/>
    <x v="1"/>
    <n v="1350"/>
    <x v="1"/>
  </r>
  <r>
    <x v="13"/>
    <x v="0"/>
    <n v="6120"/>
    <x v="1"/>
  </r>
  <r>
    <x v="14"/>
    <x v="4"/>
    <n v="0"/>
    <x v="1"/>
  </r>
  <r>
    <x v="14"/>
    <x v="3"/>
    <n v="0"/>
    <x v="1"/>
  </r>
  <r>
    <x v="14"/>
    <x v="2"/>
    <n v="0"/>
    <x v="1"/>
  </r>
  <r>
    <x v="14"/>
    <x v="1"/>
    <n v="0"/>
    <x v="1"/>
  </r>
  <r>
    <x v="14"/>
    <x v="0"/>
    <n v="0"/>
    <x v="1"/>
  </r>
  <r>
    <x v="15"/>
    <x v="4"/>
    <n v="0"/>
    <x v="1"/>
  </r>
  <r>
    <x v="15"/>
    <x v="3"/>
    <n v="10"/>
    <x v="1"/>
  </r>
  <r>
    <x v="15"/>
    <x v="2"/>
    <n v="0"/>
    <x v="1"/>
  </r>
  <r>
    <x v="15"/>
    <x v="1"/>
    <n v="0"/>
    <x v="1"/>
  </r>
  <r>
    <x v="15"/>
    <x v="0"/>
    <n v="0"/>
    <x v="1"/>
  </r>
  <r>
    <x v="0"/>
    <x v="4"/>
    <n v="2143.3890000000001"/>
    <x v="2"/>
  </r>
  <r>
    <x v="0"/>
    <x v="3"/>
    <n v="3433.8544000000002"/>
    <x v="2"/>
  </r>
  <r>
    <x v="0"/>
    <x v="2"/>
    <n v="29774.7611"/>
    <x v="2"/>
  </r>
  <r>
    <x v="0"/>
    <x v="1"/>
    <n v="46.591000000000001"/>
    <x v="2"/>
  </r>
  <r>
    <x v="0"/>
    <x v="0"/>
    <n v="13814.442999999999"/>
    <x v="2"/>
  </r>
  <r>
    <x v="1"/>
    <x v="4"/>
    <n v="1321.5250000000001"/>
    <x v="2"/>
  </r>
  <r>
    <x v="1"/>
    <x v="3"/>
    <n v="4291.2030000000004"/>
    <x v="2"/>
  </r>
  <r>
    <x v="1"/>
    <x v="2"/>
    <n v="0"/>
    <x v="2"/>
  </r>
  <r>
    <x v="1"/>
    <x v="1"/>
    <n v="2777.1750000000002"/>
    <x v="2"/>
  </r>
  <r>
    <x v="1"/>
    <x v="0"/>
    <n v="0"/>
    <x v="2"/>
  </r>
  <r>
    <x v="2"/>
    <x v="4"/>
    <n v="898.76499999999999"/>
    <x v="2"/>
  </r>
  <r>
    <x v="2"/>
    <x v="3"/>
    <n v="27065.912"/>
    <x v="2"/>
  </r>
  <r>
    <x v="2"/>
    <x v="2"/>
    <n v="19809.580999999998"/>
    <x v="2"/>
  </r>
  <r>
    <x v="2"/>
    <x v="1"/>
    <n v="18323.554"/>
    <x v="2"/>
  </r>
  <r>
    <x v="2"/>
    <x v="0"/>
    <n v="4535.93"/>
    <x v="2"/>
  </r>
  <r>
    <x v="3"/>
    <x v="4"/>
    <n v="21.8"/>
    <x v="2"/>
  </r>
  <r>
    <x v="3"/>
    <x v="3"/>
    <n v="62.75"/>
    <x v="2"/>
  </r>
  <r>
    <x v="3"/>
    <x v="2"/>
    <n v="0"/>
    <x v="2"/>
  </r>
  <r>
    <x v="3"/>
    <x v="1"/>
    <n v="64.88"/>
    <x v="2"/>
  </r>
  <r>
    <x v="3"/>
    <x v="0"/>
    <n v="9755.7060000000001"/>
    <x v="2"/>
  </r>
  <r>
    <x v="4"/>
    <x v="4"/>
    <n v="30.443999999999999"/>
    <x v="2"/>
  </r>
  <r>
    <x v="4"/>
    <x v="3"/>
    <n v="62"/>
    <x v="2"/>
  </r>
  <r>
    <x v="4"/>
    <x v="2"/>
    <n v="0"/>
    <x v="2"/>
  </r>
  <r>
    <x v="4"/>
    <x v="1"/>
    <n v="56.5"/>
    <x v="2"/>
  </r>
  <r>
    <x v="4"/>
    <x v="0"/>
    <n v="12076.861999999999"/>
    <x v="2"/>
  </r>
  <r>
    <x v="5"/>
    <x v="4"/>
    <n v="1307.1310000000001"/>
    <x v="2"/>
  </r>
  <r>
    <x v="5"/>
    <x v="3"/>
    <n v="392.77600000000001"/>
    <x v="2"/>
  </r>
  <r>
    <x v="5"/>
    <x v="2"/>
    <n v="98.343000000000004"/>
    <x v="2"/>
  </r>
  <r>
    <x v="5"/>
    <x v="1"/>
    <n v="265.36399999999998"/>
    <x v="2"/>
  </r>
  <r>
    <x v="5"/>
    <x v="0"/>
    <n v="83843.770999999993"/>
    <x v="2"/>
  </r>
  <r>
    <x v="8"/>
    <x v="4"/>
    <n v="10.41"/>
    <x v="2"/>
  </r>
  <r>
    <x v="8"/>
    <x v="3"/>
    <n v="34.090000000000003"/>
    <x v="2"/>
  </r>
  <r>
    <x v="8"/>
    <x v="2"/>
    <n v="0"/>
    <x v="2"/>
  </r>
  <r>
    <x v="8"/>
    <x v="1"/>
    <n v="25.968"/>
    <x v="2"/>
  </r>
  <r>
    <x v="8"/>
    <x v="0"/>
    <n v="0"/>
    <x v="2"/>
  </r>
  <r>
    <x v="6"/>
    <x v="4"/>
    <n v="843.79"/>
    <x v="2"/>
  </r>
  <r>
    <x v="6"/>
    <x v="3"/>
    <n v="636.62"/>
    <x v="2"/>
  </r>
  <r>
    <x v="6"/>
    <x v="2"/>
    <n v="101.51"/>
    <x v="2"/>
  </r>
  <r>
    <x v="6"/>
    <x v="1"/>
    <n v="246.11500000000001"/>
    <x v="2"/>
  </r>
  <r>
    <x v="6"/>
    <x v="0"/>
    <n v="250"/>
    <x v="2"/>
  </r>
  <r>
    <x v="7"/>
    <x v="4"/>
    <n v="366.06"/>
    <x v="2"/>
  </r>
  <r>
    <x v="7"/>
    <x v="3"/>
    <n v="247.85499999999999"/>
    <x v="2"/>
  </r>
  <r>
    <x v="7"/>
    <x v="2"/>
    <n v="0"/>
    <x v="2"/>
  </r>
  <r>
    <x v="7"/>
    <x v="1"/>
    <n v="0"/>
    <x v="2"/>
  </r>
  <r>
    <x v="7"/>
    <x v="0"/>
    <n v="0"/>
    <x v="2"/>
  </r>
  <r>
    <x v="11"/>
    <x v="4"/>
    <n v="1048.9837"/>
    <x v="2"/>
  </r>
  <r>
    <x v="11"/>
    <x v="3"/>
    <n v="0"/>
    <x v="2"/>
  </r>
  <r>
    <x v="11"/>
    <x v="2"/>
    <n v="0"/>
    <x v="2"/>
  </r>
  <r>
    <x v="11"/>
    <x v="1"/>
    <n v="518.60299999999995"/>
    <x v="2"/>
  </r>
  <r>
    <x v="11"/>
    <x v="0"/>
    <n v="396389.03200000001"/>
    <x v="2"/>
  </r>
  <r>
    <x v="12"/>
    <x v="4"/>
    <n v="858.13"/>
    <x v="2"/>
  </r>
  <r>
    <x v="12"/>
    <x v="3"/>
    <n v="16426.932000000001"/>
    <x v="2"/>
  </r>
  <r>
    <x v="12"/>
    <x v="2"/>
    <n v="2914.3116"/>
    <x v="2"/>
  </r>
  <r>
    <x v="12"/>
    <x v="1"/>
    <n v="25253.923999999999"/>
    <x v="2"/>
  </r>
  <r>
    <x v="12"/>
    <x v="0"/>
    <n v="141.19999999999999"/>
    <x v="2"/>
  </r>
  <r>
    <x v="9"/>
    <x v="4"/>
    <n v="1822.8158000000001"/>
    <x v="2"/>
  </r>
  <r>
    <x v="9"/>
    <x v="3"/>
    <n v="1237.45"/>
    <x v="2"/>
  </r>
  <r>
    <x v="9"/>
    <x v="2"/>
    <n v="480.58330000000001"/>
    <x v="2"/>
  </r>
  <r>
    <x v="9"/>
    <x v="1"/>
    <n v="453.21199999999999"/>
    <x v="2"/>
  </r>
  <r>
    <x v="9"/>
    <x v="0"/>
    <n v="1147"/>
    <x v="2"/>
  </r>
  <r>
    <x v="10"/>
    <x v="4"/>
    <n v="2685.9409999999998"/>
    <x v="2"/>
  </r>
  <r>
    <x v="10"/>
    <x v="3"/>
    <n v="168"/>
    <x v="2"/>
  </r>
  <r>
    <x v="10"/>
    <x v="2"/>
    <n v="18.044"/>
    <x v="2"/>
  </r>
  <r>
    <x v="10"/>
    <x v="1"/>
    <n v="251.12799999999999"/>
    <x v="2"/>
  </r>
  <r>
    <x v="10"/>
    <x v="0"/>
    <n v="0"/>
    <x v="2"/>
  </r>
  <r>
    <x v="13"/>
    <x v="4"/>
    <n v="89.5"/>
    <x v="2"/>
  </r>
  <r>
    <x v="13"/>
    <x v="3"/>
    <n v="0"/>
    <x v="2"/>
  </r>
  <r>
    <x v="13"/>
    <x v="2"/>
    <n v="0"/>
    <x v="2"/>
  </r>
  <r>
    <x v="13"/>
    <x v="1"/>
    <n v="2019.3"/>
    <x v="2"/>
  </r>
  <r>
    <x v="13"/>
    <x v="0"/>
    <n v="3810"/>
    <x v="2"/>
  </r>
  <r>
    <x v="15"/>
    <x v="4"/>
    <n v="0"/>
    <x v="2"/>
  </r>
  <r>
    <x v="15"/>
    <x v="3"/>
    <n v="0"/>
    <x v="2"/>
  </r>
  <r>
    <x v="15"/>
    <x v="2"/>
    <n v="0"/>
    <x v="2"/>
  </r>
  <r>
    <x v="15"/>
    <x v="1"/>
    <n v="0"/>
    <x v="2"/>
  </r>
  <r>
    <x v="15"/>
    <x v="0"/>
    <n v="0"/>
    <x v="2"/>
  </r>
  <r>
    <x v="14"/>
    <x v="4"/>
    <n v="0"/>
    <x v="2"/>
  </r>
  <r>
    <x v="14"/>
    <x v="3"/>
    <n v="0"/>
    <x v="2"/>
  </r>
  <r>
    <x v="14"/>
    <x v="2"/>
    <n v="0"/>
    <x v="2"/>
  </r>
  <r>
    <x v="14"/>
    <x v="1"/>
    <n v="0"/>
    <x v="2"/>
  </r>
  <r>
    <x v="14"/>
    <x v="0"/>
    <n v="0"/>
    <x v="2"/>
  </r>
  <r>
    <x v="0"/>
    <x v="0"/>
    <n v="0"/>
    <x v="3"/>
  </r>
  <r>
    <x v="0"/>
    <x v="1"/>
    <n v="0"/>
    <x v="3"/>
  </r>
  <r>
    <x v="0"/>
    <x v="2"/>
    <n v="10259.6024"/>
    <x v="3"/>
  </r>
  <r>
    <x v="0"/>
    <x v="3"/>
    <n v="0"/>
    <x v="3"/>
  </r>
  <r>
    <x v="0"/>
    <x v="4"/>
    <n v="0"/>
    <x v="3"/>
  </r>
  <r>
    <x v="1"/>
    <x v="0"/>
    <n v="0"/>
    <x v="3"/>
  </r>
  <r>
    <x v="1"/>
    <x v="1"/>
    <n v="0"/>
    <x v="3"/>
  </r>
  <r>
    <x v="1"/>
    <x v="2"/>
    <n v="0"/>
    <x v="3"/>
  </r>
  <r>
    <x v="1"/>
    <x v="3"/>
    <n v="0"/>
    <x v="3"/>
  </r>
  <r>
    <x v="1"/>
    <x v="4"/>
    <n v="0"/>
    <x v="3"/>
  </r>
  <r>
    <x v="2"/>
    <x v="0"/>
    <n v="0"/>
    <x v="3"/>
  </r>
  <r>
    <x v="2"/>
    <x v="1"/>
    <n v="1154.3262"/>
    <x v="3"/>
  </r>
  <r>
    <x v="2"/>
    <x v="2"/>
    <n v="0"/>
    <x v="3"/>
  </r>
  <r>
    <x v="2"/>
    <x v="3"/>
    <n v="1091.271"/>
    <x v="3"/>
  </r>
  <r>
    <x v="2"/>
    <x v="4"/>
    <n v="0"/>
    <x v="3"/>
  </r>
  <r>
    <x v="3"/>
    <x v="0"/>
    <n v="0"/>
    <x v="3"/>
  </r>
  <r>
    <x v="3"/>
    <x v="1"/>
    <n v="0"/>
    <x v="3"/>
  </r>
  <r>
    <x v="3"/>
    <x v="2"/>
    <n v="0"/>
    <x v="3"/>
  </r>
  <r>
    <x v="3"/>
    <x v="3"/>
    <n v="0"/>
    <x v="3"/>
  </r>
  <r>
    <x v="3"/>
    <x v="4"/>
    <n v="0"/>
    <x v="3"/>
  </r>
  <r>
    <x v="4"/>
    <x v="0"/>
    <n v="1231.9418000000001"/>
    <x v="3"/>
  </r>
  <r>
    <x v="4"/>
    <x v="1"/>
    <n v="0"/>
    <x v="3"/>
  </r>
  <r>
    <x v="4"/>
    <x v="2"/>
    <n v="0"/>
    <x v="3"/>
  </r>
  <r>
    <x v="4"/>
    <x v="3"/>
    <n v="0"/>
    <x v="3"/>
  </r>
  <r>
    <x v="4"/>
    <x v="4"/>
    <n v="0"/>
    <x v="3"/>
  </r>
  <r>
    <x v="5"/>
    <x v="0"/>
    <n v="5592.4903000000004"/>
    <x v="3"/>
  </r>
  <r>
    <x v="5"/>
    <x v="1"/>
    <n v="0"/>
    <x v="3"/>
  </r>
  <r>
    <x v="5"/>
    <x v="2"/>
    <n v="0"/>
    <x v="3"/>
  </r>
  <r>
    <x v="5"/>
    <x v="3"/>
    <n v="0"/>
    <x v="3"/>
  </r>
  <r>
    <x v="5"/>
    <x v="4"/>
    <n v="0"/>
    <x v="3"/>
  </r>
  <r>
    <x v="8"/>
    <x v="0"/>
    <n v="0"/>
    <x v="3"/>
  </r>
  <r>
    <x v="8"/>
    <x v="1"/>
    <n v="0"/>
    <x v="3"/>
  </r>
  <r>
    <x v="8"/>
    <x v="2"/>
    <n v="0"/>
    <x v="3"/>
  </r>
  <r>
    <x v="8"/>
    <x v="3"/>
    <n v="0"/>
    <x v="3"/>
  </r>
  <r>
    <x v="8"/>
    <x v="4"/>
    <n v="0"/>
    <x v="3"/>
  </r>
  <r>
    <x v="6"/>
    <x v="0"/>
    <n v="0"/>
    <x v="3"/>
  </r>
  <r>
    <x v="6"/>
    <x v="1"/>
    <n v="105.626"/>
    <x v="3"/>
  </r>
  <r>
    <x v="6"/>
    <x v="2"/>
    <n v="0"/>
    <x v="3"/>
  </r>
  <r>
    <x v="6"/>
    <x v="3"/>
    <n v="0"/>
    <x v="3"/>
  </r>
  <r>
    <x v="6"/>
    <x v="4"/>
    <n v="0"/>
    <x v="3"/>
  </r>
  <r>
    <x v="7"/>
    <x v="0"/>
    <n v="0"/>
    <x v="3"/>
  </r>
  <r>
    <x v="7"/>
    <x v="1"/>
    <n v="0"/>
    <x v="3"/>
  </r>
  <r>
    <x v="7"/>
    <x v="2"/>
    <n v="0"/>
    <x v="3"/>
  </r>
  <r>
    <x v="7"/>
    <x v="3"/>
    <n v="0"/>
    <x v="3"/>
  </r>
  <r>
    <x v="7"/>
    <x v="4"/>
    <n v="0"/>
    <x v="3"/>
  </r>
  <r>
    <x v="11"/>
    <x v="0"/>
    <n v="884475.25190000003"/>
    <x v="3"/>
  </r>
  <r>
    <x v="11"/>
    <x v="1"/>
    <n v="0"/>
    <x v="3"/>
  </r>
  <r>
    <x v="11"/>
    <x v="2"/>
    <n v="0"/>
    <x v="3"/>
  </r>
  <r>
    <x v="11"/>
    <x v="3"/>
    <n v="0"/>
    <x v="3"/>
  </r>
  <r>
    <x v="11"/>
    <x v="4"/>
    <n v="0"/>
    <x v="3"/>
  </r>
  <r>
    <x v="12"/>
    <x v="0"/>
    <n v="0"/>
    <x v="3"/>
  </r>
  <r>
    <x v="12"/>
    <x v="1"/>
    <n v="7099.0114999999996"/>
    <x v="3"/>
  </r>
  <r>
    <x v="12"/>
    <x v="2"/>
    <n v="0"/>
    <x v="3"/>
  </r>
  <r>
    <x v="12"/>
    <x v="3"/>
    <n v="71.819999999999993"/>
    <x v="3"/>
  </r>
  <r>
    <x v="12"/>
    <x v="4"/>
    <n v="75.599999999999994"/>
    <x v="3"/>
  </r>
  <r>
    <x v="9"/>
    <x v="0"/>
    <n v="0"/>
    <x v="3"/>
  </r>
  <r>
    <x v="9"/>
    <x v="1"/>
    <n v="347.63099999999997"/>
    <x v="3"/>
  </r>
  <r>
    <x v="9"/>
    <x v="2"/>
    <n v="0"/>
    <x v="3"/>
  </r>
  <r>
    <x v="9"/>
    <x v="3"/>
    <n v="0"/>
    <x v="3"/>
  </r>
  <r>
    <x v="9"/>
    <x v="4"/>
    <n v="0"/>
    <x v="3"/>
  </r>
  <r>
    <x v="10"/>
    <x v="0"/>
    <n v="0"/>
    <x v="3"/>
  </r>
  <r>
    <x v="10"/>
    <x v="1"/>
    <n v="0"/>
    <x v="3"/>
  </r>
  <r>
    <x v="10"/>
    <x v="2"/>
    <n v="0"/>
    <x v="3"/>
  </r>
  <r>
    <x v="10"/>
    <x v="3"/>
    <n v="0"/>
    <x v="3"/>
  </r>
  <r>
    <x v="10"/>
    <x v="4"/>
    <n v="0"/>
    <x v="3"/>
  </r>
  <r>
    <x v="13"/>
    <x v="0"/>
    <n v="60.344000000000001"/>
    <x v="3"/>
  </r>
  <r>
    <x v="13"/>
    <x v="1"/>
    <n v="0"/>
    <x v="3"/>
  </r>
  <r>
    <x v="13"/>
    <x v="2"/>
    <n v="0"/>
    <x v="3"/>
  </r>
  <r>
    <x v="13"/>
    <x v="3"/>
    <n v="0"/>
    <x v="3"/>
  </r>
  <r>
    <x v="13"/>
    <x v="4"/>
    <n v="0"/>
    <x v="3"/>
  </r>
  <r>
    <x v="15"/>
    <x v="0"/>
    <n v="0"/>
    <x v="3"/>
  </r>
  <r>
    <x v="15"/>
    <x v="1"/>
    <n v="0"/>
    <x v="3"/>
  </r>
  <r>
    <x v="15"/>
    <x v="2"/>
    <n v="0"/>
    <x v="3"/>
  </r>
  <r>
    <x v="15"/>
    <x v="3"/>
    <n v="0"/>
    <x v="3"/>
  </r>
  <r>
    <x v="15"/>
    <x v="4"/>
    <n v="0"/>
    <x v="3"/>
  </r>
  <r>
    <x v="14"/>
    <x v="0"/>
    <n v="0"/>
    <x v="3"/>
  </r>
  <r>
    <x v="14"/>
    <x v="1"/>
    <n v="0"/>
    <x v="3"/>
  </r>
  <r>
    <x v="14"/>
    <x v="2"/>
    <n v="0"/>
    <x v="3"/>
  </r>
  <r>
    <x v="14"/>
    <x v="3"/>
    <n v="0"/>
    <x v="3"/>
  </r>
  <r>
    <x v="14"/>
    <x v="4"/>
    <n v="0"/>
    <x v="3"/>
  </r>
  <r>
    <x v="0"/>
    <x v="4"/>
    <n v="13010.384"/>
    <x v="4"/>
  </r>
  <r>
    <x v="0"/>
    <x v="3"/>
    <n v="2432.7901000000002"/>
    <x v="4"/>
  </r>
  <r>
    <x v="0"/>
    <x v="2"/>
    <n v="25238.669000000002"/>
    <x v="4"/>
  </r>
  <r>
    <x v="0"/>
    <x v="1"/>
    <n v="247.36"/>
    <x v="4"/>
  </r>
  <r>
    <x v="0"/>
    <x v="0"/>
    <n v="0"/>
    <x v="4"/>
  </r>
  <r>
    <x v="1"/>
    <x v="4"/>
    <n v="5039.9399999999996"/>
    <x v="4"/>
  </r>
  <r>
    <x v="1"/>
    <x v="3"/>
    <n v="118210.03"/>
    <x v="4"/>
  </r>
  <r>
    <x v="1"/>
    <x v="2"/>
    <n v="416.2"/>
    <x v="4"/>
  </r>
  <r>
    <x v="1"/>
    <x v="1"/>
    <n v="327.10000000000002"/>
    <x v="4"/>
  </r>
  <r>
    <x v="1"/>
    <x v="0"/>
    <n v="0"/>
    <x v="4"/>
  </r>
  <r>
    <x v="2"/>
    <x v="4"/>
    <n v="4383.692"/>
    <x v="4"/>
  </r>
  <r>
    <x v="2"/>
    <x v="3"/>
    <n v="43788.085899999998"/>
    <x v="4"/>
  </r>
  <r>
    <x v="2"/>
    <x v="2"/>
    <n v="52547.492299999998"/>
    <x v="4"/>
  </r>
  <r>
    <x v="2"/>
    <x v="1"/>
    <n v="66034.690300000002"/>
    <x v="4"/>
  </r>
  <r>
    <x v="2"/>
    <x v="0"/>
    <n v="0"/>
    <x v="4"/>
  </r>
  <r>
    <x v="3"/>
    <x v="4"/>
    <n v="512.298"/>
    <x v="4"/>
  </r>
  <r>
    <x v="3"/>
    <x v="3"/>
    <n v="471.6866"/>
    <x v="4"/>
  </r>
  <r>
    <x v="3"/>
    <x v="2"/>
    <n v="207.7424"/>
    <x v="4"/>
  </r>
  <r>
    <x v="3"/>
    <x v="1"/>
    <n v="98.3"/>
    <x v="4"/>
  </r>
  <r>
    <x v="3"/>
    <x v="0"/>
    <n v="0"/>
    <x v="4"/>
  </r>
  <r>
    <x v="4"/>
    <x v="4"/>
    <n v="2623.4052000000001"/>
    <x v="4"/>
  </r>
  <r>
    <x v="4"/>
    <x v="3"/>
    <n v="1209.9190000000001"/>
    <x v="4"/>
  </r>
  <r>
    <x v="4"/>
    <x v="2"/>
    <n v="3023.6379999999999"/>
    <x v="4"/>
  </r>
  <r>
    <x v="4"/>
    <x v="1"/>
    <n v="3007.1379999999999"/>
    <x v="4"/>
  </r>
  <r>
    <x v="4"/>
    <x v="0"/>
    <n v="0"/>
    <x v="4"/>
  </r>
  <r>
    <x v="5"/>
    <x v="4"/>
    <n v="4288.7644"/>
    <x v="4"/>
  </r>
  <r>
    <x v="5"/>
    <x v="3"/>
    <n v="8807.0689999999995"/>
    <x v="4"/>
  </r>
  <r>
    <x v="5"/>
    <x v="2"/>
    <n v="3369.42"/>
    <x v="4"/>
  </r>
  <r>
    <x v="5"/>
    <x v="1"/>
    <n v="1692.82"/>
    <x v="4"/>
  </r>
  <r>
    <x v="5"/>
    <x v="0"/>
    <n v="0"/>
    <x v="4"/>
  </r>
  <r>
    <x v="8"/>
    <x v="4"/>
    <n v="2592.7345999999998"/>
    <x v="4"/>
  </r>
  <r>
    <x v="8"/>
    <x v="3"/>
    <n v="63"/>
    <x v="4"/>
  </r>
  <r>
    <x v="8"/>
    <x v="2"/>
    <n v="99.847999999999999"/>
    <x v="4"/>
  </r>
  <r>
    <x v="8"/>
    <x v="1"/>
    <n v="74.847999999999999"/>
    <x v="4"/>
  </r>
  <r>
    <x v="8"/>
    <x v="0"/>
    <n v="0"/>
    <x v="4"/>
  </r>
  <r>
    <x v="6"/>
    <x v="4"/>
    <n v="4479.0749999999998"/>
    <x v="4"/>
  </r>
  <r>
    <x v="6"/>
    <x v="3"/>
    <n v="312.34100000000001"/>
    <x v="4"/>
  </r>
  <r>
    <x v="6"/>
    <x v="2"/>
    <n v="767.81299999999999"/>
    <x v="4"/>
  </r>
  <r>
    <x v="6"/>
    <x v="1"/>
    <n v="767.81299999999999"/>
    <x v="4"/>
  </r>
  <r>
    <x v="6"/>
    <x v="0"/>
    <n v="0"/>
    <x v="4"/>
  </r>
  <r>
    <x v="7"/>
    <x v="4"/>
    <n v="1221.972"/>
    <x v="4"/>
  </r>
  <r>
    <x v="7"/>
    <x v="3"/>
    <n v="176.15"/>
    <x v="4"/>
  </r>
  <r>
    <x v="7"/>
    <x v="2"/>
    <n v="0"/>
    <x v="4"/>
  </r>
  <r>
    <x v="7"/>
    <x v="1"/>
    <n v="0"/>
    <x v="4"/>
  </r>
  <r>
    <x v="7"/>
    <x v="0"/>
    <n v="0"/>
    <x v="4"/>
  </r>
  <r>
    <x v="11"/>
    <x v="4"/>
    <n v="9582.0305000000008"/>
    <x v="4"/>
  </r>
  <r>
    <x v="11"/>
    <x v="3"/>
    <n v="1887.4807000000001"/>
    <x v="4"/>
  </r>
  <r>
    <x v="11"/>
    <x v="2"/>
    <n v="3284.3829999999998"/>
    <x v="4"/>
  </r>
  <r>
    <x v="11"/>
    <x v="1"/>
    <n v="3144.6039999999998"/>
    <x v="4"/>
  </r>
  <r>
    <x v="11"/>
    <x v="0"/>
    <n v="0"/>
    <x v="4"/>
  </r>
  <r>
    <x v="12"/>
    <x v="4"/>
    <n v="1012.36"/>
    <x v="4"/>
  </r>
  <r>
    <x v="12"/>
    <x v="3"/>
    <n v="6661.2184999999999"/>
    <x v="4"/>
  </r>
  <r>
    <x v="12"/>
    <x v="2"/>
    <n v="31281.6391"/>
    <x v="4"/>
  </r>
  <r>
    <x v="12"/>
    <x v="1"/>
    <n v="79022.298999999999"/>
    <x v="4"/>
  </r>
  <r>
    <x v="12"/>
    <x v="0"/>
    <n v="0"/>
    <x v="4"/>
  </r>
  <r>
    <x v="9"/>
    <x v="4"/>
    <n v="3648.8220000000001"/>
    <x v="4"/>
  </r>
  <r>
    <x v="9"/>
    <x v="3"/>
    <n v="683.62699999999995"/>
    <x v="4"/>
  </r>
  <r>
    <x v="9"/>
    <x v="2"/>
    <n v="195.75"/>
    <x v="4"/>
  </r>
  <r>
    <x v="9"/>
    <x v="1"/>
    <n v="0"/>
    <x v="4"/>
  </r>
  <r>
    <x v="9"/>
    <x v="0"/>
    <n v="0"/>
    <x v="4"/>
  </r>
  <r>
    <x v="10"/>
    <x v="4"/>
    <n v="163.648"/>
    <x v="4"/>
  </r>
  <r>
    <x v="10"/>
    <x v="3"/>
    <n v="518.40599999999995"/>
    <x v="4"/>
  </r>
  <r>
    <x v="10"/>
    <x v="2"/>
    <n v="196.78"/>
    <x v="4"/>
  </r>
  <r>
    <x v="10"/>
    <x v="1"/>
    <n v="98.5"/>
    <x v="4"/>
  </r>
  <r>
    <x v="10"/>
    <x v="0"/>
    <n v="0"/>
    <x v="4"/>
  </r>
  <r>
    <x v="13"/>
    <x v="4"/>
    <n v="0"/>
    <x v="4"/>
  </r>
  <r>
    <x v="13"/>
    <x v="3"/>
    <n v="0"/>
    <x v="4"/>
  </r>
  <r>
    <x v="13"/>
    <x v="2"/>
    <n v="0"/>
    <x v="4"/>
  </r>
  <r>
    <x v="13"/>
    <x v="1"/>
    <n v="0"/>
    <x v="4"/>
  </r>
  <r>
    <x v="13"/>
    <x v="0"/>
    <n v="0"/>
    <x v="4"/>
  </r>
  <r>
    <x v="14"/>
    <x v="4"/>
    <n v="0"/>
    <x v="4"/>
  </r>
  <r>
    <x v="14"/>
    <x v="3"/>
    <n v="0"/>
    <x v="4"/>
  </r>
  <r>
    <x v="14"/>
    <x v="2"/>
    <n v="0"/>
    <x v="4"/>
  </r>
  <r>
    <x v="14"/>
    <x v="1"/>
    <n v="0"/>
    <x v="4"/>
  </r>
  <r>
    <x v="14"/>
    <x v="0"/>
    <n v="0"/>
    <x v="4"/>
  </r>
  <r>
    <x v="15"/>
    <x v="4"/>
    <n v="0"/>
    <x v="4"/>
  </r>
  <r>
    <x v="15"/>
    <x v="3"/>
    <n v="0"/>
    <x v="4"/>
  </r>
  <r>
    <x v="15"/>
    <x v="2"/>
    <n v="0"/>
    <x v="4"/>
  </r>
  <r>
    <x v="15"/>
    <x v="1"/>
    <n v="0"/>
    <x v="4"/>
  </r>
  <r>
    <x v="15"/>
    <x v="0"/>
    <n v="0"/>
    <x v="4"/>
  </r>
  <r>
    <x v="0"/>
    <x v="0"/>
    <n v="0"/>
    <x v="5"/>
  </r>
  <r>
    <x v="0"/>
    <x v="1"/>
    <n v="38239"/>
    <x v="5"/>
  </r>
  <r>
    <x v="0"/>
    <x v="2"/>
    <n v="71845"/>
    <x v="5"/>
  </r>
  <r>
    <x v="0"/>
    <x v="3"/>
    <n v="29748"/>
    <x v="5"/>
  </r>
  <r>
    <x v="0"/>
    <x v="4"/>
    <n v="29843"/>
    <x v="5"/>
  </r>
  <r>
    <x v="1"/>
    <x v="0"/>
    <n v="0"/>
    <x v="5"/>
  </r>
  <r>
    <x v="1"/>
    <x v="1"/>
    <n v="24309.591"/>
    <x v="5"/>
  </r>
  <r>
    <x v="1"/>
    <x v="2"/>
    <n v="20746.419099999999"/>
    <x v="5"/>
  </r>
  <r>
    <x v="1"/>
    <x v="3"/>
    <n v="15052.903700000001"/>
    <x v="5"/>
  </r>
  <r>
    <x v="1"/>
    <x v="4"/>
    <n v="20113.4192"/>
    <x v="5"/>
  </r>
  <r>
    <x v="2"/>
    <x v="0"/>
    <n v="0"/>
    <x v="5"/>
  </r>
  <r>
    <x v="2"/>
    <x v="1"/>
    <n v="61954.260300000002"/>
    <x v="5"/>
  </r>
  <r>
    <x v="2"/>
    <x v="2"/>
    <n v="51458.6613"/>
    <x v="5"/>
  </r>
  <r>
    <x v="2"/>
    <x v="3"/>
    <n v="48088.788800000002"/>
    <x v="5"/>
  </r>
  <r>
    <x v="2"/>
    <x v="4"/>
    <n v="67139.931899999996"/>
    <x v="5"/>
  </r>
  <r>
    <x v="3"/>
    <x v="0"/>
    <n v="0"/>
    <x v="5"/>
  </r>
  <r>
    <x v="3"/>
    <x v="1"/>
    <n v="16650.5429"/>
    <x v="5"/>
  </r>
  <r>
    <x v="3"/>
    <x v="2"/>
    <n v="5000"/>
    <x v="5"/>
  </r>
  <r>
    <x v="3"/>
    <x v="3"/>
    <n v="7248.7259999999997"/>
    <x v="5"/>
  </r>
  <r>
    <x v="3"/>
    <x v="4"/>
    <n v="12900.816999999999"/>
    <x v="5"/>
  </r>
  <r>
    <x v="4"/>
    <x v="0"/>
    <n v="0"/>
    <x v="5"/>
  </r>
  <r>
    <x v="4"/>
    <x v="1"/>
    <n v="35538.841099999998"/>
    <x v="5"/>
  </r>
  <r>
    <x v="4"/>
    <x v="2"/>
    <n v="7579.9111000000003"/>
    <x v="5"/>
  </r>
  <r>
    <x v="4"/>
    <x v="3"/>
    <n v="16180.5"/>
    <x v="5"/>
  </r>
  <r>
    <x v="4"/>
    <x v="4"/>
    <n v="12902"/>
    <x v="5"/>
  </r>
  <r>
    <x v="5"/>
    <x v="0"/>
    <n v="0"/>
    <x v="5"/>
  </r>
  <r>
    <x v="5"/>
    <x v="1"/>
    <n v="176064.81200000001"/>
    <x v="5"/>
  </r>
  <r>
    <x v="5"/>
    <x v="2"/>
    <n v="63424.137000000002"/>
    <x v="5"/>
  </r>
  <r>
    <x v="5"/>
    <x v="3"/>
    <n v="16219.958000000001"/>
    <x v="5"/>
  </r>
  <r>
    <x v="5"/>
    <x v="4"/>
    <n v="19045.5435"/>
    <x v="5"/>
  </r>
  <r>
    <x v="8"/>
    <x v="0"/>
    <n v="0"/>
    <x v="5"/>
  </r>
  <r>
    <x v="8"/>
    <x v="1"/>
    <n v="12499.627899999999"/>
    <x v="5"/>
  </r>
  <r>
    <x v="8"/>
    <x v="2"/>
    <n v="8130.5333000000001"/>
    <x v="5"/>
  </r>
  <r>
    <x v="8"/>
    <x v="3"/>
    <n v="7660.9919"/>
    <x v="5"/>
  </r>
  <r>
    <x v="8"/>
    <x v="4"/>
    <n v="8741.9670999999998"/>
    <x v="5"/>
  </r>
  <r>
    <x v="6"/>
    <x v="0"/>
    <n v="0"/>
    <x v="5"/>
  </r>
  <r>
    <x v="6"/>
    <x v="1"/>
    <n v="30358.846300000001"/>
    <x v="5"/>
  </r>
  <r>
    <x v="6"/>
    <x v="2"/>
    <n v="45368.082799999996"/>
    <x v="5"/>
  </r>
  <r>
    <x v="6"/>
    <x v="3"/>
    <n v="43398.063399999999"/>
    <x v="5"/>
  </r>
  <r>
    <x v="6"/>
    <x v="4"/>
    <n v="15377.634"/>
    <x v="5"/>
  </r>
  <r>
    <x v="7"/>
    <x v="0"/>
    <n v="0"/>
    <x v="5"/>
  </r>
  <r>
    <x v="7"/>
    <x v="1"/>
    <n v="3584.8620999999998"/>
    <x v="5"/>
  </r>
  <r>
    <x v="7"/>
    <x v="2"/>
    <n v="4664.3908000000001"/>
    <x v="5"/>
  </r>
  <r>
    <x v="7"/>
    <x v="3"/>
    <n v="3988.0556999999999"/>
    <x v="5"/>
  </r>
  <r>
    <x v="7"/>
    <x v="4"/>
    <n v="22995.032899999998"/>
    <x v="5"/>
  </r>
  <r>
    <x v="11"/>
    <x v="0"/>
    <n v="0"/>
    <x v="5"/>
  </r>
  <r>
    <x v="11"/>
    <x v="1"/>
    <n v="88778.224499999997"/>
    <x v="5"/>
  </r>
  <r>
    <x v="11"/>
    <x v="2"/>
    <n v="7957.0007999999998"/>
    <x v="5"/>
  </r>
  <r>
    <x v="11"/>
    <x v="3"/>
    <n v="13787.811299999999"/>
    <x v="5"/>
  </r>
  <r>
    <x v="11"/>
    <x v="4"/>
    <n v="26585.289000000001"/>
    <x v="5"/>
  </r>
  <r>
    <x v="12"/>
    <x v="0"/>
    <n v="0"/>
    <x v="5"/>
  </r>
  <r>
    <x v="12"/>
    <x v="1"/>
    <n v="41141.8851"/>
    <x v="5"/>
  </r>
  <r>
    <x v="12"/>
    <x v="2"/>
    <n v="32711.429499999998"/>
    <x v="5"/>
  </r>
  <r>
    <x v="12"/>
    <x v="3"/>
    <n v="49854.792600000001"/>
    <x v="5"/>
  </r>
  <r>
    <x v="12"/>
    <x v="4"/>
    <n v="71849.380300000004"/>
    <x v="5"/>
  </r>
  <r>
    <x v="9"/>
    <x v="0"/>
    <n v="0"/>
    <x v="5"/>
  </r>
  <r>
    <x v="9"/>
    <x v="1"/>
    <n v="30776.1777"/>
    <x v="5"/>
  </r>
  <r>
    <x v="9"/>
    <x v="2"/>
    <n v="12835.275600000001"/>
    <x v="5"/>
  </r>
  <r>
    <x v="9"/>
    <x v="3"/>
    <n v="16913.8766"/>
    <x v="5"/>
  </r>
  <r>
    <x v="9"/>
    <x v="4"/>
    <n v="23982.415799999999"/>
    <x v="5"/>
  </r>
  <r>
    <x v="10"/>
    <x v="0"/>
    <n v="0"/>
    <x v="5"/>
  </r>
  <r>
    <x v="10"/>
    <x v="1"/>
    <n v="31249.7503"/>
    <x v="5"/>
  </r>
  <r>
    <x v="10"/>
    <x v="2"/>
    <n v="29215.445400000001"/>
    <x v="5"/>
  </r>
  <r>
    <x v="10"/>
    <x v="3"/>
    <n v="24279.7906"/>
    <x v="5"/>
  </r>
  <r>
    <x v="10"/>
    <x v="4"/>
    <n v="25024.908800000001"/>
    <x v="5"/>
  </r>
  <r>
    <x v="13"/>
    <x v="0"/>
    <n v="0"/>
    <x v="5"/>
  </r>
  <r>
    <x v="13"/>
    <x v="1"/>
    <n v="41731.647100000002"/>
    <x v="5"/>
  </r>
  <r>
    <x v="13"/>
    <x v="2"/>
    <n v="15562.070299999999"/>
    <x v="5"/>
  </r>
  <r>
    <x v="13"/>
    <x v="3"/>
    <n v="7960.2209999999995"/>
    <x v="5"/>
  </r>
  <r>
    <x v="13"/>
    <x v="4"/>
    <n v="20147.615600000001"/>
    <x v="5"/>
  </r>
  <r>
    <x v="14"/>
    <x v="0"/>
    <n v="0"/>
    <x v="5"/>
  </r>
  <r>
    <x v="14"/>
    <x v="1"/>
    <n v="0"/>
    <x v="5"/>
  </r>
  <r>
    <x v="14"/>
    <x v="2"/>
    <n v="0"/>
    <x v="5"/>
  </r>
  <r>
    <x v="14"/>
    <x v="3"/>
    <n v="0"/>
    <x v="5"/>
  </r>
  <r>
    <x v="14"/>
    <x v="4"/>
    <n v="0"/>
    <x v="5"/>
  </r>
  <r>
    <x v="15"/>
    <x v="0"/>
    <n v="0"/>
    <x v="5"/>
  </r>
  <r>
    <x v="15"/>
    <x v="1"/>
    <n v="0"/>
    <x v="5"/>
  </r>
  <r>
    <x v="15"/>
    <x v="2"/>
    <n v="0"/>
    <x v="5"/>
  </r>
  <r>
    <x v="15"/>
    <x v="3"/>
    <n v="0"/>
    <x v="5"/>
  </r>
  <r>
    <x v="15"/>
    <x v="4"/>
    <n v="0"/>
    <x v="5"/>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n v="19890.98"/>
    <x v="0"/>
  </r>
  <r>
    <x v="0"/>
    <x v="1"/>
    <n v="611.01819999999998"/>
    <x v="0"/>
  </r>
  <r>
    <x v="0"/>
    <x v="2"/>
    <n v="121906.4859"/>
    <x v="0"/>
  </r>
  <r>
    <x v="0"/>
    <x v="3"/>
    <n v="21280.371200000001"/>
    <x v="0"/>
  </r>
  <r>
    <x v="0"/>
    <x v="4"/>
    <n v="26188.954000000002"/>
    <x v="0"/>
  </r>
  <r>
    <x v="1"/>
    <x v="0"/>
    <n v="1041.9549999999999"/>
    <x v="0"/>
  </r>
  <r>
    <x v="1"/>
    <x v="1"/>
    <n v="15272.05"/>
    <x v="0"/>
  </r>
  <r>
    <x v="1"/>
    <x v="2"/>
    <n v="264.66669999999999"/>
    <x v="0"/>
  </r>
  <r>
    <x v="1"/>
    <x v="3"/>
    <n v="54013.122000000003"/>
    <x v="0"/>
  </r>
  <r>
    <x v="1"/>
    <x v="4"/>
    <n v="9773.9380000000001"/>
    <x v="0"/>
  </r>
  <r>
    <x v="2"/>
    <x v="0"/>
    <n v="15992.2"/>
    <x v="0"/>
  </r>
  <r>
    <x v="2"/>
    <x v="1"/>
    <n v="44434.408499999998"/>
    <x v="0"/>
  </r>
  <r>
    <x v="2"/>
    <x v="2"/>
    <n v="15431.800300000001"/>
    <x v="0"/>
  </r>
  <r>
    <x v="2"/>
    <x v="3"/>
    <n v="139014.91800000001"/>
    <x v="0"/>
  </r>
  <r>
    <x v="2"/>
    <x v="4"/>
    <n v="15617.65"/>
    <x v="0"/>
  </r>
  <r>
    <x v="3"/>
    <x v="0"/>
    <n v="69694.406000000003"/>
    <x v="0"/>
  </r>
  <r>
    <x v="3"/>
    <x v="1"/>
    <n v="557.65250000000003"/>
    <x v="0"/>
  </r>
  <r>
    <x v="3"/>
    <x v="2"/>
    <n v="540.85230000000001"/>
    <x v="0"/>
  </r>
  <r>
    <x v="3"/>
    <x v="3"/>
    <n v="1047.566"/>
    <x v="0"/>
  </r>
  <r>
    <x v="3"/>
    <x v="4"/>
    <n v="728.77200000000005"/>
    <x v="0"/>
  </r>
  <r>
    <x v="4"/>
    <x v="0"/>
    <n v="45557.718000000001"/>
    <x v="0"/>
  </r>
  <r>
    <x v="4"/>
    <x v="1"/>
    <n v="37"/>
    <x v="0"/>
  </r>
  <r>
    <x v="4"/>
    <x v="2"/>
    <n v="935.44"/>
    <x v="0"/>
  </r>
  <r>
    <x v="4"/>
    <x v="3"/>
    <n v="2921.9576000000002"/>
    <x v="0"/>
  </r>
  <r>
    <x v="4"/>
    <x v="4"/>
    <n v="839.96169999999995"/>
    <x v="0"/>
  </r>
  <r>
    <x v="5"/>
    <x v="0"/>
    <n v="425508.18"/>
    <x v="0"/>
  </r>
  <r>
    <x v="5"/>
    <x v="1"/>
    <n v="1828.2157999999999"/>
    <x v="0"/>
  </r>
  <r>
    <x v="5"/>
    <x v="2"/>
    <n v="6659.1094999999996"/>
    <x v="0"/>
  </r>
  <r>
    <x v="5"/>
    <x v="3"/>
    <n v="10961.249900000001"/>
    <x v="0"/>
  </r>
  <r>
    <x v="5"/>
    <x v="4"/>
    <n v="18775.599200000001"/>
    <x v="0"/>
  </r>
  <r>
    <x v="6"/>
    <x v="0"/>
    <n v="0"/>
    <x v="0"/>
  </r>
  <r>
    <x v="6"/>
    <x v="1"/>
    <n v="97.704999999999998"/>
    <x v="0"/>
  </r>
  <r>
    <x v="6"/>
    <x v="2"/>
    <n v="42.781399999999998"/>
    <x v="0"/>
  </r>
  <r>
    <x v="6"/>
    <x v="3"/>
    <n v="886.93100000000004"/>
    <x v="0"/>
  </r>
  <r>
    <x v="6"/>
    <x v="4"/>
    <n v="848.6739"/>
    <x v="0"/>
  </r>
  <r>
    <x v="7"/>
    <x v="0"/>
    <n v="2707.6"/>
    <x v="0"/>
  </r>
  <r>
    <x v="7"/>
    <x v="1"/>
    <n v="1575.3458000000001"/>
    <x v="0"/>
  </r>
  <r>
    <x v="7"/>
    <x v="2"/>
    <n v="496.70440000000002"/>
    <x v="0"/>
  </r>
  <r>
    <x v="7"/>
    <x v="3"/>
    <n v="12172.219800000001"/>
    <x v="0"/>
  </r>
  <r>
    <x v="7"/>
    <x v="4"/>
    <n v="15337.204"/>
    <x v="0"/>
  </r>
  <r>
    <x v="8"/>
    <x v="0"/>
    <n v="0"/>
    <x v="0"/>
  </r>
  <r>
    <x v="8"/>
    <x v="1"/>
    <n v="5.6"/>
    <x v="0"/>
  </r>
  <r>
    <x v="8"/>
    <x v="2"/>
    <n v="60"/>
    <x v="0"/>
  </r>
  <r>
    <x v="8"/>
    <x v="3"/>
    <n v="529.85"/>
    <x v="0"/>
  </r>
  <r>
    <x v="8"/>
    <x v="4"/>
    <n v="5207.01"/>
    <x v="0"/>
  </r>
  <r>
    <x v="9"/>
    <x v="0"/>
    <n v="7165.482"/>
    <x v="0"/>
  </r>
  <r>
    <x v="9"/>
    <x v="1"/>
    <n v="5359.5501999999997"/>
    <x v="0"/>
  </r>
  <r>
    <x v="9"/>
    <x v="2"/>
    <n v="10997.194100000001"/>
    <x v="0"/>
  </r>
  <r>
    <x v="9"/>
    <x v="3"/>
    <n v="17317.746599999999"/>
    <x v="0"/>
  </r>
  <r>
    <x v="9"/>
    <x v="4"/>
    <n v="27709.333999999999"/>
    <x v="0"/>
  </r>
  <r>
    <x v="10"/>
    <x v="0"/>
    <n v="10"/>
    <x v="0"/>
  </r>
  <r>
    <x v="10"/>
    <x v="1"/>
    <n v="903.08349999999996"/>
    <x v="0"/>
  </r>
  <r>
    <x v="10"/>
    <x v="2"/>
    <n v="328.56400000000002"/>
    <x v="0"/>
  </r>
  <r>
    <x v="10"/>
    <x v="3"/>
    <n v="2198.5731000000001"/>
    <x v="0"/>
  </r>
  <r>
    <x v="10"/>
    <x v="4"/>
    <n v="32553.620999999999"/>
    <x v="0"/>
  </r>
  <r>
    <x v="11"/>
    <x v="0"/>
    <n v="1011762.22"/>
    <x v="0"/>
  </r>
  <r>
    <x v="11"/>
    <x v="1"/>
    <n v="2548.8000000000002"/>
    <x v="0"/>
  </r>
  <r>
    <x v="11"/>
    <x v="2"/>
    <n v="880.85"/>
    <x v="0"/>
  </r>
  <r>
    <x v="11"/>
    <x v="3"/>
    <n v="6629.4920000000002"/>
    <x v="0"/>
  </r>
  <r>
    <x v="11"/>
    <x v="4"/>
    <n v="15288.2294"/>
    <x v="0"/>
  </r>
  <r>
    <x v="12"/>
    <x v="0"/>
    <n v="253.697"/>
    <x v="0"/>
  </r>
  <r>
    <x v="12"/>
    <x v="1"/>
    <n v="84162.270699999994"/>
    <x v="0"/>
  </r>
  <r>
    <x v="12"/>
    <x v="2"/>
    <n v="9713.7459999999992"/>
    <x v="0"/>
  </r>
  <r>
    <x v="12"/>
    <x v="3"/>
    <n v="103127.9054"/>
    <x v="0"/>
  </r>
  <r>
    <x v="12"/>
    <x v="4"/>
    <n v="14946.5695"/>
    <x v="0"/>
  </r>
  <r>
    <x v="13"/>
    <x v="0"/>
    <n v="22371.09"/>
    <x v="0"/>
  </r>
  <r>
    <x v="13"/>
    <x v="1"/>
    <n v="0"/>
    <x v="0"/>
  </r>
  <r>
    <x v="13"/>
    <x v="2"/>
    <n v="0"/>
    <x v="0"/>
  </r>
  <r>
    <x v="13"/>
    <x v="3"/>
    <n v="61.023000000000003"/>
    <x v="0"/>
  </r>
  <r>
    <x v="13"/>
    <x v="4"/>
    <n v="0"/>
    <x v="0"/>
  </r>
  <r>
    <x v="14"/>
    <x v="0"/>
    <n v="0"/>
    <x v="0"/>
  </r>
  <r>
    <x v="14"/>
    <x v="1"/>
    <n v="0"/>
    <x v="0"/>
  </r>
  <r>
    <x v="14"/>
    <x v="2"/>
    <n v="0"/>
    <x v="0"/>
  </r>
  <r>
    <x v="14"/>
    <x v="3"/>
    <n v="68.866"/>
    <x v="0"/>
  </r>
  <r>
    <x v="14"/>
    <x v="4"/>
    <n v="0"/>
    <x v="0"/>
  </r>
  <r>
    <x v="15"/>
    <x v="0"/>
    <n v="0"/>
    <x v="0"/>
  </r>
  <r>
    <x v="15"/>
    <x v="1"/>
    <n v="0"/>
    <x v="0"/>
  </r>
  <r>
    <x v="15"/>
    <x v="2"/>
    <n v="0"/>
    <x v="0"/>
  </r>
  <r>
    <x v="15"/>
    <x v="3"/>
    <n v="0"/>
    <x v="0"/>
  </r>
  <r>
    <x v="15"/>
    <x v="4"/>
    <n v="0"/>
    <x v="0"/>
  </r>
  <r>
    <x v="0"/>
    <x v="4"/>
    <n v="874.053"/>
    <x v="1"/>
  </r>
  <r>
    <x v="0"/>
    <x v="3"/>
    <n v="2072.3546000000001"/>
    <x v="1"/>
  </r>
  <r>
    <x v="0"/>
    <x v="2"/>
    <n v="15937.0861"/>
    <x v="1"/>
  </r>
  <r>
    <x v="0"/>
    <x v="1"/>
    <n v="35.639699999999998"/>
    <x v="1"/>
  </r>
  <r>
    <x v="0"/>
    <x v="0"/>
    <n v="16375.208000000001"/>
    <x v="1"/>
  </r>
  <r>
    <x v="1"/>
    <x v="4"/>
    <n v="416.70499999999998"/>
    <x v="1"/>
  </r>
  <r>
    <x v="1"/>
    <x v="3"/>
    <n v="2094.91"/>
    <x v="1"/>
  </r>
  <r>
    <x v="1"/>
    <x v="2"/>
    <n v="10.7186"/>
    <x v="1"/>
  </r>
  <r>
    <x v="1"/>
    <x v="1"/>
    <n v="11547.54"/>
    <x v="1"/>
  </r>
  <r>
    <x v="1"/>
    <x v="0"/>
    <n v="0"/>
    <x v="1"/>
  </r>
  <r>
    <x v="2"/>
    <x v="4"/>
    <n v="497.97230000000002"/>
    <x v="1"/>
  </r>
  <r>
    <x v="2"/>
    <x v="3"/>
    <n v="3984.3636999999999"/>
    <x v="1"/>
  </r>
  <r>
    <x v="2"/>
    <x v="2"/>
    <n v="430.9203"/>
    <x v="1"/>
  </r>
  <r>
    <x v="2"/>
    <x v="1"/>
    <n v="2033.2881"/>
    <x v="1"/>
  </r>
  <r>
    <x v="2"/>
    <x v="0"/>
    <n v="1456.606"/>
    <x v="1"/>
  </r>
  <r>
    <x v="3"/>
    <x v="4"/>
    <n v="44.3125"/>
    <x v="1"/>
  </r>
  <r>
    <x v="3"/>
    <x v="3"/>
    <n v="82.185000000000002"/>
    <x v="1"/>
  </r>
  <r>
    <x v="3"/>
    <x v="2"/>
    <n v="57.7"/>
    <x v="1"/>
  </r>
  <r>
    <x v="3"/>
    <x v="1"/>
    <n v="45.685600000000001"/>
    <x v="1"/>
  </r>
  <r>
    <x v="3"/>
    <x v="0"/>
    <n v="5768.58"/>
    <x v="1"/>
  </r>
  <r>
    <x v="4"/>
    <x v="4"/>
    <n v="40.091700000000003"/>
    <x v="1"/>
  </r>
  <r>
    <x v="4"/>
    <x v="3"/>
    <n v="76.580699999999993"/>
    <x v="1"/>
  </r>
  <r>
    <x v="4"/>
    <x v="2"/>
    <n v="12.45"/>
    <x v="1"/>
  </r>
  <r>
    <x v="4"/>
    <x v="1"/>
    <n v="0"/>
    <x v="1"/>
  </r>
  <r>
    <x v="4"/>
    <x v="0"/>
    <n v="18271.478999999999"/>
    <x v="1"/>
  </r>
  <r>
    <x v="5"/>
    <x v="4"/>
    <n v="702.16250000000002"/>
    <x v="1"/>
  </r>
  <r>
    <x v="5"/>
    <x v="3"/>
    <n v="892.02089999999998"/>
    <x v="1"/>
  </r>
  <r>
    <x v="5"/>
    <x v="2"/>
    <n v="1242.4067"/>
    <x v="1"/>
  </r>
  <r>
    <x v="5"/>
    <x v="1"/>
    <n v="76.354399999999998"/>
    <x v="1"/>
  </r>
  <r>
    <x v="5"/>
    <x v="0"/>
    <n v="78223.944000000003"/>
    <x v="1"/>
  </r>
  <r>
    <x v="6"/>
    <x v="4"/>
    <n v="615.42200000000003"/>
    <x v="1"/>
  </r>
  <r>
    <x v="6"/>
    <x v="3"/>
    <n v="720.23800000000006"/>
    <x v="1"/>
  </r>
  <r>
    <x v="6"/>
    <x v="2"/>
    <n v="119.71"/>
    <x v="1"/>
  </r>
  <r>
    <x v="6"/>
    <x v="1"/>
    <n v="52.6267"/>
    <x v="1"/>
  </r>
  <r>
    <x v="6"/>
    <x v="0"/>
    <n v="463.5"/>
    <x v="1"/>
  </r>
  <r>
    <x v="7"/>
    <x v="4"/>
    <n v="210.72"/>
    <x v="1"/>
  </r>
  <r>
    <x v="7"/>
    <x v="3"/>
    <n v="202.52500000000001"/>
    <x v="1"/>
  </r>
  <r>
    <x v="7"/>
    <x v="2"/>
    <n v="5.5"/>
    <x v="1"/>
  </r>
  <r>
    <x v="7"/>
    <x v="1"/>
    <n v="0"/>
    <x v="1"/>
  </r>
  <r>
    <x v="7"/>
    <x v="0"/>
    <n v="0"/>
    <x v="1"/>
  </r>
  <r>
    <x v="8"/>
    <x v="4"/>
    <n v="60.563099999999999"/>
    <x v="1"/>
  </r>
  <r>
    <x v="8"/>
    <x v="3"/>
    <n v="73.12"/>
    <x v="1"/>
  </r>
  <r>
    <x v="8"/>
    <x v="2"/>
    <n v="8.0500000000000007"/>
    <x v="1"/>
  </r>
  <r>
    <x v="8"/>
    <x v="1"/>
    <n v="1.91"/>
    <x v="1"/>
  </r>
  <r>
    <x v="8"/>
    <x v="0"/>
    <n v="0"/>
    <x v="1"/>
  </r>
  <r>
    <x v="9"/>
    <x v="4"/>
    <n v="1253.9502"/>
    <x v="1"/>
  </r>
  <r>
    <x v="9"/>
    <x v="3"/>
    <n v="687.74"/>
    <x v="1"/>
  </r>
  <r>
    <x v="9"/>
    <x v="2"/>
    <n v="1631.4770000000001"/>
    <x v="1"/>
  </r>
  <r>
    <x v="9"/>
    <x v="1"/>
    <n v="151.71520000000001"/>
    <x v="1"/>
  </r>
  <r>
    <x v="9"/>
    <x v="0"/>
    <n v="1033.884"/>
    <x v="1"/>
  </r>
  <r>
    <x v="10"/>
    <x v="4"/>
    <n v="805.62599999999998"/>
    <x v="1"/>
  </r>
  <r>
    <x v="10"/>
    <x v="3"/>
    <n v="192.21600000000001"/>
    <x v="1"/>
  </r>
  <r>
    <x v="10"/>
    <x v="2"/>
    <n v="25.015999999999998"/>
    <x v="1"/>
  </r>
  <r>
    <x v="10"/>
    <x v="1"/>
    <n v="27.6127"/>
    <x v="1"/>
  </r>
  <r>
    <x v="10"/>
    <x v="0"/>
    <n v="0"/>
    <x v="1"/>
  </r>
  <r>
    <x v="11"/>
    <x v="4"/>
    <n v="358.75"/>
    <x v="1"/>
  </r>
  <r>
    <x v="11"/>
    <x v="3"/>
    <n v="270.88749999999999"/>
    <x v="1"/>
  </r>
  <r>
    <x v="11"/>
    <x v="2"/>
    <n v="1789"/>
    <x v="1"/>
  </r>
  <r>
    <x v="11"/>
    <x v="1"/>
    <n v="57.287999999999997"/>
    <x v="1"/>
  </r>
  <r>
    <x v="11"/>
    <x v="0"/>
    <n v="855018.29299999995"/>
    <x v="1"/>
  </r>
  <r>
    <x v="12"/>
    <x v="4"/>
    <n v="430.351"/>
    <x v="1"/>
  </r>
  <r>
    <x v="12"/>
    <x v="3"/>
    <n v="5814.2145"/>
    <x v="1"/>
  </r>
  <r>
    <x v="12"/>
    <x v="2"/>
    <n v="1056.8499999999999"/>
    <x v="1"/>
  </r>
  <r>
    <x v="12"/>
    <x v="1"/>
    <n v="3421.0288999999998"/>
    <x v="1"/>
  </r>
  <r>
    <x v="12"/>
    <x v="0"/>
    <n v="42.222999999999999"/>
    <x v="1"/>
  </r>
  <r>
    <x v="13"/>
    <x v="4"/>
    <n v="522"/>
    <x v="1"/>
  </r>
  <r>
    <x v="13"/>
    <x v="3"/>
    <n v="124.892"/>
    <x v="1"/>
  </r>
  <r>
    <x v="13"/>
    <x v="2"/>
    <n v="0"/>
    <x v="1"/>
  </r>
  <r>
    <x v="13"/>
    <x v="1"/>
    <n v="1350"/>
    <x v="1"/>
  </r>
  <r>
    <x v="13"/>
    <x v="0"/>
    <n v="6120"/>
    <x v="1"/>
  </r>
  <r>
    <x v="14"/>
    <x v="4"/>
    <n v="0"/>
    <x v="1"/>
  </r>
  <r>
    <x v="14"/>
    <x v="3"/>
    <n v="0"/>
    <x v="1"/>
  </r>
  <r>
    <x v="14"/>
    <x v="2"/>
    <n v="0"/>
    <x v="1"/>
  </r>
  <r>
    <x v="14"/>
    <x v="1"/>
    <n v="0"/>
    <x v="1"/>
  </r>
  <r>
    <x v="14"/>
    <x v="0"/>
    <n v="0"/>
    <x v="1"/>
  </r>
  <r>
    <x v="15"/>
    <x v="4"/>
    <n v="0"/>
    <x v="1"/>
  </r>
  <r>
    <x v="15"/>
    <x v="3"/>
    <n v="10"/>
    <x v="1"/>
  </r>
  <r>
    <x v="15"/>
    <x v="2"/>
    <n v="0"/>
    <x v="1"/>
  </r>
  <r>
    <x v="15"/>
    <x v="1"/>
    <n v="0"/>
    <x v="1"/>
  </r>
  <r>
    <x v="15"/>
    <x v="0"/>
    <n v="0"/>
    <x v="1"/>
  </r>
  <r>
    <x v="0"/>
    <x v="4"/>
    <n v="2143.3890000000001"/>
    <x v="2"/>
  </r>
  <r>
    <x v="0"/>
    <x v="3"/>
    <n v="3433.8544000000002"/>
    <x v="2"/>
  </r>
  <r>
    <x v="0"/>
    <x v="2"/>
    <n v="29774.7611"/>
    <x v="2"/>
  </r>
  <r>
    <x v="0"/>
    <x v="1"/>
    <n v="46.591000000000001"/>
    <x v="2"/>
  </r>
  <r>
    <x v="0"/>
    <x v="0"/>
    <n v="13814.442999999999"/>
    <x v="2"/>
  </r>
  <r>
    <x v="1"/>
    <x v="4"/>
    <n v="1321.5250000000001"/>
    <x v="2"/>
  </r>
  <r>
    <x v="1"/>
    <x v="3"/>
    <n v="4291.2030000000004"/>
    <x v="2"/>
  </r>
  <r>
    <x v="1"/>
    <x v="2"/>
    <n v="0"/>
    <x v="2"/>
  </r>
  <r>
    <x v="1"/>
    <x v="1"/>
    <n v="2777.1750000000002"/>
    <x v="2"/>
  </r>
  <r>
    <x v="1"/>
    <x v="0"/>
    <n v="0"/>
    <x v="2"/>
  </r>
  <r>
    <x v="2"/>
    <x v="4"/>
    <n v="898.76499999999999"/>
    <x v="2"/>
  </r>
  <r>
    <x v="2"/>
    <x v="3"/>
    <n v="27065.912"/>
    <x v="2"/>
  </r>
  <r>
    <x v="2"/>
    <x v="2"/>
    <n v="19809.580999999998"/>
    <x v="2"/>
  </r>
  <r>
    <x v="2"/>
    <x v="1"/>
    <n v="18323.554"/>
    <x v="2"/>
  </r>
  <r>
    <x v="2"/>
    <x v="0"/>
    <n v="4535.93"/>
    <x v="2"/>
  </r>
  <r>
    <x v="3"/>
    <x v="4"/>
    <n v="21.8"/>
    <x v="2"/>
  </r>
  <r>
    <x v="3"/>
    <x v="3"/>
    <n v="62.75"/>
    <x v="2"/>
  </r>
  <r>
    <x v="3"/>
    <x v="2"/>
    <n v="0"/>
    <x v="2"/>
  </r>
  <r>
    <x v="3"/>
    <x v="1"/>
    <n v="64.88"/>
    <x v="2"/>
  </r>
  <r>
    <x v="3"/>
    <x v="0"/>
    <n v="9755.7060000000001"/>
    <x v="2"/>
  </r>
  <r>
    <x v="4"/>
    <x v="4"/>
    <n v="30.443999999999999"/>
    <x v="2"/>
  </r>
  <r>
    <x v="4"/>
    <x v="3"/>
    <n v="62"/>
    <x v="2"/>
  </r>
  <r>
    <x v="4"/>
    <x v="2"/>
    <n v="0"/>
    <x v="2"/>
  </r>
  <r>
    <x v="4"/>
    <x v="1"/>
    <n v="56.5"/>
    <x v="2"/>
  </r>
  <r>
    <x v="4"/>
    <x v="0"/>
    <n v="12076.861999999999"/>
    <x v="2"/>
  </r>
  <r>
    <x v="5"/>
    <x v="4"/>
    <n v="1307.1310000000001"/>
    <x v="2"/>
  </r>
  <r>
    <x v="5"/>
    <x v="3"/>
    <n v="392.77600000000001"/>
    <x v="2"/>
  </r>
  <r>
    <x v="5"/>
    <x v="2"/>
    <n v="98.343000000000004"/>
    <x v="2"/>
  </r>
  <r>
    <x v="5"/>
    <x v="1"/>
    <n v="265.36399999999998"/>
    <x v="2"/>
  </r>
  <r>
    <x v="5"/>
    <x v="0"/>
    <n v="83843.770999999993"/>
    <x v="2"/>
  </r>
  <r>
    <x v="8"/>
    <x v="4"/>
    <n v="10.41"/>
    <x v="2"/>
  </r>
  <r>
    <x v="8"/>
    <x v="3"/>
    <n v="34.090000000000003"/>
    <x v="2"/>
  </r>
  <r>
    <x v="8"/>
    <x v="2"/>
    <n v="0"/>
    <x v="2"/>
  </r>
  <r>
    <x v="8"/>
    <x v="1"/>
    <n v="25.968"/>
    <x v="2"/>
  </r>
  <r>
    <x v="8"/>
    <x v="0"/>
    <n v="0"/>
    <x v="2"/>
  </r>
  <r>
    <x v="6"/>
    <x v="4"/>
    <n v="843.79"/>
    <x v="2"/>
  </r>
  <r>
    <x v="6"/>
    <x v="3"/>
    <n v="636.62"/>
    <x v="2"/>
  </r>
  <r>
    <x v="6"/>
    <x v="2"/>
    <n v="101.51"/>
    <x v="2"/>
  </r>
  <r>
    <x v="6"/>
    <x v="1"/>
    <n v="246.11500000000001"/>
    <x v="2"/>
  </r>
  <r>
    <x v="6"/>
    <x v="0"/>
    <n v="250"/>
    <x v="2"/>
  </r>
  <r>
    <x v="7"/>
    <x v="4"/>
    <n v="366.06"/>
    <x v="2"/>
  </r>
  <r>
    <x v="7"/>
    <x v="3"/>
    <n v="247.85499999999999"/>
    <x v="2"/>
  </r>
  <r>
    <x v="7"/>
    <x v="2"/>
    <n v="0"/>
    <x v="2"/>
  </r>
  <r>
    <x v="7"/>
    <x v="1"/>
    <n v="0"/>
    <x v="2"/>
  </r>
  <r>
    <x v="7"/>
    <x v="0"/>
    <n v="0"/>
    <x v="2"/>
  </r>
  <r>
    <x v="11"/>
    <x v="4"/>
    <n v="1048.9837"/>
    <x v="2"/>
  </r>
  <r>
    <x v="11"/>
    <x v="3"/>
    <n v="0"/>
    <x v="2"/>
  </r>
  <r>
    <x v="11"/>
    <x v="2"/>
    <n v="0"/>
    <x v="2"/>
  </r>
  <r>
    <x v="11"/>
    <x v="1"/>
    <n v="518.60299999999995"/>
    <x v="2"/>
  </r>
  <r>
    <x v="11"/>
    <x v="0"/>
    <n v="396389.03200000001"/>
    <x v="2"/>
  </r>
  <r>
    <x v="12"/>
    <x v="4"/>
    <n v="858.13"/>
    <x v="2"/>
  </r>
  <r>
    <x v="12"/>
    <x v="3"/>
    <n v="16426.932000000001"/>
    <x v="2"/>
  </r>
  <r>
    <x v="12"/>
    <x v="2"/>
    <n v="2914.3116"/>
    <x v="2"/>
  </r>
  <r>
    <x v="12"/>
    <x v="1"/>
    <n v="25253.923999999999"/>
    <x v="2"/>
  </r>
  <r>
    <x v="12"/>
    <x v="0"/>
    <n v="141.19999999999999"/>
    <x v="2"/>
  </r>
  <r>
    <x v="9"/>
    <x v="4"/>
    <n v="1822.8158000000001"/>
    <x v="2"/>
  </r>
  <r>
    <x v="9"/>
    <x v="3"/>
    <n v="1237.45"/>
    <x v="2"/>
  </r>
  <r>
    <x v="9"/>
    <x v="2"/>
    <n v="480.58330000000001"/>
    <x v="2"/>
  </r>
  <r>
    <x v="9"/>
    <x v="1"/>
    <n v="453.21199999999999"/>
    <x v="2"/>
  </r>
  <r>
    <x v="9"/>
    <x v="0"/>
    <n v="1147"/>
    <x v="2"/>
  </r>
  <r>
    <x v="10"/>
    <x v="4"/>
    <n v="2685.9409999999998"/>
    <x v="2"/>
  </r>
  <r>
    <x v="10"/>
    <x v="3"/>
    <n v="168"/>
    <x v="2"/>
  </r>
  <r>
    <x v="10"/>
    <x v="2"/>
    <n v="18.044"/>
    <x v="2"/>
  </r>
  <r>
    <x v="10"/>
    <x v="1"/>
    <n v="251.12799999999999"/>
    <x v="2"/>
  </r>
  <r>
    <x v="10"/>
    <x v="0"/>
    <n v="0"/>
    <x v="2"/>
  </r>
  <r>
    <x v="13"/>
    <x v="4"/>
    <n v="89.5"/>
    <x v="2"/>
  </r>
  <r>
    <x v="13"/>
    <x v="3"/>
    <n v="0"/>
    <x v="2"/>
  </r>
  <r>
    <x v="13"/>
    <x v="2"/>
    <n v="0"/>
    <x v="2"/>
  </r>
  <r>
    <x v="13"/>
    <x v="1"/>
    <n v="2019.3"/>
    <x v="2"/>
  </r>
  <r>
    <x v="13"/>
    <x v="0"/>
    <n v="3810"/>
    <x v="2"/>
  </r>
  <r>
    <x v="15"/>
    <x v="4"/>
    <n v="0"/>
    <x v="2"/>
  </r>
  <r>
    <x v="15"/>
    <x v="3"/>
    <n v="0"/>
    <x v="2"/>
  </r>
  <r>
    <x v="15"/>
    <x v="2"/>
    <n v="0"/>
    <x v="2"/>
  </r>
  <r>
    <x v="15"/>
    <x v="1"/>
    <n v="0"/>
    <x v="2"/>
  </r>
  <r>
    <x v="15"/>
    <x v="0"/>
    <n v="0"/>
    <x v="2"/>
  </r>
  <r>
    <x v="14"/>
    <x v="4"/>
    <n v="0"/>
    <x v="2"/>
  </r>
  <r>
    <x v="14"/>
    <x v="3"/>
    <n v="0"/>
    <x v="2"/>
  </r>
  <r>
    <x v="14"/>
    <x v="2"/>
    <n v="0"/>
    <x v="2"/>
  </r>
  <r>
    <x v="14"/>
    <x v="1"/>
    <n v="0"/>
    <x v="2"/>
  </r>
  <r>
    <x v="14"/>
    <x v="0"/>
    <n v="0"/>
    <x v="2"/>
  </r>
  <r>
    <x v="0"/>
    <x v="0"/>
    <n v="0"/>
    <x v="3"/>
  </r>
  <r>
    <x v="0"/>
    <x v="1"/>
    <n v="0"/>
    <x v="3"/>
  </r>
  <r>
    <x v="0"/>
    <x v="2"/>
    <n v="10259.6024"/>
    <x v="3"/>
  </r>
  <r>
    <x v="0"/>
    <x v="3"/>
    <n v="0"/>
    <x v="3"/>
  </r>
  <r>
    <x v="0"/>
    <x v="4"/>
    <n v="0"/>
    <x v="3"/>
  </r>
  <r>
    <x v="1"/>
    <x v="0"/>
    <n v="0"/>
    <x v="3"/>
  </r>
  <r>
    <x v="1"/>
    <x v="1"/>
    <n v="0"/>
    <x v="3"/>
  </r>
  <r>
    <x v="1"/>
    <x v="2"/>
    <n v="0"/>
    <x v="3"/>
  </r>
  <r>
    <x v="1"/>
    <x v="3"/>
    <n v="0"/>
    <x v="3"/>
  </r>
  <r>
    <x v="1"/>
    <x v="4"/>
    <n v="0"/>
    <x v="3"/>
  </r>
  <r>
    <x v="2"/>
    <x v="0"/>
    <n v="0"/>
    <x v="3"/>
  </r>
  <r>
    <x v="2"/>
    <x v="1"/>
    <n v="1154.3262"/>
    <x v="3"/>
  </r>
  <r>
    <x v="2"/>
    <x v="2"/>
    <n v="0"/>
    <x v="3"/>
  </r>
  <r>
    <x v="2"/>
    <x v="3"/>
    <n v="1091.271"/>
    <x v="3"/>
  </r>
  <r>
    <x v="2"/>
    <x v="4"/>
    <n v="0"/>
    <x v="3"/>
  </r>
  <r>
    <x v="3"/>
    <x v="0"/>
    <n v="0"/>
    <x v="3"/>
  </r>
  <r>
    <x v="3"/>
    <x v="1"/>
    <n v="0"/>
    <x v="3"/>
  </r>
  <r>
    <x v="3"/>
    <x v="2"/>
    <n v="0"/>
    <x v="3"/>
  </r>
  <r>
    <x v="3"/>
    <x v="3"/>
    <n v="0"/>
    <x v="3"/>
  </r>
  <r>
    <x v="3"/>
    <x v="4"/>
    <n v="0"/>
    <x v="3"/>
  </r>
  <r>
    <x v="4"/>
    <x v="0"/>
    <n v="1231.9418000000001"/>
    <x v="3"/>
  </r>
  <r>
    <x v="4"/>
    <x v="1"/>
    <n v="0"/>
    <x v="3"/>
  </r>
  <r>
    <x v="4"/>
    <x v="2"/>
    <n v="0"/>
    <x v="3"/>
  </r>
  <r>
    <x v="4"/>
    <x v="3"/>
    <n v="0"/>
    <x v="3"/>
  </r>
  <r>
    <x v="4"/>
    <x v="4"/>
    <n v="0"/>
    <x v="3"/>
  </r>
  <r>
    <x v="5"/>
    <x v="0"/>
    <n v="5592.4903000000004"/>
    <x v="3"/>
  </r>
  <r>
    <x v="5"/>
    <x v="1"/>
    <n v="0"/>
    <x v="3"/>
  </r>
  <r>
    <x v="5"/>
    <x v="2"/>
    <n v="0"/>
    <x v="3"/>
  </r>
  <r>
    <x v="5"/>
    <x v="3"/>
    <n v="0"/>
    <x v="3"/>
  </r>
  <r>
    <x v="5"/>
    <x v="4"/>
    <n v="0"/>
    <x v="3"/>
  </r>
  <r>
    <x v="8"/>
    <x v="0"/>
    <n v="0"/>
    <x v="3"/>
  </r>
  <r>
    <x v="8"/>
    <x v="1"/>
    <n v="0"/>
    <x v="3"/>
  </r>
  <r>
    <x v="8"/>
    <x v="2"/>
    <n v="0"/>
    <x v="3"/>
  </r>
  <r>
    <x v="8"/>
    <x v="3"/>
    <n v="0"/>
    <x v="3"/>
  </r>
  <r>
    <x v="8"/>
    <x v="4"/>
    <n v="0"/>
    <x v="3"/>
  </r>
  <r>
    <x v="6"/>
    <x v="0"/>
    <n v="0"/>
    <x v="3"/>
  </r>
  <r>
    <x v="6"/>
    <x v="1"/>
    <n v="105.626"/>
    <x v="3"/>
  </r>
  <r>
    <x v="6"/>
    <x v="2"/>
    <n v="0"/>
    <x v="3"/>
  </r>
  <r>
    <x v="6"/>
    <x v="3"/>
    <n v="0"/>
    <x v="3"/>
  </r>
  <r>
    <x v="6"/>
    <x v="4"/>
    <n v="0"/>
    <x v="3"/>
  </r>
  <r>
    <x v="7"/>
    <x v="0"/>
    <n v="0"/>
    <x v="3"/>
  </r>
  <r>
    <x v="7"/>
    <x v="1"/>
    <n v="0"/>
    <x v="3"/>
  </r>
  <r>
    <x v="7"/>
    <x v="2"/>
    <n v="0"/>
    <x v="3"/>
  </r>
  <r>
    <x v="7"/>
    <x v="3"/>
    <n v="0"/>
    <x v="3"/>
  </r>
  <r>
    <x v="7"/>
    <x v="4"/>
    <n v="0"/>
    <x v="3"/>
  </r>
  <r>
    <x v="11"/>
    <x v="0"/>
    <n v="884475.25190000003"/>
    <x v="3"/>
  </r>
  <r>
    <x v="11"/>
    <x v="1"/>
    <n v="0"/>
    <x v="3"/>
  </r>
  <r>
    <x v="11"/>
    <x v="2"/>
    <n v="0"/>
    <x v="3"/>
  </r>
  <r>
    <x v="11"/>
    <x v="3"/>
    <n v="0"/>
    <x v="3"/>
  </r>
  <r>
    <x v="11"/>
    <x v="4"/>
    <n v="0"/>
    <x v="3"/>
  </r>
  <r>
    <x v="12"/>
    <x v="0"/>
    <n v="0"/>
    <x v="3"/>
  </r>
  <r>
    <x v="12"/>
    <x v="1"/>
    <n v="7099.0114999999996"/>
    <x v="3"/>
  </r>
  <r>
    <x v="12"/>
    <x v="2"/>
    <n v="0"/>
    <x v="3"/>
  </r>
  <r>
    <x v="12"/>
    <x v="3"/>
    <n v="71.819999999999993"/>
    <x v="3"/>
  </r>
  <r>
    <x v="12"/>
    <x v="4"/>
    <n v="75.599999999999994"/>
    <x v="3"/>
  </r>
  <r>
    <x v="9"/>
    <x v="0"/>
    <n v="0"/>
    <x v="3"/>
  </r>
  <r>
    <x v="9"/>
    <x v="1"/>
    <n v="347.63099999999997"/>
    <x v="3"/>
  </r>
  <r>
    <x v="9"/>
    <x v="2"/>
    <n v="0"/>
    <x v="3"/>
  </r>
  <r>
    <x v="9"/>
    <x v="3"/>
    <n v="0"/>
    <x v="3"/>
  </r>
  <r>
    <x v="9"/>
    <x v="4"/>
    <n v="0"/>
    <x v="3"/>
  </r>
  <r>
    <x v="10"/>
    <x v="0"/>
    <n v="0"/>
    <x v="3"/>
  </r>
  <r>
    <x v="10"/>
    <x v="1"/>
    <n v="0"/>
    <x v="3"/>
  </r>
  <r>
    <x v="10"/>
    <x v="2"/>
    <n v="0"/>
    <x v="3"/>
  </r>
  <r>
    <x v="10"/>
    <x v="3"/>
    <n v="0"/>
    <x v="3"/>
  </r>
  <r>
    <x v="10"/>
    <x v="4"/>
    <n v="0"/>
    <x v="3"/>
  </r>
  <r>
    <x v="13"/>
    <x v="0"/>
    <n v="60.344000000000001"/>
    <x v="3"/>
  </r>
  <r>
    <x v="13"/>
    <x v="1"/>
    <n v="0"/>
    <x v="3"/>
  </r>
  <r>
    <x v="13"/>
    <x v="2"/>
    <n v="0"/>
    <x v="3"/>
  </r>
  <r>
    <x v="13"/>
    <x v="3"/>
    <n v="0"/>
    <x v="3"/>
  </r>
  <r>
    <x v="13"/>
    <x v="4"/>
    <n v="0"/>
    <x v="3"/>
  </r>
  <r>
    <x v="15"/>
    <x v="0"/>
    <n v="0"/>
    <x v="3"/>
  </r>
  <r>
    <x v="15"/>
    <x v="1"/>
    <n v="0"/>
    <x v="3"/>
  </r>
  <r>
    <x v="15"/>
    <x v="2"/>
    <n v="0"/>
    <x v="3"/>
  </r>
  <r>
    <x v="15"/>
    <x v="3"/>
    <n v="0"/>
    <x v="3"/>
  </r>
  <r>
    <x v="15"/>
    <x v="4"/>
    <n v="0"/>
    <x v="3"/>
  </r>
  <r>
    <x v="14"/>
    <x v="0"/>
    <n v="0"/>
    <x v="3"/>
  </r>
  <r>
    <x v="14"/>
    <x v="1"/>
    <n v="0"/>
    <x v="3"/>
  </r>
  <r>
    <x v="14"/>
    <x v="2"/>
    <n v="0"/>
    <x v="3"/>
  </r>
  <r>
    <x v="14"/>
    <x v="3"/>
    <n v="0"/>
    <x v="3"/>
  </r>
  <r>
    <x v="14"/>
    <x v="4"/>
    <n v="0"/>
    <x v="3"/>
  </r>
  <r>
    <x v="0"/>
    <x v="4"/>
    <n v="13010.384"/>
    <x v="4"/>
  </r>
  <r>
    <x v="0"/>
    <x v="3"/>
    <n v="2432.7901000000002"/>
    <x v="4"/>
  </r>
  <r>
    <x v="0"/>
    <x v="2"/>
    <n v="25238.669000000002"/>
    <x v="4"/>
  </r>
  <r>
    <x v="0"/>
    <x v="1"/>
    <n v="247.36"/>
    <x v="4"/>
  </r>
  <r>
    <x v="0"/>
    <x v="0"/>
    <n v="0"/>
    <x v="4"/>
  </r>
  <r>
    <x v="1"/>
    <x v="4"/>
    <n v="5039.9399999999996"/>
    <x v="4"/>
  </r>
  <r>
    <x v="1"/>
    <x v="3"/>
    <n v="118210.03"/>
    <x v="4"/>
  </r>
  <r>
    <x v="1"/>
    <x v="2"/>
    <n v="416.2"/>
    <x v="4"/>
  </r>
  <r>
    <x v="1"/>
    <x v="1"/>
    <n v="327.10000000000002"/>
    <x v="4"/>
  </r>
  <r>
    <x v="1"/>
    <x v="0"/>
    <n v="0"/>
    <x v="4"/>
  </r>
  <r>
    <x v="2"/>
    <x v="4"/>
    <n v="4383.692"/>
    <x v="4"/>
  </r>
  <r>
    <x v="2"/>
    <x v="3"/>
    <n v="43788.085899999998"/>
    <x v="4"/>
  </r>
  <r>
    <x v="2"/>
    <x v="2"/>
    <n v="52547.492299999998"/>
    <x v="4"/>
  </r>
  <r>
    <x v="2"/>
    <x v="1"/>
    <n v="66034.690300000002"/>
    <x v="4"/>
  </r>
  <r>
    <x v="2"/>
    <x v="0"/>
    <n v="0"/>
    <x v="4"/>
  </r>
  <r>
    <x v="3"/>
    <x v="4"/>
    <n v="512.298"/>
    <x v="4"/>
  </r>
  <r>
    <x v="3"/>
    <x v="3"/>
    <n v="471.6866"/>
    <x v="4"/>
  </r>
  <r>
    <x v="3"/>
    <x v="2"/>
    <n v="207.7424"/>
    <x v="4"/>
  </r>
  <r>
    <x v="3"/>
    <x v="1"/>
    <n v="98.3"/>
    <x v="4"/>
  </r>
  <r>
    <x v="3"/>
    <x v="0"/>
    <n v="0"/>
    <x v="4"/>
  </r>
  <r>
    <x v="4"/>
    <x v="4"/>
    <n v="2623.4052000000001"/>
    <x v="4"/>
  </r>
  <r>
    <x v="4"/>
    <x v="3"/>
    <n v="1209.9190000000001"/>
    <x v="4"/>
  </r>
  <r>
    <x v="4"/>
    <x v="2"/>
    <n v="3023.6379999999999"/>
    <x v="4"/>
  </r>
  <r>
    <x v="4"/>
    <x v="1"/>
    <n v="3007.1379999999999"/>
    <x v="4"/>
  </r>
  <r>
    <x v="4"/>
    <x v="0"/>
    <n v="0"/>
    <x v="4"/>
  </r>
  <r>
    <x v="5"/>
    <x v="4"/>
    <n v="4288.7644"/>
    <x v="4"/>
  </r>
  <r>
    <x v="5"/>
    <x v="3"/>
    <n v="8807.0689999999995"/>
    <x v="4"/>
  </r>
  <r>
    <x v="5"/>
    <x v="2"/>
    <n v="3369.42"/>
    <x v="4"/>
  </r>
  <r>
    <x v="5"/>
    <x v="1"/>
    <n v="1692.82"/>
    <x v="4"/>
  </r>
  <r>
    <x v="5"/>
    <x v="0"/>
    <n v="0"/>
    <x v="4"/>
  </r>
  <r>
    <x v="8"/>
    <x v="4"/>
    <n v="2592.7345999999998"/>
    <x v="4"/>
  </r>
  <r>
    <x v="8"/>
    <x v="3"/>
    <n v="63"/>
    <x v="4"/>
  </r>
  <r>
    <x v="8"/>
    <x v="2"/>
    <n v="99.847999999999999"/>
    <x v="4"/>
  </r>
  <r>
    <x v="8"/>
    <x v="1"/>
    <n v="74.847999999999999"/>
    <x v="4"/>
  </r>
  <r>
    <x v="8"/>
    <x v="0"/>
    <n v="0"/>
    <x v="4"/>
  </r>
  <r>
    <x v="6"/>
    <x v="4"/>
    <n v="4479.0749999999998"/>
    <x v="4"/>
  </r>
  <r>
    <x v="6"/>
    <x v="3"/>
    <n v="312.34100000000001"/>
    <x v="4"/>
  </r>
  <r>
    <x v="6"/>
    <x v="2"/>
    <n v="767.81299999999999"/>
    <x v="4"/>
  </r>
  <r>
    <x v="6"/>
    <x v="1"/>
    <n v="767.81299999999999"/>
    <x v="4"/>
  </r>
  <r>
    <x v="6"/>
    <x v="0"/>
    <n v="0"/>
    <x v="4"/>
  </r>
  <r>
    <x v="7"/>
    <x v="4"/>
    <n v="1221.972"/>
    <x v="4"/>
  </r>
  <r>
    <x v="7"/>
    <x v="3"/>
    <n v="176.15"/>
    <x v="4"/>
  </r>
  <r>
    <x v="7"/>
    <x v="2"/>
    <n v="0"/>
    <x v="4"/>
  </r>
  <r>
    <x v="7"/>
    <x v="1"/>
    <n v="0"/>
    <x v="4"/>
  </r>
  <r>
    <x v="7"/>
    <x v="0"/>
    <n v="0"/>
    <x v="4"/>
  </r>
  <r>
    <x v="11"/>
    <x v="4"/>
    <n v="9582.0305000000008"/>
    <x v="4"/>
  </r>
  <r>
    <x v="11"/>
    <x v="3"/>
    <n v="1887.4807000000001"/>
    <x v="4"/>
  </r>
  <r>
    <x v="11"/>
    <x v="2"/>
    <n v="3284.3829999999998"/>
    <x v="4"/>
  </r>
  <r>
    <x v="11"/>
    <x v="1"/>
    <n v="3144.6039999999998"/>
    <x v="4"/>
  </r>
  <r>
    <x v="11"/>
    <x v="0"/>
    <n v="0"/>
    <x v="4"/>
  </r>
  <r>
    <x v="12"/>
    <x v="4"/>
    <n v="1012.36"/>
    <x v="4"/>
  </r>
  <r>
    <x v="12"/>
    <x v="3"/>
    <n v="6661.2184999999999"/>
    <x v="4"/>
  </r>
  <r>
    <x v="12"/>
    <x v="2"/>
    <n v="31281.6391"/>
    <x v="4"/>
  </r>
  <r>
    <x v="12"/>
    <x v="1"/>
    <n v="79022.298999999999"/>
    <x v="4"/>
  </r>
  <r>
    <x v="12"/>
    <x v="0"/>
    <n v="0"/>
    <x v="4"/>
  </r>
  <r>
    <x v="9"/>
    <x v="4"/>
    <n v="3648.8220000000001"/>
    <x v="4"/>
  </r>
  <r>
    <x v="9"/>
    <x v="3"/>
    <n v="683.62699999999995"/>
    <x v="4"/>
  </r>
  <r>
    <x v="9"/>
    <x v="2"/>
    <n v="195.75"/>
    <x v="4"/>
  </r>
  <r>
    <x v="9"/>
    <x v="1"/>
    <n v="0"/>
    <x v="4"/>
  </r>
  <r>
    <x v="9"/>
    <x v="0"/>
    <n v="0"/>
    <x v="4"/>
  </r>
  <r>
    <x v="10"/>
    <x v="4"/>
    <n v="163.648"/>
    <x v="4"/>
  </r>
  <r>
    <x v="10"/>
    <x v="3"/>
    <n v="518.40599999999995"/>
    <x v="4"/>
  </r>
  <r>
    <x v="10"/>
    <x v="2"/>
    <n v="196.78"/>
    <x v="4"/>
  </r>
  <r>
    <x v="10"/>
    <x v="1"/>
    <n v="98.5"/>
    <x v="4"/>
  </r>
  <r>
    <x v="10"/>
    <x v="0"/>
    <n v="0"/>
    <x v="4"/>
  </r>
  <r>
    <x v="13"/>
    <x v="4"/>
    <n v="0"/>
    <x v="4"/>
  </r>
  <r>
    <x v="13"/>
    <x v="3"/>
    <n v="0"/>
    <x v="4"/>
  </r>
  <r>
    <x v="13"/>
    <x v="2"/>
    <n v="0"/>
    <x v="4"/>
  </r>
  <r>
    <x v="13"/>
    <x v="1"/>
    <n v="0"/>
    <x v="4"/>
  </r>
  <r>
    <x v="13"/>
    <x v="0"/>
    <n v="0"/>
    <x v="4"/>
  </r>
  <r>
    <x v="14"/>
    <x v="4"/>
    <n v="0"/>
    <x v="4"/>
  </r>
  <r>
    <x v="14"/>
    <x v="3"/>
    <n v="0"/>
    <x v="4"/>
  </r>
  <r>
    <x v="14"/>
    <x v="2"/>
    <n v="0"/>
    <x v="4"/>
  </r>
  <r>
    <x v="14"/>
    <x v="1"/>
    <n v="0"/>
    <x v="4"/>
  </r>
  <r>
    <x v="14"/>
    <x v="0"/>
    <n v="0"/>
    <x v="4"/>
  </r>
  <r>
    <x v="15"/>
    <x v="4"/>
    <n v="0"/>
    <x v="4"/>
  </r>
  <r>
    <x v="15"/>
    <x v="3"/>
    <n v="0"/>
    <x v="4"/>
  </r>
  <r>
    <x v="15"/>
    <x v="2"/>
    <n v="0"/>
    <x v="4"/>
  </r>
  <r>
    <x v="15"/>
    <x v="1"/>
    <n v="0"/>
    <x v="4"/>
  </r>
  <r>
    <x v="15"/>
    <x v="0"/>
    <n v="0"/>
    <x v="4"/>
  </r>
  <r>
    <x v="0"/>
    <x v="0"/>
    <n v="0"/>
    <x v="5"/>
  </r>
  <r>
    <x v="0"/>
    <x v="1"/>
    <n v="38239"/>
    <x v="5"/>
  </r>
  <r>
    <x v="0"/>
    <x v="2"/>
    <n v="71845"/>
    <x v="5"/>
  </r>
  <r>
    <x v="0"/>
    <x v="3"/>
    <n v="29748"/>
    <x v="5"/>
  </r>
  <r>
    <x v="0"/>
    <x v="4"/>
    <n v="29843"/>
    <x v="5"/>
  </r>
  <r>
    <x v="1"/>
    <x v="0"/>
    <n v="0"/>
    <x v="5"/>
  </r>
  <r>
    <x v="1"/>
    <x v="1"/>
    <n v="24309.591"/>
    <x v="5"/>
  </r>
  <r>
    <x v="1"/>
    <x v="2"/>
    <n v="20746.419099999999"/>
    <x v="5"/>
  </r>
  <r>
    <x v="1"/>
    <x v="3"/>
    <n v="15052.903700000001"/>
    <x v="5"/>
  </r>
  <r>
    <x v="1"/>
    <x v="4"/>
    <n v="20113.4192"/>
    <x v="5"/>
  </r>
  <r>
    <x v="2"/>
    <x v="0"/>
    <n v="0"/>
    <x v="5"/>
  </r>
  <r>
    <x v="2"/>
    <x v="1"/>
    <n v="61954.260300000002"/>
    <x v="5"/>
  </r>
  <r>
    <x v="2"/>
    <x v="2"/>
    <n v="51458.6613"/>
    <x v="5"/>
  </r>
  <r>
    <x v="2"/>
    <x v="3"/>
    <n v="48088.788800000002"/>
    <x v="5"/>
  </r>
  <r>
    <x v="2"/>
    <x v="4"/>
    <n v="67139.931899999996"/>
    <x v="5"/>
  </r>
  <r>
    <x v="3"/>
    <x v="0"/>
    <n v="0"/>
    <x v="5"/>
  </r>
  <r>
    <x v="3"/>
    <x v="1"/>
    <n v="16650.5429"/>
    <x v="5"/>
  </r>
  <r>
    <x v="3"/>
    <x v="2"/>
    <n v="5000"/>
    <x v="5"/>
  </r>
  <r>
    <x v="3"/>
    <x v="3"/>
    <n v="7248.7259999999997"/>
    <x v="5"/>
  </r>
  <r>
    <x v="3"/>
    <x v="4"/>
    <n v="12900.816999999999"/>
    <x v="5"/>
  </r>
  <r>
    <x v="4"/>
    <x v="0"/>
    <n v="0"/>
    <x v="5"/>
  </r>
  <r>
    <x v="4"/>
    <x v="1"/>
    <n v="35538.841099999998"/>
    <x v="5"/>
  </r>
  <r>
    <x v="4"/>
    <x v="2"/>
    <n v="7579.9111000000003"/>
    <x v="5"/>
  </r>
  <r>
    <x v="4"/>
    <x v="3"/>
    <n v="16180.5"/>
    <x v="5"/>
  </r>
  <r>
    <x v="4"/>
    <x v="4"/>
    <n v="12902"/>
    <x v="5"/>
  </r>
  <r>
    <x v="5"/>
    <x v="0"/>
    <n v="0"/>
    <x v="5"/>
  </r>
  <r>
    <x v="5"/>
    <x v="1"/>
    <n v="176064.81200000001"/>
    <x v="5"/>
  </r>
  <r>
    <x v="5"/>
    <x v="2"/>
    <n v="63424.137000000002"/>
    <x v="5"/>
  </r>
  <r>
    <x v="5"/>
    <x v="3"/>
    <n v="16219.958000000001"/>
    <x v="5"/>
  </r>
  <r>
    <x v="5"/>
    <x v="4"/>
    <n v="19045.5435"/>
    <x v="5"/>
  </r>
  <r>
    <x v="8"/>
    <x v="0"/>
    <n v="0"/>
    <x v="5"/>
  </r>
  <r>
    <x v="8"/>
    <x v="1"/>
    <n v="12499.627899999999"/>
    <x v="5"/>
  </r>
  <r>
    <x v="8"/>
    <x v="2"/>
    <n v="8130.5333000000001"/>
    <x v="5"/>
  </r>
  <r>
    <x v="8"/>
    <x v="3"/>
    <n v="7660.9919"/>
    <x v="5"/>
  </r>
  <r>
    <x v="8"/>
    <x v="4"/>
    <n v="8741.9670999999998"/>
    <x v="5"/>
  </r>
  <r>
    <x v="6"/>
    <x v="0"/>
    <n v="0"/>
    <x v="5"/>
  </r>
  <r>
    <x v="6"/>
    <x v="1"/>
    <n v="30358.846300000001"/>
    <x v="5"/>
  </r>
  <r>
    <x v="6"/>
    <x v="2"/>
    <n v="45368.082799999996"/>
    <x v="5"/>
  </r>
  <r>
    <x v="6"/>
    <x v="3"/>
    <n v="43398.063399999999"/>
    <x v="5"/>
  </r>
  <r>
    <x v="6"/>
    <x v="4"/>
    <n v="15377.634"/>
    <x v="5"/>
  </r>
  <r>
    <x v="7"/>
    <x v="0"/>
    <n v="0"/>
    <x v="5"/>
  </r>
  <r>
    <x v="7"/>
    <x v="1"/>
    <n v="3584.8620999999998"/>
    <x v="5"/>
  </r>
  <r>
    <x v="7"/>
    <x v="2"/>
    <n v="4664.3908000000001"/>
    <x v="5"/>
  </r>
  <r>
    <x v="7"/>
    <x v="3"/>
    <n v="3988.0556999999999"/>
    <x v="5"/>
  </r>
  <r>
    <x v="7"/>
    <x v="4"/>
    <n v="22995.032899999998"/>
    <x v="5"/>
  </r>
  <r>
    <x v="11"/>
    <x v="0"/>
    <n v="0"/>
    <x v="5"/>
  </r>
  <r>
    <x v="11"/>
    <x v="1"/>
    <n v="88778.224499999997"/>
    <x v="5"/>
  </r>
  <r>
    <x v="11"/>
    <x v="2"/>
    <n v="7957.0007999999998"/>
    <x v="5"/>
  </r>
  <r>
    <x v="11"/>
    <x v="3"/>
    <n v="13787.811299999999"/>
    <x v="5"/>
  </r>
  <r>
    <x v="11"/>
    <x v="4"/>
    <n v="26585.289000000001"/>
    <x v="5"/>
  </r>
  <r>
    <x v="12"/>
    <x v="0"/>
    <n v="0"/>
    <x v="5"/>
  </r>
  <r>
    <x v="12"/>
    <x v="1"/>
    <n v="41141.8851"/>
    <x v="5"/>
  </r>
  <r>
    <x v="12"/>
    <x v="2"/>
    <n v="32711.429499999998"/>
    <x v="5"/>
  </r>
  <r>
    <x v="12"/>
    <x v="3"/>
    <n v="49854.792600000001"/>
    <x v="5"/>
  </r>
  <r>
    <x v="12"/>
    <x v="4"/>
    <n v="71849.380300000004"/>
    <x v="5"/>
  </r>
  <r>
    <x v="9"/>
    <x v="0"/>
    <n v="0"/>
    <x v="5"/>
  </r>
  <r>
    <x v="9"/>
    <x v="1"/>
    <n v="30776.1777"/>
    <x v="5"/>
  </r>
  <r>
    <x v="9"/>
    <x v="2"/>
    <n v="12835.275600000001"/>
    <x v="5"/>
  </r>
  <r>
    <x v="9"/>
    <x v="3"/>
    <n v="16913.8766"/>
    <x v="5"/>
  </r>
  <r>
    <x v="9"/>
    <x v="4"/>
    <n v="23982.415799999999"/>
    <x v="5"/>
  </r>
  <r>
    <x v="10"/>
    <x v="0"/>
    <n v="0"/>
    <x v="5"/>
  </r>
  <r>
    <x v="10"/>
    <x v="1"/>
    <n v="31249.7503"/>
    <x v="5"/>
  </r>
  <r>
    <x v="10"/>
    <x v="2"/>
    <n v="29215.445400000001"/>
    <x v="5"/>
  </r>
  <r>
    <x v="10"/>
    <x v="3"/>
    <n v="24279.7906"/>
    <x v="5"/>
  </r>
  <r>
    <x v="10"/>
    <x v="4"/>
    <n v="25024.908800000001"/>
    <x v="5"/>
  </r>
  <r>
    <x v="13"/>
    <x v="0"/>
    <n v="0"/>
    <x v="5"/>
  </r>
  <r>
    <x v="13"/>
    <x v="1"/>
    <n v="41731.647100000002"/>
    <x v="5"/>
  </r>
  <r>
    <x v="13"/>
    <x v="2"/>
    <n v="15562.070299999999"/>
    <x v="5"/>
  </r>
  <r>
    <x v="13"/>
    <x v="3"/>
    <n v="7960.2209999999995"/>
    <x v="5"/>
  </r>
  <r>
    <x v="13"/>
    <x v="4"/>
    <n v="20147.615600000001"/>
    <x v="5"/>
  </r>
  <r>
    <x v="14"/>
    <x v="0"/>
    <n v="0"/>
    <x v="5"/>
  </r>
  <r>
    <x v="14"/>
    <x v="1"/>
    <n v="0"/>
    <x v="5"/>
  </r>
  <r>
    <x v="14"/>
    <x v="2"/>
    <n v="0"/>
    <x v="5"/>
  </r>
  <r>
    <x v="14"/>
    <x v="3"/>
    <n v="0"/>
    <x v="5"/>
  </r>
  <r>
    <x v="14"/>
    <x v="4"/>
    <n v="0"/>
    <x v="5"/>
  </r>
  <r>
    <x v="15"/>
    <x v="0"/>
    <n v="0"/>
    <x v="5"/>
  </r>
  <r>
    <x v="15"/>
    <x v="1"/>
    <n v="0"/>
    <x v="5"/>
  </r>
  <r>
    <x v="15"/>
    <x v="2"/>
    <n v="0"/>
    <x v="5"/>
  </r>
  <r>
    <x v="15"/>
    <x v="3"/>
    <n v="0"/>
    <x v="5"/>
  </r>
  <r>
    <x v="15"/>
    <x v="4"/>
    <n v="0"/>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D41804-4325-43AE-963E-8D78486D3BFC}" name="Movement Malaysia Overall"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Category" colHeaderCaption="Year">
  <location ref="A26:F34" firstHeaderRow="1" firstDataRow="2" firstDataCol="1"/>
  <pivotFields count="3">
    <pivotField axis="axisRow" showAll="0">
      <items count="8">
        <item x="0"/>
        <item x="1"/>
        <item x="2"/>
        <item x="3"/>
        <item x="4"/>
        <item m="1" x="6"/>
        <item x="5"/>
        <item t="default"/>
      </items>
    </pivotField>
    <pivotField axis="axisCol" showAll="0">
      <items count="6">
        <item x="0"/>
        <item x="1"/>
        <item x="2"/>
        <item x="3"/>
        <item x="4"/>
        <item t="default"/>
      </items>
    </pivotField>
    <pivotField dataField="1" showAll="0"/>
  </pivotFields>
  <rowFields count="1">
    <field x="0"/>
  </rowFields>
  <rowItems count="7">
    <i>
      <x/>
    </i>
    <i>
      <x v="1"/>
    </i>
    <i>
      <x v="2"/>
    </i>
    <i>
      <x v="3"/>
    </i>
    <i>
      <x v="4"/>
    </i>
    <i>
      <x v="6"/>
    </i>
    <i t="grand">
      <x/>
    </i>
  </rowItems>
  <colFields count="1">
    <field x="1"/>
  </colFields>
  <colItems count="5">
    <i>
      <x/>
    </i>
    <i>
      <x v="1"/>
    </i>
    <i>
      <x v="2"/>
    </i>
    <i>
      <x v="3"/>
    </i>
    <i>
      <x v="4"/>
    </i>
  </colItems>
  <dataFields count="1">
    <dataField name="Sum of Value" fld="2" showDataAs="difference" baseField="1" baseItem="1048828"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B3CCF6-0F48-4E84-BBF1-D165DEE2C516}" name="YoY Malaysia Overall"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Category" colHeaderCaption="Year">
  <location ref="A15:F23" firstHeaderRow="1" firstDataRow="2" firstDataCol="1"/>
  <pivotFields count="3">
    <pivotField axis="axisRow" showAll="0">
      <items count="8">
        <item x="0"/>
        <item x="1"/>
        <item x="2"/>
        <item x="3"/>
        <item x="4"/>
        <item m="1" x="6"/>
        <item x="5"/>
        <item t="default"/>
      </items>
    </pivotField>
    <pivotField axis="axisCol" showAll="0">
      <items count="6">
        <item x="0"/>
        <item x="1"/>
        <item x="2"/>
        <item x="3"/>
        <item x="4"/>
        <item t="default"/>
      </items>
    </pivotField>
    <pivotField dataField="1" showAll="0"/>
  </pivotFields>
  <rowFields count="1">
    <field x="0"/>
  </rowFields>
  <rowItems count="7">
    <i>
      <x/>
    </i>
    <i>
      <x v="1"/>
    </i>
    <i>
      <x v="2"/>
    </i>
    <i>
      <x v="3"/>
    </i>
    <i>
      <x v="4"/>
    </i>
    <i>
      <x v="6"/>
    </i>
    <i t="grand">
      <x/>
    </i>
  </rowItems>
  <colFields count="1">
    <field x="1"/>
  </colFields>
  <colItems count="5">
    <i>
      <x/>
    </i>
    <i>
      <x v="1"/>
    </i>
    <i>
      <x v="2"/>
    </i>
    <i>
      <x v="3"/>
    </i>
    <i>
      <x v="4"/>
    </i>
  </colItems>
  <dataFields count="1">
    <dataField name="Sum of Value" fld="2" showDataAs="percentDiff" baseField="1" baseItem="104882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80FD17-4314-454E-8E4D-ABF31F63A478}" name="Malaysia Tot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Category" colHeaderCaption="Year">
  <location ref="A3:C11" firstHeaderRow="1" firstDataRow="2" firstDataCol="1"/>
  <pivotFields count="3">
    <pivotField axis="axisRow" showAll="0">
      <items count="8">
        <item x="0"/>
        <item x="1"/>
        <item x="2"/>
        <item x="3"/>
        <item x="4"/>
        <item m="1" x="6"/>
        <item x="5"/>
        <item t="default"/>
      </items>
    </pivotField>
    <pivotField axis="axisCol" showAll="0">
      <items count="6">
        <item h="1" x="0"/>
        <item h="1" x="1"/>
        <item h="1" x="2"/>
        <item h="1" x="3"/>
        <item x="4"/>
        <item t="default"/>
      </items>
    </pivotField>
    <pivotField dataField="1" showAll="0"/>
  </pivotFields>
  <rowFields count="1">
    <field x="0"/>
  </rowFields>
  <rowItems count="7">
    <i>
      <x/>
    </i>
    <i>
      <x v="1"/>
    </i>
    <i>
      <x v="2"/>
    </i>
    <i>
      <x v="3"/>
    </i>
    <i>
      <x v="4"/>
    </i>
    <i>
      <x v="6"/>
    </i>
    <i t="grand">
      <x/>
    </i>
  </rowItems>
  <colFields count="1">
    <field x="1"/>
  </colFields>
  <colItems count="2">
    <i>
      <x v="4"/>
    </i>
    <i t="grand">
      <x/>
    </i>
  </colItems>
  <dataFields count="1">
    <dataField name="Sum of Value" fld="2" baseField="0" baseItem="0" numFmtId="44"/>
  </dataFields>
  <formats count="1">
    <format dxfId="228">
      <pivotArea outline="0" collapsedLevelsAreSubtotals="1" fieldPosition="0"/>
    </format>
  </formats>
  <chartFormats count="11">
    <chartFormat chart="7" format="55" series="1">
      <pivotArea type="data" outline="0" fieldPosition="0">
        <references count="1">
          <reference field="1" count="1" selected="0">
            <x v="0"/>
          </reference>
        </references>
      </pivotArea>
    </chartFormat>
    <chartFormat chart="7" format="56" series="1">
      <pivotArea type="data" outline="0" fieldPosition="0">
        <references count="1">
          <reference field="1" count="1" selected="0">
            <x v="1"/>
          </reference>
        </references>
      </pivotArea>
    </chartFormat>
    <chartFormat chart="7" format="57" series="1">
      <pivotArea type="data" outline="0" fieldPosition="0">
        <references count="1">
          <reference field="1" count="1" selected="0">
            <x v="2"/>
          </reference>
        </references>
      </pivotArea>
    </chartFormat>
    <chartFormat chart="7" format="58" series="1">
      <pivotArea type="data" outline="0" fieldPosition="0">
        <references count="1">
          <reference field="1" count="1" selected="0">
            <x v="3"/>
          </reference>
        </references>
      </pivotArea>
    </chartFormat>
    <chartFormat chart="7" format="59" series="1">
      <pivotArea type="data" outline="0" fieldPosition="0">
        <references count="1">
          <reference field="1" count="1" selected="0">
            <x v="4"/>
          </reference>
        </references>
      </pivotArea>
    </chartFormat>
    <chartFormat chart="19" format="0" series="1">
      <pivotArea type="data" outline="0" fieldPosition="0">
        <references count="2">
          <reference field="4294967294" count="1" selected="0">
            <x v="0"/>
          </reference>
          <reference field="1" count="1" selected="0">
            <x v="0"/>
          </reference>
        </references>
      </pivotArea>
    </chartFormat>
    <chartFormat chart="19" format="1" series="1">
      <pivotArea type="data" outline="0" fieldPosition="0">
        <references count="2">
          <reference field="4294967294" count="1" selected="0">
            <x v="0"/>
          </reference>
          <reference field="1" count="1" selected="0">
            <x v="1"/>
          </reference>
        </references>
      </pivotArea>
    </chartFormat>
    <chartFormat chart="19" format="2" series="1">
      <pivotArea type="data" outline="0" fieldPosition="0">
        <references count="2">
          <reference field="4294967294" count="1" selected="0">
            <x v="0"/>
          </reference>
          <reference field="1" count="1" selected="0">
            <x v="2"/>
          </reference>
        </references>
      </pivotArea>
    </chartFormat>
    <chartFormat chart="19" format="3" series="1">
      <pivotArea type="data" outline="0" fieldPosition="0">
        <references count="2">
          <reference field="4294967294" count="1" selected="0">
            <x v="0"/>
          </reference>
          <reference field="1" count="1" selected="0">
            <x v="3"/>
          </reference>
        </references>
      </pivotArea>
    </chartFormat>
    <chartFormat chart="19" format="4" series="1">
      <pivotArea type="data" outline="0" fieldPosition="0">
        <references count="2">
          <reference field="4294967294" count="1" selected="0">
            <x v="0"/>
          </reference>
          <reference field="1" count="1" selected="0">
            <x v="4"/>
          </reference>
        </references>
      </pivotArea>
    </chartFormat>
    <chartFormat chart="1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A3CFDA-6584-48EF-A4B3-9F13AF7914EF}"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Category" colHeaderCaption="Year">
  <location ref="A4:G12" firstHeaderRow="1" firstDataRow="2" firstDataCol="1" rowPageCount="1" colPageCount="1"/>
  <pivotFields count="4">
    <pivotField axis="axisPage" showAll="0" sortType="ascending">
      <items count="17">
        <item x="0"/>
        <item x="1"/>
        <item x="2"/>
        <item x="3"/>
        <item x="4"/>
        <item x="5"/>
        <item x="6"/>
        <item x="7"/>
        <item x="8"/>
        <item x="9"/>
        <item x="10"/>
        <item x="11"/>
        <item x="12"/>
        <item x="13"/>
        <item x="14"/>
        <item x="15"/>
        <item t="default"/>
      </items>
    </pivotField>
    <pivotField axis="axisCol" showAll="0">
      <items count="6">
        <item x="0"/>
        <item x="1"/>
        <item x="2"/>
        <item x="3"/>
        <item x="4"/>
        <item t="default"/>
      </items>
    </pivotField>
    <pivotField dataField="1" showAll="0"/>
    <pivotField axis="axisRow" multipleItemSelectionAllowed="1" showAll="0">
      <items count="8">
        <item x="4"/>
        <item x="5"/>
        <item m="1" x="6"/>
        <item x="3"/>
        <item x="2"/>
        <item x="1"/>
        <item x="0"/>
        <item t="default"/>
      </items>
    </pivotField>
  </pivotFields>
  <rowFields count="1">
    <field x="3"/>
  </rowFields>
  <rowItems count="7">
    <i>
      <x/>
    </i>
    <i>
      <x v="1"/>
    </i>
    <i>
      <x v="3"/>
    </i>
    <i>
      <x v="4"/>
    </i>
    <i>
      <x v="5"/>
    </i>
    <i>
      <x v="6"/>
    </i>
    <i t="grand">
      <x/>
    </i>
  </rowItems>
  <colFields count="1">
    <field x="1"/>
  </colFields>
  <colItems count="6">
    <i>
      <x/>
    </i>
    <i>
      <x v="1"/>
    </i>
    <i>
      <x v="2"/>
    </i>
    <i>
      <x v="3"/>
    </i>
    <i>
      <x v="4"/>
    </i>
    <i t="grand">
      <x/>
    </i>
  </colItems>
  <pageFields count="1">
    <pageField fld="0" hier="-1"/>
  </pageFields>
  <dataFields count="1">
    <dataField name="Sum of Loss" fld="2" baseField="0" baseItem="0"/>
  </dataFields>
  <formats count="4">
    <format dxfId="226">
      <pivotArea dataOnly="0" labelOnly="1" grandCol="1" outline="0" fieldPosition="0"/>
    </format>
    <format dxfId="225">
      <pivotArea collapsedLevelsAreSubtotals="1" fieldPosition="0">
        <references count="2">
          <reference field="1" count="0" selected="0"/>
          <reference field="3" count="0"/>
        </references>
      </pivotArea>
    </format>
    <format dxfId="224">
      <pivotArea field="3" grandCol="1" collapsedLevelsAreSubtotals="1" axis="axisRow" fieldPosition="0">
        <references count="1">
          <reference field="3" count="0"/>
        </references>
      </pivotArea>
    </format>
    <format dxfId="223">
      <pivotArea grandRow="1" outline="0" collapsedLevelsAreSubtotals="1" fieldPosition="0"/>
    </format>
  </formats>
  <chartFormats count="42">
    <chartFormat chart="7" format="0" series="1">
      <pivotArea type="data" outline="0" fieldPosition="0">
        <references count="2">
          <reference field="4294967294" count="1" selected="0">
            <x v="0"/>
          </reference>
          <reference field="1" count="1" selected="0">
            <x v="4"/>
          </reference>
        </references>
      </pivotArea>
    </chartFormat>
    <chartFormat chart="7" format="1" series="1">
      <pivotArea type="data" outline="0" fieldPosition="0">
        <references count="2">
          <reference field="4294967294" count="1" selected="0">
            <x v="0"/>
          </reference>
          <reference field="1" count="1" selected="0">
            <x v="1"/>
          </reference>
        </references>
      </pivotArea>
    </chartFormat>
    <chartFormat chart="7" format="2" series="1">
      <pivotArea type="data" outline="0" fieldPosition="0">
        <references count="2">
          <reference field="4294967294" count="1" selected="0">
            <x v="0"/>
          </reference>
          <reference field="1" count="1" selected="0">
            <x v="2"/>
          </reference>
        </references>
      </pivotArea>
    </chartFormat>
    <chartFormat chart="7" format="3" series="1">
      <pivotArea type="data" outline="0" fieldPosition="0">
        <references count="2">
          <reference field="4294967294" count="1" selected="0">
            <x v="0"/>
          </reference>
          <reference field="1" count="1" selected="0">
            <x v="3"/>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10" format="0" series="1">
      <pivotArea type="data" outline="0" fieldPosition="0">
        <references count="2">
          <reference field="4294967294" count="1" selected="0">
            <x v="0"/>
          </reference>
          <reference field="1" count="1" selected="0">
            <x v="4"/>
          </reference>
        </references>
      </pivotArea>
    </chartFormat>
    <chartFormat chart="10" format="1" series="1">
      <pivotArea type="data" outline="0" fieldPosition="0">
        <references count="2">
          <reference field="4294967294" count="1" selected="0">
            <x v="0"/>
          </reference>
          <reference field="1" count="1" selected="0">
            <x v="3"/>
          </reference>
        </references>
      </pivotArea>
    </chartFormat>
    <chartFormat chart="10" format="2" series="1">
      <pivotArea type="data" outline="0" fieldPosition="0">
        <references count="2">
          <reference field="4294967294" count="1" selected="0">
            <x v="0"/>
          </reference>
          <reference field="1" count="1" selected="0">
            <x v="0"/>
          </reference>
        </references>
      </pivotArea>
    </chartFormat>
    <chartFormat chart="10" format="3" series="1">
      <pivotArea type="data" outline="0" fieldPosition="0">
        <references count="2">
          <reference field="4294967294" count="1" selected="0">
            <x v="0"/>
          </reference>
          <reference field="1" count="1" selected="0">
            <x v="1"/>
          </reference>
        </references>
      </pivotArea>
    </chartFormat>
    <chartFormat chart="10" format="4" series="1">
      <pivotArea type="data" outline="0" fieldPosition="0">
        <references count="2">
          <reference field="4294967294" count="1" selected="0">
            <x v="0"/>
          </reference>
          <reference field="1" count="1" selected="0">
            <x v="2"/>
          </reference>
        </references>
      </pivotArea>
    </chartFormat>
    <chartFormat chart="12" format="22" series="1">
      <pivotArea type="data" outline="0" fieldPosition="0">
        <references count="2">
          <reference field="4294967294" count="1" selected="0">
            <x v="0"/>
          </reference>
          <reference field="1" count="1" selected="0">
            <x v="4"/>
          </reference>
        </references>
      </pivotArea>
    </chartFormat>
    <chartFormat chart="12" format="39" series="1">
      <pivotArea type="data" outline="0" fieldPosition="0">
        <references count="2">
          <reference field="4294967294" count="1" selected="0">
            <x v="0"/>
          </reference>
          <reference field="1" count="1" selected="0">
            <x v="1"/>
          </reference>
        </references>
      </pivotArea>
    </chartFormat>
    <chartFormat chart="12" format="40" series="1">
      <pivotArea type="data" outline="0" fieldPosition="0">
        <references count="2">
          <reference field="4294967294" count="1" selected="0">
            <x v="0"/>
          </reference>
          <reference field="1" count="1" selected="0">
            <x v="2"/>
          </reference>
        </references>
      </pivotArea>
    </chartFormat>
    <chartFormat chart="12" format="41" series="1">
      <pivotArea type="data" outline="0" fieldPosition="0">
        <references count="2">
          <reference field="4294967294" count="1" selected="0">
            <x v="0"/>
          </reference>
          <reference field="1" count="1" selected="0">
            <x v="3"/>
          </reference>
        </references>
      </pivotArea>
    </chartFormat>
    <chartFormat chart="12" format="42" series="1">
      <pivotArea type="data" outline="0" fieldPosition="0">
        <references count="2">
          <reference field="4294967294" count="1" selected="0">
            <x v="0"/>
          </reference>
          <reference field="1" count="1" selected="0">
            <x v="0"/>
          </reference>
        </references>
      </pivotArea>
    </chartFormat>
    <chartFormat chart="16" format="128" series="1">
      <pivotArea type="data" outline="0" fieldPosition="0">
        <references count="2">
          <reference field="4294967294" count="1" selected="0">
            <x v="0"/>
          </reference>
          <reference field="1" count="1" selected="0">
            <x v="0"/>
          </reference>
        </references>
      </pivotArea>
    </chartFormat>
    <chartFormat chart="16" format="145" series="1">
      <pivotArea type="data" outline="0" fieldPosition="0">
        <references count="2">
          <reference field="4294967294" count="1" selected="0">
            <x v="0"/>
          </reference>
          <reference field="1" count="1" selected="0">
            <x v="1"/>
          </reference>
        </references>
      </pivotArea>
    </chartFormat>
    <chartFormat chart="16" format="162" series="1">
      <pivotArea type="data" outline="0" fieldPosition="0">
        <references count="2">
          <reference field="4294967294" count="1" selected="0">
            <x v="0"/>
          </reference>
          <reference field="1" count="1" selected="0">
            <x v="2"/>
          </reference>
        </references>
      </pivotArea>
    </chartFormat>
    <chartFormat chart="16" format="179" series="1">
      <pivotArea type="data" outline="0" fieldPosition="0">
        <references count="2">
          <reference field="4294967294" count="1" selected="0">
            <x v="0"/>
          </reference>
          <reference field="1" count="1" selected="0">
            <x v="3"/>
          </reference>
        </references>
      </pivotArea>
    </chartFormat>
    <chartFormat chart="16" format="196" series="1">
      <pivotArea type="data" outline="0" fieldPosition="0">
        <references count="2">
          <reference field="4294967294" count="1" selected="0">
            <x v="0"/>
          </reference>
          <reference field="1" count="1" selected="0">
            <x v="4"/>
          </reference>
        </references>
      </pivotArea>
    </chartFormat>
    <chartFormat chart="20" format="5" series="1">
      <pivotArea type="data" outline="0" fieldPosition="0">
        <references count="2">
          <reference field="4294967294" count="1" selected="0">
            <x v="0"/>
          </reference>
          <reference field="1" count="1" selected="0">
            <x v="1"/>
          </reference>
        </references>
      </pivotArea>
    </chartFormat>
    <chartFormat chart="21" format="213" series="1">
      <pivotArea type="data" outline="0" fieldPosition="0">
        <references count="2">
          <reference field="4294967294" count="1" selected="0">
            <x v="0"/>
          </reference>
          <reference field="1" count="1" selected="0">
            <x v="1"/>
          </reference>
        </references>
      </pivotArea>
    </chartFormat>
    <chartFormat chart="21" format="230" series="1">
      <pivotArea type="data" outline="0" fieldPosition="0">
        <references count="2">
          <reference field="4294967294" count="1" selected="0">
            <x v="0"/>
          </reference>
          <reference field="1" count="1" selected="0">
            <x v="2"/>
          </reference>
        </references>
      </pivotArea>
    </chartFormat>
    <chartFormat chart="20" format="6" series="1">
      <pivotArea type="data" outline="0" fieldPosition="0">
        <references count="2">
          <reference field="4294967294" count="1" selected="0">
            <x v="0"/>
          </reference>
          <reference field="1" count="1" selected="0">
            <x v="2"/>
          </reference>
        </references>
      </pivotArea>
    </chartFormat>
    <chartFormat chart="21" format="231" series="1">
      <pivotArea type="data" outline="0" fieldPosition="0">
        <references count="2">
          <reference field="4294967294" count="1" selected="0">
            <x v="0"/>
          </reference>
          <reference field="1" count="1" selected="0">
            <x v="3"/>
          </reference>
        </references>
      </pivotArea>
    </chartFormat>
    <chartFormat chart="21" format="232" series="1">
      <pivotArea type="data" outline="0" fieldPosition="0">
        <references count="2">
          <reference field="4294967294" count="1" selected="0">
            <x v="0"/>
          </reference>
          <reference field="1" count="1" selected="0">
            <x v="4"/>
          </reference>
        </references>
      </pivotArea>
    </chartFormat>
    <chartFormat chart="21" format="233" series="1">
      <pivotArea type="data" outline="0" fieldPosition="0">
        <references count="2">
          <reference field="4294967294" count="1" selected="0">
            <x v="0"/>
          </reference>
          <reference field="1" count="1" selected="0">
            <x v="0"/>
          </reference>
        </references>
      </pivotArea>
    </chartFormat>
    <chartFormat chart="20" format="7" series="1">
      <pivotArea type="data" outline="0" fieldPosition="0">
        <references count="2">
          <reference field="4294967294" count="1" selected="0">
            <x v="0"/>
          </reference>
          <reference field="1" count="1" selected="0">
            <x v="3"/>
          </reference>
        </references>
      </pivotArea>
    </chartFormat>
    <chartFormat chart="20" format="8" series="1">
      <pivotArea type="data" outline="0" fieldPosition="0">
        <references count="2">
          <reference field="4294967294" count="1" selected="0">
            <x v="0"/>
          </reference>
          <reference field="1" count="1" selected="0">
            <x v="4"/>
          </reference>
        </references>
      </pivotArea>
    </chartFormat>
    <chartFormat chart="20" format="9" series="1">
      <pivotArea type="data" outline="0" fieldPosition="0">
        <references count="2">
          <reference field="4294967294" count="1" selected="0">
            <x v="0"/>
          </reference>
          <reference field="1" count="1" selected="0">
            <x v="0"/>
          </reference>
        </references>
      </pivotArea>
    </chartFormat>
    <chartFormat chart="21" format="234">
      <pivotArea type="data" outline="0" fieldPosition="0">
        <references count="3">
          <reference field="4294967294" count="1" selected="0">
            <x v="0"/>
          </reference>
          <reference field="1" count="1" selected="0">
            <x v="0"/>
          </reference>
          <reference field="3" count="1" selected="0">
            <x v="0"/>
          </reference>
        </references>
      </pivotArea>
    </chartFormat>
    <chartFormat chart="21" format="235">
      <pivotArea type="data" outline="0" fieldPosition="0">
        <references count="3">
          <reference field="4294967294" count="1" selected="0">
            <x v="0"/>
          </reference>
          <reference field="1" count="1" selected="0">
            <x v="0"/>
          </reference>
          <reference field="3" count="1" selected="0">
            <x v="1"/>
          </reference>
        </references>
      </pivotArea>
    </chartFormat>
    <chartFormat chart="21" format="236">
      <pivotArea type="data" outline="0" fieldPosition="0">
        <references count="3">
          <reference field="4294967294" count="1" selected="0">
            <x v="0"/>
          </reference>
          <reference field="1" count="1" selected="0">
            <x v="0"/>
          </reference>
          <reference field="3" count="1" selected="0">
            <x v="2"/>
          </reference>
        </references>
      </pivotArea>
    </chartFormat>
    <chartFormat chart="21" format="237">
      <pivotArea type="data" outline="0" fieldPosition="0">
        <references count="3">
          <reference field="4294967294" count="1" selected="0">
            <x v="0"/>
          </reference>
          <reference field="1" count="1" selected="0">
            <x v="0"/>
          </reference>
          <reference field="3" count="1" selected="0">
            <x v="3"/>
          </reference>
        </references>
      </pivotArea>
    </chartFormat>
    <chartFormat chart="21" format="238">
      <pivotArea type="data" outline="0" fieldPosition="0">
        <references count="3">
          <reference field="4294967294" count="1" selected="0">
            <x v="0"/>
          </reference>
          <reference field="1" count="1" selected="0">
            <x v="0"/>
          </reference>
          <reference field="3" count="1" selected="0">
            <x v="4"/>
          </reference>
        </references>
      </pivotArea>
    </chartFormat>
    <chartFormat chart="21" format="239">
      <pivotArea type="data" outline="0" fieldPosition="0">
        <references count="3">
          <reference field="4294967294" count="1" selected="0">
            <x v="0"/>
          </reference>
          <reference field="1" count="1" selected="0">
            <x v="0"/>
          </reference>
          <reference field="3" count="1" selected="0">
            <x v="5"/>
          </reference>
        </references>
      </pivotArea>
    </chartFormat>
    <chartFormat chart="21" format="240">
      <pivotArea type="data" outline="0" fieldPosition="0">
        <references count="3">
          <reference field="4294967294" count="1" selected="0">
            <x v="0"/>
          </reference>
          <reference field="1" count="1" selected="0">
            <x v="3"/>
          </reference>
          <reference field="3" count="1" selected="0">
            <x v="0"/>
          </reference>
        </references>
      </pivotArea>
    </chartFormat>
    <chartFormat chart="21" format="241">
      <pivotArea type="data" outline="0" fieldPosition="0">
        <references count="3">
          <reference field="4294967294" count="1" selected="0">
            <x v="0"/>
          </reference>
          <reference field="1" count="1" selected="0">
            <x v="3"/>
          </reference>
          <reference field="3" count="1" selected="0">
            <x v="1"/>
          </reference>
        </references>
      </pivotArea>
    </chartFormat>
    <chartFormat chart="21" format="242">
      <pivotArea type="data" outline="0" fieldPosition="0">
        <references count="3">
          <reference field="4294967294" count="1" selected="0">
            <x v="0"/>
          </reference>
          <reference field="1" count="1" selected="0">
            <x v="3"/>
          </reference>
          <reference field="3" count="1" selected="0">
            <x v="2"/>
          </reference>
        </references>
      </pivotArea>
    </chartFormat>
    <chartFormat chart="21" format="243">
      <pivotArea type="data" outline="0" fieldPosition="0">
        <references count="3">
          <reference field="4294967294" count="1" selected="0">
            <x v="0"/>
          </reference>
          <reference field="1" count="1" selected="0">
            <x v="3"/>
          </reference>
          <reference field="3" count="1" selected="0">
            <x v="3"/>
          </reference>
        </references>
      </pivotArea>
    </chartFormat>
    <chartFormat chart="21" format="244">
      <pivotArea type="data" outline="0" fieldPosition="0">
        <references count="3">
          <reference field="4294967294" count="1" selected="0">
            <x v="0"/>
          </reference>
          <reference field="1" count="1" selected="0">
            <x v="3"/>
          </reference>
          <reference field="3" count="1" selected="0">
            <x v="4"/>
          </reference>
        </references>
      </pivotArea>
    </chartFormat>
    <chartFormat chart="21" format="245">
      <pivotArea type="data" outline="0" fieldPosition="0">
        <references count="3">
          <reference field="4294967294" count="1" selected="0">
            <x v="0"/>
          </reference>
          <reference field="1" count="1" selected="0">
            <x v="3"/>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9B5BA9-179B-4EEF-948C-B5C5E116D996}"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colHeaderCaption="Year">
  <location ref="A3:F18" firstHeaderRow="1" firstDataRow="2" firstDataCol="1" rowPageCount="1" colPageCount="1"/>
  <pivotFields count="4">
    <pivotField axis="axisRow" showAll="0">
      <items count="14">
        <item x="0"/>
        <item x="1"/>
        <item x="2"/>
        <item x="3"/>
        <item x="4"/>
        <item x="5"/>
        <item x="7"/>
        <item x="8"/>
        <item x="6"/>
        <item x="11"/>
        <item x="12"/>
        <item x="9"/>
        <item x="10"/>
        <item t="default"/>
      </items>
    </pivotField>
    <pivotField axis="axisCol" showAll="0">
      <items count="5">
        <item x="0"/>
        <item x="1"/>
        <item x="2"/>
        <item x="3"/>
        <item t="default"/>
      </items>
    </pivotField>
    <pivotField dataField="1" showAll="0"/>
    <pivotField axis="axisPage" showAll="0">
      <items count="3">
        <item x="0"/>
        <item x="1"/>
        <item t="default"/>
      </items>
    </pivotField>
  </pivotFields>
  <rowFields count="1">
    <field x="0"/>
  </rowFields>
  <rowItems count="14">
    <i>
      <x/>
    </i>
    <i>
      <x v="1"/>
    </i>
    <i>
      <x v="2"/>
    </i>
    <i>
      <x v="3"/>
    </i>
    <i>
      <x v="4"/>
    </i>
    <i>
      <x v="5"/>
    </i>
    <i>
      <x v="6"/>
    </i>
    <i>
      <x v="7"/>
    </i>
    <i>
      <x v="8"/>
    </i>
    <i>
      <x v="9"/>
    </i>
    <i>
      <x v="10"/>
    </i>
    <i>
      <x v="11"/>
    </i>
    <i>
      <x v="12"/>
    </i>
    <i t="grand">
      <x/>
    </i>
  </rowItems>
  <colFields count="1">
    <field x="1"/>
  </colFields>
  <colItems count="5">
    <i>
      <x/>
    </i>
    <i>
      <x v="1"/>
    </i>
    <i>
      <x v="2"/>
    </i>
    <i>
      <x v="3"/>
    </i>
    <i t="grand">
      <x/>
    </i>
  </colItems>
  <pageFields count="1">
    <pageField fld="3" hier="-1"/>
  </pageFields>
  <dataFields count="1">
    <dataField name="Sum of Val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0ABF26-6A02-49A9-B03F-424D888490F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location ref="A3:F19" firstHeaderRow="1" firstDataRow="2" firstDataCol="1" rowPageCount="1" colPageCount="1"/>
  <pivotFields count="4">
    <pivotField axis="axisRow" showAll="0">
      <items count="15">
        <item x="0"/>
        <item x="1"/>
        <item x="2"/>
        <item x="3"/>
        <item x="4"/>
        <item x="5"/>
        <item x="7"/>
        <item x="8"/>
        <item x="6"/>
        <item x="11"/>
        <item x="12"/>
        <item x="9"/>
        <item x="10"/>
        <item x="13"/>
        <item t="default"/>
      </items>
    </pivotField>
    <pivotField axis="axisCol" showAll="0">
      <items count="5">
        <item x="0"/>
        <item x="1"/>
        <item x="2"/>
        <item x="3"/>
        <item t="default"/>
      </items>
    </pivotField>
    <pivotField dataField="1" showAll="0"/>
    <pivotField axis="axisPage" showAll="0">
      <items count="8">
        <item x="6"/>
        <item x="1"/>
        <item x="2"/>
        <item x="4"/>
        <item x="5"/>
        <item x="3"/>
        <item x="0"/>
        <item t="default"/>
      </items>
    </pivotField>
  </pivotFields>
  <rowFields count="1">
    <field x="0"/>
  </rowFields>
  <rowItems count="15">
    <i>
      <x/>
    </i>
    <i>
      <x v="1"/>
    </i>
    <i>
      <x v="2"/>
    </i>
    <i>
      <x v="3"/>
    </i>
    <i>
      <x v="4"/>
    </i>
    <i>
      <x v="5"/>
    </i>
    <i>
      <x v="6"/>
    </i>
    <i>
      <x v="7"/>
    </i>
    <i>
      <x v="8"/>
    </i>
    <i>
      <x v="9"/>
    </i>
    <i>
      <x v="10"/>
    </i>
    <i>
      <x v="11"/>
    </i>
    <i>
      <x v="12"/>
    </i>
    <i>
      <x v="13"/>
    </i>
    <i t="grand">
      <x/>
    </i>
  </rowItems>
  <colFields count="1">
    <field x="1"/>
  </colFields>
  <colItems count="5">
    <i>
      <x/>
    </i>
    <i>
      <x v="1"/>
    </i>
    <i>
      <x v="2"/>
    </i>
    <i>
      <x v="3"/>
    </i>
    <i t="grand">
      <x/>
    </i>
  </colItems>
  <pageFields count="1">
    <pageField fld="3" hier="-1"/>
  </pageFields>
  <dataFields count="1">
    <dataField name="Sum of Val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71DCCD-C262-4CEA-AEB2-EFEAB06E4163}"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colHeaderCaption="Year">
  <location ref="A3:F21" firstHeaderRow="1" firstDataRow="2" firstDataCol="1" rowPageCount="1" colPageCount="1"/>
  <pivotFields count="4">
    <pivotField axis="axisRow" showAll="0">
      <items count="17">
        <item x="0"/>
        <item x="1"/>
        <item x="2"/>
        <item x="3"/>
        <item x="4"/>
        <item x="5"/>
        <item x="7"/>
        <item x="8"/>
        <item x="6"/>
        <item x="11"/>
        <item x="12"/>
        <item x="9"/>
        <item x="10"/>
        <item x="13"/>
        <item x="14"/>
        <item x="15"/>
        <item t="default"/>
      </items>
    </pivotField>
    <pivotField axis="axisCol" showAll="0">
      <items count="5">
        <item x="0"/>
        <item x="1"/>
        <item x="2"/>
        <item x="3"/>
        <item t="default"/>
      </items>
    </pivotField>
    <pivotField dataField="1" showAll="0"/>
    <pivotField axis="axisPage" showAll="0">
      <items count="5">
        <item x="0"/>
        <item x="1"/>
        <item x="2"/>
        <item x="3"/>
        <item t="default"/>
      </items>
    </pivotField>
  </pivotFields>
  <rowFields count="1">
    <field x="0"/>
  </rowFields>
  <rowItems count="17">
    <i>
      <x/>
    </i>
    <i>
      <x v="1"/>
    </i>
    <i>
      <x v="2"/>
    </i>
    <i>
      <x v="3"/>
    </i>
    <i>
      <x v="4"/>
    </i>
    <i>
      <x v="5"/>
    </i>
    <i>
      <x v="6"/>
    </i>
    <i>
      <x v="7"/>
    </i>
    <i>
      <x v="8"/>
    </i>
    <i>
      <x v="9"/>
    </i>
    <i>
      <x v="10"/>
    </i>
    <i>
      <x v="11"/>
    </i>
    <i>
      <x v="12"/>
    </i>
    <i>
      <x v="13"/>
    </i>
    <i>
      <x v="14"/>
    </i>
    <i>
      <x v="15"/>
    </i>
    <i t="grand">
      <x/>
    </i>
  </rowItems>
  <colFields count="1">
    <field x="1"/>
  </colFields>
  <colItems count="5">
    <i>
      <x/>
    </i>
    <i>
      <x v="1"/>
    </i>
    <i>
      <x v="2"/>
    </i>
    <i>
      <x v="3"/>
    </i>
    <i t="grand">
      <x/>
    </i>
  </colItems>
  <pageFields count="1">
    <pageField fld="3" hier="-1"/>
  </pageFields>
  <dataFields count="1">
    <dataField name="Sum of Val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52FBD9C-3799-49FF-9B64-5FD29F9A91D0}"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colHeaderCaption="Year">
  <location ref="A3:F19" firstHeaderRow="1" firstDataRow="2" firstDataCol="1" rowPageCount="1" colPageCount="1"/>
  <pivotFields count="4">
    <pivotField axis="axisRow" showAll="0">
      <items count="15">
        <item x="0"/>
        <item x="1"/>
        <item x="2"/>
        <item x="3"/>
        <item x="4"/>
        <item x="5"/>
        <item x="7"/>
        <item x="8"/>
        <item x="6"/>
        <item x="11"/>
        <item x="12"/>
        <item x="9"/>
        <item x="10"/>
        <item x="13"/>
        <item t="default"/>
      </items>
    </pivotField>
    <pivotField axis="axisCol" showAll="0">
      <items count="5">
        <item x="0"/>
        <item x="1"/>
        <item x="2"/>
        <item x="3"/>
        <item t="default"/>
      </items>
    </pivotField>
    <pivotField dataField="1" showAll="0"/>
    <pivotField axis="axisPage" showAll="0">
      <items count="4">
        <item x="1"/>
        <item x="2"/>
        <item x="0"/>
        <item t="default"/>
      </items>
    </pivotField>
  </pivotFields>
  <rowFields count="1">
    <field x="0"/>
  </rowFields>
  <rowItems count="15">
    <i>
      <x/>
    </i>
    <i>
      <x v="1"/>
    </i>
    <i>
      <x v="2"/>
    </i>
    <i>
      <x v="3"/>
    </i>
    <i>
      <x v="4"/>
    </i>
    <i>
      <x v="5"/>
    </i>
    <i>
      <x v="6"/>
    </i>
    <i>
      <x v="7"/>
    </i>
    <i>
      <x v="8"/>
    </i>
    <i>
      <x v="9"/>
    </i>
    <i>
      <x v="10"/>
    </i>
    <i>
      <x v="11"/>
    </i>
    <i>
      <x v="12"/>
    </i>
    <i>
      <x v="13"/>
    </i>
    <i t="grand">
      <x/>
    </i>
  </rowItems>
  <colFields count="1">
    <field x="1"/>
  </colFields>
  <colItems count="5">
    <i>
      <x/>
    </i>
    <i>
      <x v="1"/>
    </i>
    <i>
      <x v="2"/>
    </i>
    <i>
      <x v="3"/>
    </i>
    <i t="grand">
      <x/>
    </i>
  </colItems>
  <pageFields count="1">
    <pageField fld="3" hier="-1"/>
  </pageFields>
  <dataFields count="1">
    <dataField name="Sum of Val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B5F78B3-A4A1-4E24-B305-C8F573483551}"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colHeaderCaption="Year">
  <location ref="A3:F21" firstHeaderRow="1" firstDataRow="2" firstDataCol="1" rowPageCount="1" colPageCount="1"/>
  <pivotFields count="4">
    <pivotField axis="axisRow" showAll="0">
      <items count="17">
        <item x="0"/>
        <item x="1"/>
        <item x="2"/>
        <item x="3"/>
        <item x="4"/>
        <item x="5"/>
        <item x="7"/>
        <item x="8"/>
        <item x="6"/>
        <item x="11"/>
        <item x="12"/>
        <item x="9"/>
        <item x="10"/>
        <item x="13"/>
        <item x="14"/>
        <item x="15"/>
        <item t="default"/>
      </items>
    </pivotField>
    <pivotField axis="axisCol" showAll="0">
      <items count="5">
        <item x="0"/>
        <item x="1"/>
        <item x="2"/>
        <item x="3"/>
        <item t="default"/>
      </items>
    </pivotField>
    <pivotField dataField="1" showAll="0"/>
    <pivotField axis="axisPage" showAll="0">
      <items count="3">
        <item x="1"/>
        <item x="0"/>
        <item t="default"/>
      </items>
    </pivotField>
  </pivotFields>
  <rowFields count="1">
    <field x="0"/>
  </rowFields>
  <rowItems count="17">
    <i>
      <x/>
    </i>
    <i>
      <x v="1"/>
    </i>
    <i>
      <x v="2"/>
    </i>
    <i>
      <x v="3"/>
    </i>
    <i>
      <x v="4"/>
    </i>
    <i>
      <x v="5"/>
    </i>
    <i>
      <x v="6"/>
    </i>
    <i>
      <x v="7"/>
    </i>
    <i>
      <x v="8"/>
    </i>
    <i>
      <x v="9"/>
    </i>
    <i>
      <x v="10"/>
    </i>
    <i>
      <x v="11"/>
    </i>
    <i>
      <x v="12"/>
    </i>
    <i>
      <x v="13"/>
    </i>
    <i>
      <x v="14"/>
    </i>
    <i>
      <x v="15"/>
    </i>
    <i t="grand">
      <x/>
    </i>
  </rowItems>
  <colFields count="1">
    <field x="1"/>
  </colFields>
  <colItems count="5">
    <i>
      <x/>
    </i>
    <i>
      <x v="1"/>
    </i>
    <i>
      <x v="2"/>
    </i>
    <i>
      <x v="3"/>
    </i>
    <i t="grand">
      <x/>
    </i>
  </colItems>
  <pageFields count="1">
    <pageField fld="3" hier="-1"/>
  </pageFields>
  <dataFields count="1">
    <dataField name="Sum of Valu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040390F-7A51-465A-BB4F-FAAC54C5B105}"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10" firstHeaderRow="1" firstDataRow="1" firstDataCol="1" rowPageCount="2" colPageCount="1"/>
  <pivotFields count="4">
    <pivotField axis="axisPage" showAll="0">
      <items count="17">
        <item x="0"/>
        <item x="1"/>
        <item x="2"/>
        <item x="3"/>
        <item x="4"/>
        <item x="5"/>
        <item x="6"/>
        <item x="7"/>
        <item x="8"/>
        <item x="9"/>
        <item x="10"/>
        <item x="11"/>
        <item x="12"/>
        <item x="13"/>
        <item x="14"/>
        <item x="15"/>
        <item t="default"/>
      </items>
    </pivotField>
    <pivotField axis="axisRow" showAll="0">
      <items count="6">
        <item x="0"/>
        <item x="1"/>
        <item x="2"/>
        <item x="3"/>
        <item x="4"/>
        <item t="default"/>
      </items>
    </pivotField>
    <pivotField dataField="1" showAll="0"/>
    <pivotField axis="axisPage" showAll="0">
      <items count="7">
        <item x="4"/>
        <item x="5"/>
        <item x="0"/>
        <item x="3"/>
        <item x="2"/>
        <item x="1"/>
        <item t="default"/>
      </items>
    </pivotField>
  </pivotFields>
  <rowFields count="1">
    <field x="1"/>
  </rowFields>
  <rowItems count="6">
    <i>
      <x/>
    </i>
    <i>
      <x v="1"/>
    </i>
    <i>
      <x v="2"/>
    </i>
    <i>
      <x v="3"/>
    </i>
    <i>
      <x v="4"/>
    </i>
    <i t="grand">
      <x/>
    </i>
  </rowItems>
  <colItems count="1">
    <i/>
  </colItems>
  <pageFields count="2">
    <pageField fld="3" hier="-1"/>
    <pageField fld="0" hier="-1"/>
  </pageFields>
  <dataFields count="1">
    <dataField name="Sum of Los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903BA3D7-5E60-4BCC-91A5-FD4EDE90A481}" autoFormatId="16" applyNumberFormats="0" applyBorderFormats="0" applyFontFormats="0" applyPatternFormats="0" applyAlignmentFormats="0" applyWidthHeightFormats="0">
  <queryTableRefresh nextId="5">
    <queryTableFields count="4">
      <queryTableField id="1" name="State" tableColumnId="1"/>
      <queryTableField id="2" name="Year" tableColumnId="2"/>
      <queryTableField id="3" name="Value" tableColumnId="3"/>
      <queryTableField id="4" name="Category"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5" xr16:uid="{39ECAAED-8E19-41D1-BD77-14B7A44ABCC3}" autoFormatId="16" applyNumberFormats="0" applyBorderFormats="0" applyFontFormats="0" applyPatternFormats="0" applyAlignmentFormats="0" applyWidthHeightFormats="0">
  <queryTableRefresh nextId="5">
    <queryTableFields count="4">
      <queryTableField id="1" name="State" tableColumnId="1"/>
      <queryTableField id="2" name="Year" tableColumnId="2"/>
      <queryTableField id="3" name="Value" tableColumnId="3"/>
      <queryTableField id="4" name="Category"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8" xr16:uid="{BC95F880-5759-4308-BA0C-E49942732296}" autoFormatId="16" applyNumberFormats="0" applyBorderFormats="0" applyFontFormats="0" applyPatternFormats="0" applyAlignmentFormats="0" applyWidthHeightFormats="0">
  <queryTableRefresh nextId="5">
    <queryTableFields count="4">
      <queryTableField id="1" name="State"/>
      <queryTableField id="2" name="Year"/>
      <queryTableField id="3" name="Value"/>
      <queryTableField id="4" name="Category"/>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6" xr16:uid="{2202A2D2-3889-4797-85A7-2C657C6EFF41}" autoFormatId="16" applyNumberFormats="0" applyBorderFormats="0" applyFontFormats="0" applyPatternFormats="0" applyAlignmentFormats="0" applyWidthHeightFormats="0">
  <queryTableRefresh nextId="6">
    <queryTableFields count="4">
      <queryTableField id="1" name="State" tableColumnId="1"/>
      <queryTableField id="2" name="Year" tableColumnId="2"/>
      <queryTableField id="3" name="Value" tableColumnId="3"/>
      <queryTableField id="4" name="Category"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9" xr16:uid="{C4EAD5A2-7769-4EAB-BC61-42C2B9912FD2}" autoFormatId="16" applyNumberFormats="0" applyBorderFormats="0" applyFontFormats="0" applyPatternFormats="0" applyAlignmentFormats="0" applyWidthHeightFormats="0">
  <queryTableRefresh nextId="5">
    <queryTableFields count="4">
      <queryTableField id="1" name="State" tableColumnId="1"/>
      <queryTableField id="2" name="Year" tableColumnId="2"/>
      <queryTableField id="3" name="Value" tableColumnId="3"/>
      <queryTableField id="4" name="Category"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20" xr16:uid="{4BC32A42-E8F5-45F1-B1EC-601B860CFFD1}" autoFormatId="16" applyNumberFormats="0" applyBorderFormats="0" applyFontFormats="0" applyPatternFormats="0" applyAlignmentFormats="0" applyWidthHeightFormats="0">
  <queryTableRefresh nextId="5">
    <queryTableFields count="4">
      <queryTableField id="1" name="State" tableColumnId="1"/>
      <queryTableField id="2" name="Year" tableColumnId="2"/>
      <queryTableField id="3" name="Value" tableColumnId="3"/>
      <queryTableField id="4" name="Category" tableColumnId="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24" xr16:uid="{0E6F16D1-7B39-4765-8863-6000AB4B1951}" autoFormatId="16" applyNumberFormats="0" applyBorderFormats="0" applyFontFormats="0" applyPatternFormats="0" applyAlignmentFormats="0" applyWidthHeightFormats="0">
  <queryTableRefresh nextId="4">
    <queryTableFields count="3">
      <queryTableField id="1" name="Categories" tableColumnId="1"/>
      <queryTableField id="2" name="Year" tableColumnId="2"/>
      <queryTableField id="3" name="Value" tableColumnId="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35" xr16:uid="{F80703BD-338D-4F19-8097-F41FA123146B}" autoFormatId="16" applyNumberFormats="0" applyBorderFormats="0" applyFontFormats="0" applyPatternFormats="0" applyAlignmentFormats="0" applyWidthHeightFormats="0">
  <queryTableRefresh nextId="5">
    <queryTableFields count="4">
      <queryTableField id="1" name="State" tableColumnId="1"/>
      <queryTableField id="2" name="Year" tableColumnId="2"/>
      <queryTableField id="3" name="Loss" tableColumnId="3"/>
      <queryTableField id="4" name="Category"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1F5ECE07-86A8-408F-B26B-F15808CA5FFE}" sourceName="State">
  <pivotTables>
    <pivotTable tabId="48" name="PivotTable3"/>
  </pivotTables>
  <data>
    <tabular pivotCacheId="44207054">
      <items count="16">
        <i x="0" s="1"/>
        <i x="1" s="1"/>
        <i x="2" s="1"/>
        <i x="3" s="1"/>
        <i x="4" s="1"/>
        <i x="5" s="1"/>
        <i x="6" s="1"/>
        <i x="7" s="1"/>
        <i x="8" s="1"/>
        <i x="9" s="1"/>
        <i x="10" s="1"/>
        <i x="11" s="1"/>
        <i x="12" s="1"/>
        <i x="13" s="1"/>
        <i x="1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8AF09530-E6AD-4F12-9DBD-37176C94A4A1}" cache="Slicer_State1" caption="State" columnCount="3" rowHeight="251883"/>
</slicers>
</file>

<file path=xl/tables/_rels/table1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2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27.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28.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32.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33.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F6A73897-DDFA-43A9-A9AB-05044A898C39}" name="LinkTable" displayName="LinkTable" ref="A1:C10" totalsRowShown="0">
  <autoFilter ref="A1:C10" xr:uid="{F6A73897-DDFA-43A9-A9AB-05044A898C39}"/>
  <tableColumns count="3">
    <tableColumn id="1" xr3:uid="{EA64FE6D-CCDC-42AA-9DA6-6CF0F55996AE}" name="No">
      <calculatedColumnFormula>A1+1</calculatedColumnFormula>
    </tableColumn>
    <tableColumn id="2" xr3:uid="{81CF603D-64FA-4A45-AD38-F68002BBDBBA}" name="Link"/>
    <tableColumn id="3" xr3:uid="{2B40402C-D3F6-4C2B-A7FA-1964B5592992}" name="Descrip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FEAF7448-5430-4EB3-AF0B-368C4DD0EE67}" name="Table38" displayName="Table38" ref="I3:K7" totalsRowShown="0">
  <autoFilter ref="I3:K7" xr:uid="{FEAF7448-5430-4EB3-AF0B-368C4DD0EE67}"/>
  <tableColumns count="3">
    <tableColumn id="1" xr3:uid="{967481F6-2AC6-4DE5-91E6-DD40511C7A9E}" name="KRI Name" dataDxfId="227"/>
    <tableColumn id="2" xr3:uid="{9689B785-99B9-421C-83A8-53946BF3BA1B}" name="Value"/>
    <tableColumn id="3" xr3:uid="{17302DA0-4EE1-49C8-9627-5661F8B42A09}" name="Status">
      <calculatedColumnFormula>IF(J4&gt;0.45,"🔴 Red",IF(J4&gt;0.3,"🟡 Amber","🟢 Green"))</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D9A5068B-ED53-497F-B465-BF806FE05F6D}" name="Table40" displayName="Table40" ref="I4:J9" totalsRowShown="0" headerRowDxfId="222" dataDxfId="221">
  <autoFilter ref="I4:J9" xr:uid="{D9A5068B-ED53-497F-B465-BF806FE05F6D}"/>
  <tableColumns count="2">
    <tableColumn id="1" xr3:uid="{AEA8D216-76E6-48BB-910E-EDAC6F55C09B}" name="Highest Losses per Year" dataDxfId="220"/>
    <tableColumn id="2" xr3:uid="{B81DBB5A-0E94-407D-B0DE-895482D9692C}" name="Category" dataDxfId="21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9242713-B3E1-4720-B085-30ADCE468C30}" name="Agriculture_FoodSecurity" displayName="Agriculture_FoodSecurity" ref="A2:E16" totalsRowShown="0" dataDxfId="218">
  <autoFilter ref="A2:E16" xr:uid="{E9242713-B3E1-4720-B085-30ADCE468C30}"/>
  <tableColumns count="5">
    <tableColumn id="1" xr3:uid="{6C1FEC7F-02DF-485B-A777-790C92AD281B}" name="Year" dataDxfId="217"/>
    <tableColumn id="2" xr3:uid="{3B0FDBB6-D7AF-47C8-83F1-F87D6C8A0159}" name="2022" dataDxfId="216"/>
    <tableColumn id="3" xr3:uid="{A5EEE8B1-A992-474C-919A-94ABDABFE96F}" name="2023" dataDxfId="215"/>
    <tableColumn id="4" xr3:uid="{CE1BFEB0-30D6-40F0-A100-047634279EFA}" name="2024" dataDxfId="214"/>
    <tableColumn id="5" xr3:uid="{DD330017-0017-4F83-9C63-BE4A63B09F22}" name="2025" dataDxfId="21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8AFC162-2493-4006-BBF6-BC4E60C31088}" name="Plantation_Commodity" displayName="Plantation_Commodity" ref="A20:E34" totalsRowShown="0">
  <autoFilter ref="A20:E34" xr:uid="{B8AFC162-2493-4006-BBF6-BC4E60C31088}"/>
  <tableColumns count="5">
    <tableColumn id="1" xr3:uid="{3DB3CD2C-BF5E-4995-9207-48F21F0EE5F2}" name="Year" dataDxfId="212"/>
    <tableColumn id="2" xr3:uid="{4CC553C5-0EC4-4489-B904-524866EA712B}" name="2022" dataDxfId="211" dataCellStyle="Comma"/>
    <tableColumn id="3" xr3:uid="{508EE65B-A4FE-4457-8DF6-5A0A1A8EA921}" name="2023" dataDxfId="210" dataCellStyle="Comma"/>
    <tableColumn id="4" xr3:uid="{7DE17D6F-7D0F-4A6F-8E75-C3545969ADC5}" name="2024" dataDxfId="209" dataCellStyle="Comma"/>
    <tableColumn id="5" xr3:uid="{672EDFA7-8DF8-4E01-8E26-EB800B9B1E55}" name="2025" dataDxfId="208" dataCellStyle="Comma"/>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21A26B1-93B5-4DE3-B59B-17976A4E8A53}" name="Plantation_Commodity23" displayName="Plantation_Commodity23" ref="A36:E50" totalsRowShown="0">
  <autoFilter ref="A36:E50" xr:uid="{D21A26B1-93B5-4DE3-B59B-17976A4E8A53}"/>
  <tableColumns count="5">
    <tableColumn id="1" xr3:uid="{960EAAC7-1E49-414C-9445-66B0BEF5056F}" name="Year" dataDxfId="207"/>
    <tableColumn id="2" xr3:uid="{51448E7A-7B9E-43FD-89F6-72AA83393FA6}" name="2022" dataDxfId="206" dataCellStyle="Comma">
      <calculatedColumnFormula>IF(OR(B21="n.a",B21=0),NA(),B21)</calculatedColumnFormula>
    </tableColumn>
    <tableColumn id="3" xr3:uid="{1138E9F0-6A46-4F5E-8B88-DB5910544377}" name="2023" dataDxfId="205" dataCellStyle="Comma">
      <calculatedColumnFormula>IF(OR(C21="n.a",C21=0),NA(),C21)</calculatedColumnFormula>
    </tableColumn>
    <tableColumn id="4" xr3:uid="{F39D2D88-A1CB-4BAE-A100-A6E7AF1B27DB}" name="2024" dataDxfId="204" dataCellStyle="Comma">
      <calculatedColumnFormula>IF(OR(D21="n.a",D21=0),NA(),D21)</calculatedColumnFormula>
    </tableColumn>
    <tableColumn id="5" xr3:uid="{7E81A844-041B-4AF1-952D-B687B4769C21}" name="2025" dataDxfId="203" dataCellStyle="Comma">
      <calculatedColumnFormula>IF(OR(E21="n.a",E21=0),NA(),E21)</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AF2FA61-CFA4-4B61-8C7E-6A87F953F589}" name="Paddy" displayName="Paddy" ref="A2:E17" totalsRowShown="0" headerRowDxfId="202" dataDxfId="201">
  <autoFilter ref="A2:E17" xr:uid="{0AF2FA61-CFA4-4B61-8C7E-6A87F953F589}"/>
  <tableColumns count="5">
    <tableColumn id="1" xr3:uid="{6D56F649-FDA8-4405-BD48-EF067508A1F4}" name="Year" dataDxfId="200"/>
    <tableColumn id="2" xr3:uid="{3A4782FF-2FBB-4405-8702-B80EB41A30D3}" name="2022" dataDxfId="199" dataCellStyle="Comma"/>
    <tableColumn id="3" xr3:uid="{356AB533-D635-4331-BD08-2C7480DA7628}" name="2023" dataDxfId="198" dataCellStyle="Comma"/>
    <tableColumn id="4" xr3:uid="{B6644FEC-7356-40C2-ACFC-4237FD2C90E9}" name="2024" dataDxfId="197" dataCellStyle="Comma"/>
    <tableColumn id="5" xr3:uid="{8617421C-07A2-4A22-B53D-52F7EE2E82D4}" name="2025" dataDxfId="196" dataCellStyle="Comma"/>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50B7C70-027B-4FD2-9742-84F8F0B95DBE}" name="Fisherman" displayName="Fisherman" ref="A74:E89" totalsRowShown="0" headerRowDxfId="195" dataDxfId="194">
  <autoFilter ref="A74:E89" xr:uid="{150B7C70-027B-4FD2-9742-84F8F0B95DBE}"/>
  <tableColumns count="5">
    <tableColumn id="1" xr3:uid="{ADEA2D59-CD1A-4891-B079-E4699B596DBF}" name="Year" dataDxfId="193"/>
    <tableColumn id="2" xr3:uid="{33849442-BDCE-4FF4-B703-2EE0A7665277}" name="2022" dataDxfId="192" dataCellStyle="Comma"/>
    <tableColumn id="3" xr3:uid="{5D00C42F-FEB0-46E9-9AAA-780561FE59C8}" name="2023" dataDxfId="191" dataCellStyle="Comma"/>
    <tableColumn id="4" xr3:uid="{85047A1E-54E9-4540-A8E2-FADE1EF3C4CC}" name="2024" dataDxfId="190" dataCellStyle="Comma"/>
    <tableColumn id="5" xr3:uid="{F6092E47-68DE-4D9F-8183-B202C2C8BEFC}" name="2025" dataDxfId="189" dataCellStyle="Comma"/>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9CB3280-140B-4F8B-A324-EFD3E6F90896}" name="Crops" displayName="Crops" ref="A20:E35" totalsRowShown="0" headerRowDxfId="188" dataDxfId="187">
  <autoFilter ref="A20:E35" xr:uid="{E9CB3280-140B-4F8B-A324-EFD3E6F90896}"/>
  <tableColumns count="5">
    <tableColumn id="1" xr3:uid="{C6B07A30-C03C-4925-88E3-7EE5940964B9}" name="Year" dataDxfId="186"/>
    <tableColumn id="2" xr3:uid="{12E019B8-05E6-4FB2-A6F3-DD4B9BB3F40F}" name="2022" dataDxfId="185" dataCellStyle="Comma"/>
    <tableColumn id="3" xr3:uid="{C94FF5D9-E407-4554-88E7-ABDD32472DD0}" name="2023" dataDxfId="184" dataCellStyle="Comma"/>
    <tableColumn id="4" xr3:uid="{E368DE04-A92F-41EE-965B-0DE164ED705B}" name="2024" dataDxfId="183" dataCellStyle="Comma"/>
    <tableColumn id="5" xr3:uid="{830EBF59-C347-4335-A3BE-71400B7B0A39}" name="2025" dataDxfId="182" dataCellStyle="Comma"/>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3B5740E-DFDE-44F9-AE4B-DA4B7816E6CA}" name="Farmer" displayName="Farmer" ref="A92:E107" totalsRowShown="0" headerRowDxfId="181" dataDxfId="180">
  <autoFilter ref="A92:E107" xr:uid="{53B5740E-DFDE-44F9-AE4B-DA4B7816E6CA}"/>
  <tableColumns count="5">
    <tableColumn id="1" xr3:uid="{81B0DFFC-4BEB-441F-AF8C-B8C79EC068ED}" name="Year" dataDxfId="179"/>
    <tableColumn id="2" xr3:uid="{E1E3B035-D824-40A5-A0A5-7EB13D03C7DB}" name="2022" dataDxfId="178" dataCellStyle="Comma"/>
    <tableColumn id="3" xr3:uid="{8C87F730-9727-40CC-9831-DA7E5C4DA43B}" name="2023" dataDxfId="177" dataCellStyle="Comma"/>
    <tableColumn id="4" xr3:uid="{B5AFDDF4-BB01-4AB4-B8BA-8ABEECEE15A3}" name="2024" dataDxfId="176" dataCellStyle="Comma"/>
    <tableColumn id="5" xr3:uid="{F3A1E284-9ED9-4454-AF89-22D9E80AB564}" name="2025" dataDxfId="175" dataCellStyle="Comma"/>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43C197D-8208-49F6-8BDD-7DB199824184}" name="Fisheries" displayName="Fisheries" ref="A38:E53" totalsRowShown="0" headerRowDxfId="174" dataDxfId="173">
  <autoFilter ref="A38:E53" xr:uid="{343C197D-8208-49F6-8BDD-7DB199824184}"/>
  <tableColumns count="5">
    <tableColumn id="1" xr3:uid="{CD5328BF-E67B-41C0-9708-0FB7DAF9D4C5}" name="Year" dataDxfId="172"/>
    <tableColumn id="2" xr3:uid="{30705D1D-214C-4AD1-9368-62D5E3A6FE2D}" name="2022" dataDxfId="171" dataCellStyle="Comma"/>
    <tableColumn id="3" xr3:uid="{CD66FE5F-3431-49BE-983D-744CBB49F59E}" name="2023" dataDxfId="170" dataCellStyle="Comma"/>
    <tableColumn id="4" xr3:uid="{1F2516CA-ED5F-4B39-B814-961959E4135E}" name="2024" dataDxfId="169" dataCellStyle="Comma"/>
    <tableColumn id="5" xr3:uid="{6CCEA386-F75D-4400-8C7D-FF770071E389}" name="2025" dataDxfId="168" dataCellStyle="Comma"/>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779F4B0C-CCED-4CE1-8CD2-9E30B8ACDACB}" name="HighValueCommodity" displayName="HighValueCommodity" ref="A110:E125" totalsRowShown="0" headerRowDxfId="167" dataDxfId="166">
  <autoFilter ref="A110:E125" xr:uid="{779F4B0C-CCED-4CE1-8CD2-9E30B8ACDACB}"/>
  <tableColumns count="5">
    <tableColumn id="1" xr3:uid="{1983166A-B965-41EA-92FC-5F6333080BBF}" name="Year" dataDxfId="165"/>
    <tableColumn id="2" xr3:uid="{A35E4771-7229-4A29-AECE-CA0358DDC5EA}" name="2022" dataDxfId="164"/>
    <tableColumn id="3" xr3:uid="{43BD37E1-C5E1-4EF3-A7CA-0A7513502D0A}" name="2023" dataDxfId="163"/>
    <tableColumn id="4" xr3:uid="{BFC85FB1-BB96-4556-85F8-5E29B79AC678}" name="2024" dataDxfId="162" dataCellStyle="Comma"/>
    <tableColumn id="5" xr3:uid="{3563AA55-4A8A-4F03-A7B5-4953B471E0A5}" name="2025" dataDxfId="161" dataCellStyle="Comma"/>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24BEB10-9AB5-4330-93DF-8362BFD657DC}" name="Livestock" displayName="Livestock" ref="A56:E71" totalsRowShown="0" headerRowDxfId="160" dataDxfId="159">
  <autoFilter ref="A56:E71" xr:uid="{124BEB10-9AB5-4330-93DF-8362BFD657DC}"/>
  <tableColumns count="5">
    <tableColumn id="1" xr3:uid="{F5FA31B8-0929-48F4-ACFD-1E831637B333}" name="Year" dataDxfId="158"/>
    <tableColumn id="2" xr3:uid="{A7FEB7E3-4654-4F72-9E09-F001BE8D3A47}" name="2022" dataDxfId="157" dataCellStyle="Comma"/>
    <tableColumn id="3" xr3:uid="{A95B2D38-DA0A-487A-A19D-A53C7DB627AB}" name="2023" dataDxfId="156" dataCellStyle="Comma"/>
    <tableColumn id="4" xr3:uid="{15D9F236-5EE9-4D3D-BD07-D0778B021688}" name="2024" dataDxfId="155" dataCellStyle="Comma"/>
    <tableColumn id="5" xr3:uid="{AFBE2287-83E0-4889-BFB7-90B2EBB84051}" name="2025" dataDxfId="154" dataCellStyle="Comma"/>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DF0FE6FD-E5F3-4699-BCD3-5BCDE98C6120}" name="AgricultureRawData" displayName="AgricultureRawData" ref="A1:D105" tableType="queryTable" totalsRowShown="0">
  <autoFilter ref="A1:D105" xr:uid="{DF0FE6FD-E5F3-4699-BCD3-5BCDE98C6120}"/>
  <tableColumns count="4">
    <tableColumn id="1" xr3:uid="{24A96E00-8579-4FDC-979C-B7F67DF12AC2}" uniqueName="1" name="State" queryTableFieldId="1" dataDxfId="153"/>
    <tableColumn id="2" xr3:uid="{560214C6-3A1D-49CC-8970-51EA2D094588}" uniqueName="2" name="Year" queryTableFieldId="2" dataDxfId="152"/>
    <tableColumn id="3" xr3:uid="{12117582-896A-4112-8ABA-E32586A3DE67}" uniqueName="3" name="Value" queryTableFieldId="3"/>
    <tableColumn id="4" xr3:uid="{2679FDA4-4AC6-4280-B219-430744C9E95D}" uniqueName="4" name="Category" queryTableFieldId="4"/>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3853C9C-AD37-4130-9FA1-E7FE2309331F}" name="AgriSubCat" displayName="AgriSubCat" ref="A1:D393" tableType="queryTable" totalsRowShown="0">
  <autoFilter ref="A1:D393" xr:uid="{33853C9C-AD37-4130-9FA1-E7FE2309331F}"/>
  <tableColumns count="4">
    <tableColumn id="1" xr3:uid="{ED91DFD9-1588-4190-B178-6794ECF55718}" uniqueName="1" name="State" queryTableFieldId="1" dataDxfId="151"/>
    <tableColumn id="2" xr3:uid="{A787A450-8619-4D7E-9D83-8399879FD72B}" uniqueName="2" name="Year" queryTableFieldId="2"/>
    <tableColumn id="3" xr3:uid="{6566F5A5-3C01-48D9-A68D-671A807BF2F0}" uniqueName="3" name="Value" queryTableFieldId="3"/>
    <tableColumn id="4" xr3:uid="{86E14051-E8FA-41A3-A054-FDE3814B3481}" uniqueName="4" name="Category" queryTableFieldId="4"/>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0A6B912-10EA-455A-80E7-28A0C6AA2C40}" name="Pertanian" displayName="Pertanian" ref="A2:E19" totalsRowShown="0" headerRowDxfId="150" dataDxfId="149" headerRowCellStyle="Percent" dataCellStyle="Percent">
  <autoFilter ref="A2:E19" xr:uid="{90A6B912-10EA-455A-80E7-28A0C6AA2C40}"/>
  <tableColumns count="5">
    <tableColumn id="1" xr3:uid="{094D1105-D140-402F-88C4-3223F6A3FAD4}" name="Column1" dataDxfId="148" dataCellStyle="Percent"/>
    <tableColumn id="2" xr3:uid="{6C5AB714-4636-4825-A924-797A24204F4F}" name="2022" dataDxfId="147" dataCellStyle="Currency"/>
    <tableColumn id="3" xr3:uid="{C954E82B-4F1C-4D6E-8928-749361C4C56F}" name="2023" dataDxfId="146" dataCellStyle="Currency"/>
    <tableColumn id="4" xr3:uid="{880284A3-097B-441E-A816-6E43E007AB57}" name="2024" dataDxfId="145" dataCellStyle="Currency"/>
    <tableColumn id="5" xr3:uid="{26463A6C-981D-4115-9774-7D156825C076}" name="2025" dataDxfId="144" dataCellStyle="Currency"/>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36FE3A5-3E95-4581-A022-B8A5CAE6734D}" name="Pengairan" displayName="Pengairan" ref="A22:E39" totalsRowShown="0" headerRowDxfId="143" dataDxfId="142" tableBorderDxfId="141" headerRowCellStyle="Percent" dataCellStyle="Percent">
  <autoFilter ref="A22:E39" xr:uid="{036FE3A5-3E95-4581-A022-B8A5CAE6734D}"/>
  <tableColumns count="5">
    <tableColumn id="1" xr3:uid="{020FF26E-89F5-429C-B4E7-9F1B57F91F7A}" name="Column1" dataDxfId="140" dataCellStyle="Percent"/>
    <tableColumn id="2" xr3:uid="{169955D3-C921-47D9-820E-3BDFDA0EAF66}" name="2022" dataDxfId="139" dataCellStyle="Currency"/>
    <tableColumn id="3" xr3:uid="{64BCF16E-9E7A-4D8B-9BA7-9E4B71E4C591}" name="2023" dataDxfId="138" dataCellStyle="Currency"/>
    <tableColumn id="4" xr3:uid="{4727FDA7-0027-4186-9BBE-E919BF52CF2F}" name="2024" dataDxfId="137" dataCellStyle="Currency"/>
    <tableColumn id="5" xr3:uid="{051B291F-8906-4B07-B2F4-AD7793EF597E}" name="2025" dataDxfId="136" dataCellStyle="Currency"/>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887101AC-7EF8-49BB-9544-6C6E82470FB7}" name="Pendidikan" displayName="Pendidikan" ref="A42:E59" totalsRowShown="0" headerRowDxfId="135" dataDxfId="134" tableBorderDxfId="133" headerRowCellStyle="Percent" dataCellStyle="Percent">
  <autoFilter ref="A42:E59" xr:uid="{887101AC-7EF8-49BB-9544-6C6E82470FB7}"/>
  <tableColumns count="5">
    <tableColumn id="1" xr3:uid="{9DDD0BDC-5D34-47BA-B61B-3320B82C7934}" name="Column1" dataDxfId="132" dataCellStyle="Percent"/>
    <tableColumn id="2" xr3:uid="{C777944E-B493-41F3-A4C7-D8BBFA8525A8}" name="2022" dataDxfId="131" dataCellStyle="Currency"/>
    <tableColumn id="3" xr3:uid="{5C30F24B-51E8-4C1B-8D49-9829AF837BCB}" name="2023" dataDxfId="130" dataCellStyle="Currency"/>
    <tableColumn id="4" xr3:uid="{A495F6ED-06B6-4D8C-9C46-6950DB9E12D7}" name="2024" dataDxfId="129" dataCellStyle="Currency"/>
    <tableColumn id="5" xr3:uid="{A5EF1424-A6BD-492A-A2F8-F77E60A51DE3}" name="2025" dataDxfId="128" dataCellStyle="Currency"/>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7189DD83-1D4E-4E70-884A-3B8534407BE6}" name="KemajuanDesa" displayName="KemajuanDesa" ref="A62:E79" totalsRowShown="0" headerRowDxfId="127" dataDxfId="126" tableBorderDxfId="125" headerRowCellStyle="Percent" dataCellStyle="Percent">
  <autoFilter ref="A62:E79" xr:uid="{7189DD83-1D4E-4E70-884A-3B8534407BE6}"/>
  <tableColumns count="5">
    <tableColumn id="1" xr3:uid="{E38F479D-726D-446A-B31F-48AF97C4211F}" name="Column1" dataDxfId="124" dataCellStyle="Percent"/>
    <tableColumn id="2" xr3:uid="{098487C9-7242-4E65-AD4D-37673DC165A8}" name="2022" dataDxfId="123" dataCellStyle="Currency"/>
    <tableColumn id="3" xr3:uid="{B8AED331-F491-43F8-BA05-023A0D7D2265}" name="2023" dataDxfId="122" dataCellStyle="Currency"/>
    <tableColumn id="4" xr3:uid="{39A84B0E-4A01-4735-AAA6-F22A1CE5BD98}" name="2024" dataDxfId="121" dataCellStyle="Currency"/>
    <tableColumn id="5" xr3:uid="{F0B7E8DA-5519-4F02-9BCE-89080B6241CF}" name="2025" dataDxfId="120" dataCellStyle="Currency"/>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DE99EC7-04CE-4E74-A096-B5BB0A943B45}" name="Road" displayName="Road" ref="A2:E17" totalsRowShown="0">
  <autoFilter ref="A2:E17" xr:uid="{4DE99EC7-04CE-4E74-A096-B5BB0A943B45}"/>
  <tableColumns count="5">
    <tableColumn id="1" xr3:uid="{96931DC5-4B35-4E2C-A5FE-3AB7C123F17F}" name="Column1" dataDxfId="119"/>
    <tableColumn id="2" xr3:uid="{5A39F1CE-56AE-49F6-A6BE-FB125076B350}" name="2022" dataDxfId="118" dataCellStyle="Currency"/>
    <tableColumn id="3" xr3:uid="{2C7C7943-2DBC-4DD5-9327-AF175A6F0D8A}" name="2023" dataDxfId="117" dataCellStyle="Currency"/>
    <tableColumn id="4" xr3:uid="{7468914E-4D41-4DE6-BB21-AF2B46E04B88}" name="2024" dataDxfId="116" dataCellStyle="Currency"/>
    <tableColumn id="5" xr3:uid="{172FFB6B-C9C4-469A-9EDE-D509B56E0F22}" name="2025" dataDxfId="115" dataCellStyle="Currency"/>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E236915-61DB-43DB-AF9E-AEAE760E16ED}" name="Bridge" displayName="Bridge" ref="A20:E35" totalsRowShown="0">
  <autoFilter ref="A20:E35" xr:uid="{5E236915-61DB-43DB-AF9E-AEAE760E16ED}"/>
  <tableColumns count="5">
    <tableColumn id="1" xr3:uid="{61A13E92-0C4D-4BA8-8F3D-E842CF7E0BD7}" name="Column1" dataDxfId="114"/>
    <tableColumn id="2" xr3:uid="{90219419-98C0-49FB-97A5-579EC0A7F10C}" name="2022" dataDxfId="113" dataCellStyle="Currency"/>
    <tableColumn id="3" xr3:uid="{1093EED8-1D84-4936-880A-4F0E7F943D65}" name="2023" dataDxfId="112" dataCellStyle="Currency"/>
    <tableColumn id="4" xr3:uid="{666B3F8D-2FAB-4477-AC08-70AAD4AAD890}" name="2024" dataDxfId="111" dataCellStyle="Currency"/>
    <tableColumn id="5" xr3:uid="{301A82F6-26B0-4FC8-8E3D-252C8C37616B}" name="2025" dataDxfId="110" dataCellStyle="Currency"/>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405B7ACA-E77B-4108-8B08-8212C42BACFE}" name="Electric" displayName="Electric" ref="A38:E53" totalsRowShown="0">
  <autoFilter ref="A38:E53" xr:uid="{405B7ACA-E77B-4108-8B08-8212C42BACFE}"/>
  <tableColumns count="5">
    <tableColumn id="1" xr3:uid="{5294F642-B95B-489C-86A0-DE51EBF76386}" name="Column1" dataDxfId="109"/>
    <tableColumn id="2" xr3:uid="{B77836FD-51CE-4F7E-BE41-51A9ACABBC39}" name="2022" dataDxfId="108" dataCellStyle="Currency"/>
    <tableColumn id="3" xr3:uid="{3AB39D58-644A-4497-B227-1B729FDF830B}" name="2023" dataDxfId="107" dataCellStyle="Currency"/>
    <tableColumn id="4" xr3:uid="{B8CF7395-A77D-44FC-95EC-682B1AAB691A}" name="2024" dataDxfId="106" dataCellStyle="Currency"/>
    <tableColumn id="5" xr3:uid="{FBAD565A-62AD-484D-8F54-7041A6F57CBA}" name="2025" dataDxfId="105" dataCellStyle="Currency"/>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ABCABD-B956-4C71-B411-EFBAFAD9ECA8}" name="Slope" displayName="Slope" ref="A56:E71" totalsRowShown="0">
  <autoFilter ref="A56:E71" xr:uid="{CBABCABD-B956-4C71-B411-EFBAFAD9ECA8}"/>
  <tableColumns count="5">
    <tableColumn id="1" xr3:uid="{E40BD434-BE9B-4232-837E-BA268C13D710}" name="Column1" dataDxfId="104"/>
    <tableColumn id="2" xr3:uid="{C66004EF-F0E4-43A7-9505-09E433F59497}" name="2022" dataDxfId="103" dataCellStyle="Currency"/>
    <tableColumn id="3" xr3:uid="{F88F7F8D-B6E6-4153-A0A2-1996807089DF}" name="2023" dataDxfId="102" dataCellStyle="Currency"/>
    <tableColumn id="4" xr3:uid="{D63D8742-4BBF-47E8-A6F8-251853C1D196}" name="2024" dataDxfId="101" dataCellStyle="Currency"/>
    <tableColumn id="5" xr3:uid="{D842C6D9-2883-47AD-85AA-64EF19A2CBC6}" name="2025" dataDxfId="100" dataCellStyle="Currency"/>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D2900C6C-7314-44CC-9B1E-E25FF222F52C}" name="FloodEmergency" displayName="FloodEmergency" ref="A2:E19" totalsRowShown="0" headerRowDxfId="99" dataDxfId="98">
  <autoFilter ref="A2:E19" xr:uid="{D2900C6C-7314-44CC-9B1E-E25FF222F52C}"/>
  <tableColumns count="5">
    <tableColumn id="1" xr3:uid="{172E5054-8704-4896-AA09-2C2543510EF4}" name="Column1" dataDxfId="97"/>
    <tableColumn id="2" xr3:uid="{734DA595-680A-4284-AF92-E6E754A95CA2}" name="2022" dataDxfId="96" dataCellStyle="Currency"/>
    <tableColumn id="3" xr3:uid="{5253E796-9261-4ED9-8EAE-55F7E9A4E9CE}" name="2023" dataDxfId="95" dataCellStyle="Currency"/>
    <tableColumn id="4" xr3:uid="{8FA0CF95-43FA-48A9-8BCD-30E79468BF6C}" name="2024" dataDxfId="94" dataCellStyle="Currency"/>
    <tableColumn id="5" xr3:uid="{2115DFFB-E02E-472B-BD89-1E032CED93E4}" name="2025" dataDxfId="93" dataCellStyle="Currency"/>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B9C90E50-4AC9-4E49-9CF9-491E559166CE}" name="FloodConservation" displayName="FloodConservation" ref="A22:E39" totalsRowShown="0" headerRowDxfId="92" dataDxfId="91">
  <autoFilter ref="A22:E39" xr:uid="{B9C90E50-4AC9-4E49-9CF9-491E559166CE}"/>
  <tableColumns count="5">
    <tableColumn id="1" xr3:uid="{E9B76685-B82E-4CB7-8676-0B752A04C98B}" name="Column1" dataDxfId="90"/>
    <tableColumn id="2" xr3:uid="{7AB03EA5-C9F1-46DC-8D8A-DA6D8F29E071}" name="2022" dataDxfId="89" dataCellStyle="Currency"/>
    <tableColumn id="3" xr3:uid="{7CA2F9AD-944A-4359-AF0A-F8AFF726B7DE}" name="2023" dataDxfId="88" dataCellStyle="Currency"/>
    <tableColumn id="4" xr3:uid="{1BA08858-1851-4DB5-B246-F2301B6B4884}" name="2024" dataDxfId="87" dataCellStyle="Currency"/>
    <tableColumn id="5" xr3:uid="{0F75657B-833C-4D93-B643-CD8DDF1D2BFC}" name="2025" dataDxfId="86" dataCellStyle="Currency"/>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66A7BB8D-FEA8-45F6-8A96-0016E50DE4C4}" name="InfraLossQuery" displayName="InfraLossQuery" ref="A1:D257" tableType="queryTable" totalsRowShown="0">
  <autoFilter ref="A1:D257" xr:uid="{66A7BB8D-FEA8-45F6-8A96-0016E50DE4C4}"/>
  <tableColumns count="4">
    <tableColumn id="1" xr3:uid="{34122776-929C-4C96-BC2A-37FFCACB22D7}" uniqueName="1" name="State" queryTableFieldId="1"/>
    <tableColumn id="2" xr3:uid="{F3263466-4175-4222-83B5-F917EF41D206}" uniqueName="2" name="Year" queryTableFieldId="2" dataDxfId="85"/>
    <tableColumn id="3" xr3:uid="{74A79EA3-F24D-42D6-84A3-006BB292B8D7}" uniqueName="3" name="Value" queryTableFieldId="3" dataDxfId="84"/>
    <tableColumn id="4" xr3:uid="{225DF773-DD17-4A9F-BF19-432EF8149409}" uniqueName="4" name="Category" queryTableFieldId="4"/>
  </tableColumns>
  <tableStyleInfo name="TableStyleMedium7"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9BE8575A-66CD-4B76-AAA4-3DD92442B7E3}" name="JKRQuery" displayName="JKRQuery" ref="A1:D169" tableType="queryTable" totalsRowShown="0">
  <autoFilter ref="A1:D169" xr:uid="{9BE8575A-66CD-4B76-AAA4-3DD92442B7E3}"/>
  <tableColumns count="4">
    <tableColumn id="1" xr3:uid="{FE42D931-8826-4108-AE03-E12544103B37}" uniqueName="1" name="State" queryTableFieldId="1" dataDxfId="83"/>
    <tableColumn id="2" xr3:uid="{37BAC3F4-B5D3-43A8-BBB7-D8D89DED60D9}" uniqueName="2" name="Year" queryTableFieldId="2"/>
    <tableColumn id="3" xr3:uid="{3BFDBB67-2962-4F82-93D3-B571EAABCCD0}" uniqueName="3" name="Value" queryTableFieldId="3"/>
    <tableColumn id="4" xr3:uid="{5C655D50-D6B1-45AF-80FE-727ECD60BA0F}" uniqueName="4" name="Category" queryTableFieldId="4"/>
  </tableColumns>
  <tableStyleInfo name="TableStyleMedium7"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DA5328C1-AE46-406F-ABA5-FAA0EC4B5BD4}" name="JPS_Losses" displayName="JPS_Losses" ref="A1:D129" tableType="queryTable" totalsRowShown="0">
  <autoFilter ref="A1:D129" xr:uid="{DA5328C1-AE46-406F-ABA5-FAA0EC4B5BD4}"/>
  <tableColumns count="4">
    <tableColumn id="1" xr3:uid="{C8B298FB-04FE-4B79-B87C-E3EEF816BA34}" uniqueName="1" name="State" queryTableFieldId="1" dataDxfId="82"/>
    <tableColumn id="2" xr3:uid="{029683A6-7C0B-4976-AC8C-9E12D051FB5D}" uniqueName="2" name="Year" queryTableFieldId="2"/>
    <tableColumn id="3" xr3:uid="{CCE3D8CC-7666-45F3-9834-189392B3CA9D}" uniqueName="3" name="Value" queryTableFieldId="3"/>
    <tableColumn id="4" xr3:uid="{916A6DBA-7378-45CC-9FFC-DDA19464AA37}" uniqueName="4" name="Category" queryTableFieldId="4"/>
  </tableColumns>
  <tableStyleInfo name="TableStyleMedium7"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966997A-1504-4710-AF49-E522BBA02BF6}" name="MalaysiaOverallTable" displayName="MalaysiaOverallTable" ref="A3:F10" totalsRowShown="0">
  <autoFilter ref="A3:F10" xr:uid="{6966997A-1504-4710-AF49-E522BBA02BF6}"/>
  <sortState xmlns:xlrd2="http://schemas.microsoft.com/office/spreadsheetml/2017/richdata2" ref="A4:F10">
    <sortCondition ref="A3:A10"/>
  </sortState>
  <tableColumns count="6">
    <tableColumn id="1" xr3:uid="{4BC6B5DD-20BF-4142-9065-A22070875E71}" name="Categories"/>
    <tableColumn id="2" xr3:uid="{15080B4E-965B-45C7-9104-1C72F4918943}" name="2021" dataDxfId="81"/>
    <tableColumn id="3" xr3:uid="{FDEC6AE9-ACC9-4B4B-B51C-63207D1D1D2C}" name="2022" dataDxfId="80"/>
    <tableColumn id="4" xr3:uid="{A01C75CC-D91B-44ED-B499-BE8AB549BE8E}" name="2023" dataDxfId="79"/>
    <tableColumn id="5" xr3:uid="{E2B8CF2B-97B2-483E-9251-3AEC7789B27F}" name="2024" dataDxfId="78"/>
    <tableColumn id="6" xr3:uid="{A0CD9E74-967A-4E1F-B590-278D36CE2CAE}" name="2025" dataDxfId="77"/>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8817FED-E3C9-498A-8B45-3EBB423A8140}" name="Table4" displayName="Table4" ref="A12:F19" totalsRowShown="0" dataDxfId="76" dataCellStyle="Percent">
  <autoFilter ref="A12:F19" xr:uid="{D8817FED-E3C9-498A-8B45-3EBB423A8140}"/>
  <tableColumns count="6">
    <tableColumn id="1" xr3:uid="{7D161E4B-D199-4689-8400-CD72684DB0AF}" name="Movement YoY (%)" dataDxfId="75"/>
    <tableColumn id="2" xr3:uid="{51641F62-6951-4481-B241-84A723502BC9}" name="2021"/>
    <tableColumn id="3" xr3:uid="{9C9D6F63-8F54-456D-A79E-BCD20107AFF6}" name="2022" dataDxfId="74" dataCellStyle="Percent">
      <calculatedColumnFormula>C4/B4-1</calculatedColumnFormula>
    </tableColumn>
    <tableColumn id="4" xr3:uid="{B68E7E01-5F0C-4C49-A5EB-F586CF3968DF}" name="2023" dataDxfId="73" dataCellStyle="Percent">
      <calculatedColumnFormula>D4/C4-1</calculatedColumnFormula>
    </tableColumn>
    <tableColumn id="5" xr3:uid="{4C59C89F-8425-4014-B267-39BC4571A0D9}" name="2024" dataDxfId="72" dataCellStyle="Percent">
      <calculatedColumnFormula>E4/D4-1</calculatedColumnFormula>
    </tableColumn>
    <tableColumn id="6" xr3:uid="{271E2BCC-6808-4552-812F-2B197E0AEB89}" name="2025" dataDxfId="71" dataCellStyle="Percent">
      <calculatedColumnFormula>F4/E4-1</calculatedColumnFormula>
    </tableColumn>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50D5FF-FB80-43F7-BE1A-1FDDF37CF30E}" name="Table46" displayName="Table46" ref="A21:F28" totalsRowShown="0" dataDxfId="70" dataCellStyle="Percent">
  <autoFilter ref="A21:F28" xr:uid="{F350D5FF-FB80-43F7-BE1A-1FDDF37CF30E}"/>
  <tableColumns count="6">
    <tableColumn id="1" xr3:uid="{9D6E65AB-BA44-44EF-A412-846D0C5FD8B5}" name="Movement YoY " dataDxfId="69"/>
    <tableColumn id="2" xr3:uid="{7EA3AA8C-76DC-4877-9C22-953E830C8050}" name="2021"/>
    <tableColumn id="3" xr3:uid="{43139A05-44AD-41E9-BE63-A27EF14B1450}" name="2022" dataDxfId="68" dataCellStyle="Percent">
      <calculatedColumnFormula>ABS(C4-B4)</calculatedColumnFormula>
    </tableColumn>
    <tableColumn id="4" xr3:uid="{C0293442-295A-4969-9EA2-16BDEE47124C}" name="2023" dataDxfId="67" dataCellStyle="Percent">
      <calculatedColumnFormula>ABS(D4-C4)</calculatedColumnFormula>
    </tableColumn>
    <tableColumn id="5" xr3:uid="{54A678AE-FA6E-4D1C-80E0-BE347BDC2D24}" name="2024" dataDxfId="66" dataCellStyle="Percent">
      <calculatedColumnFormula>ABS(E4-D4)</calculatedColumnFormula>
    </tableColumn>
    <tableColumn id="6" xr3:uid="{B8DEE9F5-313A-4A30-97B9-D294B017E464}" name="2025" dataDxfId="65" dataCellStyle="Percent">
      <calculatedColumnFormula>ABS(F4-E4)</calculatedColumnFormula>
    </tableColumn>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D9443284-2681-4A35-84C7-D3D88A84F444}" name="MalaysiaOverall" displayName="MalaysiaOverall" ref="A1:C31" tableType="queryTable" totalsRowShown="0">
  <autoFilter ref="A1:C31" xr:uid="{D9443284-2681-4A35-84C7-D3D88A84F444}"/>
  <tableColumns count="3">
    <tableColumn id="1" xr3:uid="{C8483B09-9BF5-4BF0-B574-365FFED4C1FB}" uniqueName="1" name="Categories" queryTableFieldId="1" dataDxfId="64"/>
    <tableColumn id="2" xr3:uid="{D46CA38A-86B7-4313-8176-074C73DAC570}" uniqueName="2" name="Year" queryTableFieldId="2"/>
    <tableColumn id="3" xr3:uid="{039A8CC1-F786-413D-B3E3-C692A2F71D86}" uniqueName="3" name="Value" queryTableFieldId="3"/>
  </tableColumns>
  <tableStyleInfo name="TableStyleMedium7"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54CCC089-58F1-481F-8533-BD83A628682F}" name="Test_1" displayName="Test_1" ref="A1:D481" tableType="queryTable" totalsRowShown="0">
  <autoFilter ref="A1:D481" xr:uid="{54CCC089-58F1-481F-8533-BD83A628682F}"/>
  <tableColumns count="4">
    <tableColumn id="1" xr3:uid="{B9B69870-49B7-43B0-A7E0-C88388257BEB}" uniqueName="1" name="State" queryTableFieldId="1"/>
    <tableColumn id="2" xr3:uid="{499E8388-E6E3-46F5-B9DC-1DA2814320BB}" uniqueName="2" name="Year" queryTableFieldId="2"/>
    <tableColumn id="3" xr3:uid="{166EF140-F123-4215-B523-862DEED6E18F}" uniqueName="3" name="Loss" queryTableFieldId="3"/>
    <tableColumn id="4" xr3:uid="{909D8ABE-7FC4-4121-8682-124BADA776E8}" uniqueName="4" name="Category" queryTableFieldId="4"/>
  </tableColumns>
  <tableStyleInfo name="TableStyleMedium7"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32E669-F645-4FFD-B221-5E69DFC04AE5}" name="Table1" displayName="Table1" ref="A1:G17" totalsRowShown="0" headerRowDxfId="63" dataDxfId="62">
  <autoFilter ref="A1:G17" xr:uid="{1632E669-F645-4FFD-B221-5E69DFC04AE5}"/>
  <sortState xmlns:xlrd2="http://schemas.microsoft.com/office/spreadsheetml/2017/richdata2" ref="A2:G17">
    <sortCondition ref="G1:G17"/>
  </sortState>
  <tableColumns count="7">
    <tableColumn id="1" xr3:uid="{34ADA144-502A-4ADE-BA79-37D86CDA75A5}" name="STATE" dataDxfId="61"/>
    <tableColumn id="2" xr3:uid="{DDEC70A0-C5A0-4CC9-922E-56330124BC65}" name="2021" dataDxfId="60" dataCellStyle="Currency"/>
    <tableColumn id="3" xr3:uid="{27BF5506-3319-444D-9F63-69F032352A7B}" name="2022" dataDxfId="59" dataCellStyle="Currency"/>
    <tableColumn id="4" xr3:uid="{B36285C1-5669-40D5-A043-0AC8A8C0D219}" name="2023" dataDxfId="58" dataCellStyle="Currency"/>
    <tableColumn id="5" xr3:uid="{5226B484-2966-49F5-AA2C-3EC629CAA447}" name="2024" dataDxfId="57" dataCellStyle="Currency"/>
    <tableColumn id="6" xr3:uid="{7DBE023C-39CE-4AA3-A517-C0527B696084}" name="2025" dataDxfId="56" dataCellStyle="Currency"/>
    <tableColumn id="7" xr3:uid="{D006B05D-948B-4F4C-AEE5-0308C25C7629}" name="Total Cummulative Losses" dataDxfId="55" dataCellStyle="Currency">
      <calculatedColumnFormula>SUM(Table1[[#This Row],[2021]:[2025]])</calculatedColumnFormula>
    </tableColumn>
  </tableColumns>
  <tableStyleInfo name="TableStyleMedium3"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9FA6D6C-020D-4A30-AD38-C8D0F82515D2}" name="LivingQuarter" displayName="LivingQuarter" ref="A2:G18" totalsRowShown="0" headerRowDxfId="54" dataDxfId="53" dataCellStyle="Comma">
  <autoFilter ref="A2:G18" xr:uid="{19FA6D6C-020D-4A30-AD38-C8D0F82515D2}"/>
  <sortState xmlns:xlrd2="http://schemas.microsoft.com/office/spreadsheetml/2017/richdata2" ref="A3:G18">
    <sortCondition ref="A2:A18"/>
  </sortState>
  <tableColumns count="7">
    <tableColumn id="1" xr3:uid="{4291E7B4-E6F2-462B-B017-FFEF26933390}" name="State" dataDxfId="52"/>
    <tableColumn id="2" xr3:uid="{03E3B439-4CCE-4B64-A885-CA3DD5AAE973}" name="2021" dataDxfId="51" dataCellStyle="Currency"/>
    <tableColumn id="3" xr3:uid="{9A8E3D01-AACF-42B0-BB2C-7B671D76EB8D}" name="2022" dataDxfId="50" dataCellStyle="Currency"/>
    <tableColumn id="4" xr3:uid="{F171E669-B236-4975-AD79-4F6FCAFBB2E3}" name="2023" dataDxfId="49" dataCellStyle="Currency"/>
    <tableColumn id="5" xr3:uid="{BE4EAB1B-E53B-4E9B-A6E5-7C524CC41565}" name="2024" dataDxfId="48" dataCellStyle="Currency"/>
    <tableColumn id="6" xr3:uid="{A9855FD8-5C92-46F5-8A58-5B84BB63D9CE}" name="2025" dataDxfId="47" dataCellStyle="Currency"/>
    <tableColumn id="7" xr3:uid="{2BF348A5-7E47-4E3B-AECC-BAF5A142D823}" name="Sum" dataDxfId="46" dataCellStyle="Currency">
      <calculatedColumnFormula>SUM(LivingQuarter[[#This Row],[2021]:[2025]])</calculatedColumnFormula>
    </tableColumn>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254030F-BB8A-4957-A20D-EC9F8C02194F}" name="Agriculture" displayName="Agriculture" ref="A2:G18" totalsRowShown="0" headerRowDxfId="45" dataDxfId="44" dataCellStyle="Comma">
  <autoFilter ref="A2:G18" xr:uid="{1254030F-BB8A-4957-A20D-EC9F8C02194F}"/>
  <tableColumns count="7">
    <tableColumn id="1" xr3:uid="{BEA36B20-EAF9-420E-B6D1-025807A9F228}" name="State" dataDxfId="43"/>
    <tableColumn id="2" xr3:uid="{6124075E-42DF-4066-9FE8-00B576C85911}" name="2021" dataDxfId="42" dataCellStyle="Currency"/>
    <tableColumn id="3" xr3:uid="{335B33AB-550A-42AD-98FA-F8095D5C0231}" name="2022" dataDxfId="41" dataCellStyle="Currency"/>
    <tableColumn id="4" xr3:uid="{75E445AB-C6FC-4AF1-A4D9-FF84E03D38A7}" name="2023" dataDxfId="40" dataCellStyle="Currency"/>
    <tableColumn id="5" xr3:uid="{532B2CD2-017F-4764-B7B0-1388DE1C8367}" name="2024" dataDxfId="39" dataCellStyle="Currency"/>
    <tableColumn id="6" xr3:uid="{3BBC02C3-C54E-4643-A48C-B56F167DCC11}" name="2025" dataDxfId="38" dataCellStyle="Currency"/>
    <tableColumn id="7" xr3:uid="{AD949E26-3452-4C2F-BFFA-69E1EA387C6C}" name="sum" dataDxfId="37" dataCellStyle="Currency">
      <calculatedColumnFormula>SUM(Agriculture[[#This Row],[2021]:[2025]])</calculatedColumnFormula>
    </tableColumn>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30F0B35-BCFA-4E51-83E6-8097DC1AC7E3}" name="Vehicles" displayName="Vehicles" ref="A2:G18" totalsRowShown="0" headerRowDxfId="36" dataDxfId="35" dataCellStyle="Comma">
  <autoFilter ref="A2:G18" xr:uid="{430F0B35-BCFA-4E51-83E6-8097DC1AC7E3}"/>
  <sortState xmlns:xlrd2="http://schemas.microsoft.com/office/spreadsheetml/2017/richdata2" ref="A3:G18">
    <sortCondition ref="A2:A18"/>
  </sortState>
  <tableColumns count="7">
    <tableColumn id="1" xr3:uid="{A2A616E4-480B-4E3F-899E-73F47E26CF7A}" name="State" dataDxfId="34"/>
    <tableColumn id="2" xr3:uid="{967F2F46-4152-408E-88FB-A8581986BC3A}" name="2021" dataDxfId="33" dataCellStyle="Currency"/>
    <tableColumn id="3" xr3:uid="{CDC561CE-635B-428C-8BBC-57EEF351BBC2}" name="2022" dataDxfId="32" dataCellStyle="Currency"/>
    <tableColumn id="4" xr3:uid="{1B334F6C-3207-4427-9332-009D99C0971F}" name="2023" dataDxfId="31" dataCellStyle="Currency"/>
    <tableColumn id="5" xr3:uid="{7A1913F7-AD84-4BCD-8752-9542846EC9F7}" name="2024" dataDxfId="30" dataCellStyle="Currency"/>
    <tableColumn id="6" xr3:uid="{8D08B93E-4A07-40B3-B26F-10C82B5C51E7}" name="2025" dataDxfId="29" dataCellStyle="Currency"/>
    <tableColumn id="7" xr3:uid="{B9510FED-AC47-455C-8C33-3C644264998D}" name=" Sum" dataDxfId="28" dataCellStyle="Currency">
      <calculatedColumnFormula>SUM(Vehicles[[#This Row],[2021]:[2025]])</calculatedColumnFormula>
    </tableColumn>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362F69-CC60-478B-8108-CC42312BBC44}" name="Infrastructure" displayName="Infrastructure" ref="A2:G18" totalsRowShown="0" headerRowDxfId="27" dataDxfId="26" tableBorderDxfId="25">
  <autoFilter ref="A2:G18" xr:uid="{D5362F69-CC60-478B-8108-CC42312BBC44}"/>
  <tableColumns count="7">
    <tableColumn id="1" xr3:uid="{0682976B-D9A5-4A23-AE1F-780B6F4BD9C2}" name="State" dataDxfId="24"/>
    <tableColumn id="2" xr3:uid="{494E93E1-1D09-4209-9542-FE15AAE4EEA7}" name="2021" dataDxfId="23" dataCellStyle="Currency"/>
    <tableColumn id="3" xr3:uid="{90D99F97-E447-4B72-9DD0-DF4757166F41}" name="2022" dataDxfId="22" dataCellStyle="Currency"/>
    <tableColumn id="4" xr3:uid="{E0CE73B5-AD82-44EE-988B-C1E37736FFBC}" name="2023" dataDxfId="21" dataCellStyle="Currency"/>
    <tableColumn id="5" xr3:uid="{823696C1-1CF7-45F9-8029-3CAB726F9950}" name="2024" dataDxfId="20" dataCellStyle="Currency"/>
    <tableColumn id="6" xr3:uid="{BF989378-8F06-4DB1-894F-F33BA4B8B21C}" name="2025" dataDxfId="19" dataCellStyle="Currency"/>
    <tableColumn id="7" xr3:uid="{CB0137D6-410A-4A9A-81D5-39D3C0AD2658}" name="Sum" dataDxfId="18" dataCellStyle="Currency">
      <calculatedColumnFormula>SUM(Infrastructure!$C3:$F3)</calculatedColumnFormula>
    </tableColumn>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F0A7EB6-C403-411C-870F-BA739F3F84C3}" name="Manufacturing" displayName="Manufacturing" ref="A2:G18" totalsRowShown="0" headerRowDxfId="17" dataDxfId="16" dataCellStyle="Comma">
  <autoFilter ref="A2:G18" xr:uid="{0F0A7EB6-C403-411C-870F-BA739F3F84C3}"/>
  <tableColumns count="7">
    <tableColumn id="1" xr3:uid="{EF498E1A-0571-4B7F-A8FC-AECAE5FD6E38}" name="State" dataDxfId="15"/>
    <tableColumn id="2" xr3:uid="{0AFF845E-0613-4595-8184-D3E7196E1ADF}" name="2021" dataDxfId="14" dataCellStyle="Currency"/>
    <tableColumn id="3" xr3:uid="{4EF56143-A4AD-4F88-A36A-BCA41F058D34}" name="2022" dataDxfId="13" dataCellStyle="Currency"/>
    <tableColumn id="4" xr3:uid="{66516E21-788A-49CF-95C2-ECF499592991}" name="2023" dataDxfId="12" dataCellStyle="Currency"/>
    <tableColumn id="5" xr3:uid="{30A88B2F-4950-4D9F-AB77-186197B1B142}" name="2024" dataDxfId="11" dataCellStyle="Currency"/>
    <tableColumn id="6" xr3:uid="{51B5832E-FC38-4C7E-A747-1D87005DA116}" name="2025" dataDxfId="10" dataCellStyle="Currency"/>
    <tableColumn id="7" xr3:uid="{09C9CA40-156B-46AB-953E-59E64A0745EA}" name="Sum" dataDxfId="9" dataCellStyle="Currency">
      <calculatedColumnFormula>SUM(Manufacturing[[#This Row],[2021]:[2025]])</calculatedColumnFormula>
    </tableColumn>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76751AF-774E-4D51-9B28-1C4840DF462B}" name="Premises" displayName="Premises" ref="A2:G18" totalsRowShown="0" headerRowDxfId="8" dataDxfId="7" dataCellStyle="Comma">
  <autoFilter ref="A2:G18" xr:uid="{076751AF-774E-4D51-9B28-1C4840DF462B}"/>
  <tableColumns count="7">
    <tableColumn id="1" xr3:uid="{EE8663C7-E24D-4A12-9134-1A1E66779412}" name="State" dataDxfId="6"/>
    <tableColumn id="2" xr3:uid="{14B2A931-01D9-4928-AAA5-71D65777DF54}" name="2021" dataDxfId="5" dataCellStyle="Currency"/>
    <tableColumn id="3" xr3:uid="{0D6FD84B-D605-43DF-83FD-50712872439C}" name="2022" dataDxfId="4" dataCellStyle="Currency"/>
    <tableColumn id="4" xr3:uid="{813FD14A-2DB5-424D-B12D-E3ED4C2F71C1}" name="2023" dataDxfId="3" dataCellStyle="Currency"/>
    <tableColumn id="5" xr3:uid="{26BA3498-D867-44A3-9811-ADBC027A779A}" name="2024" dataDxfId="2" dataCellStyle="Currency"/>
    <tableColumn id="6" xr3:uid="{D489737B-6B72-440C-9A5A-B1B6F7D1C27E}" name="2025" dataDxfId="1" dataCellStyle="Currency"/>
    <tableColumn id="7" xr3:uid="{353C1DEA-D885-45E0-8FC2-130E28A397BE}" name="Sum" dataDxfId="0" dataCellStyle="Currency">
      <calculatedColumnFormula>SUM(Premises[[#This Row],[2021]:[2025]])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3.xml"/><Relationship Id="rId13" Type="http://schemas.openxmlformats.org/officeDocument/2006/relationships/ctrlProp" Target="../ctrlProps/ctrlProp8.xml"/><Relationship Id="rId3" Type="http://schemas.openxmlformats.org/officeDocument/2006/relationships/pivotTable" Target="../pivotTables/pivotTable3.xml"/><Relationship Id="rId7" Type="http://schemas.openxmlformats.org/officeDocument/2006/relationships/ctrlProp" Target="../ctrlProps/ctrlProp2.xml"/><Relationship Id="rId12" Type="http://schemas.openxmlformats.org/officeDocument/2006/relationships/ctrlProp" Target="../ctrlProps/ctrlProp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ctrlProp" Target="../ctrlProps/ctrlProp1.xml"/><Relationship Id="rId11" Type="http://schemas.openxmlformats.org/officeDocument/2006/relationships/ctrlProp" Target="../ctrlProps/ctrlProp6.xml"/><Relationship Id="rId5" Type="http://schemas.openxmlformats.org/officeDocument/2006/relationships/vmlDrawing" Target="../drawings/vmlDrawing1.vml"/><Relationship Id="rId10" Type="http://schemas.openxmlformats.org/officeDocument/2006/relationships/ctrlProp" Target="../ctrlProps/ctrlProp5.xml"/><Relationship Id="rId4" Type="http://schemas.openxmlformats.org/officeDocument/2006/relationships/drawing" Target="../drawings/drawing1.xml"/><Relationship Id="rId9" Type="http://schemas.openxmlformats.org/officeDocument/2006/relationships/ctrlProp" Target="../ctrlProps/ctrlProp4.xml"/><Relationship Id="rId14"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13.xml"/><Relationship Id="rId13" Type="http://schemas.openxmlformats.org/officeDocument/2006/relationships/ctrlProp" Target="../ctrlProps/ctrlProp18.xml"/><Relationship Id="rId3" Type="http://schemas.openxmlformats.org/officeDocument/2006/relationships/vmlDrawing" Target="../drawings/vmlDrawing2.vml"/><Relationship Id="rId7" Type="http://schemas.openxmlformats.org/officeDocument/2006/relationships/ctrlProp" Target="../ctrlProps/ctrlProp12.xml"/><Relationship Id="rId12" Type="http://schemas.openxmlformats.org/officeDocument/2006/relationships/ctrlProp" Target="../ctrlProps/ctrlProp17.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trlProp" Target="../ctrlProps/ctrlProp11.xml"/><Relationship Id="rId11" Type="http://schemas.openxmlformats.org/officeDocument/2006/relationships/ctrlProp" Target="../ctrlProps/ctrlProp16.xml"/><Relationship Id="rId5" Type="http://schemas.openxmlformats.org/officeDocument/2006/relationships/ctrlProp" Target="../ctrlProps/ctrlProp10.xml"/><Relationship Id="rId10" Type="http://schemas.openxmlformats.org/officeDocument/2006/relationships/ctrlProp" Target="../ctrlProps/ctrlProp15.xml"/><Relationship Id="rId4" Type="http://schemas.openxmlformats.org/officeDocument/2006/relationships/ctrlProp" Target="../ctrlProps/ctrlProp9.xml"/><Relationship Id="rId9" Type="http://schemas.openxmlformats.org/officeDocument/2006/relationships/ctrlProp" Target="../ctrlProps/ctrlProp14.xml"/></Relationships>
</file>

<file path=xl/worksheets/_rels/sheet6.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vmlDrawing" Target="../drawings/vmlDrawing3.vml"/><Relationship Id="rId7" Type="http://schemas.openxmlformats.org/officeDocument/2006/relationships/ctrlProp" Target="../ctrlProps/ctrlProp22.xml"/><Relationship Id="rId2" Type="http://schemas.openxmlformats.org/officeDocument/2006/relationships/drawing" Target="../drawings/drawing3.xml"/><Relationship Id="rId1" Type="http://schemas.openxmlformats.org/officeDocument/2006/relationships/pivotTable" Target="../pivotTables/pivotTable4.xml"/><Relationship Id="rId6" Type="http://schemas.openxmlformats.org/officeDocument/2006/relationships/ctrlProp" Target="../ctrlProps/ctrlProp21.xml"/><Relationship Id="rId5" Type="http://schemas.openxmlformats.org/officeDocument/2006/relationships/ctrlProp" Target="../ctrlProps/ctrlProp20.xml"/><Relationship Id="rId4" Type="http://schemas.openxmlformats.org/officeDocument/2006/relationships/ctrlProp" Target="../ctrlProps/ctrlProp19.xml"/><Relationship Id="rId9" Type="http://schemas.microsoft.com/office/2007/relationships/slicer" Target="../slicers/slicer1.xml"/></Relationships>
</file>

<file path=xl/worksheets/_rels/sheet7.xml.rels><?xml version="1.0" encoding="UTF-8" standalone="yes"?>
<Relationships xmlns="http://schemas.openxmlformats.org/package/2006/relationships"><Relationship Id="rId3" Type="http://schemas.openxmlformats.org/officeDocument/2006/relationships/ctrlProp" Target="../ctrlProps/ctrlProp23.xml"/><Relationship Id="rId2" Type="http://schemas.openxmlformats.org/officeDocument/2006/relationships/vmlDrawing" Target="../drawings/vmlDrawing4.vml"/><Relationship Id="rId1" Type="http://schemas.openxmlformats.org/officeDocument/2006/relationships/drawing" Target="../drawings/drawing4.xml"/><Relationship Id="rId6" Type="http://schemas.openxmlformats.org/officeDocument/2006/relationships/ctrlProp" Target="../ctrlProps/ctrlProp26.xml"/><Relationship Id="rId5" Type="http://schemas.openxmlformats.org/officeDocument/2006/relationships/ctrlProp" Target="../ctrlProps/ctrlProp25.xml"/><Relationship Id="rId4" Type="http://schemas.openxmlformats.org/officeDocument/2006/relationships/ctrlProp" Target="../ctrlProps/ctrlProp2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drawing" Target="../drawings/drawing5.xml"/><Relationship Id="rId4"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7" Type="http://schemas.openxmlformats.org/officeDocument/2006/relationships/table" Target="../tables/table13.xml"/><Relationship Id="rId2" Type="http://schemas.openxmlformats.org/officeDocument/2006/relationships/table" Target="../tables/table8.xml"/><Relationship Id="rId1" Type="http://schemas.openxmlformats.org/officeDocument/2006/relationships/table" Target="../tables/table7.xml"/><Relationship Id="rId6" Type="http://schemas.openxmlformats.org/officeDocument/2006/relationships/table" Target="../tables/table12.xml"/><Relationship Id="rId5" Type="http://schemas.openxmlformats.org/officeDocument/2006/relationships/table" Target="../tables/table11.xml"/><Relationship Id="rId4"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table" Target="../tables/table16.xml"/><Relationship Id="rId4"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queryTable" Target="../queryTables/queryTable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table" Target="../tables/table20.xml"/><Relationship Id="rId4" Type="http://schemas.openxmlformats.org/officeDocument/2006/relationships/table" Target="../tables/table23.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table" Target="../tables/table24.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table" Target="../tables/table29.xml"/><Relationship Id="rId1" Type="http://schemas.openxmlformats.org/officeDocument/2006/relationships/printerSettings" Target="../printerSettings/printerSettings2.bin"/><Relationship Id="rId4" Type="http://schemas.openxmlformats.org/officeDocument/2006/relationships/table" Target="../tables/table31.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0.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31.xml.rels><?xml version="1.0" encoding="UTF-8" standalone="yes"?>
<Relationships xmlns="http://schemas.openxmlformats.org/package/2006/relationships"><Relationship Id="rId3" Type="http://schemas.openxmlformats.org/officeDocument/2006/relationships/ctrlProp" Target="../ctrlProps/ctrlProp27.xml"/><Relationship Id="rId2" Type="http://schemas.openxmlformats.org/officeDocument/2006/relationships/vmlDrawing" Target="../drawings/vmlDrawing5.vml"/><Relationship Id="rId1" Type="http://schemas.openxmlformats.org/officeDocument/2006/relationships/drawing" Target="../drawings/drawing6.xml"/><Relationship Id="rId4" Type="http://schemas.openxmlformats.org/officeDocument/2006/relationships/table" Target="../tables/table34.xml"/></Relationships>
</file>

<file path=xl/worksheets/_rels/sheet32.xml.rels><?xml version="1.0" encoding="UTF-8" standalone="yes"?>
<Relationships xmlns="http://schemas.openxmlformats.org/package/2006/relationships"><Relationship Id="rId3" Type="http://schemas.openxmlformats.org/officeDocument/2006/relationships/ctrlProp" Target="../ctrlProps/ctrlProp28.xml"/><Relationship Id="rId2" Type="http://schemas.openxmlformats.org/officeDocument/2006/relationships/vmlDrawing" Target="../drawings/vmlDrawing6.vml"/><Relationship Id="rId1" Type="http://schemas.openxmlformats.org/officeDocument/2006/relationships/drawing" Target="../drawings/drawing7.xml"/><Relationship Id="rId5" Type="http://schemas.openxmlformats.org/officeDocument/2006/relationships/table" Target="../tables/table35.xml"/><Relationship Id="rId4" Type="http://schemas.openxmlformats.org/officeDocument/2006/relationships/ctrlProp" Target="../ctrlProps/ctrlProp29.xml"/></Relationships>
</file>

<file path=xl/worksheets/_rels/sheet33.xml.rels><?xml version="1.0" encoding="UTF-8" standalone="yes"?>
<Relationships xmlns="http://schemas.openxmlformats.org/package/2006/relationships"><Relationship Id="rId3" Type="http://schemas.openxmlformats.org/officeDocument/2006/relationships/ctrlProp" Target="../ctrlProps/ctrlProp30.xml"/><Relationship Id="rId2" Type="http://schemas.openxmlformats.org/officeDocument/2006/relationships/vmlDrawing" Target="../drawings/vmlDrawing7.vml"/><Relationship Id="rId1" Type="http://schemas.openxmlformats.org/officeDocument/2006/relationships/drawing" Target="../drawings/drawing8.xml"/><Relationship Id="rId5" Type="http://schemas.openxmlformats.org/officeDocument/2006/relationships/table" Target="../tables/table36.xml"/><Relationship Id="rId4" Type="http://schemas.openxmlformats.org/officeDocument/2006/relationships/ctrlProp" Target="../ctrlProps/ctrlProp31.xml"/></Relationships>
</file>

<file path=xl/worksheets/_rels/sheet35.xml.rels><?xml version="1.0" encoding="UTF-8" standalone="yes"?>
<Relationships xmlns="http://schemas.openxmlformats.org/package/2006/relationships"><Relationship Id="rId3" Type="http://schemas.openxmlformats.org/officeDocument/2006/relationships/ctrlProp" Target="../ctrlProps/ctrlProp32.xml"/><Relationship Id="rId2" Type="http://schemas.openxmlformats.org/officeDocument/2006/relationships/vmlDrawing" Target="../drawings/vmlDrawing8.vml"/><Relationship Id="rId1" Type="http://schemas.openxmlformats.org/officeDocument/2006/relationships/drawing" Target="../drawings/drawing9.xml"/><Relationship Id="rId5" Type="http://schemas.openxmlformats.org/officeDocument/2006/relationships/table" Target="../tables/table37.xml"/><Relationship Id="rId4" Type="http://schemas.openxmlformats.org/officeDocument/2006/relationships/ctrlProp" Target="../ctrlProps/ctrlProp33.xml"/></Relationships>
</file>

<file path=xl/worksheets/_rels/sheet36.xml.rels><?xml version="1.0" encoding="UTF-8" standalone="yes"?>
<Relationships xmlns="http://schemas.openxmlformats.org/package/2006/relationships"><Relationship Id="rId3" Type="http://schemas.openxmlformats.org/officeDocument/2006/relationships/ctrlProp" Target="../ctrlProps/ctrlProp34.xml"/><Relationship Id="rId2" Type="http://schemas.openxmlformats.org/officeDocument/2006/relationships/vmlDrawing" Target="../drawings/vmlDrawing9.vml"/><Relationship Id="rId1" Type="http://schemas.openxmlformats.org/officeDocument/2006/relationships/drawing" Target="../drawings/drawing10.xml"/><Relationship Id="rId5" Type="http://schemas.openxmlformats.org/officeDocument/2006/relationships/table" Target="../tables/table38.xml"/><Relationship Id="rId4" Type="http://schemas.openxmlformats.org/officeDocument/2006/relationships/ctrlProp" Target="../ctrlProps/ctrlProp35.xml"/></Relationships>
</file>

<file path=xl/worksheets/_rels/sheet37.xml.rels><?xml version="1.0" encoding="UTF-8" standalone="yes"?>
<Relationships xmlns="http://schemas.openxmlformats.org/package/2006/relationships"><Relationship Id="rId3" Type="http://schemas.openxmlformats.org/officeDocument/2006/relationships/ctrlProp" Target="../ctrlProps/ctrlProp36.xml"/><Relationship Id="rId2" Type="http://schemas.openxmlformats.org/officeDocument/2006/relationships/vmlDrawing" Target="../drawings/vmlDrawing10.vml"/><Relationship Id="rId1" Type="http://schemas.openxmlformats.org/officeDocument/2006/relationships/drawing" Target="../drawings/drawing11.xml"/><Relationship Id="rId5" Type="http://schemas.openxmlformats.org/officeDocument/2006/relationships/table" Target="../tables/table39.xml"/><Relationship Id="rId4" Type="http://schemas.openxmlformats.org/officeDocument/2006/relationships/ctrlProp" Target="../ctrlProps/ctrlProp37.xml"/></Relationships>
</file>

<file path=xl/worksheets/_rels/sheet38.xml.rels><?xml version="1.0" encoding="UTF-8" standalone="yes"?>
<Relationships xmlns="http://schemas.openxmlformats.org/package/2006/relationships"><Relationship Id="rId3" Type="http://schemas.openxmlformats.org/officeDocument/2006/relationships/ctrlProp" Target="../ctrlProps/ctrlProp38.xml"/><Relationship Id="rId2" Type="http://schemas.openxmlformats.org/officeDocument/2006/relationships/vmlDrawing" Target="../drawings/vmlDrawing11.vml"/><Relationship Id="rId1" Type="http://schemas.openxmlformats.org/officeDocument/2006/relationships/drawing" Target="../drawings/drawing12.xml"/><Relationship Id="rId5" Type="http://schemas.openxmlformats.org/officeDocument/2006/relationships/table" Target="../tables/table40.xml"/><Relationship Id="rId4" Type="http://schemas.openxmlformats.org/officeDocument/2006/relationships/ctrlProp" Target="../ctrlProps/ctrlProp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A29B3-4403-4694-ACC3-F4A0F21259BC}">
  <sheetPr codeName="Sheet25">
    <tabColor theme="2" tint="-0.749992370372631"/>
  </sheetPr>
  <dimension ref="A1"/>
  <sheetViews>
    <sheetView showGridLines="0" workbookViewId="0">
      <selection activeCell="H12" sqref="H12"/>
    </sheetView>
  </sheetViews>
  <sheetFormatPr defaultRowHeight="14.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DB5C3-7362-4A48-B4D1-9E12A8B8EEB7}">
  <sheetPr codeName="Sheet30"/>
  <dimension ref="A1:C10"/>
  <sheetViews>
    <sheetView workbookViewId="0">
      <selection activeCell="B15" sqref="B15"/>
    </sheetView>
  </sheetViews>
  <sheetFormatPr defaultRowHeight="14.5"/>
  <cols>
    <col min="2" max="2" width="131.6328125" bestFit="1" customWidth="1"/>
    <col min="3" max="3" width="75.7265625" bestFit="1" customWidth="1"/>
  </cols>
  <sheetData>
    <row r="1" spans="1:3">
      <c r="A1" t="s">
        <v>237</v>
      </c>
      <c r="B1" t="s">
        <v>236</v>
      </c>
      <c r="C1" t="s">
        <v>242</v>
      </c>
    </row>
    <row r="2" spans="1:3">
      <c r="A2">
        <v>1</v>
      </c>
      <c r="B2" t="s">
        <v>238</v>
      </c>
      <c r="C2" t="s">
        <v>248</v>
      </c>
    </row>
    <row r="3" spans="1:3">
      <c r="A3">
        <f>A2+1</f>
        <v>2</v>
      </c>
      <c r="B3" t="s">
        <v>239</v>
      </c>
      <c r="C3" t="s">
        <v>247</v>
      </c>
    </row>
    <row r="4" spans="1:3">
      <c r="A4">
        <f t="shared" ref="A4:A10" si="0">A3+1</f>
        <v>3</v>
      </c>
      <c r="B4" t="s">
        <v>240</v>
      </c>
      <c r="C4" t="s">
        <v>246</v>
      </c>
    </row>
    <row r="5" spans="1:3">
      <c r="A5">
        <f t="shared" si="0"/>
        <v>4</v>
      </c>
      <c r="B5" t="s">
        <v>241</v>
      </c>
      <c r="C5" t="s">
        <v>243</v>
      </c>
    </row>
    <row r="6" spans="1:3">
      <c r="A6">
        <f t="shared" si="0"/>
        <v>5</v>
      </c>
      <c r="B6" t="s">
        <v>244</v>
      </c>
      <c r="C6" t="s">
        <v>245</v>
      </c>
    </row>
    <row r="7" spans="1:3">
      <c r="A7">
        <f t="shared" si="0"/>
        <v>6</v>
      </c>
      <c r="B7" t="s">
        <v>249</v>
      </c>
      <c r="C7" t="s">
        <v>250</v>
      </c>
    </row>
    <row r="8" spans="1:3">
      <c r="A8">
        <f t="shared" si="0"/>
        <v>7</v>
      </c>
      <c r="B8" t="s">
        <v>251</v>
      </c>
      <c r="C8" t="s">
        <v>252</v>
      </c>
    </row>
    <row r="9" spans="1:3">
      <c r="A9">
        <f t="shared" si="0"/>
        <v>8</v>
      </c>
      <c r="B9" t="s">
        <v>253</v>
      </c>
      <c r="C9" t="s">
        <v>254</v>
      </c>
    </row>
    <row r="10" spans="1:3">
      <c r="A10">
        <f t="shared" si="0"/>
        <v>9</v>
      </c>
      <c r="B10" t="s">
        <v>255</v>
      </c>
      <c r="C10" t="s">
        <v>256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231AB-4E56-453D-8E7B-B10650550574}">
  <sheetPr codeName="Sheet43"/>
  <dimension ref="A3:K41"/>
  <sheetViews>
    <sheetView zoomScale="59" workbookViewId="0">
      <selection activeCell="N6" sqref="N6"/>
    </sheetView>
  </sheetViews>
  <sheetFormatPr defaultRowHeight="14.5"/>
  <cols>
    <col min="1" max="1" width="16.26953125" bestFit="1" customWidth="1"/>
    <col min="2" max="6" width="14.54296875" bestFit="1" customWidth="1"/>
    <col min="7" max="7" width="16.1796875" bestFit="1" customWidth="1"/>
    <col min="8" max="8" width="18.26953125" bestFit="1" customWidth="1"/>
    <col min="9" max="9" width="27.54296875" bestFit="1" customWidth="1"/>
    <col min="10" max="10" width="13.453125" bestFit="1" customWidth="1"/>
    <col min="11" max="11" width="10.1796875" bestFit="1" customWidth="1"/>
    <col min="12" max="12" width="12.81640625" bestFit="1" customWidth="1"/>
    <col min="13" max="13" width="21.1796875" bestFit="1" customWidth="1"/>
    <col min="14" max="14" width="15.453125" bestFit="1" customWidth="1"/>
    <col min="15" max="18" width="13.81640625" bestFit="1" customWidth="1"/>
    <col min="19" max="19" width="17" bestFit="1" customWidth="1"/>
    <col min="20" max="20" width="15.453125" bestFit="1" customWidth="1"/>
    <col min="21" max="24" width="13.81640625" bestFit="1" customWidth="1"/>
    <col min="25" max="25" width="17.81640625" bestFit="1" customWidth="1"/>
    <col min="26" max="26" width="14.81640625" bestFit="1" customWidth="1"/>
    <col min="27" max="27" width="11.81640625" bestFit="1" customWidth="1"/>
    <col min="28" max="28" width="12.81640625" bestFit="1" customWidth="1"/>
    <col min="29" max="29" width="11.81640625" bestFit="1" customWidth="1"/>
    <col min="30" max="30" width="9.26953125" bestFit="1" customWidth="1"/>
    <col min="31" max="31" width="17.54296875" bestFit="1" customWidth="1"/>
    <col min="32" max="32" width="13.81640625" bestFit="1" customWidth="1"/>
    <col min="33" max="35" width="12.81640625" bestFit="1" customWidth="1"/>
    <col min="36" max="36" width="11.81640625" bestFit="1" customWidth="1"/>
    <col min="37" max="38" width="15.453125" bestFit="1" customWidth="1"/>
    <col min="39" max="39" width="13.81640625" bestFit="1" customWidth="1"/>
    <col min="40" max="40" width="11.81640625" bestFit="1" customWidth="1"/>
    <col min="41" max="41" width="15.453125" bestFit="1" customWidth="1"/>
    <col min="42" max="42" width="16.453125" bestFit="1" customWidth="1"/>
  </cols>
  <sheetData>
    <row r="3" spans="1:11">
      <c r="A3" s="307" t="s">
        <v>0</v>
      </c>
      <c r="B3" s="307" t="s">
        <v>1</v>
      </c>
      <c r="I3" s="308" t="s">
        <v>2</v>
      </c>
      <c r="J3" t="s">
        <v>3</v>
      </c>
      <c r="K3" t="s">
        <v>4</v>
      </c>
    </row>
    <row r="4" spans="1:11">
      <c r="A4" s="307" t="s">
        <v>5</v>
      </c>
      <c r="B4">
        <v>2025</v>
      </c>
      <c r="C4" t="s">
        <v>6</v>
      </c>
      <c r="I4" s="308" t="s">
        <v>7</v>
      </c>
      <c r="J4" t="e">
        <f>GETPIVOTDATA("Sum of Value",$A$3, "Year", 2025)/GETPIVOTDATA("Sum of Value",$A$3, "Year", 2024)-1</f>
        <v>#REF!</v>
      </c>
      <c r="K4" t="e">
        <f>IF(J4&gt;0.2,"🔴 Red",IF(J4&gt;0,"🟡 Amber","🟢 Green"))</f>
        <v>#REF!</v>
      </c>
    </row>
    <row r="5" spans="1:11">
      <c r="A5" s="308" t="s">
        <v>8</v>
      </c>
      <c r="B5" s="324">
        <v>52559.125660000005</v>
      </c>
      <c r="C5" s="324">
        <v>52559.125660000005</v>
      </c>
      <c r="I5" s="308" t="s">
        <v>9</v>
      </c>
      <c r="J5">
        <f>GETPIVOTDATA("Sum of Value",$A$3, "Year", 2025, "Categories", "Living Quarters")/GETPIVOTDATA("Sum of Value",$A$3, "Year", 2025)</f>
        <v>0.28860366020125944</v>
      </c>
      <c r="K5" t="str">
        <f>IF(J5&gt;0.45,"🔴 Red",IF(J5&gt;0.3,"🟡 Amber","🟢 Green"))</f>
        <v>🟢 Green</v>
      </c>
    </row>
    <row r="6" spans="1:11">
      <c r="A6" s="308" t="s">
        <v>10</v>
      </c>
      <c r="B6" s="324">
        <v>13448.684466666668</v>
      </c>
      <c r="C6" s="324">
        <v>13448.684466666668</v>
      </c>
      <c r="I6" s="308" t="s">
        <v>11</v>
      </c>
      <c r="J6">
        <f>GETPIVOTDATA("Sum of Value",$A$3, "Year", 2025, "Categories", "Infrastructure")/GETPIVOTDATA("Sum of Value",$A$3, "Year", 2025)</f>
        <v>0.59691280392359447</v>
      </c>
      <c r="K6" t="str">
        <f t="shared" ref="K6:K7" si="0">IF(J6&gt;0.45,"🔴 Red",IF(J6&gt;0.3,"🟡 Amber","🟢 Green"))</f>
        <v>🔴 Red</v>
      </c>
    </row>
    <row r="7" spans="1:11">
      <c r="A7" s="308" t="s">
        <v>12</v>
      </c>
      <c r="B7" s="324">
        <v>380181.71825999999</v>
      </c>
      <c r="C7" s="324">
        <v>380181.71825999999</v>
      </c>
      <c r="I7" s="308" t="s">
        <v>13</v>
      </c>
      <c r="J7" t="e">
        <f>GETPIVOTDATA("Sum of Loss",'Loss by State'!$A$3)/GETPIVOTDATA("Sum of Value",$A$3,"Year",2025)</f>
        <v>#REF!</v>
      </c>
      <c r="K7" t="e">
        <f t="shared" si="0"/>
        <v>#REF!</v>
      </c>
    </row>
    <row r="8" spans="1:11">
      <c r="A8" s="308" t="s">
        <v>14</v>
      </c>
      <c r="B8" s="324">
        <v>183815.51662189595</v>
      </c>
      <c r="C8" s="324">
        <v>183815.51662189595</v>
      </c>
    </row>
    <row r="9" spans="1:11">
      <c r="A9" s="308" t="s">
        <v>15</v>
      </c>
      <c r="B9" s="324">
        <v>75.599999999999994</v>
      </c>
      <c r="C9" s="324">
        <v>75.599999999999994</v>
      </c>
    </row>
    <row r="10" spans="1:11">
      <c r="A10" s="308" t="s">
        <v>16</v>
      </c>
      <c r="B10" s="324">
        <v>6832.6792843833937</v>
      </c>
      <c r="C10" s="324">
        <v>6832.6792843833937</v>
      </c>
    </row>
    <row r="11" spans="1:11">
      <c r="A11" s="308" t="s">
        <v>6</v>
      </c>
      <c r="B11" s="324">
        <v>636913.32429294602</v>
      </c>
      <c r="C11" s="324">
        <v>636913.32429294602</v>
      </c>
    </row>
    <row r="13" spans="1:11">
      <c r="A13" s="308" t="s">
        <v>17</v>
      </c>
      <c r="C13" t="str">
        <f>INDEX($A$5:$A$9, MATCH(MAX(C5:C9), C5:C9, 0))</f>
        <v>Infrastructure</v>
      </c>
      <c r="D13" t="e">
        <f>INDEX($A$5:$A$9, MATCH(MAX(D5:D9), D5:D9, 0))</f>
        <v>#N/A</v>
      </c>
      <c r="E13" t="e">
        <f>INDEX($A$5:$A$9, MATCH(MAX(E5:E9), E5:E9, 0))</f>
        <v>#N/A</v>
      </c>
      <c r="F13" t="e">
        <f>INDEX($A$5:$A$9, MATCH(MAX(F5:F9), F5:F9, 0))</f>
        <v>#N/A</v>
      </c>
    </row>
    <row r="15" spans="1:11">
      <c r="A15" s="307" t="s">
        <v>0</v>
      </c>
      <c r="B15" s="307" t="s">
        <v>1</v>
      </c>
    </row>
    <row r="16" spans="1:11">
      <c r="A16" s="307" t="s">
        <v>5</v>
      </c>
      <c r="B16">
        <v>2021</v>
      </c>
      <c r="C16">
        <v>2022</v>
      </c>
      <c r="D16">
        <v>2023</v>
      </c>
      <c r="E16">
        <v>2024</v>
      </c>
      <c r="F16">
        <v>2025</v>
      </c>
    </row>
    <row r="17" spans="1:6">
      <c r="A17" s="308" t="s">
        <v>8</v>
      </c>
      <c r="B17" s="312"/>
      <c r="C17" s="312">
        <v>0.7054687891832232</v>
      </c>
      <c r="D17" s="312">
        <v>-0.21930552963788863</v>
      </c>
      <c r="E17" s="312">
        <v>0.53546185652872857</v>
      </c>
      <c r="F17" s="312">
        <v>-0.71623683290863571</v>
      </c>
    </row>
    <row r="18" spans="1:6">
      <c r="A18" s="308" t="s">
        <v>10</v>
      </c>
      <c r="B18" s="312"/>
      <c r="C18" s="312">
        <v>-0.90432528785199462</v>
      </c>
      <c r="D18" s="312">
        <v>5.7548445451899854E-2</v>
      </c>
      <c r="E18" s="312">
        <v>1.6209678271368884E-2</v>
      </c>
      <c r="F18" s="312">
        <v>-0.75122413643936015</v>
      </c>
    </row>
    <row r="19" spans="1:6">
      <c r="A19" s="308" t="s">
        <v>12</v>
      </c>
      <c r="B19" s="312"/>
      <c r="C19" s="312">
        <v>-0.68161629016000003</v>
      </c>
      <c r="D19" s="312">
        <v>-0.40207060949924645</v>
      </c>
      <c r="E19" s="312">
        <v>-0.20318829179608972</v>
      </c>
      <c r="F19" s="312">
        <v>0.25315498647448076</v>
      </c>
    </row>
    <row r="20" spans="1:6">
      <c r="A20" s="308" t="s">
        <v>14</v>
      </c>
      <c r="B20" s="312"/>
      <c r="C20" s="312">
        <v>-0.90296114935878691</v>
      </c>
      <c r="D20" s="312">
        <v>6.9034297820015397E-2</v>
      </c>
      <c r="E20" s="312">
        <v>1.2122654534019195</v>
      </c>
      <c r="F20" s="312">
        <v>-0.50617996420962996</v>
      </c>
    </row>
    <row r="21" spans="1:6">
      <c r="A21" s="308" t="s">
        <v>15</v>
      </c>
      <c r="B21" s="312"/>
      <c r="C21" s="312">
        <v>-0.99023223570503194</v>
      </c>
      <c r="D21" s="312">
        <v>0.17837143299148986</v>
      </c>
      <c r="E21" s="312">
        <v>-0.88663391110237577</v>
      </c>
      <c r="F21" s="312">
        <v>-0.93500078669682773</v>
      </c>
    </row>
    <row r="22" spans="1:6">
      <c r="A22" s="308" t="s">
        <v>16</v>
      </c>
      <c r="B22" s="312"/>
      <c r="C22" s="312">
        <v>-0.98086976790124891</v>
      </c>
      <c r="D22" s="312">
        <v>0.18755670608604144</v>
      </c>
      <c r="E22" s="312">
        <v>-0.22522787349089216</v>
      </c>
      <c r="F22" s="312">
        <v>-0.60500743660536238</v>
      </c>
    </row>
    <row r="23" spans="1:6">
      <c r="A23" s="308" t="s">
        <v>6</v>
      </c>
      <c r="B23" s="312"/>
      <c r="C23" s="312">
        <v>-0.83206657724196509</v>
      </c>
      <c r="D23" s="312">
        <v>-0.26407789122211056</v>
      </c>
      <c r="E23" s="312">
        <v>0.23555438441311577</v>
      </c>
      <c r="F23" s="312">
        <v>-0.31760799471209139</v>
      </c>
    </row>
    <row r="26" spans="1:6">
      <c r="A26" s="307" t="s">
        <v>0</v>
      </c>
      <c r="B26" s="307" t="s">
        <v>1</v>
      </c>
    </row>
    <row r="27" spans="1:6">
      <c r="A27" s="307" t="s">
        <v>5</v>
      </c>
      <c r="B27">
        <v>2021</v>
      </c>
      <c r="C27">
        <v>2022</v>
      </c>
      <c r="D27">
        <v>2023</v>
      </c>
      <c r="E27">
        <v>2024</v>
      </c>
      <c r="F27">
        <v>2025</v>
      </c>
    </row>
    <row r="28" spans="1:6">
      <c r="A28" s="308" t="s">
        <v>8</v>
      </c>
      <c r="B28" s="324"/>
      <c r="C28" s="324">
        <v>63915.472300000023</v>
      </c>
      <c r="D28" s="324">
        <v>-33886.097490000015</v>
      </c>
      <c r="E28" s="324">
        <v>64592.428987662453</v>
      </c>
      <c r="F28" s="324">
        <v>-132662.67813766247</v>
      </c>
    </row>
    <row r="29" spans="1:6">
      <c r="A29" s="308" t="s">
        <v>10</v>
      </c>
      <c r="B29" s="324"/>
      <c r="C29" s="324">
        <v>-475461.62999999989</v>
      </c>
      <c r="D29" s="324">
        <v>2894.8199733333386</v>
      </c>
      <c r="E29" s="324">
        <v>862.30842666664103</v>
      </c>
      <c r="F29" s="324">
        <v>-40610.75793333332</v>
      </c>
    </row>
    <row r="30" spans="1:6">
      <c r="A30" s="308" t="s">
        <v>12</v>
      </c>
      <c r="B30" s="324"/>
      <c r="C30" s="324">
        <v>-1363232.58032</v>
      </c>
      <c r="D30" s="324">
        <v>-256025.46454000007</v>
      </c>
      <c r="E30" s="324">
        <v>-77362.307480000018</v>
      </c>
      <c r="F30" s="324">
        <v>76802.070600000035</v>
      </c>
    </row>
    <row r="31" spans="1:6">
      <c r="A31" s="308" t="s">
        <v>14</v>
      </c>
      <c r="B31" s="324"/>
      <c r="C31" s="324">
        <v>-1464562.8277717181</v>
      </c>
      <c r="D31" s="324">
        <v>10865.494542255619</v>
      </c>
      <c r="E31" s="324">
        <v>203973.5967720942</v>
      </c>
      <c r="F31" s="324">
        <v>-188416.2749207358</v>
      </c>
    </row>
    <row r="32" spans="1:6">
      <c r="A32" s="308" t="s">
        <v>15</v>
      </c>
      <c r="B32" s="324"/>
      <c r="C32" s="324">
        <v>-882653.43329028063</v>
      </c>
      <c r="D32" s="324">
        <v>1553.0077650750154</v>
      </c>
      <c r="E32" s="324">
        <v>-9096.5114199999989</v>
      </c>
      <c r="F32" s="324">
        <v>-1087.491</v>
      </c>
    </row>
    <row r="33" spans="1:6">
      <c r="A33" s="308" t="s">
        <v>16</v>
      </c>
      <c r="B33" s="324"/>
      <c r="C33" s="324">
        <v>-963973.02769323776</v>
      </c>
      <c r="D33" s="324">
        <v>3526.1953585234005</v>
      </c>
      <c r="E33" s="324">
        <v>-5028.6367548387097</v>
      </c>
      <c r="F33" s="324">
        <v>-10465.568626063607</v>
      </c>
    </row>
    <row r="34" spans="1:6">
      <c r="A34" s="308" t="s">
        <v>6</v>
      </c>
      <c r="B34" s="324"/>
      <c r="C34" s="324">
        <v>-5085968.0267752362</v>
      </c>
      <c r="D34" s="324">
        <v>-271072.04439081263</v>
      </c>
      <c r="E34" s="324">
        <v>177940.87853158452</v>
      </c>
      <c r="F34" s="324">
        <v>-296440.70001779508</v>
      </c>
    </row>
    <row r="36" spans="1:6">
      <c r="A36" s="308" t="s">
        <v>17</v>
      </c>
      <c r="C36" t="str">
        <f>INDEX($A$28:$A$33, MATCH(MAX(C28:C33), C28:C33, 0))</f>
        <v>Agriculture</v>
      </c>
      <c r="D36" t="str">
        <f>INDEX($A$28:$A$33, MATCH(MAX(D28:D33), D28:D33, 0))</f>
        <v>Living Quarters</v>
      </c>
      <c r="E36" t="str">
        <f>INDEX($A$28:$A$33, MATCH(MAX(E28:E33), E28:E33, 0))</f>
        <v>Living Quarters</v>
      </c>
      <c r="F36" t="str">
        <f>INDEX($A$28:$A$33, MATCH(MAX(F28:F33), F28:F33, 0))</f>
        <v>Infrastructure</v>
      </c>
    </row>
    <row r="41" spans="1:6">
      <c r="A41" s="308"/>
    </row>
  </sheetData>
  <pageMargins left="0.7" right="0.7" top="0.75" bottom="0.75" header="0.3" footer="0.3"/>
  <drawing r:id="rId4"/>
  <legacyDrawing r:id="rId5"/>
  <mc:AlternateContent xmlns:mc="http://schemas.openxmlformats.org/markup-compatibility/2006">
    <mc:Choice Requires="x14">
      <controls>
        <mc:AlternateContent xmlns:mc="http://schemas.openxmlformats.org/markup-compatibility/2006">
          <mc:Choice Requires="x14">
            <control shapeId="95233" r:id="rId6" name="Button 1">
              <controlPr defaultSize="0" autoFill="0" autoPict="0" macro="[0]!Sheet2.Go_LivingQuarters">
                <anchor moveWithCells="1" sizeWithCells="1">
                  <from>
                    <xdr:col>18</xdr:col>
                    <xdr:colOff>304800</xdr:colOff>
                    <xdr:row>6</xdr:row>
                    <xdr:rowOff>57150</xdr:rowOff>
                  </from>
                  <to>
                    <xdr:col>19</xdr:col>
                    <xdr:colOff>228600</xdr:colOff>
                    <xdr:row>9</xdr:row>
                    <xdr:rowOff>6350</xdr:rowOff>
                  </to>
                </anchor>
              </controlPr>
            </control>
          </mc:Choice>
        </mc:AlternateContent>
        <mc:AlternateContent xmlns:mc="http://schemas.openxmlformats.org/markup-compatibility/2006">
          <mc:Choice Requires="x14">
            <control shapeId="95234" r:id="rId7" name="Button 2">
              <controlPr defaultSize="0" autoFill="0" autoPict="0" macro="[0]!Sheet2.Go_Manufacturing">
                <anchor moveWithCells="1" sizeWithCells="1">
                  <from>
                    <xdr:col>19</xdr:col>
                    <xdr:colOff>381000</xdr:colOff>
                    <xdr:row>9</xdr:row>
                    <xdr:rowOff>63500</xdr:rowOff>
                  </from>
                  <to>
                    <xdr:col>20</xdr:col>
                    <xdr:colOff>406400</xdr:colOff>
                    <xdr:row>12</xdr:row>
                    <xdr:rowOff>19050</xdr:rowOff>
                  </to>
                </anchor>
              </controlPr>
            </control>
          </mc:Choice>
        </mc:AlternateContent>
        <mc:AlternateContent xmlns:mc="http://schemas.openxmlformats.org/markup-compatibility/2006">
          <mc:Choice Requires="x14">
            <control shapeId="95235" r:id="rId8" name="Button 3">
              <controlPr defaultSize="0" autoFill="0" autoPict="0" macro="[0]!Sheet2.Go_Agriculture">
                <anchor moveWithCells="1" sizeWithCells="1">
                  <from>
                    <xdr:col>18</xdr:col>
                    <xdr:colOff>304800</xdr:colOff>
                    <xdr:row>12</xdr:row>
                    <xdr:rowOff>107950</xdr:rowOff>
                  </from>
                  <to>
                    <xdr:col>19</xdr:col>
                    <xdr:colOff>228600</xdr:colOff>
                    <xdr:row>15</xdr:row>
                    <xdr:rowOff>63500</xdr:rowOff>
                  </to>
                </anchor>
              </controlPr>
            </control>
          </mc:Choice>
        </mc:AlternateContent>
        <mc:AlternateContent xmlns:mc="http://schemas.openxmlformats.org/markup-compatibility/2006">
          <mc:Choice Requires="x14">
            <control shapeId="95236" r:id="rId9" name="Button 4">
              <controlPr defaultSize="0" autoFill="0" autoPict="0" macro="[0]!Sheet2.Go_Infrastructure">
                <anchor moveWithCells="1" sizeWithCells="1">
                  <from>
                    <xdr:col>19</xdr:col>
                    <xdr:colOff>387350</xdr:colOff>
                    <xdr:row>12</xdr:row>
                    <xdr:rowOff>69850</xdr:rowOff>
                  </from>
                  <to>
                    <xdr:col>20</xdr:col>
                    <xdr:colOff>419100</xdr:colOff>
                    <xdr:row>15</xdr:row>
                    <xdr:rowOff>25400</xdr:rowOff>
                  </to>
                </anchor>
              </controlPr>
            </control>
          </mc:Choice>
        </mc:AlternateContent>
        <mc:AlternateContent xmlns:mc="http://schemas.openxmlformats.org/markup-compatibility/2006">
          <mc:Choice Requires="x14">
            <control shapeId="95237" r:id="rId10" name="Button 5">
              <controlPr defaultSize="0" autoFill="0" autoPict="0" macro="[0]!Sheet2.Go_Premises">
                <anchor moveWithCells="1" sizeWithCells="1">
                  <from>
                    <xdr:col>18</xdr:col>
                    <xdr:colOff>298450</xdr:colOff>
                    <xdr:row>9</xdr:row>
                    <xdr:rowOff>76200</xdr:rowOff>
                  </from>
                  <to>
                    <xdr:col>19</xdr:col>
                    <xdr:colOff>222250</xdr:colOff>
                    <xdr:row>12</xdr:row>
                    <xdr:rowOff>31750</xdr:rowOff>
                  </to>
                </anchor>
              </controlPr>
            </control>
          </mc:Choice>
        </mc:AlternateContent>
        <mc:AlternateContent xmlns:mc="http://schemas.openxmlformats.org/markup-compatibility/2006">
          <mc:Choice Requires="x14">
            <control shapeId="95238" r:id="rId11" name="Button 6">
              <controlPr defaultSize="0" autoFill="0" autoPict="0" macro="[0]!Sheet2.Go_Vehicles">
                <anchor moveWithCells="1" sizeWithCells="1">
                  <from>
                    <xdr:col>19</xdr:col>
                    <xdr:colOff>368300</xdr:colOff>
                    <xdr:row>6</xdr:row>
                    <xdr:rowOff>57150</xdr:rowOff>
                  </from>
                  <to>
                    <xdr:col>20</xdr:col>
                    <xdr:colOff>400050</xdr:colOff>
                    <xdr:row>9</xdr:row>
                    <xdr:rowOff>12700</xdr:rowOff>
                  </to>
                </anchor>
              </controlPr>
            </control>
          </mc:Choice>
        </mc:AlternateContent>
        <mc:AlternateContent xmlns:mc="http://schemas.openxmlformats.org/markup-compatibility/2006">
          <mc:Choice Requires="x14">
            <control shapeId="95239" r:id="rId12" name="Button 7">
              <controlPr defaultSize="0" print="0" autoFill="0" autoPict="0" macro="[0]!Sheet2.Go_Dashboard">
                <anchor moveWithCells="1" sizeWithCells="1">
                  <from>
                    <xdr:col>11</xdr:col>
                    <xdr:colOff>431800</xdr:colOff>
                    <xdr:row>25</xdr:row>
                    <xdr:rowOff>63500</xdr:rowOff>
                  </from>
                  <to>
                    <xdr:col>12</xdr:col>
                    <xdr:colOff>825500</xdr:colOff>
                    <xdr:row>27</xdr:row>
                    <xdr:rowOff>171450</xdr:rowOff>
                  </to>
                </anchor>
              </controlPr>
            </control>
          </mc:Choice>
        </mc:AlternateContent>
        <mc:AlternateContent xmlns:mc="http://schemas.openxmlformats.org/markup-compatibility/2006">
          <mc:Choice Requires="x14">
            <control shapeId="95240" r:id="rId13" name="Button 8">
              <controlPr defaultSize="0" print="0" autoFill="0" autoPict="0" macro="[0]!Sheet2.Go_StateOverall">
                <anchor moveWithCells="1" sizeWithCells="1">
                  <from>
                    <xdr:col>12</xdr:col>
                    <xdr:colOff>933450</xdr:colOff>
                    <xdr:row>25</xdr:row>
                    <xdr:rowOff>57150</xdr:rowOff>
                  </from>
                  <to>
                    <xdr:col>13</xdr:col>
                    <xdr:colOff>755650</xdr:colOff>
                    <xdr:row>27</xdr:row>
                    <xdr:rowOff>165100</xdr:rowOff>
                  </to>
                </anchor>
              </controlPr>
            </control>
          </mc:Choice>
        </mc:AlternateContent>
      </controls>
    </mc:Choice>
  </mc:AlternateContent>
  <tableParts count="1">
    <tablePart r:id="rId1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EFD73-6F5E-4418-B08C-BA760FFF6C8F}">
  <sheetPr codeName="Sheet4">
    <tabColor rgb="FFFF0000"/>
  </sheetPr>
  <dimension ref="A1"/>
  <sheetViews>
    <sheetView topLeftCell="M1" workbookViewId="0"/>
  </sheetViews>
  <sheetFormatPr defaultRowHeight="14.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9A45A-5378-44CE-8F69-2D1604D31C78}">
  <sheetPr codeName="Sheet27"/>
  <dimension ref="A1"/>
  <sheetViews>
    <sheetView topLeftCell="Z1" zoomScale="52" workbookViewId="0">
      <selection activeCell="G2" sqref="G2"/>
    </sheetView>
  </sheetViews>
  <sheetFormatPr defaultRowHeight="14.5"/>
  <cols>
    <col min="1" max="1" width="11.54296875" bestFit="1" customWidth="1"/>
    <col min="2" max="3" width="9.81640625" bestFit="1" customWidth="1"/>
    <col min="4" max="4" width="11.81640625" bestFit="1" customWidth="1"/>
    <col min="5" max="5" width="9.81640625" bestFit="1" customWidth="1"/>
    <col min="6" max="6" width="9.81640625" customWidth="1"/>
    <col min="7" max="7" width="14.453125" bestFit="1" customWidth="1"/>
    <col min="8" max="8" width="20.1796875" bestFit="1" customWidth="1"/>
    <col min="9" max="9" width="10.7265625" bestFit="1" customWidth="1"/>
    <col min="10" max="10" width="16.81640625" bestFit="1" customWidth="1"/>
    <col min="11" max="11" width="10.7265625" bestFit="1" customWidth="1"/>
    <col min="12" max="12" width="14.81640625" bestFit="1" customWidth="1"/>
    <col min="13" max="15" width="8.26953125" bestFit="1" customWidth="1"/>
    <col min="16" max="16" width="8" bestFit="1" customWidth="1"/>
    <col min="17" max="17" width="11.1796875" bestFit="1" customWidth="1"/>
    <col min="18" max="18" width="13" bestFit="1" customWidth="1"/>
    <col min="19" max="19" width="13.7265625" bestFit="1" customWidth="1"/>
    <col min="20" max="20" width="13.1796875" bestFit="1" customWidth="1"/>
    <col min="21" max="23" width="12.54296875" bestFit="1" customWidth="1"/>
    <col min="24" max="24" width="15" bestFit="1" customWidth="1"/>
    <col min="25" max="25" width="11.54296875" bestFit="1" customWidth="1"/>
    <col min="26" max="26" width="12" bestFit="1" customWidth="1"/>
    <col min="27" max="27" width="7.54296875" bestFit="1" customWidth="1"/>
    <col min="28" max="28" width="11.81640625" bestFit="1" customWidth="1"/>
    <col min="29" max="29" width="9.453125" bestFit="1" customWidth="1"/>
    <col min="30" max="32" width="12.54296875" bestFit="1" customWidth="1"/>
    <col min="33" max="33" width="16.7265625" bestFit="1" customWidth="1"/>
    <col min="34" max="34" width="11.1796875" bestFit="1" customWidth="1"/>
    <col min="35" max="35" width="13" bestFit="1" customWidth="1"/>
    <col min="36" max="37" width="13.7265625" bestFit="1" customWidth="1"/>
    <col min="38" max="39" width="13.1796875" bestFit="1" customWidth="1"/>
    <col min="40" max="40" width="10.81640625" bestFit="1" customWidth="1"/>
    <col min="41" max="41" width="15" bestFit="1" customWidth="1"/>
    <col min="42" max="42" width="12.54296875" bestFit="1" customWidth="1"/>
    <col min="43" max="43" width="10.453125" bestFit="1" customWidth="1"/>
    <col min="44" max="44" width="12" bestFit="1" customWidth="1"/>
    <col min="45" max="45" width="11.81640625" bestFit="1" customWidth="1"/>
    <col min="46" max="47" width="12" bestFit="1" customWidth="1"/>
    <col min="48" max="48" width="10.81640625" bestFit="1" customWidth="1"/>
    <col min="49" max="49" width="12" bestFit="1" customWidth="1"/>
    <col min="50" max="50" width="16.7265625" bestFit="1" customWidth="1"/>
    <col min="51" max="51" width="11.1796875" bestFit="1" customWidth="1"/>
    <col min="52" max="52" width="13" bestFit="1" customWidth="1"/>
    <col min="53" max="53" width="13.1796875" bestFit="1" customWidth="1"/>
    <col min="54" max="54" width="12" bestFit="1" customWidth="1"/>
    <col min="55" max="56" width="13.7265625" bestFit="1" customWidth="1"/>
    <col min="57" max="57" width="10.81640625" bestFit="1" customWidth="1"/>
    <col min="58" max="58" width="15" bestFit="1" customWidth="1"/>
    <col min="59" max="59" width="10.81640625" bestFit="1" customWidth="1"/>
    <col min="60" max="60" width="12.54296875" bestFit="1" customWidth="1"/>
    <col min="61" max="61" width="12" bestFit="1" customWidth="1"/>
    <col min="62" max="62" width="11.81640625" bestFit="1" customWidth="1"/>
    <col min="63" max="63" width="12" bestFit="1" customWidth="1"/>
    <col min="64" max="64" width="12.54296875" bestFit="1" customWidth="1"/>
    <col min="65" max="66" width="12" bestFit="1" customWidth="1"/>
    <col min="67" max="67" width="16.7265625" bestFit="1" customWidth="1"/>
    <col min="68" max="68" width="11.1796875" bestFit="1" customWidth="1"/>
    <col min="69" max="69" width="13" bestFit="1" customWidth="1"/>
    <col min="70" max="70" width="12.54296875" bestFit="1" customWidth="1"/>
    <col min="71" max="71" width="10.54296875" bestFit="1" customWidth="1"/>
  </cols>
  <sheetData/>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80897" r:id="rId4" name="Button 1">
              <controlPr defaultSize="0" autoFill="0" autoPict="0" macro="[0]!Sheet2.Go_LivingQuarters">
                <anchor moveWithCells="1" sizeWithCells="1">
                  <from>
                    <xdr:col>0</xdr:col>
                    <xdr:colOff>120650</xdr:colOff>
                    <xdr:row>9</xdr:row>
                    <xdr:rowOff>158750</xdr:rowOff>
                  </from>
                  <to>
                    <xdr:col>0</xdr:col>
                    <xdr:colOff>666750</xdr:colOff>
                    <xdr:row>11</xdr:row>
                    <xdr:rowOff>6350</xdr:rowOff>
                  </to>
                </anchor>
              </controlPr>
            </control>
          </mc:Choice>
        </mc:AlternateContent>
        <mc:AlternateContent xmlns:mc="http://schemas.openxmlformats.org/markup-compatibility/2006">
          <mc:Choice Requires="x14">
            <control shapeId="80898" r:id="rId5" name="Button 2">
              <controlPr defaultSize="0" autoFill="0" autoPict="0" macro="[0]!Sheet2.Go_Manufacturing">
                <anchor moveWithCells="1" sizeWithCells="1">
                  <from>
                    <xdr:col>0</xdr:col>
                    <xdr:colOff>742950</xdr:colOff>
                    <xdr:row>11</xdr:row>
                    <xdr:rowOff>25400</xdr:rowOff>
                  </from>
                  <to>
                    <xdr:col>1</xdr:col>
                    <xdr:colOff>488950</xdr:colOff>
                    <xdr:row>12</xdr:row>
                    <xdr:rowOff>57150</xdr:rowOff>
                  </to>
                </anchor>
              </controlPr>
            </control>
          </mc:Choice>
        </mc:AlternateContent>
        <mc:AlternateContent xmlns:mc="http://schemas.openxmlformats.org/markup-compatibility/2006">
          <mc:Choice Requires="x14">
            <control shapeId="80899" r:id="rId6" name="Button 3">
              <controlPr defaultSize="0" autoFill="0" autoPict="0" macro="[0]!Sheet2.Go_Agriculture">
                <anchor moveWithCells="1" sizeWithCells="1">
                  <from>
                    <xdr:col>0</xdr:col>
                    <xdr:colOff>120650</xdr:colOff>
                    <xdr:row>12</xdr:row>
                    <xdr:rowOff>95250</xdr:rowOff>
                  </from>
                  <to>
                    <xdr:col>0</xdr:col>
                    <xdr:colOff>666750</xdr:colOff>
                    <xdr:row>13</xdr:row>
                    <xdr:rowOff>127000</xdr:rowOff>
                  </to>
                </anchor>
              </controlPr>
            </control>
          </mc:Choice>
        </mc:AlternateContent>
        <mc:AlternateContent xmlns:mc="http://schemas.openxmlformats.org/markup-compatibility/2006">
          <mc:Choice Requires="x14">
            <control shapeId="80900" r:id="rId7" name="Button 4">
              <controlPr defaultSize="0" autoFill="0" autoPict="0" macro="[0]!Sheet2.Go_Infrastructure">
                <anchor moveWithCells="1" sizeWithCells="1">
                  <from>
                    <xdr:col>0</xdr:col>
                    <xdr:colOff>749300</xdr:colOff>
                    <xdr:row>12</xdr:row>
                    <xdr:rowOff>82550</xdr:rowOff>
                  </from>
                  <to>
                    <xdr:col>1</xdr:col>
                    <xdr:colOff>495300</xdr:colOff>
                    <xdr:row>13</xdr:row>
                    <xdr:rowOff>107950</xdr:rowOff>
                  </to>
                </anchor>
              </controlPr>
            </control>
          </mc:Choice>
        </mc:AlternateContent>
        <mc:AlternateContent xmlns:mc="http://schemas.openxmlformats.org/markup-compatibility/2006">
          <mc:Choice Requires="x14">
            <control shapeId="80901" r:id="rId8" name="Button 5">
              <controlPr defaultSize="0" autoFill="0" autoPict="0" macro="[0]!Sheet2.Go_Premises">
                <anchor moveWithCells="1" sizeWithCells="1">
                  <from>
                    <xdr:col>0</xdr:col>
                    <xdr:colOff>114300</xdr:colOff>
                    <xdr:row>11</xdr:row>
                    <xdr:rowOff>31750</xdr:rowOff>
                  </from>
                  <to>
                    <xdr:col>0</xdr:col>
                    <xdr:colOff>666750</xdr:colOff>
                    <xdr:row>12</xdr:row>
                    <xdr:rowOff>63500</xdr:rowOff>
                  </to>
                </anchor>
              </controlPr>
            </control>
          </mc:Choice>
        </mc:AlternateContent>
        <mc:AlternateContent xmlns:mc="http://schemas.openxmlformats.org/markup-compatibility/2006">
          <mc:Choice Requires="x14">
            <control shapeId="80902" r:id="rId9" name="Button 6">
              <controlPr defaultSize="0" autoFill="0" autoPict="0" macro="[0]!Sheet2.Go_Vehicles">
                <anchor moveWithCells="1" sizeWithCells="1">
                  <from>
                    <xdr:col>0</xdr:col>
                    <xdr:colOff>736600</xdr:colOff>
                    <xdr:row>9</xdr:row>
                    <xdr:rowOff>158750</xdr:rowOff>
                  </from>
                  <to>
                    <xdr:col>1</xdr:col>
                    <xdr:colOff>482600</xdr:colOff>
                    <xdr:row>11</xdr:row>
                    <xdr:rowOff>6350</xdr:rowOff>
                  </to>
                </anchor>
              </controlPr>
            </control>
          </mc:Choice>
        </mc:AlternateContent>
        <mc:AlternateContent xmlns:mc="http://schemas.openxmlformats.org/markup-compatibility/2006">
          <mc:Choice Requires="x14">
            <control shapeId="80903" r:id="rId10" name="Button 7">
              <controlPr defaultSize="0" print="0" autoFill="0" autoPict="0" macro="[0]!Sheet2.Go_Dashboard">
                <anchor moveWithCells="1" sizeWithCells="1">
                  <from>
                    <xdr:col>1</xdr:col>
                    <xdr:colOff>622300</xdr:colOff>
                    <xdr:row>7</xdr:row>
                    <xdr:rowOff>88900</xdr:rowOff>
                  </from>
                  <to>
                    <xdr:col>3</xdr:col>
                    <xdr:colOff>520700</xdr:colOff>
                    <xdr:row>10</xdr:row>
                    <xdr:rowOff>0</xdr:rowOff>
                  </to>
                </anchor>
              </controlPr>
            </control>
          </mc:Choice>
        </mc:AlternateContent>
        <mc:AlternateContent xmlns:mc="http://schemas.openxmlformats.org/markup-compatibility/2006">
          <mc:Choice Requires="x14">
            <control shapeId="80904" r:id="rId11" name="Button 8">
              <controlPr defaultSize="0" print="0" autoFill="0" autoPict="0" macro="[0]!Sheet2.Go_LossCategory">
                <anchor moveWithCells="1" sizeWithCells="1">
                  <from>
                    <xdr:col>3</xdr:col>
                    <xdr:colOff>546100</xdr:colOff>
                    <xdr:row>7</xdr:row>
                    <xdr:rowOff>107950</xdr:rowOff>
                  </from>
                  <to>
                    <xdr:col>5</xdr:col>
                    <xdr:colOff>0</xdr:colOff>
                    <xdr:row>10</xdr:row>
                    <xdr:rowOff>101600</xdr:rowOff>
                  </to>
                </anchor>
              </controlPr>
            </control>
          </mc:Choice>
        </mc:AlternateContent>
        <mc:AlternateContent xmlns:mc="http://schemas.openxmlformats.org/markup-compatibility/2006">
          <mc:Choice Requires="x14">
            <control shapeId="80905" r:id="rId12" name="Button 9">
              <controlPr defaultSize="0" print="0" autoFill="0" autoPict="0" macro="[0]!Sheet2.Go_LossState">
                <anchor moveWithCells="1" sizeWithCells="1">
                  <from>
                    <xdr:col>2</xdr:col>
                    <xdr:colOff>438150</xdr:colOff>
                    <xdr:row>11</xdr:row>
                    <xdr:rowOff>158750</xdr:rowOff>
                  </from>
                  <to>
                    <xdr:col>3</xdr:col>
                    <xdr:colOff>711200</xdr:colOff>
                    <xdr:row>14</xdr:row>
                    <xdr:rowOff>146050</xdr:rowOff>
                  </to>
                </anchor>
              </controlPr>
            </control>
          </mc:Choice>
        </mc:AlternateContent>
        <mc:AlternateContent xmlns:mc="http://schemas.openxmlformats.org/markup-compatibility/2006">
          <mc:Choice Requires="x14">
            <control shapeId="80906" r:id="rId13" name="Button 10">
              <controlPr defaultSize="0" print="0" autoFill="0" autoPict="0" macro="[0]!Sheet2.Go_Malaysia">
                <anchor moveWithCells="1" sizeWithCells="1">
                  <from>
                    <xdr:col>3</xdr:col>
                    <xdr:colOff>781050</xdr:colOff>
                    <xdr:row>11</xdr:row>
                    <xdr:rowOff>133350</xdr:rowOff>
                  </from>
                  <to>
                    <xdr:col>5</xdr:col>
                    <xdr:colOff>0</xdr:colOff>
                    <xdr:row>14</xdr:row>
                    <xdr:rowOff>158750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E490F-207B-4BC7-98FA-29A05862A284}">
  <sheetPr codeName="Sheet28"/>
  <dimension ref="A2:J12"/>
  <sheetViews>
    <sheetView zoomScale="61" workbookViewId="0">
      <selection activeCell="J38" sqref="J38"/>
    </sheetView>
  </sheetViews>
  <sheetFormatPr defaultRowHeight="14.5"/>
  <cols>
    <col min="1" max="1" width="12.453125" bestFit="1" customWidth="1"/>
    <col min="2" max="3" width="15.54296875" bestFit="1" customWidth="1"/>
    <col min="4" max="6" width="14.1796875" bestFit="1" customWidth="1"/>
    <col min="7" max="7" width="15.54296875" bestFit="1" customWidth="1"/>
    <col min="8" max="8" width="11.81640625" bestFit="1" customWidth="1"/>
    <col min="9" max="9" width="21.81640625" customWidth="1"/>
    <col min="10" max="10" width="15.54296875" bestFit="1" customWidth="1"/>
    <col min="11" max="11" width="12.453125" bestFit="1" customWidth="1"/>
    <col min="12" max="12" width="15.26953125" bestFit="1" customWidth="1"/>
    <col min="13" max="13" width="14.1796875" bestFit="1" customWidth="1"/>
    <col min="14" max="14" width="11.81640625" bestFit="1" customWidth="1"/>
    <col min="15" max="15" width="13.7265625" bestFit="1" customWidth="1"/>
    <col min="16" max="16" width="12.453125" bestFit="1" customWidth="1"/>
    <col min="17" max="17" width="15.26953125" bestFit="1" customWidth="1"/>
    <col min="18" max="18" width="18.26953125" bestFit="1" customWidth="1"/>
    <col min="19" max="19" width="14.1796875" bestFit="1" customWidth="1"/>
  </cols>
  <sheetData>
    <row r="2" spans="1:10">
      <c r="A2" s="307" t="s">
        <v>18</v>
      </c>
      <c r="B2" t="s">
        <v>19</v>
      </c>
    </row>
    <row r="4" spans="1:10">
      <c r="A4" s="307" t="s">
        <v>20</v>
      </c>
      <c r="B4" s="307" t="s">
        <v>1</v>
      </c>
      <c r="I4" s="11" t="s">
        <v>21</v>
      </c>
      <c r="J4" s="11" t="s">
        <v>5</v>
      </c>
    </row>
    <row r="5" spans="1:10">
      <c r="A5" s="307" t="s">
        <v>5</v>
      </c>
      <c r="B5">
        <v>2021</v>
      </c>
      <c r="C5">
        <v>2022</v>
      </c>
      <c r="D5">
        <v>2023</v>
      </c>
      <c r="E5">
        <v>2024</v>
      </c>
      <c r="F5">
        <v>2025</v>
      </c>
      <c r="G5" s="325" t="s">
        <v>6</v>
      </c>
      <c r="I5" s="11">
        <v>2022</v>
      </c>
      <c r="J5" s="11" t="str">
        <f>INDEX($A$6:$A$11, MATCH(MAX(B6:B11), B6:B11, 0))</f>
        <v>Living Quarter</v>
      </c>
    </row>
    <row r="6" spans="1:10">
      <c r="A6" s="308" t="s">
        <v>8</v>
      </c>
      <c r="B6" s="324">
        <v>0</v>
      </c>
      <c r="C6" s="324">
        <v>154515.47230000002</v>
      </c>
      <c r="D6" s="324">
        <v>120629.37480000001</v>
      </c>
      <c r="E6" s="324">
        <v>185221.80379999991</v>
      </c>
      <c r="F6" s="324">
        <v>52559.125700000004</v>
      </c>
      <c r="G6" s="324">
        <v>512925.77659999987</v>
      </c>
      <c r="I6" s="11">
        <v>2023</v>
      </c>
      <c r="J6" s="11" t="str">
        <f>INDEX($A$6:$A$11, MATCH(MAX(C6:C11), C6:C11, 0))</f>
        <v>Infrastructure</v>
      </c>
    </row>
    <row r="7" spans="1:10">
      <c r="A7" s="308" t="s">
        <v>12</v>
      </c>
      <c r="B7" s="324">
        <v>0</v>
      </c>
      <c r="C7" s="324">
        <v>632878.06829999993</v>
      </c>
      <c r="D7" s="324">
        <v>376498.35699999996</v>
      </c>
      <c r="E7" s="324">
        <v>300382.47960000008</v>
      </c>
      <c r="F7" s="324">
        <v>376648.95510000002</v>
      </c>
      <c r="G7" s="324">
        <v>1686407.8599999999</v>
      </c>
      <c r="I7" s="11">
        <v>2024</v>
      </c>
      <c r="J7" s="11" t="str">
        <f>INDEX($A$6:$A$11, MATCH(MAX(E6:E11), E6:E11, 0))</f>
        <v>Living Quarter</v>
      </c>
    </row>
    <row r="8" spans="1:10">
      <c r="A8" s="308" t="s">
        <v>15</v>
      </c>
      <c r="B8" s="324">
        <v>891360.02800000005</v>
      </c>
      <c r="C8" s="324">
        <v>8706.5946999999996</v>
      </c>
      <c r="D8" s="324">
        <v>10259.6024</v>
      </c>
      <c r="E8" s="324">
        <v>1163.0909999999999</v>
      </c>
      <c r="F8" s="324">
        <v>75.599999999999994</v>
      </c>
      <c r="G8" s="324">
        <v>911564.91610000003</v>
      </c>
      <c r="I8" s="11">
        <v>2025</v>
      </c>
      <c r="J8" s="11" t="str">
        <f>INDEX($A$6:$A$11, MATCH(MAX(F6:F11), F6:F11, 0))</f>
        <v>Infrastructure</v>
      </c>
    </row>
    <row r="9" spans="1:10">
      <c r="A9" s="308" t="s">
        <v>22</v>
      </c>
      <c r="B9" s="324">
        <v>525763.94400000002</v>
      </c>
      <c r="C9" s="324">
        <v>50302.313999999998</v>
      </c>
      <c r="D9" s="324">
        <v>53197.133999999998</v>
      </c>
      <c r="E9" s="324">
        <v>54059.4424</v>
      </c>
      <c r="F9" s="324">
        <v>13448.684499999999</v>
      </c>
      <c r="G9" s="324">
        <v>696771.51890000002</v>
      </c>
      <c r="I9" s="11" t="s">
        <v>23</v>
      </c>
      <c r="J9" s="11" t="str">
        <f>INDEX($A$6:$A$11, MATCH(MAX(G6:G11), G6:G11, 0))</f>
        <v>Living Quarter</v>
      </c>
    </row>
    <row r="10" spans="1:10">
      <c r="A10" s="308" t="s">
        <v>24</v>
      </c>
      <c r="B10" s="324">
        <v>982773.71699999995</v>
      </c>
      <c r="C10" s="324">
        <v>18800.689300000002</v>
      </c>
      <c r="D10" s="324">
        <v>22326.884699999995</v>
      </c>
      <c r="E10" s="324">
        <v>17298.247900000002</v>
      </c>
      <c r="F10" s="324">
        <v>6832.6792999999998</v>
      </c>
      <c r="G10" s="324">
        <v>1048032.2181999999</v>
      </c>
    </row>
    <row r="11" spans="1:10">
      <c r="A11" s="308" t="s">
        <v>25</v>
      </c>
      <c r="B11" s="324">
        <v>1621955.5279999999</v>
      </c>
      <c r="C11" s="324">
        <v>157392.70019999999</v>
      </c>
      <c r="D11" s="324">
        <v>168258.19459999999</v>
      </c>
      <c r="E11" s="324">
        <v>372231.79159999994</v>
      </c>
      <c r="F11" s="324">
        <v>183815.51670000001</v>
      </c>
      <c r="G11" s="324">
        <v>2503653.7311</v>
      </c>
    </row>
    <row r="12" spans="1:10">
      <c r="A12" s="308" t="s">
        <v>6</v>
      </c>
      <c r="B12" s="324">
        <v>4021853.2170000002</v>
      </c>
      <c r="C12" s="324">
        <v>1022595.8387999999</v>
      </c>
      <c r="D12" s="324">
        <v>751169.54749999987</v>
      </c>
      <c r="E12" s="324">
        <v>930356.85629999987</v>
      </c>
      <c r="F12" s="324">
        <v>633380.56129999994</v>
      </c>
      <c r="G12" s="324">
        <v>7359356.0208999999</v>
      </c>
    </row>
  </sheetData>
  <pageMargins left="0.7" right="0.7" top="0.75" bottom="0.75" header="0.3" footer="0.3"/>
  <drawing r:id="rId2"/>
  <legacyDrawing r:id="rId3"/>
  <mc:AlternateContent xmlns:mc="http://schemas.openxmlformats.org/markup-compatibility/2006">
    <mc:Choice Requires="x14">
      <controls>
        <mc:AlternateContent xmlns:mc="http://schemas.openxmlformats.org/markup-compatibility/2006">
          <mc:Choice Requires="x14">
            <control shapeId="43015" r:id="rId4" name="Button 7">
              <controlPr defaultSize="0" print="0" autoFill="0" autoPict="0" macro="[0]!Sheet2.Go_Malaysia">
                <anchor moveWithCells="1" sizeWithCells="1">
                  <from>
                    <xdr:col>2</xdr:col>
                    <xdr:colOff>457200</xdr:colOff>
                    <xdr:row>13</xdr:row>
                    <xdr:rowOff>76200</xdr:rowOff>
                  </from>
                  <to>
                    <xdr:col>3</xdr:col>
                    <xdr:colOff>349250</xdr:colOff>
                    <xdr:row>15</xdr:row>
                    <xdr:rowOff>165100</xdr:rowOff>
                  </to>
                </anchor>
              </controlPr>
            </control>
          </mc:Choice>
        </mc:AlternateContent>
        <mc:AlternateContent xmlns:mc="http://schemas.openxmlformats.org/markup-compatibility/2006">
          <mc:Choice Requires="x14">
            <control shapeId="43016" r:id="rId5" name="Button 8">
              <controlPr defaultSize="0" print="0" autoFill="0" autoPict="0" macro="[0]!Sheet2.Go_Dashboard">
                <anchor moveWithCells="1" sizeWithCells="1">
                  <from>
                    <xdr:col>0</xdr:col>
                    <xdr:colOff>146050</xdr:colOff>
                    <xdr:row>13</xdr:row>
                    <xdr:rowOff>38100</xdr:rowOff>
                  </from>
                  <to>
                    <xdr:col>1</xdr:col>
                    <xdr:colOff>342900</xdr:colOff>
                    <xdr:row>15</xdr:row>
                    <xdr:rowOff>139700</xdr:rowOff>
                  </to>
                </anchor>
              </controlPr>
            </control>
          </mc:Choice>
        </mc:AlternateContent>
        <mc:AlternateContent xmlns:mc="http://schemas.openxmlformats.org/markup-compatibility/2006">
          <mc:Choice Requires="x14">
            <control shapeId="43018" r:id="rId6" name="Button 10">
              <controlPr defaultSize="0" print="0" autoFill="0" autoPict="0" macro="[0]!Sheet2.Go_LossState">
                <anchor moveWithCells="1" sizeWithCells="1">
                  <from>
                    <xdr:col>1</xdr:col>
                    <xdr:colOff>419100</xdr:colOff>
                    <xdr:row>13</xdr:row>
                    <xdr:rowOff>63500</xdr:rowOff>
                  </from>
                  <to>
                    <xdr:col>2</xdr:col>
                    <xdr:colOff>374650</xdr:colOff>
                    <xdr:row>15</xdr:row>
                    <xdr:rowOff>165100</xdr:rowOff>
                  </to>
                </anchor>
              </controlPr>
            </control>
          </mc:Choice>
        </mc:AlternateContent>
        <mc:AlternateContent xmlns:mc="http://schemas.openxmlformats.org/markup-compatibility/2006">
          <mc:Choice Requires="x14">
            <control shapeId="43019" r:id="rId7" name="Button 11">
              <controlPr defaultSize="0" print="0" autoFill="0" autoPict="0" macro="[0]!Sheet2.Go_StateOverall">
                <anchor moveWithCells="1" sizeWithCells="1">
                  <from>
                    <xdr:col>3</xdr:col>
                    <xdr:colOff>450850</xdr:colOff>
                    <xdr:row>13</xdr:row>
                    <xdr:rowOff>12700</xdr:rowOff>
                  </from>
                  <to>
                    <xdr:col>4</xdr:col>
                    <xdr:colOff>508000</xdr:colOff>
                    <xdr:row>15</xdr:row>
                    <xdr:rowOff>133350</xdr:rowOff>
                  </to>
                </anchor>
              </controlPr>
            </control>
          </mc:Choice>
        </mc:AlternateContent>
      </controls>
    </mc:Choice>
  </mc:AlternateContent>
  <tableParts count="1">
    <tablePart r:id="rId8"/>
  </tableParts>
  <extLst>
    <ext xmlns:x14="http://schemas.microsoft.com/office/spreadsheetml/2009/9/main" uri="{A8765BA9-456A-4dab-B4F3-ACF838C121DE}">
      <x14:slicerList>
        <x14:slicer r:id="rId9"/>
      </x14:slicerList>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55F89-5E71-47B5-BF40-1FB0AA924982}">
  <sheetPr codeName="Sheet29"/>
  <dimension ref="A1"/>
  <sheetViews>
    <sheetView topLeftCell="A7" zoomScale="66" workbookViewId="0">
      <selection activeCell="B11" sqref="B11"/>
    </sheetView>
  </sheetViews>
  <sheetFormatPr defaultRowHeight="14.5"/>
  <cols>
    <col min="1" max="1" width="15" bestFit="1" customWidth="1"/>
    <col min="2" max="2" width="17.453125" bestFit="1" customWidth="1"/>
    <col min="3" max="4" width="11.81640625" bestFit="1" customWidth="1"/>
    <col min="5" max="5" width="10.81640625" bestFit="1" customWidth="1"/>
    <col min="6" max="6" width="14.54296875" bestFit="1" customWidth="1"/>
    <col min="7" max="9" width="10.81640625" bestFit="1" customWidth="1"/>
    <col min="10" max="10" width="11.7265625" bestFit="1" customWidth="1"/>
    <col min="11" max="13" width="10.81640625" bestFit="1" customWidth="1"/>
    <col min="14" max="14" width="11.81640625" bestFit="1" customWidth="1"/>
    <col min="15" max="15" width="16.54296875" bestFit="1" customWidth="1"/>
    <col min="16" max="16" width="11.1796875" bestFit="1" customWidth="1"/>
    <col min="17" max="17" width="13" bestFit="1" customWidth="1"/>
    <col min="18" max="18" width="11.81640625" bestFit="1" customWidth="1"/>
    <col min="19" max="19" width="14.1796875" bestFit="1" customWidth="1"/>
  </cols>
  <sheetData>
    <row r="1" spans="1:1">
      <c r="A1" t="s">
        <v>26</v>
      </c>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4039" r:id="rId3" name="Button 7">
              <controlPr defaultSize="0" print="0" autoFill="0" autoPict="0" macro="[0]!Sheet2.Go_Dashboard">
                <anchor moveWithCells="1" sizeWithCells="1">
                  <from>
                    <xdr:col>0</xdr:col>
                    <xdr:colOff>0</xdr:colOff>
                    <xdr:row>22</xdr:row>
                    <xdr:rowOff>76200</xdr:rowOff>
                  </from>
                  <to>
                    <xdr:col>1</xdr:col>
                    <xdr:colOff>533400</xdr:colOff>
                    <xdr:row>24</xdr:row>
                    <xdr:rowOff>177800</xdr:rowOff>
                  </to>
                </anchor>
              </controlPr>
            </control>
          </mc:Choice>
        </mc:AlternateContent>
        <mc:AlternateContent xmlns:mc="http://schemas.openxmlformats.org/markup-compatibility/2006">
          <mc:Choice Requires="x14">
            <control shapeId="44040" r:id="rId4" name="Button 8">
              <controlPr defaultSize="0" print="0" autoFill="0" autoPict="0" macro="[0]!Sheet2.Go_LossCategory">
                <anchor moveWithCells="1" sizeWithCells="1">
                  <from>
                    <xdr:col>1</xdr:col>
                    <xdr:colOff>584200</xdr:colOff>
                    <xdr:row>22</xdr:row>
                    <xdr:rowOff>57150</xdr:rowOff>
                  </from>
                  <to>
                    <xdr:col>3</xdr:col>
                    <xdr:colOff>44450</xdr:colOff>
                    <xdr:row>25</xdr:row>
                    <xdr:rowOff>44450</xdr:rowOff>
                  </to>
                </anchor>
              </controlPr>
            </control>
          </mc:Choice>
        </mc:AlternateContent>
        <mc:AlternateContent xmlns:mc="http://schemas.openxmlformats.org/markup-compatibility/2006">
          <mc:Choice Requires="x14">
            <control shapeId="44041" r:id="rId5" name="Button 9">
              <controlPr defaultSize="0" print="0" autoFill="0" autoPict="0" macro="[0]!Sheet2.Go_Malaysia">
                <anchor moveWithCells="1" sizeWithCells="1">
                  <from>
                    <xdr:col>3</xdr:col>
                    <xdr:colOff>190500</xdr:colOff>
                    <xdr:row>22</xdr:row>
                    <xdr:rowOff>76200</xdr:rowOff>
                  </from>
                  <to>
                    <xdr:col>4</xdr:col>
                    <xdr:colOff>571500</xdr:colOff>
                    <xdr:row>24</xdr:row>
                    <xdr:rowOff>165100</xdr:rowOff>
                  </to>
                </anchor>
              </controlPr>
            </control>
          </mc:Choice>
        </mc:AlternateContent>
        <mc:AlternateContent xmlns:mc="http://schemas.openxmlformats.org/markup-compatibility/2006">
          <mc:Choice Requires="x14">
            <control shapeId="44042" r:id="rId6" name="Button 10">
              <controlPr defaultSize="0" print="0" autoFill="0" autoPict="0" macro="[0]!Sheet2.Go_StateOverall">
                <anchor moveWithCells="1" sizeWithCells="1">
                  <from>
                    <xdr:col>4</xdr:col>
                    <xdr:colOff>622300</xdr:colOff>
                    <xdr:row>22</xdr:row>
                    <xdr:rowOff>44450</xdr:rowOff>
                  </from>
                  <to>
                    <xdr:col>6</xdr:col>
                    <xdr:colOff>146050</xdr:colOff>
                    <xdr:row>24</xdr:row>
                    <xdr:rowOff>158750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A93C2-7A91-464C-8C59-DEA5BF174745}">
  <sheetPr codeName="Sheet11">
    <tabColor theme="3" tint="0.499984740745262"/>
  </sheetPr>
  <dimension ref="A1"/>
  <sheetViews>
    <sheetView topLeftCell="E1" workbookViewId="0">
      <selection activeCell="J18" sqref="J18"/>
    </sheetView>
  </sheetViews>
  <sheetFormatPr defaultRowHeight="14.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CD511-2593-499D-BF75-3F7424980BC4}">
  <sheetPr codeName="Sheet31"/>
  <dimension ref="A1:F18"/>
  <sheetViews>
    <sheetView workbookViewId="0">
      <selection activeCell="C8" sqref="C8"/>
    </sheetView>
  </sheetViews>
  <sheetFormatPr defaultRowHeight="14.5"/>
  <cols>
    <col min="1" max="1" width="14" bestFit="1" customWidth="1"/>
    <col min="2" max="6" width="11.81640625" bestFit="1" customWidth="1"/>
    <col min="7" max="7" width="10.81640625" bestFit="1" customWidth="1"/>
    <col min="8" max="8" width="11.81640625" bestFit="1" customWidth="1"/>
    <col min="9" max="9" width="4.81640625" bestFit="1" customWidth="1"/>
    <col min="10" max="10" width="11.81640625" bestFit="1" customWidth="1"/>
  </cols>
  <sheetData>
    <row r="1" spans="1:6">
      <c r="A1" s="307" t="s">
        <v>5</v>
      </c>
      <c r="B1" t="s">
        <v>19</v>
      </c>
    </row>
    <row r="3" spans="1:6">
      <c r="A3" s="307" t="s">
        <v>0</v>
      </c>
      <c r="B3" s="307" t="s">
        <v>1</v>
      </c>
    </row>
    <row r="4" spans="1:6">
      <c r="A4" s="307" t="s">
        <v>18</v>
      </c>
      <c r="B4">
        <v>2022</v>
      </c>
      <c r="C4">
        <v>2023</v>
      </c>
      <c r="D4">
        <v>2024</v>
      </c>
      <c r="E4">
        <v>2025</v>
      </c>
      <c r="F4" t="s">
        <v>6</v>
      </c>
    </row>
    <row r="5" spans="1:6">
      <c r="A5" s="308" t="s">
        <v>27</v>
      </c>
      <c r="B5">
        <v>247.36</v>
      </c>
      <c r="C5">
        <v>25238.669000000002</v>
      </c>
      <c r="D5">
        <v>2432.7901200000001</v>
      </c>
      <c r="E5">
        <v>13010.384</v>
      </c>
      <c r="F5">
        <v>40929.203120000006</v>
      </c>
    </row>
    <row r="6" spans="1:6">
      <c r="A6" s="308" t="s">
        <v>28</v>
      </c>
      <c r="B6">
        <v>327.09999999999997</v>
      </c>
      <c r="C6">
        <v>416.2</v>
      </c>
      <c r="D6">
        <v>118210.03</v>
      </c>
      <c r="E6">
        <v>5039.9400000000005</v>
      </c>
      <c r="F6">
        <v>123993.27</v>
      </c>
    </row>
    <row r="7" spans="1:6">
      <c r="A7" s="308" t="s">
        <v>29</v>
      </c>
      <c r="B7">
        <v>66034.690300000002</v>
      </c>
      <c r="C7">
        <v>52547.492299999998</v>
      </c>
      <c r="D7">
        <v>43788.085926362503</v>
      </c>
      <c r="E7">
        <v>4383.692</v>
      </c>
      <c r="F7">
        <v>166753.9605263625</v>
      </c>
    </row>
    <row r="8" spans="1:6">
      <c r="A8" s="308" t="s">
        <v>30</v>
      </c>
      <c r="B8">
        <v>98.3</v>
      </c>
      <c r="C8">
        <v>207.7424</v>
      </c>
      <c r="D8">
        <v>471.6866</v>
      </c>
      <c r="E8">
        <v>512.298</v>
      </c>
      <c r="F8">
        <v>1290.027</v>
      </c>
    </row>
    <row r="9" spans="1:6">
      <c r="A9" s="308" t="s">
        <v>31</v>
      </c>
      <c r="B9">
        <v>3007.1380000000004</v>
      </c>
      <c r="C9">
        <v>3023.6379999999999</v>
      </c>
      <c r="D9">
        <v>1209.9190000000001</v>
      </c>
      <c r="E9">
        <v>2623.4051999999997</v>
      </c>
      <c r="F9">
        <v>9864.1001999999989</v>
      </c>
    </row>
    <row r="10" spans="1:6">
      <c r="A10" s="308" t="s">
        <v>32</v>
      </c>
      <c r="B10">
        <v>1692.82</v>
      </c>
      <c r="C10">
        <v>3369.42</v>
      </c>
      <c r="D10">
        <v>8807.0689999999995</v>
      </c>
      <c r="E10">
        <v>4288.7643599999992</v>
      </c>
      <c r="F10">
        <v>18158.073359999999</v>
      </c>
    </row>
    <row r="11" spans="1:6">
      <c r="A11" s="308" t="s">
        <v>33</v>
      </c>
      <c r="B11">
        <v>767.81299999999999</v>
      </c>
      <c r="C11">
        <v>767.81299999999999</v>
      </c>
      <c r="D11">
        <v>312.34100000000001</v>
      </c>
      <c r="E11">
        <v>4479.0749999999998</v>
      </c>
      <c r="F11">
        <v>6327.0419999999995</v>
      </c>
    </row>
    <row r="12" spans="1:6">
      <c r="A12" s="308" t="s">
        <v>34</v>
      </c>
      <c r="B12">
        <v>0</v>
      </c>
      <c r="C12">
        <v>0</v>
      </c>
      <c r="D12">
        <v>176.15</v>
      </c>
      <c r="E12">
        <v>1221.9720000000002</v>
      </c>
      <c r="F12">
        <v>1398.1220000000003</v>
      </c>
    </row>
    <row r="13" spans="1:6">
      <c r="A13" s="308" t="s">
        <v>35</v>
      </c>
      <c r="B13">
        <v>74.847999999999999</v>
      </c>
      <c r="C13">
        <v>99.847999999999999</v>
      </c>
      <c r="D13">
        <v>63</v>
      </c>
      <c r="E13">
        <v>2592.7346000000002</v>
      </c>
      <c r="F13">
        <v>2830.4306000000001</v>
      </c>
    </row>
    <row r="14" spans="1:6">
      <c r="A14" s="308" t="s">
        <v>36</v>
      </c>
      <c r="B14">
        <v>0</v>
      </c>
      <c r="C14">
        <v>195.75</v>
      </c>
      <c r="D14">
        <v>683.62699999999995</v>
      </c>
      <c r="E14">
        <v>3648.8219999999997</v>
      </c>
      <c r="F14">
        <v>4528.1989999999996</v>
      </c>
    </row>
    <row r="15" spans="1:6">
      <c r="A15" s="308" t="s">
        <v>37</v>
      </c>
      <c r="B15">
        <v>98.5</v>
      </c>
      <c r="C15">
        <v>196.78</v>
      </c>
      <c r="D15">
        <v>518.40599999999995</v>
      </c>
      <c r="E15">
        <v>163</v>
      </c>
      <c r="F15">
        <v>976.68599999999992</v>
      </c>
    </row>
    <row r="16" spans="1:6">
      <c r="A16" s="308" t="s">
        <v>38</v>
      </c>
      <c r="B16">
        <v>3144.6039999999998</v>
      </c>
      <c r="C16">
        <v>3284.3829999999998</v>
      </c>
      <c r="D16">
        <v>1887.4806599999999</v>
      </c>
      <c r="E16">
        <v>9582.0305000000008</v>
      </c>
      <c r="F16">
        <v>17898.498159999999</v>
      </c>
    </row>
    <row r="17" spans="1:6">
      <c r="A17" s="308" t="s">
        <v>39</v>
      </c>
      <c r="B17">
        <v>79022.298999999999</v>
      </c>
      <c r="C17">
        <v>31281.63911</v>
      </c>
      <c r="D17">
        <v>6661.2184913000001</v>
      </c>
      <c r="E17">
        <v>1012.3599999999999</v>
      </c>
      <c r="F17">
        <v>117977.5166013</v>
      </c>
    </row>
    <row r="18" spans="1:6">
      <c r="A18" s="308" t="s">
        <v>6</v>
      </c>
      <c r="B18">
        <v>154515.47230000002</v>
      </c>
      <c r="C18">
        <v>120629.37481000001</v>
      </c>
      <c r="D18">
        <v>185221.80379766246</v>
      </c>
      <c r="E18">
        <v>52558.477660000004</v>
      </c>
      <c r="F18">
        <v>512925.1285676625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22035-728C-40F8-BC00-630C5AFD05D7}">
  <sheetPr codeName="Sheet32"/>
  <dimension ref="A1:F19"/>
  <sheetViews>
    <sheetView workbookViewId="0">
      <selection activeCell="C9" sqref="C9"/>
    </sheetView>
  </sheetViews>
  <sheetFormatPr defaultRowHeight="14.5"/>
  <cols>
    <col min="1" max="1" width="16" bestFit="1" customWidth="1"/>
    <col min="2" max="2" width="15.54296875" bestFit="1" customWidth="1"/>
    <col min="3" max="3" width="4.81640625" bestFit="1" customWidth="1"/>
    <col min="4" max="6" width="11.81640625" bestFit="1" customWidth="1"/>
  </cols>
  <sheetData>
    <row r="1" spans="1:6">
      <c r="A1" s="307" t="s">
        <v>5</v>
      </c>
      <c r="B1" t="s">
        <v>19</v>
      </c>
    </row>
    <row r="3" spans="1:6">
      <c r="A3" s="307" t="s">
        <v>0</v>
      </c>
      <c r="B3" s="307" t="s">
        <v>40</v>
      </c>
    </row>
    <row r="4" spans="1:6">
      <c r="A4" s="307" t="s">
        <v>18</v>
      </c>
      <c r="B4">
        <v>2022</v>
      </c>
      <c r="C4">
        <v>2023</v>
      </c>
      <c r="D4">
        <v>2024</v>
      </c>
      <c r="E4">
        <v>2025</v>
      </c>
      <c r="F4" t="s">
        <v>6</v>
      </c>
    </row>
    <row r="5" spans="1:6">
      <c r="A5" s="308" t="s">
        <v>27</v>
      </c>
      <c r="B5">
        <v>247.36</v>
      </c>
      <c r="C5">
        <v>1</v>
      </c>
      <c r="D5">
        <v>2429.7150000000001</v>
      </c>
      <c r="E5">
        <v>13010.384</v>
      </c>
      <c r="F5">
        <v>15688.459000000001</v>
      </c>
    </row>
    <row r="6" spans="1:6">
      <c r="A6" s="308" t="s">
        <v>28</v>
      </c>
      <c r="B6">
        <v>327.09999999999997</v>
      </c>
      <c r="C6">
        <v>1</v>
      </c>
      <c r="D6">
        <v>118210.03</v>
      </c>
      <c r="E6">
        <v>5039.9400000000005</v>
      </c>
      <c r="F6">
        <v>123578.07</v>
      </c>
    </row>
    <row r="7" spans="1:6">
      <c r="A7" s="308" t="s">
        <v>29</v>
      </c>
      <c r="B7">
        <v>66034.690300000002</v>
      </c>
      <c r="C7">
        <v>1</v>
      </c>
      <c r="D7">
        <v>22443.979500000001</v>
      </c>
      <c r="E7">
        <v>4383.692</v>
      </c>
      <c r="F7">
        <v>92863.361799999999</v>
      </c>
    </row>
    <row r="8" spans="1:6">
      <c r="A8" s="308" t="s">
        <v>30</v>
      </c>
      <c r="B8">
        <v>98.3</v>
      </c>
      <c r="C8">
        <v>1</v>
      </c>
      <c r="D8">
        <v>471.6866</v>
      </c>
      <c r="E8">
        <v>512.298</v>
      </c>
      <c r="F8">
        <v>1083.2846</v>
      </c>
    </row>
    <row r="9" spans="1:6">
      <c r="A9" s="308" t="s">
        <v>31</v>
      </c>
      <c r="B9">
        <v>3007.1380000000004</v>
      </c>
      <c r="C9">
        <v>1</v>
      </c>
      <c r="D9">
        <v>1209.9190000000001</v>
      </c>
      <c r="E9">
        <v>2623.4051999999997</v>
      </c>
      <c r="F9">
        <v>6841.4621999999999</v>
      </c>
    </row>
    <row r="10" spans="1:6">
      <c r="A10" s="308" t="s">
        <v>32</v>
      </c>
      <c r="B10">
        <v>1692.82</v>
      </c>
      <c r="C10">
        <v>1</v>
      </c>
      <c r="D10">
        <v>8807.0689999999995</v>
      </c>
      <c r="E10">
        <v>4288.7643599999992</v>
      </c>
      <c r="F10">
        <v>14789.653359999998</v>
      </c>
    </row>
    <row r="11" spans="1:6">
      <c r="A11" s="308" t="s">
        <v>33</v>
      </c>
      <c r="B11">
        <v>767.81299999999999</v>
      </c>
      <c r="C11">
        <v>1</v>
      </c>
      <c r="D11">
        <v>312.34100000000001</v>
      </c>
      <c r="E11">
        <v>4479.0749999999998</v>
      </c>
      <c r="F11">
        <v>5560.2289999999994</v>
      </c>
    </row>
    <row r="12" spans="1:6">
      <c r="A12" s="308" t="s">
        <v>34</v>
      </c>
      <c r="B12">
        <v>0</v>
      </c>
      <c r="C12">
        <v>1</v>
      </c>
      <c r="D12">
        <v>176.15</v>
      </c>
      <c r="E12">
        <v>1221.9720000000002</v>
      </c>
      <c r="F12">
        <v>1399.1220000000003</v>
      </c>
    </row>
    <row r="13" spans="1:6">
      <c r="A13" s="308" t="s">
        <v>35</v>
      </c>
      <c r="B13">
        <v>74.847999999999999</v>
      </c>
      <c r="C13">
        <v>1</v>
      </c>
      <c r="D13">
        <v>63</v>
      </c>
      <c r="E13">
        <v>2592.7346000000002</v>
      </c>
      <c r="F13">
        <v>2731.5826000000002</v>
      </c>
    </row>
    <row r="14" spans="1:6">
      <c r="A14" s="308" t="s">
        <v>36</v>
      </c>
      <c r="B14">
        <v>0</v>
      </c>
      <c r="C14">
        <v>1</v>
      </c>
      <c r="D14">
        <v>44.377000000000002</v>
      </c>
      <c r="E14">
        <v>3646.3219999999997</v>
      </c>
      <c r="F14">
        <v>3691.6989999999996</v>
      </c>
    </row>
    <row r="15" spans="1:6">
      <c r="A15" s="308" t="s">
        <v>37</v>
      </c>
      <c r="B15">
        <v>98.5</v>
      </c>
      <c r="C15">
        <v>1</v>
      </c>
      <c r="D15">
        <v>453.22199999999998</v>
      </c>
      <c r="E15">
        <v>94</v>
      </c>
      <c r="F15">
        <v>646.72199999999998</v>
      </c>
    </row>
    <row r="16" spans="1:6">
      <c r="A16" s="308" t="s">
        <v>38</v>
      </c>
      <c r="B16">
        <v>3144.6039999999998</v>
      </c>
      <c r="C16">
        <v>1</v>
      </c>
      <c r="D16">
        <v>1870.1579999999999</v>
      </c>
      <c r="E16">
        <v>9582.0305000000008</v>
      </c>
      <c r="F16">
        <v>14597.7925</v>
      </c>
    </row>
    <row r="17" spans="1:6">
      <c r="A17" s="308" t="s">
        <v>39</v>
      </c>
      <c r="B17">
        <v>79022.298999999999</v>
      </c>
      <c r="C17">
        <v>1</v>
      </c>
      <c r="D17">
        <v>6132.1365000000005</v>
      </c>
      <c r="E17">
        <v>1012.3599999999999</v>
      </c>
      <c r="F17">
        <v>86167.795499999993</v>
      </c>
    </row>
    <row r="18" spans="1:6">
      <c r="A18" s="308" t="s">
        <v>41</v>
      </c>
      <c r="B18">
        <v>0</v>
      </c>
      <c r="C18">
        <v>1</v>
      </c>
      <c r="D18">
        <v>0</v>
      </c>
      <c r="E18">
        <v>0</v>
      </c>
      <c r="F18">
        <v>1</v>
      </c>
    </row>
    <row r="19" spans="1:6">
      <c r="A19" s="308" t="s">
        <v>6</v>
      </c>
      <c r="B19">
        <v>154515.47230000002</v>
      </c>
      <c r="C19">
        <v>14</v>
      </c>
      <c r="D19">
        <v>162623.78359999997</v>
      </c>
      <c r="E19">
        <v>52486.977660000004</v>
      </c>
      <c r="F19">
        <v>369640.23356000002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302C-492B-4342-9A4C-D5483F1C9203}">
  <sheetPr codeName="Sheet12"/>
  <dimension ref="A1:O50"/>
  <sheetViews>
    <sheetView zoomScale="65" workbookViewId="0">
      <selection activeCell="B22" sqref="B22"/>
    </sheetView>
  </sheetViews>
  <sheetFormatPr defaultColWidth="13.453125" defaultRowHeight="14.5"/>
  <cols>
    <col min="1" max="1" width="13.453125" bestFit="1" customWidth="1"/>
    <col min="2" max="4" width="11.1796875" bestFit="1" customWidth="1"/>
    <col min="5" max="5" width="10.26953125" bestFit="1" customWidth="1"/>
    <col min="6" max="6" width="9" customWidth="1"/>
    <col min="7" max="7" width="5.453125" bestFit="1" customWidth="1"/>
    <col min="8" max="9" width="9.81640625" bestFit="1" customWidth="1"/>
    <col min="10" max="10" width="10" bestFit="1" customWidth="1"/>
    <col min="11" max="11" width="8.1796875" customWidth="1"/>
    <col min="12" max="12" width="5.453125" bestFit="1" customWidth="1"/>
    <col min="13" max="13" width="7.81640625" bestFit="1" customWidth="1"/>
    <col min="14" max="14" width="8.26953125" bestFit="1" customWidth="1"/>
    <col min="15" max="15" width="6.81640625" bestFit="1" customWidth="1"/>
    <col min="17" max="17" width="6.81640625" bestFit="1" customWidth="1"/>
    <col min="21" max="21" width="13.54296875" bestFit="1" customWidth="1"/>
    <col min="22" max="22" width="9.453125" bestFit="1" customWidth="1"/>
    <col min="23" max="23" width="8.1796875" bestFit="1" customWidth="1"/>
    <col min="24" max="24" width="8" bestFit="1" customWidth="1"/>
  </cols>
  <sheetData>
    <row r="1" spans="1:15">
      <c r="A1" s="222" t="s">
        <v>42</v>
      </c>
      <c r="B1" s="330" t="s">
        <v>43</v>
      </c>
      <c r="C1" s="330"/>
      <c r="D1" s="330"/>
      <c r="E1" s="330"/>
      <c r="F1" s="223"/>
      <c r="G1" s="331" t="s">
        <v>44</v>
      </c>
      <c r="H1" s="331"/>
      <c r="I1" s="331"/>
      <c r="J1" s="331"/>
      <c r="L1" s="331" t="s">
        <v>45</v>
      </c>
      <c r="M1" s="331"/>
      <c r="N1" s="331"/>
      <c r="O1" s="331"/>
    </row>
    <row r="2" spans="1:15" ht="15" thickBot="1">
      <c r="A2" s="127" t="s">
        <v>1</v>
      </c>
      <c r="B2" s="122" t="s">
        <v>46</v>
      </c>
      <c r="C2" s="122" t="s">
        <v>47</v>
      </c>
      <c r="D2" s="144" t="s">
        <v>48</v>
      </c>
      <c r="E2" s="1" t="s">
        <v>49</v>
      </c>
      <c r="F2" s="228"/>
      <c r="G2" s="240">
        <v>2022</v>
      </c>
      <c r="H2" s="240">
        <v>2023</v>
      </c>
      <c r="I2" s="240">
        <v>2024</v>
      </c>
      <c r="J2" s="240">
        <v>2025</v>
      </c>
      <c r="L2" s="240">
        <v>2022</v>
      </c>
      <c r="M2" s="240">
        <v>2023</v>
      </c>
      <c r="N2" s="240">
        <v>2024</v>
      </c>
      <c r="O2" s="240">
        <v>2025</v>
      </c>
    </row>
    <row r="3" spans="1:15">
      <c r="A3" s="244" t="s">
        <v>50</v>
      </c>
      <c r="B3" s="96">
        <v>154515.47230000002</v>
      </c>
      <c r="C3" s="96">
        <v>119504.6747</v>
      </c>
      <c r="D3" s="167">
        <v>162623.78359999997</v>
      </c>
      <c r="E3" s="167">
        <v>52486.977660000004</v>
      </c>
      <c r="F3" s="228"/>
      <c r="G3" s="240" t="s">
        <v>51</v>
      </c>
      <c r="H3" s="241">
        <f>Agriculture_FoodSecurity[[#This Row],[2023]]-Agriculture_FoodSecurity[[#This Row],[2022]]</f>
        <v>-35010.79760000002</v>
      </c>
      <c r="I3" s="241">
        <f>Agriculture_FoodSecurity[[#This Row],[2024]]-Agriculture_FoodSecurity[[#This Row],[2023]]</f>
        <v>43119.108899999963</v>
      </c>
      <c r="J3" s="241">
        <f>Agriculture_FoodSecurity[[#This Row],[2025]]-Agriculture_FoodSecurity[[#This Row],[2024]]</f>
        <v>-110136.80593999996</v>
      </c>
      <c r="L3" s="240" t="s">
        <v>51</v>
      </c>
      <c r="M3" s="243">
        <f>IF(OR(Agriculture_FoodSecurity[[#This Row],[2022]]="n.a", Agriculture_FoodSecurity[[#This Row],[2022]]=0, Agriculture_FoodSecurity[[#This Row],[2023]]="n.a"),
   "-",H3/Agriculture_FoodSecurity[[#This Row],[2022]])</f>
        <v>-0.22658441306139679</v>
      </c>
      <c r="N3" s="243">
        <f>IF(OR(Agriculture_FoodSecurity[[#This Row],[2023]]="n.a", Agriculture_FoodSecurity[[#This Row],[2023]]=0, Agriculture_FoodSecurity[[#This Row],[2024]]="n.a"),
   "-",I3/Agriculture_FoodSecurity[[#This Row],[2023]])</f>
        <v>0.36081524851010671</v>
      </c>
      <c r="O3" s="243">
        <f>IF(OR(Agriculture_FoodSecurity[[#This Row],[2024]]="n.a", Agriculture_FoodSecurity[[#This Row],[2024]]=0, Agriculture_FoodSecurity[[#This Row],[2025]]="n.a"),
   "-",J3/Agriculture_FoodSecurity[[#This Row],[2024]])</f>
        <v>-0.67724906838288557</v>
      </c>
    </row>
    <row r="4" spans="1:15">
      <c r="A4" s="224" t="s">
        <v>27</v>
      </c>
      <c r="B4" s="225">
        <v>247.36</v>
      </c>
      <c r="C4" s="225">
        <v>25196.239000000001</v>
      </c>
      <c r="D4" s="225">
        <v>2429.7150000000001</v>
      </c>
      <c r="E4" s="72">
        <v>13010.384</v>
      </c>
      <c r="F4" s="72"/>
      <c r="G4" s="240" t="s">
        <v>51</v>
      </c>
      <c r="H4" s="241">
        <f>Agriculture_FoodSecurity[[#This Row],[2023]]-Agriculture_FoodSecurity[[#This Row],[2022]]</f>
        <v>24948.879000000001</v>
      </c>
      <c r="I4" s="241">
        <f>Agriculture_FoodSecurity[[#This Row],[2024]]-Agriculture_FoodSecurity[[#This Row],[2023]]</f>
        <v>-22766.524000000001</v>
      </c>
      <c r="J4" s="241">
        <f>Agriculture_FoodSecurity[[#This Row],[2025]]-Agriculture_FoodSecurity[[#This Row],[2024]]</f>
        <v>10580.669</v>
      </c>
      <c r="L4" s="243" t="s">
        <v>51</v>
      </c>
      <c r="M4" s="243">
        <f>IF(OR(Agriculture_FoodSecurity[[#This Row],[2022]]="n.a", Agriculture_FoodSecurity[[#This Row],[2022]]=0, Agriculture_FoodSecurity[[#This Row],[2023]]="n.a"),
   "-",H4/Agriculture_FoodSecurity[[#This Row],[2022]])</f>
        <v>100.86060397800776</v>
      </c>
      <c r="N4" s="243">
        <f>IF(OR(Agriculture_FoodSecurity[[#This Row],[2023]]="n.a", Agriculture_FoodSecurity[[#This Row],[2023]]=0, Agriculture_FoodSecurity[[#This Row],[2024]]="n.a"),
   "-",I4/Agriculture_FoodSecurity[[#This Row],[2023]])</f>
        <v>-0.90356834605355185</v>
      </c>
      <c r="O4" s="243">
        <f>IF(OR(Agriculture_FoodSecurity[[#This Row],[2024]]="n.a", Agriculture_FoodSecurity[[#This Row],[2024]]=0, Agriculture_FoodSecurity[[#This Row],[2025]]="n.a"),
   "-",J4/Agriculture_FoodSecurity[[#This Row],[2024]])</f>
        <v>4.354695509555647</v>
      </c>
    </row>
    <row r="5" spans="1:15">
      <c r="A5" s="224" t="s">
        <v>28</v>
      </c>
      <c r="B5" s="225">
        <v>327.09999999999997</v>
      </c>
      <c r="C5" s="225">
        <v>416.2</v>
      </c>
      <c r="D5" s="225">
        <v>118210.03</v>
      </c>
      <c r="E5" s="72">
        <v>5039.9400000000005</v>
      </c>
      <c r="F5" s="72"/>
      <c r="G5" s="240" t="s">
        <v>51</v>
      </c>
      <c r="H5" s="241">
        <f>Agriculture_FoodSecurity[[#This Row],[2023]]-Agriculture_FoodSecurity[[#This Row],[2022]]</f>
        <v>89.100000000000023</v>
      </c>
      <c r="I5" s="241">
        <f>Agriculture_FoodSecurity[[#This Row],[2024]]-Agriculture_FoodSecurity[[#This Row],[2023]]</f>
        <v>117793.83</v>
      </c>
      <c r="J5" s="241">
        <f>Agriculture_FoodSecurity[[#This Row],[2025]]-Agriculture_FoodSecurity[[#This Row],[2024]]</f>
        <v>-113170.09</v>
      </c>
      <c r="L5" s="243" t="s">
        <v>51</v>
      </c>
      <c r="M5" s="243">
        <f>IF(OR(Agriculture_FoodSecurity[[#This Row],[2022]]="n.a", Agriculture_FoodSecurity[[#This Row],[2022]]=0, Agriculture_FoodSecurity[[#This Row],[2023]]="n.a"),
   "-",H5/Agriculture_FoodSecurity[[#This Row],[2022]])</f>
        <v>0.27239376337511473</v>
      </c>
      <c r="N5" s="243">
        <f>IF(OR(Agriculture_FoodSecurity[[#This Row],[2023]]="n.a", Agriculture_FoodSecurity[[#This Row],[2023]]=0, Agriculture_FoodSecurity[[#This Row],[2024]]="n.a"),
   "-",I5/Agriculture_FoodSecurity[[#This Row],[2023]])</f>
        <v>283.02217683805861</v>
      </c>
      <c r="O5" s="243">
        <f>IF(OR(Agriculture_FoodSecurity[[#This Row],[2024]]="n.a", Agriculture_FoodSecurity[[#This Row],[2024]]=0, Agriculture_FoodSecurity[[#This Row],[2025]]="n.a"),
   "-",J5/Agriculture_FoodSecurity[[#This Row],[2024]])</f>
        <v>-0.95736453158839396</v>
      </c>
    </row>
    <row r="6" spans="1:15">
      <c r="A6" s="224" t="s">
        <v>29</v>
      </c>
      <c r="B6" s="225">
        <v>66034.690300000002</v>
      </c>
      <c r="C6" s="225">
        <v>52525.092299999997</v>
      </c>
      <c r="D6" s="225">
        <v>22443.979500000001</v>
      </c>
      <c r="E6" s="72">
        <v>4383.692</v>
      </c>
      <c r="F6" s="72"/>
      <c r="G6" s="240" t="s">
        <v>51</v>
      </c>
      <c r="H6" s="241">
        <f>Agriculture_FoodSecurity[[#This Row],[2023]]-Agriculture_FoodSecurity[[#This Row],[2022]]</f>
        <v>-13509.598000000005</v>
      </c>
      <c r="I6" s="241">
        <f>Agriculture_FoodSecurity[[#This Row],[2024]]-Agriculture_FoodSecurity[[#This Row],[2023]]</f>
        <v>-30081.112799999995</v>
      </c>
      <c r="J6" s="241">
        <f>Agriculture_FoodSecurity[[#This Row],[2025]]-Agriculture_FoodSecurity[[#This Row],[2024]]</f>
        <v>-18060.287500000002</v>
      </c>
      <c r="L6" s="243" t="s">
        <v>51</v>
      </c>
      <c r="M6" s="243">
        <f>IF(OR(Agriculture_FoodSecurity[[#This Row],[2022]]="n.a", Agriculture_FoodSecurity[[#This Row],[2022]]=0, Agriculture_FoodSecurity[[#This Row],[2023]]="n.a"),
   "-",H6/Agriculture_FoodSecurity[[#This Row],[2022]])</f>
        <v>-0.20458334761055139</v>
      </c>
      <c r="N6" s="243">
        <f>IF(OR(Agriculture_FoodSecurity[[#This Row],[2023]]="n.a", Agriculture_FoodSecurity[[#This Row],[2023]]=0, Agriculture_FoodSecurity[[#This Row],[2024]]="n.a"),
   "-",I6/Agriculture_FoodSecurity[[#This Row],[2023]])</f>
        <v>-0.57269985606479357</v>
      </c>
      <c r="O6" s="243">
        <f>IF(OR(Agriculture_FoodSecurity[[#This Row],[2024]]="n.a", Agriculture_FoodSecurity[[#This Row],[2024]]=0, Agriculture_FoodSecurity[[#This Row],[2025]]="n.a"),
   "-",J6/Agriculture_FoodSecurity[[#This Row],[2024]])</f>
        <v>-0.80468294403851159</v>
      </c>
    </row>
    <row r="7" spans="1:15">
      <c r="A7" s="224" t="s">
        <v>30</v>
      </c>
      <c r="B7" s="225">
        <v>98.3</v>
      </c>
      <c r="C7" s="225">
        <v>206.44239999999999</v>
      </c>
      <c r="D7" s="225">
        <v>471.6866</v>
      </c>
      <c r="E7" s="72">
        <v>512.298</v>
      </c>
      <c r="F7" s="72"/>
      <c r="G7" s="240" t="s">
        <v>51</v>
      </c>
      <c r="H7" s="241">
        <f>Agriculture_FoodSecurity[[#This Row],[2023]]-Agriculture_FoodSecurity[[#This Row],[2022]]</f>
        <v>108.14239999999999</v>
      </c>
      <c r="I7" s="241">
        <f>Agriculture_FoodSecurity[[#This Row],[2024]]-Agriculture_FoodSecurity[[#This Row],[2023]]</f>
        <v>265.24419999999998</v>
      </c>
      <c r="J7" s="241">
        <f>Agriculture_FoodSecurity[[#This Row],[2025]]-Agriculture_FoodSecurity[[#This Row],[2024]]</f>
        <v>40.611400000000003</v>
      </c>
      <c r="L7" s="243" t="s">
        <v>51</v>
      </c>
      <c r="M7" s="243">
        <f>IF(OR(Agriculture_FoodSecurity[[#This Row],[2022]]="n.a", Agriculture_FoodSecurity[[#This Row],[2022]]=0, Agriculture_FoodSecurity[[#This Row],[2023]]="n.a"),
   "-",H7/Agriculture_FoodSecurity[[#This Row],[2022]])</f>
        <v>1.1001261444557477</v>
      </c>
      <c r="N7" s="243">
        <f>IF(OR(Agriculture_FoodSecurity[[#This Row],[2023]]="n.a", Agriculture_FoodSecurity[[#This Row],[2023]]=0, Agriculture_FoodSecurity[[#This Row],[2024]]="n.a"),
   "-",I7/Agriculture_FoodSecurity[[#This Row],[2023]])</f>
        <v>1.2848339294641022</v>
      </c>
      <c r="O7" s="243">
        <f>IF(OR(Agriculture_FoodSecurity[[#This Row],[2024]]="n.a", Agriculture_FoodSecurity[[#This Row],[2024]]=0, Agriculture_FoodSecurity[[#This Row],[2025]]="n.a"),
   "-",J7/Agriculture_FoodSecurity[[#This Row],[2024]])</f>
        <v>8.6098269486561629E-2</v>
      </c>
    </row>
    <row r="8" spans="1:15" ht="25">
      <c r="A8" s="224" t="s">
        <v>31</v>
      </c>
      <c r="B8" s="225">
        <v>3007.1380000000004</v>
      </c>
      <c r="C8" s="225">
        <v>3023.6379999999999</v>
      </c>
      <c r="D8" s="225">
        <v>1209.9190000000001</v>
      </c>
      <c r="E8" s="72">
        <v>2623.4051999999997</v>
      </c>
      <c r="F8" s="72"/>
      <c r="G8" s="240" t="s">
        <v>51</v>
      </c>
      <c r="H8" s="241">
        <f>Agriculture_FoodSecurity[[#This Row],[2023]]-Agriculture_FoodSecurity[[#This Row],[2022]]</f>
        <v>16.499999999999545</v>
      </c>
      <c r="I8" s="241">
        <f>Agriculture_FoodSecurity[[#This Row],[2024]]-Agriculture_FoodSecurity[[#This Row],[2023]]</f>
        <v>-1813.7189999999998</v>
      </c>
      <c r="J8" s="241">
        <f>Agriculture_FoodSecurity[[#This Row],[2025]]-Agriculture_FoodSecurity[[#This Row],[2024]]</f>
        <v>1413.4861999999996</v>
      </c>
      <c r="L8" s="243" t="s">
        <v>51</v>
      </c>
      <c r="M8" s="243">
        <f>IF(OR(Agriculture_FoodSecurity[[#This Row],[2022]]="n.a", Agriculture_FoodSecurity[[#This Row],[2022]]=0, Agriculture_FoodSecurity[[#This Row],[2023]]="n.a"),
   "-",H8/Agriculture_FoodSecurity[[#This Row],[2022]])</f>
        <v>5.486944729506775E-3</v>
      </c>
      <c r="N8" s="243">
        <f>IF(OR(Agriculture_FoodSecurity[[#This Row],[2023]]="n.a", Agriculture_FoodSecurity[[#This Row],[2023]]=0, Agriculture_FoodSecurity[[#This Row],[2024]]="n.a"),
   "-",I8/Agriculture_FoodSecurity[[#This Row],[2023]])</f>
        <v>-0.59984660862179928</v>
      </c>
      <c r="O8" s="243">
        <f>IF(OR(Agriculture_FoodSecurity[[#This Row],[2024]]="n.a", Agriculture_FoodSecurity[[#This Row],[2024]]=0, Agriculture_FoodSecurity[[#This Row],[2025]]="n.a"),
   "-",J8/Agriculture_FoodSecurity[[#This Row],[2024]])</f>
        <v>1.1682486182959351</v>
      </c>
    </row>
    <row r="9" spans="1:15">
      <c r="A9" s="224" t="s">
        <v>32</v>
      </c>
      <c r="B9" s="225">
        <v>1692.82</v>
      </c>
      <c r="C9" s="225">
        <v>2694.02</v>
      </c>
      <c r="D9" s="225">
        <v>8807.0689999999995</v>
      </c>
      <c r="E9" s="72">
        <v>4288.7643599999992</v>
      </c>
      <c r="F9" s="72"/>
      <c r="G9" s="240" t="s">
        <v>51</v>
      </c>
      <c r="H9" s="241">
        <f>Agriculture_FoodSecurity[[#This Row],[2023]]-Agriculture_FoodSecurity[[#This Row],[2022]]</f>
        <v>1001.2</v>
      </c>
      <c r="I9" s="241">
        <f>Agriculture_FoodSecurity[[#This Row],[2024]]-Agriculture_FoodSecurity[[#This Row],[2023]]</f>
        <v>6113.0489999999991</v>
      </c>
      <c r="J9" s="241">
        <f>Agriculture_FoodSecurity[[#This Row],[2025]]-Agriculture_FoodSecurity[[#This Row],[2024]]</f>
        <v>-4518.3046400000003</v>
      </c>
      <c r="L9" s="243" t="s">
        <v>51</v>
      </c>
      <c r="M9" s="243">
        <f>IF(OR(Agriculture_FoodSecurity[[#This Row],[2022]]="n.a", Agriculture_FoodSecurity[[#This Row],[2022]]=0, Agriculture_FoodSecurity[[#This Row],[2023]]="n.a"),
   "-",H9/Agriculture_FoodSecurity[[#This Row],[2022]])</f>
        <v>0.59143913706123519</v>
      </c>
      <c r="N9" s="243">
        <f>IF(OR(Agriculture_FoodSecurity[[#This Row],[2023]]="n.a", Agriculture_FoodSecurity[[#This Row],[2023]]=0, Agriculture_FoodSecurity[[#This Row],[2024]]="n.a"),
   "-",I9/Agriculture_FoodSecurity[[#This Row],[2023]])</f>
        <v>2.2691178981596272</v>
      </c>
      <c r="O9" s="243">
        <f>IF(OR(Agriculture_FoodSecurity[[#This Row],[2024]]="n.a", Agriculture_FoodSecurity[[#This Row],[2024]]=0, Agriculture_FoodSecurity[[#This Row],[2025]]="n.a"),
   "-",J9/Agriculture_FoodSecurity[[#This Row],[2024]])</f>
        <v>-0.5130315931440983</v>
      </c>
    </row>
    <row r="10" spans="1:15">
      <c r="A10" s="224" t="s">
        <v>35</v>
      </c>
      <c r="B10" s="225">
        <v>74.847999999999999</v>
      </c>
      <c r="C10" s="225">
        <v>99.847999999999999</v>
      </c>
      <c r="D10" s="225">
        <v>63</v>
      </c>
      <c r="E10" s="72">
        <v>2592.7346000000002</v>
      </c>
      <c r="F10" s="72"/>
      <c r="G10" s="240" t="s">
        <v>51</v>
      </c>
      <c r="H10" s="241">
        <f>Agriculture_FoodSecurity[[#This Row],[2023]]-Agriculture_FoodSecurity[[#This Row],[2022]]</f>
        <v>25</v>
      </c>
      <c r="I10" s="241">
        <f>Agriculture_FoodSecurity[[#This Row],[2024]]-Agriculture_FoodSecurity[[#This Row],[2023]]</f>
        <v>-36.847999999999999</v>
      </c>
      <c r="J10" s="241">
        <f>Agriculture_FoodSecurity[[#This Row],[2025]]-Agriculture_FoodSecurity[[#This Row],[2024]]</f>
        <v>2529.7346000000002</v>
      </c>
      <c r="L10" s="243" t="s">
        <v>51</v>
      </c>
      <c r="M10" s="243">
        <f>IF(OR(Agriculture_FoodSecurity[[#This Row],[2022]]="n.a", Agriculture_FoodSecurity[[#This Row],[2022]]=0, Agriculture_FoodSecurity[[#This Row],[2023]]="n.a"),
   "-",H10/Agriculture_FoodSecurity[[#This Row],[2022]])</f>
        <v>0.33401026079521162</v>
      </c>
      <c r="N10" s="243">
        <f>IF(OR(Agriculture_FoodSecurity[[#This Row],[2023]]="n.a", Agriculture_FoodSecurity[[#This Row],[2023]]=0, Agriculture_FoodSecurity[[#This Row],[2024]]="n.a"),
   "-",I10/Agriculture_FoodSecurity[[#This Row],[2023]])</f>
        <v>-0.36904094223219291</v>
      </c>
      <c r="O10" s="243">
        <f>IF(OR(Agriculture_FoodSecurity[[#This Row],[2024]]="n.a", Agriculture_FoodSecurity[[#This Row],[2024]]=0, Agriculture_FoodSecurity[[#This Row],[2025]]="n.a"),
   "-",J10/Agriculture_FoodSecurity[[#This Row],[2024]])</f>
        <v>40.154517460317464</v>
      </c>
    </row>
    <row r="11" spans="1:15">
      <c r="A11" s="224" t="s">
        <v>33</v>
      </c>
      <c r="B11" s="225">
        <v>767.81299999999999</v>
      </c>
      <c r="C11" s="225">
        <v>767.81299999999999</v>
      </c>
      <c r="D11" s="225">
        <v>312.34100000000001</v>
      </c>
      <c r="E11" s="72">
        <v>4479.0749999999998</v>
      </c>
      <c r="F11" s="72"/>
      <c r="G11" s="240" t="s">
        <v>51</v>
      </c>
      <c r="H11" s="241">
        <f>Agriculture_FoodSecurity[[#This Row],[2023]]-Agriculture_FoodSecurity[[#This Row],[2022]]</f>
        <v>0</v>
      </c>
      <c r="I11" s="241">
        <f>Agriculture_FoodSecurity[[#This Row],[2024]]-Agriculture_FoodSecurity[[#This Row],[2023]]</f>
        <v>-455.47199999999998</v>
      </c>
      <c r="J11" s="241">
        <f>Agriculture_FoodSecurity[[#This Row],[2025]]-Agriculture_FoodSecurity[[#This Row],[2024]]</f>
        <v>4166.7339999999995</v>
      </c>
      <c r="L11" s="243" t="s">
        <v>51</v>
      </c>
      <c r="M11" s="243">
        <f>IF(OR(Agriculture_FoodSecurity[[#This Row],[2022]]="n.a", Agriculture_FoodSecurity[[#This Row],[2022]]=0, Agriculture_FoodSecurity[[#This Row],[2023]]="n.a"),
   "-",H11/Agriculture_FoodSecurity[[#This Row],[2022]])</f>
        <v>0</v>
      </c>
      <c r="N11" s="243">
        <f>IF(OR(Agriculture_FoodSecurity[[#This Row],[2023]]="n.a", Agriculture_FoodSecurity[[#This Row],[2023]]=0, Agriculture_FoodSecurity[[#This Row],[2024]]="n.a"),
   "-",I11/Agriculture_FoodSecurity[[#This Row],[2023]])</f>
        <v>-0.59320693971058058</v>
      </c>
      <c r="O11" s="243">
        <f>IF(OR(Agriculture_FoodSecurity[[#This Row],[2024]]="n.a", Agriculture_FoodSecurity[[#This Row],[2024]]=0, Agriculture_FoodSecurity[[#This Row],[2025]]="n.a"),
   "-",J11/Agriculture_FoodSecurity[[#This Row],[2024]])</f>
        <v>13.340336363141564</v>
      </c>
    </row>
    <row r="12" spans="1:15">
      <c r="A12" s="224" t="s">
        <v>34</v>
      </c>
      <c r="B12" s="225">
        <v>0</v>
      </c>
      <c r="C12" s="225">
        <v>0</v>
      </c>
      <c r="D12" s="225">
        <v>176.15</v>
      </c>
      <c r="E12" s="72">
        <v>1221.9720000000002</v>
      </c>
      <c r="F12" s="72"/>
      <c r="G12" s="240" t="s">
        <v>51</v>
      </c>
      <c r="H12" s="241">
        <f>Agriculture_FoodSecurity[[#This Row],[2023]]-Agriculture_FoodSecurity[[#This Row],[2022]]</f>
        <v>0</v>
      </c>
      <c r="I12" s="241">
        <f>Agriculture_FoodSecurity[[#This Row],[2024]]-Agriculture_FoodSecurity[[#This Row],[2023]]</f>
        <v>176.15</v>
      </c>
      <c r="J12" s="241">
        <f>Agriculture_FoodSecurity[[#This Row],[2025]]-Agriculture_FoodSecurity[[#This Row],[2024]]</f>
        <v>1045.8220000000001</v>
      </c>
      <c r="L12" s="243" t="s">
        <v>51</v>
      </c>
      <c r="M12" s="243" t="str">
        <f>IF(OR(Agriculture_FoodSecurity[[#This Row],[2022]]="n.a", Agriculture_FoodSecurity[[#This Row],[2022]]=0, Agriculture_FoodSecurity[[#This Row],[2023]]="n.a"),
   "-",H12/Agriculture_FoodSecurity[[#This Row],[2022]])</f>
        <v>-</v>
      </c>
      <c r="N12" s="243" t="str">
        <f>IF(OR(Agriculture_FoodSecurity[[#This Row],[2023]]="n.a", Agriculture_FoodSecurity[[#This Row],[2023]]=0, Agriculture_FoodSecurity[[#This Row],[2024]]="n.a"),
   "-",I12/Agriculture_FoodSecurity[[#This Row],[2023]])</f>
        <v>-</v>
      </c>
      <c r="O12" s="243">
        <f>IF(OR(Agriculture_FoodSecurity[[#This Row],[2024]]="n.a", Agriculture_FoodSecurity[[#This Row],[2024]]=0, Agriculture_FoodSecurity[[#This Row],[2025]]="n.a"),
   "-",J12/Agriculture_FoodSecurity[[#This Row],[2024]])</f>
        <v>5.9371104172580189</v>
      </c>
    </row>
    <row r="13" spans="1:15">
      <c r="A13" s="224" t="s">
        <v>38</v>
      </c>
      <c r="B13" s="225">
        <v>3144.6039999999998</v>
      </c>
      <c r="C13" s="225">
        <v>3284.3829999999998</v>
      </c>
      <c r="D13" s="225">
        <v>1870.1579999999999</v>
      </c>
      <c r="E13" s="72">
        <v>9582.0305000000008</v>
      </c>
      <c r="F13" s="72"/>
      <c r="G13" s="240" t="s">
        <v>51</v>
      </c>
      <c r="H13" s="241">
        <f>Agriculture_FoodSecurity[[#This Row],[2023]]-Agriculture_FoodSecurity[[#This Row],[2022]]</f>
        <v>139.779</v>
      </c>
      <c r="I13" s="241">
        <f>Agriculture_FoodSecurity[[#This Row],[2024]]-Agriculture_FoodSecurity[[#This Row],[2023]]</f>
        <v>-1414.2249999999999</v>
      </c>
      <c r="J13" s="241">
        <f>Agriculture_FoodSecurity[[#This Row],[2025]]-Agriculture_FoodSecurity[[#This Row],[2024]]</f>
        <v>7711.8725000000013</v>
      </c>
      <c r="L13" s="243" t="s">
        <v>51</v>
      </c>
      <c r="M13" s="243">
        <f>IF(OR(Agriculture_FoodSecurity[[#This Row],[2022]]="n.a", Agriculture_FoodSecurity[[#This Row],[2022]]=0, Agriculture_FoodSecurity[[#This Row],[2023]]="n.a"),
   "-",H13/Agriculture_FoodSecurity[[#This Row],[2022]])</f>
        <v>4.4450430006449146E-2</v>
      </c>
      <c r="N13" s="243">
        <f>IF(OR(Agriculture_FoodSecurity[[#This Row],[2023]]="n.a", Agriculture_FoodSecurity[[#This Row],[2023]]=0, Agriculture_FoodSecurity[[#This Row],[2024]]="n.a"),
   "-",I13/Agriculture_FoodSecurity[[#This Row],[2023]])</f>
        <v>-0.43059076849441735</v>
      </c>
      <c r="O13" s="243">
        <f>IF(OR(Agriculture_FoodSecurity[[#This Row],[2024]]="n.a", Agriculture_FoodSecurity[[#This Row],[2024]]=0, Agriculture_FoodSecurity[[#This Row],[2025]]="n.a"),
   "-",J13/Agriculture_FoodSecurity[[#This Row],[2024]])</f>
        <v>4.1236475741621836</v>
      </c>
    </row>
    <row r="14" spans="1:15">
      <c r="A14" s="224" t="s">
        <v>39</v>
      </c>
      <c r="B14" s="225">
        <v>79022.298999999999</v>
      </c>
      <c r="C14" s="225">
        <v>31186.999</v>
      </c>
      <c r="D14" s="225">
        <v>6132.1365000000005</v>
      </c>
      <c r="E14" s="72">
        <v>1012.3599999999999</v>
      </c>
      <c r="F14" s="72"/>
      <c r="G14" s="240" t="s">
        <v>51</v>
      </c>
      <c r="H14" s="241">
        <f>Agriculture_FoodSecurity[[#This Row],[2023]]-Agriculture_FoodSecurity[[#This Row],[2022]]</f>
        <v>-47835.3</v>
      </c>
      <c r="I14" s="241">
        <f>Agriculture_FoodSecurity[[#This Row],[2024]]-Agriculture_FoodSecurity[[#This Row],[2023]]</f>
        <v>-25054.862499999999</v>
      </c>
      <c r="J14" s="241">
        <f>Agriculture_FoodSecurity[[#This Row],[2025]]-Agriculture_FoodSecurity[[#This Row],[2024]]</f>
        <v>-5119.7765000000009</v>
      </c>
      <c r="L14" s="243" t="s">
        <v>51</v>
      </c>
      <c r="M14" s="243">
        <f>IF(OR(Agriculture_FoodSecurity[[#This Row],[2022]]="n.a", Agriculture_FoodSecurity[[#This Row],[2022]]=0, Agriculture_FoodSecurity[[#This Row],[2023]]="n.a"),
   "-",H14/Agriculture_FoodSecurity[[#This Row],[2022]])</f>
        <v>-0.60533925999799121</v>
      </c>
      <c r="N14" s="243">
        <f>IF(OR(Agriculture_FoodSecurity[[#This Row],[2023]]="n.a", Agriculture_FoodSecurity[[#This Row],[2023]]=0, Agriculture_FoodSecurity[[#This Row],[2024]]="n.a"),
   "-",I14/Agriculture_FoodSecurity[[#This Row],[2023]])</f>
        <v>-0.80337523017203416</v>
      </c>
      <c r="O14" s="243">
        <f>IF(OR(Agriculture_FoodSecurity[[#This Row],[2024]]="n.a", Agriculture_FoodSecurity[[#This Row],[2024]]=0, Agriculture_FoodSecurity[[#This Row],[2025]]="n.a"),
   "-",J14/Agriculture_FoodSecurity[[#This Row],[2024]])</f>
        <v>-0.83490908918938778</v>
      </c>
    </row>
    <row r="15" spans="1:15">
      <c r="A15" s="224" t="s">
        <v>36</v>
      </c>
      <c r="B15" s="225">
        <v>0</v>
      </c>
      <c r="C15" s="225">
        <v>5.5</v>
      </c>
      <c r="D15" s="225">
        <v>44.377000000000002</v>
      </c>
      <c r="E15" s="72">
        <v>3646.3219999999997</v>
      </c>
      <c r="F15" s="72"/>
      <c r="G15" s="240" t="s">
        <v>51</v>
      </c>
      <c r="H15" s="241">
        <f>Agriculture_FoodSecurity[[#This Row],[2023]]-Agriculture_FoodSecurity[[#This Row],[2022]]</f>
        <v>5.5</v>
      </c>
      <c r="I15" s="241">
        <f>Agriculture_FoodSecurity[[#This Row],[2024]]-Agriculture_FoodSecurity[[#This Row],[2023]]</f>
        <v>38.877000000000002</v>
      </c>
      <c r="J15" s="241">
        <f>Agriculture_FoodSecurity[[#This Row],[2025]]-Agriculture_FoodSecurity[[#This Row],[2024]]</f>
        <v>3601.9449999999997</v>
      </c>
      <c r="L15" s="243" t="s">
        <v>51</v>
      </c>
      <c r="M15" s="243" t="str">
        <f>IF(OR(Agriculture_FoodSecurity[[#This Row],[2022]]="n.a", Agriculture_FoodSecurity[[#This Row],[2022]]=0, Agriculture_FoodSecurity[[#This Row],[2023]]="n.a"),
   "-",H15/Agriculture_FoodSecurity[[#This Row],[2022]])</f>
        <v>-</v>
      </c>
      <c r="N15" s="243">
        <f>IF(OR(Agriculture_FoodSecurity[[#This Row],[2023]]="n.a", Agriculture_FoodSecurity[[#This Row],[2023]]=0, Agriculture_FoodSecurity[[#This Row],[2024]]="n.a"),
   "-",I15/Agriculture_FoodSecurity[[#This Row],[2023]])</f>
        <v>7.0685454545454549</v>
      </c>
      <c r="O15" s="243">
        <f>IF(OR(Agriculture_FoodSecurity[[#This Row],[2024]]="n.a", Agriculture_FoodSecurity[[#This Row],[2024]]=0, Agriculture_FoodSecurity[[#This Row],[2025]]="n.a"),
   "-",J15/Agriculture_FoodSecurity[[#This Row],[2024]])</f>
        <v>81.166933321315085</v>
      </c>
    </row>
    <row r="16" spans="1:15">
      <c r="A16" s="224" t="s">
        <v>37</v>
      </c>
      <c r="B16" s="225">
        <v>98.5</v>
      </c>
      <c r="C16" s="225">
        <v>98.5</v>
      </c>
      <c r="D16" s="225">
        <v>453.22199999999998</v>
      </c>
      <c r="E16" s="72">
        <v>94</v>
      </c>
      <c r="F16" s="72"/>
      <c r="G16" s="240" t="s">
        <v>51</v>
      </c>
      <c r="H16" s="241">
        <f>Agriculture_FoodSecurity[[#This Row],[2023]]-Agriculture_FoodSecurity[[#This Row],[2022]]</f>
        <v>0</v>
      </c>
      <c r="I16" s="241">
        <f>Agriculture_FoodSecurity[[#This Row],[2024]]-Agriculture_FoodSecurity[[#This Row],[2023]]</f>
        <v>354.72199999999998</v>
      </c>
      <c r="J16" s="241">
        <f>Agriculture_FoodSecurity[[#This Row],[2025]]-Agriculture_FoodSecurity[[#This Row],[2024]]</f>
        <v>-359.22199999999998</v>
      </c>
      <c r="L16" s="243" t="s">
        <v>51</v>
      </c>
      <c r="M16" s="243">
        <f>IF(OR(Agriculture_FoodSecurity[[#This Row],[2022]]="n.a", Agriculture_FoodSecurity[[#This Row],[2022]]=0, Agriculture_FoodSecurity[[#This Row],[2023]]="n.a"),
   "-",H16/Agriculture_FoodSecurity[[#This Row],[2022]])</f>
        <v>0</v>
      </c>
      <c r="N16" s="243">
        <f>IF(OR(Agriculture_FoodSecurity[[#This Row],[2023]]="n.a", Agriculture_FoodSecurity[[#This Row],[2023]]=0, Agriculture_FoodSecurity[[#This Row],[2024]]="n.a"),
   "-",I16/Agriculture_FoodSecurity[[#This Row],[2023]])</f>
        <v>3.6012385786802028</v>
      </c>
      <c r="O16" s="243">
        <f>IF(OR(Agriculture_FoodSecurity[[#This Row],[2024]]="n.a", Agriculture_FoodSecurity[[#This Row],[2024]]=0, Agriculture_FoodSecurity[[#This Row],[2025]]="n.a"),
   "-",J16/Agriculture_FoodSecurity[[#This Row],[2024]])</f>
        <v>-0.79259612287135217</v>
      </c>
    </row>
    <row r="17" spans="1:15">
      <c r="G17" s="242"/>
      <c r="H17" s="242"/>
      <c r="I17" s="242"/>
      <c r="J17" s="242"/>
    </row>
    <row r="19" spans="1:15">
      <c r="A19" s="222" t="s">
        <v>18</v>
      </c>
      <c r="B19" s="330" t="s">
        <v>52</v>
      </c>
      <c r="C19" s="330"/>
      <c r="D19" s="330"/>
      <c r="E19" s="330"/>
      <c r="G19" s="331" t="s">
        <v>44</v>
      </c>
      <c r="H19" s="331"/>
      <c r="I19" s="331"/>
      <c r="J19" s="331"/>
      <c r="L19" s="331" t="s">
        <v>45</v>
      </c>
      <c r="M19" s="331"/>
      <c r="N19" s="331"/>
      <c r="O19" s="331"/>
    </row>
    <row r="20" spans="1:15" ht="15" thickBot="1">
      <c r="A20" s="127" t="s">
        <v>1</v>
      </c>
      <c r="B20" s="122" t="s">
        <v>46</v>
      </c>
      <c r="C20" s="122" t="s">
        <v>47</v>
      </c>
      <c r="D20" s="144" t="s">
        <v>48</v>
      </c>
      <c r="E20" s="1" t="s">
        <v>49</v>
      </c>
      <c r="G20" s="240">
        <v>2022</v>
      </c>
      <c r="H20" s="240">
        <v>2023</v>
      </c>
      <c r="I20" s="240">
        <v>2024</v>
      </c>
      <c r="J20" s="240">
        <v>2025</v>
      </c>
      <c r="L20" s="240">
        <v>2022</v>
      </c>
      <c r="M20" s="240">
        <v>2023</v>
      </c>
      <c r="N20" s="240">
        <v>2024</v>
      </c>
      <c r="O20" s="240">
        <v>2025</v>
      </c>
    </row>
    <row r="21" spans="1:15">
      <c r="A21" s="244" t="s">
        <v>50</v>
      </c>
      <c r="B21" s="135" t="s">
        <v>53</v>
      </c>
      <c r="C21" s="124">
        <v>1124.70011</v>
      </c>
      <c r="D21" s="169">
        <v>22598.020197662507</v>
      </c>
      <c r="E21" s="167">
        <v>72.147999999999996</v>
      </c>
      <c r="G21" s="240" t="s">
        <v>51</v>
      </c>
      <c r="H21" s="241" t="str">
        <f>IF(OR(Plantation_Commodity[[#This Row],[2023]]="n.a",Plantation_Commodity[[#This Row],[2022]]="n.a"),"-",Plantation_Commodity[[#This Row],[2023]]-Plantation_Commodity[[#This Row],[2022]])</f>
        <v>-</v>
      </c>
      <c r="I21" s="241">
        <f>IF(OR(Plantation_Commodity[[#This Row],[2024]]="n.a",Plantation_Commodity[[#This Row],[2023]]="n.a"),"-",Plantation_Commodity[[#This Row],[2024]]-Plantation_Commodity[[#This Row],[2023]])</f>
        <v>21473.320087662505</v>
      </c>
      <c r="J21" s="241">
        <f>IF(OR(Plantation_Commodity[[#This Row],[2025]]="n.a",Plantation_Commodity[[#This Row],[2024]]="n.a"),"-",Plantation_Commodity[[#This Row],[2025]]-Plantation_Commodity[[#This Row],[2024]])</f>
        <v>-22525.872197662506</v>
      </c>
      <c r="L21" s="240" t="s">
        <v>51</v>
      </c>
      <c r="M21" s="243" t="str">
        <f>IF(OR(Plantation_Commodity[[#This Row],[2022]]="n.a", Plantation_Commodity[[#This Row],[2022]]=0, Plantation_Commodity[[#This Row],[2023]]="n.a"),
   "-",H21/Plantation_Commodity[[#This Row],[2022]])</f>
        <v>-</v>
      </c>
      <c r="N21" s="243">
        <f>IF(OR(Plantation_Commodity[[#This Row],[2023]]="n.a", Plantation_Commodity[[#This Row],[2023]]=0, Plantation_Commodity[[#This Row],[2024]]="n.a"),
   "-",I21/Plantation_Commodity[[#This Row],[2023]])</f>
        <v>19.092485096015956</v>
      </c>
      <c r="O21" s="243">
        <f>IF(OR(Plantation_Commodity[[#This Row],[2024]]="n.a", Plantation_Commodity[[#This Row],[2024]]=0, Plantation_Commodity[[#This Row],[2025]]="n.a"),
   "-",J21/Plantation_Commodity[[#This Row],[2024]])</f>
        <v>-0.99680733093567797</v>
      </c>
    </row>
    <row r="22" spans="1:15">
      <c r="A22" s="224" t="s">
        <v>27</v>
      </c>
      <c r="B22" s="79" t="s">
        <v>53</v>
      </c>
      <c r="C22" s="226">
        <v>42.43</v>
      </c>
      <c r="D22" s="76">
        <v>3.0751200000000001</v>
      </c>
      <c r="E22" s="77">
        <v>0</v>
      </c>
      <c r="G22" s="240" t="s">
        <v>51</v>
      </c>
      <c r="H22" s="241" t="str">
        <f>IF(OR(Plantation_Commodity[[#This Row],[2023]]="n.a",Plantation_Commodity[[#This Row],[2022]]="n.a"),"-",Plantation_Commodity[[#This Row],[2023]]-Plantation_Commodity[[#This Row],[2022]])</f>
        <v>-</v>
      </c>
      <c r="I22" s="241">
        <f>IF(OR(Plantation_Commodity[[#This Row],[2024]]="n.a",Plantation_Commodity[[#This Row],[2023]]="n.a"),"-",Plantation_Commodity[[#This Row],[2024]]-Plantation_Commodity[[#This Row],[2023]])</f>
        <v>-39.354880000000001</v>
      </c>
      <c r="J22" s="241">
        <f>IF(OR(Plantation_Commodity[[#This Row],[2025]]="n.a",Plantation_Commodity[[#This Row],[2024]]="n.a"),"-",Plantation_Commodity[[#This Row],[2025]]-Plantation_Commodity[[#This Row],[2024]])</f>
        <v>-3.0751200000000001</v>
      </c>
      <c r="L22" s="243" t="s">
        <v>51</v>
      </c>
      <c r="M22" s="243" t="str">
        <f>IF(OR(Plantation_Commodity[[#This Row],[2022]]="n.a", Plantation_Commodity[[#This Row],[2022]]=0, Plantation_Commodity[[#This Row],[2023]]="n.a"),
   "-",H22/Plantation_Commodity[[#This Row],[2022]])</f>
        <v>-</v>
      </c>
      <c r="N22" s="243">
        <f>IF(OR(Plantation_Commodity[[#This Row],[2023]]="n.a", Plantation_Commodity[[#This Row],[2023]]=0, Plantation_Commodity[[#This Row],[2024]]="n.a"),
   "-",I22/Plantation_Commodity[[#This Row],[2023]])</f>
        <v>-0.92752486448267735</v>
      </c>
      <c r="O22" s="243">
        <f>IF(OR(Plantation_Commodity[[#This Row],[2024]]="n.a", Plantation_Commodity[[#This Row],[2024]]=0, Plantation_Commodity[[#This Row],[2025]]="n.a"),
   "-",J22/Plantation_Commodity[[#This Row],[2024]])</f>
        <v>-1</v>
      </c>
    </row>
    <row r="23" spans="1:15">
      <c r="A23" s="224" t="s">
        <v>28</v>
      </c>
      <c r="B23" s="79" t="s">
        <v>53</v>
      </c>
      <c r="C23" s="226">
        <v>0</v>
      </c>
      <c r="D23" s="73">
        <v>0</v>
      </c>
      <c r="E23" s="74">
        <v>0</v>
      </c>
      <c r="G23" s="240" t="s">
        <v>51</v>
      </c>
      <c r="H23" s="241" t="str">
        <f>IF(OR(Plantation_Commodity[[#This Row],[2023]]="n.a",Plantation_Commodity[[#This Row],[2022]]="n.a"),"-",Plantation_Commodity[[#This Row],[2023]]-Plantation_Commodity[[#This Row],[2022]])</f>
        <v>-</v>
      </c>
      <c r="I23" s="241">
        <f>IF(OR(Plantation_Commodity[[#This Row],[2024]]="n.a",Plantation_Commodity[[#This Row],[2023]]="n.a"),"-",Plantation_Commodity[[#This Row],[2024]]-Plantation_Commodity[[#This Row],[2023]])</f>
        <v>0</v>
      </c>
      <c r="J23" s="241">
        <f>IF(OR(Plantation_Commodity[[#This Row],[2025]]="n.a",Plantation_Commodity[[#This Row],[2024]]="n.a"),"-",Plantation_Commodity[[#This Row],[2025]]-Plantation_Commodity[[#This Row],[2024]])</f>
        <v>0</v>
      </c>
      <c r="L23" s="243" t="s">
        <v>51</v>
      </c>
      <c r="M23" s="243" t="str">
        <f>IF(OR(Plantation_Commodity[[#This Row],[2022]]="n.a", Plantation_Commodity[[#This Row],[2022]]=0, Plantation_Commodity[[#This Row],[2023]]="n.a"),
   "-",H23/Plantation_Commodity[[#This Row],[2022]])</f>
        <v>-</v>
      </c>
      <c r="N23" s="243" t="str">
        <f>IF(OR(Plantation_Commodity[[#This Row],[2023]]="n.a", Plantation_Commodity[[#This Row],[2023]]=0, Plantation_Commodity[[#This Row],[2024]]="n.a"),
   "-",I23/Plantation_Commodity[[#This Row],[2023]])</f>
        <v>-</v>
      </c>
      <c r="O23" s="243" t="str">
        <f>IF(OR(Plantation_Commodity[[#This Row],[2024]]="n.a", Plantation_Commodity[[#This Row],[2024]]=0, Plantation_Commodity[[#This Row],[2025]]="n.a"),
   "-",J23/Plantation_Commodity[[#This Row],[2024]])</f>
        <v>-</v>
      </c>
    </row>
    <row r="24" spans="1:15">
      <c r="A24" s="224" t="s">
        <v>29</v>
      </c>
      <c r="B24" s="79" t="s">
        <v>53</v>
      </c>
      <c r="C24" s="226">
        <v>22.4</v>
      </c>
      <c r="D24" s="76">
        <v>21344.106426362501</v>
      </c>
      <c r="E24" s="77">
        <v>0</v>
      </c>
      <c r="G24" s="240" t="s">
        <v>51</v>
      </c>
      <c r="H24" s="241" t="str">
        <f>IF(OR(Plantation_Commodity[[#This Row],[2023]]="n.a",Plantation_Commodity[[#This Row],[2022]]="n.a"),"-",Plantation_Commodity[[#This Row],[2023]]-Plantation_Commodity[[#This Row],[2022]])</f>
        <v>-</v>
      </c>
      <c r="I24" s="241">
        <f>IF(OR(Plantation_Commodity[[#This Row],[2024]]="n.a",Plantation_Commodity[[#This Row],[2023]]="n.a"),"-",Plantation_Commodity[[#This Row],[2024]]-Plantation_Commodity[[#This Row],[2023]])</f>
        <v>21321.7064263625</v>
      </c>
      <c r="J24" s="241">
        <f>IF(OR(Plantation_Commodity[[#This Row],[2025]]="n.a",Plantation_Commodity[[#This Row],[2024]]="n.a"),"-",Plantation_Commodity[[#This Row],[2025]]-Plantation_Commodity[[#This Row],[2024]])</f>
        <v>-21344.106426362501</v>
      </c>
      <c r="L24" s="243" t="s">
        <v>51</v>
      </c>
      <c r="M24" s="243" t="str">
        <f>IF(OR(Plantation_Commodity[[#This Row],[2022]]="n.a", Plantation_Commodity[[#This Row],[2022]]=0, Plantation_Commodity[[#This Row],[2023]]="n.a"),
   "-",H24/Plantation_Commodity[[#This Row],[2022]])</f>
        <v>-</v>
      </c>
      <c r="N24" s="243">
        <f>IF(OR(Plantation_Commodity[[#This Row],[2023]]="n.a", Plantation_Commodity[[#This Row],[2023]]=0, Plantation_Commodity[[#This Row],[2024]]="n.a"),
   "-",I24/Plantation_Commodity[[#This Row],[2023]])</f>
        <v>951.86189403404023</v>
      </c>
      <c r="O24" s="243">
        <f>IF(OR(Plantation_Commodity[[#This Row],[2024]]="n.a", Plantation_Commodity[[#This Row],[2024]]=0, Plantation_Commodity[[#This Row],[2025]]="n.a"),
   "-",J24/Plantation_Commodity[[#This Row],[2024]])</f>
        <v>-1</v>
      </c>
    </row>
    <row r="25" spans="1:15">
      <c r="A25" s="224" t="s">
        <v>30</v>
      </c>
      <c r="B25" s="79" t="s">
        <v>53</v>
      </c>
      <c r="C25" s="226">
        <v>1.3</v>
      </c>
      <c r="D25" s="76">
        <v>0</v>
      </c>
      <c r="E25" s="77">
        <v>0</v>
      </c>
      <c r="G25" s="240" t="s">
        <v>51</v>
      </c>
      <c r="H25" s="241" t="str">
        <f>IF(OR(Plantation_Commodity[[#This Row],[2023]]="n.a",Plantation_Commodity[[#This Row],[2022]]="n.a"),"-",Plantation_Commodity[[#This Row],[2023]]-Plantation_Commodity[[#This Row],[2022]])</f>
        <v>-</v>
      </c>
      <c r="I25" s="241">
        <f>IF(OR(Plantation_Commodity[[#This Row],[2024]]="n.a",Plantation_Commodity[[#This Row],[2023]]="n.a"),"-",Plantation_Commodity[[#This Row],[2024]]-Plantation_Commodity[[#This Row],[2023]])</f>
        <v>-1.3</v>
      </c>
      <c r="J25" s="241">
        <f>IF(OR(Plantation_Commodity[[#This Row],[2025]]="n.a",Plantation_Commodity[[#This Row],[2024]]="n.a"),"-",Plantation_Commodity[[#This Row],[2025]]-Plantation_Commodity[[#This Row],[2024]])</f>
        <v>0</v>
      </c>
      <c r="L25" s="243" t="s">
        <v>51</v>
      </c>
      <c r="M25" s="243" t="str">
        <f>IF(OR(Plantation_Commodity[[#This Row],[2022]]="n.a", Plantation_Commodity[[#This Row],[2022]]=0, Plantation_Commodity[[#This Row],[2023]]="n.a"),
   "-",H25/Plantation_Commodity[[#This Row],[2022]])</f>
        <v>-</v>
      </c>
      <c r="N25" s="243">
        <f>IF(OR(Plantation_Commodity[[#This Row],[2023]]="n.a", Plantation_Commodity[[#This Row],[2023]]=0, Plantation_Commodity[[#This Row],[2024]]="n.a"),
   "-",I25/Plantation_Commodity[[#This Row],[2023]])</f>
        <v>-1</v>
      </c>
      <c r="O25" s="243" t="str">
        <f>IF(OR(Plantation_Commodity[[#This Row],[2024]]="n.a", Plantation_Commodity[[#This Row],[2024]]=0, Plantation_Commodity[[#This Row],[2025]]="n.a"),
   "-",J25/Plantation_Commodity[[#This Row],[2024]])</f>
        <v>-</v>
      </c>
    </row>
    <row r="26" spans="1:15" ht="25">
      <c r="A26" s="224" t="s">
        <v>31</v>
      </c>
      <c r="B26" s="79" t="s">
        <v>53</v>
      </c>
      <c r="C26" s="226">
        <v>0</v>
      </c>
      <c r="D26" s="76">
        <v>0</v>
      </c>
      <c r="E26" s="77">
        <v>0</v>
      </c>
      <c r="G26" s="240" t="s">
        <v>51</v>
      </c>
      <c r="H26" s="241" t="str">
        <f>IF(OR(Plantation_Commodity[[#This Row],[2023]]="n.a",Plantation_Commodity[[#This Row],[2022]]="n.a"),"-",Plantation_Commodity[[#This Row],[2023]]-Plantation_Commodity[[#This Row],[2022]])</f>
        <v>-</v>
      </c>
      <c r="I26" s="241">
        <f>IF(OR(Plantation_Commodity[[#This Row],[2024]]="n.a",Plantation_Commodity[[#This Row],[2023]]="n.a"),"-",Plantation_Commodity[[#This Row],[2024]]-Plantation_Commodity[[#This Row],[2023]])</f>
        <v>0</v>
      </c>
      <c r="J26" s="241">
        <f>IF(OR(Plantation_Commodity[[#This Row],[2025]]="n.a",Plantation_Commodity[[#This Row],[2024]]="n.a"),"-",Plantation_Commodity[[#This Row],[2025]]-Plantation_Commodity[[#This Row],[2024]])</f>
        <v>0</v>
      </c>
      <c r="L26" s="243" t="s">
        <v>51</v>
      </c>
      <c r="M26" s="243" t="str">
        <f>IF(OR(Plantation_Commodity[[#This Row],[2022]]="n.a", Plantation_Commodity[[#This Row],[2022]]=0, Plantation_Commodity[[#This Row],[2023]]="n.a"),
   "-",H26/Plantation_Commodity[[#This Row],[2022]])</f>
        <v>-</v>
      </c>
      <c r="N26" s="243" t="str">
        <f>IF(OR(Plantation_Commodity[[#This Row],[2023]]="n.a", Plantation_Commodity[[#This Row],[2023]]=0, Plantation_Commodity[[#This Row],[2024]]="n.a"),
   "-",I26/Plantation_Commodity[[#This Row],[2023]])</f>
        <v>-</v>
      </c>
      <c r="O26" s="243" t="str">
        <f>IF(OR(Plantation_Commodity[[#This Row],[2024]]="n.a", Plantation_Commodity[[#This Row],[2024]]=0, Plantation_Commodity[[#This Row],[2025]]="n.a"),
   "-",J26/Plantation_Commodity[[#This Row],[2024]])</f>
        <v>-</v>
      </c>
    </row>
    <row r="27" spans="1:15">
      <c r="A27" s="224" t="s">
        <v>32</v>
      </c>
      <c r="B27" s="79" t="s">
        <v>53</v>
      </c>
      <c r="C27" s="226">
        <v>675.4</v>
      </c>
      <c r="D27" s="76">
        <v>0</v>
      </c>
      <c r="E27" s="77">
        <v>0</v>
      </c>
      <c r="G27" s="240" t="s">
        <v>51</v>
      </c>
      <c r="H27" s="241" t="str">
        <f>IF(OR(Plantation_Commodity[[#This Row],[2023]]="n.a",Plantation_Commodity[[#This Row],[2022]]="n.a"),"-",Plantation_Commodity[[#This Row],[2023]]-Plantation_Commodity[[#This Row],[2022]])</f>
        <v>-</v>
      </c>
      <c r="I27" s="241">
        <f>IF(OR(Plantation_Commodity[[#This Row],[2024]]="n.a",Plantation_Commodity[[#This Row],[2023]]="n.a"),"-",Plantation_Commodity[[#This Row],[2024]]-Plantation_Commodity[[#This Row],[2023]])</f>
        <v>-675.4</v>
      </c>
      <c r="J27" s="241">
        <f>IF(OR(Plantation_Commodity[[#This Row],[2025]]="n.a",Plantation_Commodity[[#This Row],[2024]]="n.a"),"-",Plantation_Commodity[[#This Row],[2025]]-Plantation_Commodity[[#This Row],[2024]])</f>
        <v>0</v>
      </c>
      <c r="L27" s="243" t="s">
        <v>51</v>
      </c>
      <c r="M27" s="243" t="str">
        <f>IF(OR(Plantation_Commodity[[#This Row],[2022]]="n.a", Plantation_Commodity[[#This Row],[2022]]=0, Plantation_Commodity[[#This Row],[2023]]="n.a"),
   "-",H27/Plantation_Commodity[[#This Row],[2022]])</f>
        <v>-</v>
      </c>
      <c r="N27" s="243">
        <f>IF(OR(Plantation_Commodity[[#This Row],[2023]]="n.a", Plantation_Commodity[[#This Row],[2023]]=0, Plantation_Commodity[[#This Row],[2024]]="n.a"),
   "-",I27/Plantation_Commodity[[#This Row],[2023]])</f>
        <v>-1</v>
      </c>
      <c r="O27" s="243" t="str">
        <f>IF(OR(Plantation_Commodity[[#This Row],[2024]]="n.a", Plantation_Commodity[[#This Row],[2024]]=0, Plantation_Commodity[[#This Row],[2025]]="n.a"),
   "-",J27/Plantation_Commodity[[#This Row],[2024]])</f>
        <v>-</v>
      </c>
    </row>
    <row r="28" spans="1:15">
      <c r="A28" s="224" t="s">
        <v>35</v>
      </c>
      <c r="B28" s="79" t="s">
        <v>53</v>
      </c>
      <c r="C28" s="226">
        <v>0</v>
      </c>
      <c r="D28" s="73">
        <v>0</v>
      </c>
      <c r="E28" s="74">
        <v>0</v>
      </c>
      <c r="G28" s="240" t="s">
        <v>51</v>
      </c>
      <c r="H28" s="241" t="str">
        <f>IF(OR(Plantation_Commodity[[#This Row],[2023]]="n.a",Plantation_Commodity[[#This Row],[2022]]="n.a"),"-",Plantation_Commodity[[#This Row],[2023]]-Plantation_Commodity[[#This Row],[2022]])</f>
        <v>-</v>
      </c>
      <c r="I28" s="241">
        <f>IF(OR(Plantation_Commodity[[#This Row],[2024]]="n.a",Plantation_Commodity[[#This Row],[2023]]="n.a"),"-",Plantation_Commodity[[#This Row],[2024]]-Plantation_Commodity[[#This Row],[2023]])</f>
        <v>0</v>
      </c>
      <c r="J28" s="241">
        <f>IF(OR(Plantation_Commodity[[#This Row],[2025]]="n.a",Plantation_Commodity[[#This Row],[2024]]="n.a"),"-",Plantation_Commodity[[#This Row],[2025]]-Plantation_Commodity[[#This Row],[2024]])</f>
        <v>0</v>
      </c>
      <c r="L28" s="243" t="s">
        <v>51</v>
      </c>
      <c r="M28" s="243" t="str">
        <f>IF(OR(Plantation_Commodity[[#This Row],[2022]]="n.a", Plantation_Commodity[[#This Row],[2022]]=0, Plantation_Commodity[[#This Row],[2023]]="n.a"),
   "-",H28/Plantation_Commodity[[#This Row],[2022]])</f>
        <v>-</v>
      </c>
      <c r="N28" s="243" t="str">
        <f>IF(OR(Plantation_Commodity[[#This Row],[2023]]="n.a", Plantation_Commodity[[#This Row],[2023]]=0, Plantation_Commodity[[#This Row],[2024]]="n.a"),
   "-",I28/Plantation_Commodity[[#This Row],[2023]])</f>
        <v>-</v>
      </c>
      <c r="O28" s="243" t="str">
        <f>IF(OR(Plantation_Commodity[[#This Row],[2024]]="n.a", Plantation_Commodity[[#This Row],[2024]]=0, Plantation_Commodity[[#This Row],[2025]]="n.a"),
   "-",J28/Plantation_Commodity[[#This Row],[2024]])</f>
        <v>-</v>
      </c>
    </row>
    <row r="29" spans="1:15">
      <c r="A29" s="224" t="s">
        <v>33</v>
      </c>
      <c r="B29" s="79" t="s">
        <v>53</v>
      </c>
      <c r="C29" s="226">
        <v>0</v>
      </c>
      <c r="D29" s="76">
        <v>0</v>
      </c>
      <c r="E29" s="77">
        <v>0</v>
      </c>
      <c r="G29" s="240" t="s">
        <v>51</v>
      </c>
      <c r="H29" s="241" t="str">
        <f>IF(OR(Plantation_Commodity[[#This Row],[2023]]="n.a",Plantation_Commodity[[#This Row],[2022]]="n.a"),"-",Plantation_Commodity[[#This Row],[2023]]-Plantation_Commodity[[#This Row],[2022]])</f>
        <v>-</v>
      </c>
      <c r="I29" s="241">
        <f>IF(OR(Plantation_Commodity[[#This Row],[2024]]="n.a",Plantation_Commodity[[#This Row],[2023]]="n.a"),"-",Plantation_Commodity[[#This Row],[2024]]-Plantation_Commodity[[#This Row],[2023]])</f>
        <v>0</v>
      </c>
      <c r="J29" s="241">
        <f>IF(OR(Plantation_Commodity[[#This Row],[2025]]="n.a",Plantation_Commodity[[#This Row],[2024]]="n.a"),"-",Plantation_Commodity[[#This Row],[2025]]-Plantation_Commodity[[#This Row],[2024]])</f>
        <v>0</v>
      </c>
      <c r="L29" s="243" t="s">
        <v>51</v>
      </c>
      <c r="M29" s="243" t="str">
        <f>IF(OR(Plantation_Commodity[[#This Row],[2022]]="n.a", Plantation_Commodity[[#This Row],[2022]]=0, Plantation_Commodity[[#This Row],[2023]]="n.a"),
   "-",H29/Plantation_Commodity[[#This Row],[2022]])</f>
        <v>-</v>
      </c>
      <c r="N29" s="243" t="str">
        <f>IF(OR(Plantation_Commodity[[#This Row],[2023]]="n.a", Plantation_Commodity[[#This Row],[2023]]=0, Plantation_Commodity[[#This Row],[2024]]="n.a"),
   "-",I29/Plantation_Commodity[[#This Row],[2023]])</f>
        <v>-</v>
      </c>
      <c r="O29" s="243" t="str">
        <f>IF(OR(Plantation_Commodity[[#This Row],[2024]]="n.a", Plantation_Commodity[[#This Row],[2024]]=0, Plantation_Commodity[[#This Row],[2025]]="n.a"),
   "-",J29/Plantation_Commodity[[#This Row],[2024]])</f>
        <v>-</v>
      </c>
    </row>
    <row r="30" spans="1:15">
      <c r="A30" s="224" t="s">
        <v>34</v>
      </c>
      <c r="B30" s="79" t="s">
        <v>53</v>
      </c>
      <c r="C30" s="227">
        <v>0</v>
      </c>
      <c r="D30" s="73">
        <v>0</v>
      </c>
      <c r="E30" s="74">
        <v>0</v>
      </c>
      <c r="G30" s="240" t="s">
        <v>51</v>
      </c>
      <c r="H30" s="241" t="str">
        <f>IF(OR(Plantation_Commodity[[#This Row],[2023]]="n.a",Plantation_Commodity[[#This Row],[2022]]="n.a"),"-",Plantation_Commodity[[#This Row],[2023]]-Plantation_Commodity[[#This Row],[2022]])</f>
        <v>-</v>
      </c>
      <c r="I30" s="241">
        <f>IF(OR(Plantation_Commodity[[#This Row],[2024]]="n.a",Plantation_Commodity[[#This Row],[2023]]="n.a"),"-",Plantation_Commodity[[#This Row],[2024]]-Plantation_Commodity[[#This Row],[2023]])</f>
        <v>0</v>
      </c>
      <c r="J30" s="241">
        <f>IF(OR(Plantation_Commodity[[#This Row],[2025]]="n.a",Plantation_Commodity[[#This Row],[2024]]="n.a"),"-",Plantation_Commodity[[#This Row],[2025]]-Plantation_Commodity[[#This Row],[2024]])</f>
        <v>0</v>
      </c>
      <c r="L30" s="243" t="s">
        <v>51</v>
      </c>
      <c r="M30" s="243" t="str">
        <f>IF(OR(Plantation_Commodity[[#This Row],[2022]]="n.a", Plantation_Commodity[[#This Row],[2022]]=0, Plantation_Commodity[[#This Row],[2023]]="n.a"),
   "-",H30/Plantation_Commodity[[#This Row],[2022]])</f>
        <v>-</v>
      </c>
      <c r="N30" s="243" t="str">
        <f>IF(OR(Plantation_Commodity[[#This Row],[2023]]="n.a", Plantation_Commodity[[#This Row],[2023]]=0, Plantation_Commodity[[#This Row],[2024]]="n.a"),
   "-",I30/Plantation_Commodity[[#This Row],[2023]])</f>
        <v>-</v>
      </c>
      <c r="O30" s="243" t="str">
        <f>IF(OR(Plantation_Commodity[[#This Row],[2024]]="n.a", Plantation_Commodity[[#This Row],[2024]]=0, Plantation_Commodity[[#This Row],[2025]]="n.a"),
   "-",J30/Plantation_Commodity[[#This Row],[2024]])</f>
        <v>-</v>
      </c>
    </row>
    <row r="31" spans="1:15">
      <c r="A31" s="224" t="s">
        <v>38</v>
      </c>
      <c r="B31" s="79" t="s">
        <v>53</v>
      </c>
      <c r="C31" s="226">
        <v>0</v>
      </c>
      <c r="D31" s="76">
        <v>17.322659999999999</v>
      </c>
      <c r="E31" s="77">
        <v>0</v>
      </c>
      <c r="G31" s="240" t="s">
        <v>51</v>
      </c>
      <c r="H31" s="241" t="str">
        <f>IF(OR(Plantation_Commodity[[#This Row],[2023]]="n.a",Plantation_Commodity[[#This Row],[2022]]="n.a"),"-",Plantation_Commodity[[#This Row],[2023]]-Plantation_Commodity[[#This Row],[2022]])</f>
        <v>-</v>
      </c>
      <c r="I31" s="241">
        <f>IF(OR(Plantation_Commodity[[#This Row],[2024]]="n.a",Plantation_Commodity[[#This Row],[2023]]="n.a"),"-",Plantation_Commodity[[#This Row],[2024]]-Plantation_Commodity[[#This Row],[2023]])</f>
        <v>17.322659999999999</v>
      </c>
      <c r="J31" s="241">
        <f>IF(OR(Plantation_Commodity[[#This Row],[2025]]="n.a",Plantation_Commodity[[#This Row],[2024]]="n.a"),"-",Plantation_Commodity[[#This Row],[2025]]-Plantation_Commodity[[#This Row],[2024]])</f>
        <v>-17.322659999999999</v>
      </c>
      <c r="L31" s="243" t="s">
        <v>51</v>
      </c>
      <c r="M31" s="243" t="str">
        <f>IF(OR(Plantation_Commodity[[#This Row],[2022]]="n.a", Plantation_Commodity[[#This Row],[2022]]=0, Plantation_Commodity[[#This Row],[2023]]="n.a"),
   "-",H31/Plantation_Commodity[[#This Row],[2022]])</f>
        <v>-</v>
      </c>
      <c r="N31" s="243" t="str">
        <f>IF(OR(Plantation_Commodity[[#This Row],[2023]]="n.a", Plantation_Commodity[[#This Row],[2023]]=0, Plantation_Commodity[[#This Row],[2024]]="n.a"),
   "-",I31/Plantation_Commodity[[#This Row],[2023]])</f>
        <v>-</v>
      </c>
      <c r="O31" s="243">
        <f>IF(OR(Plantation_Commodity[[#This Row],[2024]]="n.a", Plantation_Commodity[[#This Row],[2024]]=0, Plantation_Commodity[[#This Row],[2025]]="n.a"),
   "-",J31/Plantation_Commodity[[#This Row],[2024]])</f>
        <v>-1</v>
      </c>
    </row>
    <row r="32" spans="1:15">
      <c r="A32" s="224" t="s">
        <v>39</v>
      </c>
      <c r="B32" s="79" t="s">
        <v>53</v>
      </c>
      <c r="C32" s="226">
        <v>94.640109999999993</v>
      </c>
      <c r="D32" s="76">
        <v>529.08199130000003</v>
      </c>
      <c r="E32" s="77">
        <v>0</v>
      </c>
      <c r="G32" s="240" t="s">
        <v>51</v>
      </c>
      <c r="H32" s="241" t="str">
        <f>IF(OR(Plantation_Commodity[[#This Row],[2023]]="n.a",Plantation_Commodity[[#This Row],[2022]]="n.a"),"-",Plantation_Commodity[[#This Row],[2023]]-Plantation_Commodity[[#This Row],[2022]])</f>
        <v>-</v>
      </c>
      <c r="I32" s="241">
        <f>IF(OR(Plantation_Commodity[[#This Row],[2024]]="n.a",Plantation_Commodity[[#This Row],[2023]]="n.a"),"-",Plantation_Commodity[[#This Row],[2024]]-Plantation_Commodity[[#This Row],[2023]])</f>
        <v>434.44188130000003</v>
      </c>
      <c r="J32" s="241">
        <f>IF(OR(Plantation_Commodity[[#This Row],[2025]]="n.a",Plantation_Commodity[[#This Row],[2024]]="n.a"),"-",Plantation_Commodity[[#This Row],[2025]]-Plantation_Commodity[[#This Row],[2024]])</f>
        <v>-529.08199130000003</v>
      </c>
      <c r="L32" s="243" t="s">
        <v>51</v>
      </c>
      <c r="M32" s="243" t="str">
        <f>IF(OR(Plantation_Commodity[[#This Row],[2022]]="n.a", Plantation_Commodity[[#This Row],[2022]]=0, Plantation_Commodity[[#This Row],[2023]]="n.a"),
   "-",H32/Plantation_Commodity[[#This Row],[2022]])</f>
        <v>-</v>
      </c>
      <c r="N32" s="243">
        <f>IF(OR(Plantation_Commodity[[#This Row],[2023]]="n.a", Plantation_Commodity[[#This Row],[2023]]=0, Plantation_Commodity[[#This Row],[2024]]="n.a"),
   "-",I32/Plantation_Commodity[[#This Row],[2023]])</f>
        <v>4.5904625565206976</v>
      </c>
      <c r="O32" s="243">
        <f>IF(OR(Plantation_Commodity[[#This Row],[2024]]="n.a", Plantation_Commodity[[#This Row],[2024]]=0, Plantation_Commodity[[#This Row],[2025]]="n.a"),
   "-",J32/Plantation_Commodity[[#This Row],[2024]])</f>
        <v>-1</v>
      </c>
    </row>
    <row r="33" spans="1:15">
      <c r="A33" s="224" t="s">
        <v>36</v>
      </c>
      <c r="B33" s="79" t="s">
        <v>53</v>
      </c>
      <c r="C33" s="226">
        <v>190.25</v>
      </c>
      <c r="D33" s="76">
        <v>639.25</v>
      </c>
      <c r="E33" s="77">
        <v>2.5</v>
      </c>
      <c r="G33" s="240" t="s">
        <v>51</v>
      </c>
      <c r="H33" s="241" t="str">
        <f>IF(OR(Plantation_Commodity[[#This Row],[2023]]="n.a",Plantation_Commodity[[#This Row],[2022]]="n.a"),"-",Plantation_Commodity[[#This Row],[2023]]-Plantation_Commodity[[#This Row],[2022]])</f>
        <v>-</v>
      </c>
      <c r="I33" s="241">
        <f>IF(OR(Plantation_Commodity[[#This Row],[2024]]="n.a",Plantation_Commodity[[#This Row],[2023]]="n.a"),"-",Plantation_Commodity[[#This Row],[2024]]-Plantation_Commodity[[#This Row],[2023]])</f>
        <v>449</v>
      </c>
      <c r="J33" s="241">
        <f>IF(OR(Plantation_Commodity[[#This Row],[2025]]="n.a",Plantation_Commodity[[#This Row],[2024]]="n.a"),"-",Plantation_Commodity[[#This Row],[2025]]-Plantation_Commodity[[#This Row],[2024]])</f>
        <v>-636.75</v>
      </c>
      <c r="L33" s="243" t="s">
        <v>51</v>
      </c>
      <c r="M33" s="243" t="str">
        <f>IF(OR(Plantation_Commodity[[#This Row],[2022]]="n.a", Plantation_Commodity[[#This Row],[2022]]=0, Plantation_Commodity[[#This Row],[2023]]="n.a"),
   "-",H33/Plantation_Commodity[[#This Row],[2022]])</f>
        <v>-</v>
      </c>
      <c r="N33" s="243">
        <f>IF(OR(Plantation_Commodity[[#This Row],[2023]]="n.a", Plantation_Commodity[[#This Row],[2023]]=0, Plantation_Commodity[[#This Row],[2024]]="n.a"),
   "-",I33/Plantation_Commodity[[#This Row],[2023]])</f>
        <v>2.3600525624178714</v>
      </c>
      <c r="O33" s="243">
        <f>IF(OR(Plantation_Commodity[[#This Row],[2024]]="n.a", Plantation_Commodity[[#This Row],[2024]]=0, Plantation_Commodity[[#This Row],[2025]]="n.a"),
   "-",J33/Plantation_Commodity[[#This Row],[2024]])</f>
        <v>-0.99608916699256944</v>
      </c>
    </row>
    <row r="34" spans="1:15">
      <c r="A34" s="224" t="s">
        <v>37</v>
      </c>
      <c r="B34" s="79" t="s">
        <v>53</v>
      </c>
      <c r="C34" s="226">
        <v>98.28</v>
      </c>
      <c r="D34" s="76">
        <v>65.183999999999997</v>
      </c>
      <c r="E34" s="77">
        <v>69</v>
      </c>
      <c r="G34" s="240" t="s">
        <v>51</v>
      </c>
      <c r="H34" s="241" t="str">
        <f>IF(OR(Plantation_Commodity[[#This Row],[2023]]="n.a",Plantation_Commodity[[#This Row],[2022]]="n.a"),"-",Plantation_Commodity[[#This Row],[2023]]-Plantation_Commodity[[#This Row],[2022]])</f>
        <v>-</v>
      </c>
      <c r="I34" s="241">
        <f>IF(OR(Plantation_Commodity[[#This Row],[2024]]="n.a",Plantation_Commodity[[#This Row],[2023]]="n.a"),"-",Plantation_Commodity[[#This Row],[2024]]-Plantation_Commodity[[#This Row],[2023]])</f>
        <v>-33.096000000000004</v>
      </c>
      <c r="J34" s="241">
        <f>IF(OR(Plantation_Commodity[[#This Row],[2025]]="n.a",Plantation_Commodity[[#This Row],[2024]]="n.a"),"-",Plantation_Commodity[[#This Row],[2025]]-Plantation_Commodity[[#This Row],[2024]])</f>
        <v>3.8160000000000025</v>
      </c>
      <c r="L34" s="243" t="s">
        <v>51</v>
      </c>
      <c r="M34" s="243" t="str">
        <f>IF(OR(Plantation_Commodity[[#This Row],[2022]]="n.a", Plantation_Commodity[[#This Row],[2022]]=0, Plantation_Commodity[[#This Row],[2023]]="n.a"),
   "-",H34/Plantation_Commodity[[#This Row],[2022]])</f>
        <v>-</v>
      </c>
      <c r="N34" s="243">
        <f>IF(OR(Plantation_Commodity[[#This Row],[2023]]="n.a", Plantation_Commodity[[#This Row],[2023]]=0, Plantation_Commodity[[#This Row],[2024]]="n.a"),
   "-",I34/Plantation_Commodity[[#This Row],[2023]])</f>
        <v>-0.33675213675213678</v>
      </c>
      <c r="O34" s="243">
        <f>IF(OR(Plantation_Commodity[[#This Row],[2024]]="n.a", Plantation_Commodity[[#This Row],[2024]]=0, Plantation_Commodity[[#This Row],[2025]]="n.a"),
   "-",J34/Plantation_Commodity[[#This Row],[2024]])</f>
        <v>5.854197349042714E-2</v>
      </c>
    </row>
    <row r="35" spans="1:15">
      <c r="L35" s="10"/>
      <c r="M35" s="10"/>
      <c r="N35" s="10"/>
      <c r="O35" s="10"/>
    </row>
    <row r="36" spans="1:15" ht="15" thickBot="1">
      <c r="A36" s="127" t="s">
        <v>1</v>
      </c>
      <c r="B36" s="122" t="s">
        <v>46</v>
      </c>
      <c r="C36" s="122" t="s">
        <v>47</v>
      </c>
      <c r="D36" s="144" t="s">
        <v>48</v>
      </c>
      <c r="E36" s="1" t="s">
        <v>49</v>
      </c>
    </row>
    <row r="37" spans="1:15">
      <c r="A37" s="244" t="s">
        <v>50</v>
      </c>
      <c r="B37" s="135" t="e">
        <f>IF(OR(B21="n.a",B21=0),NA(),B21)</f>
        <v>#N/A</v>
      </c>
      <c r="C37" s="135">
        <f t="shared" ref="C37:E37" si="0">IF(OR(C21="n.a",C21=0),NA(),C21)</f>
        <v>1124.70011</v>
      </c>
      <c r="D37" s="135">
        <f t="shared" si="0"/>
        <v>22598.020197662507</v>
      </c>
      <c r="E37" s="135">
        <f t="shared" si="0"/>
        <v>72.147999999999996</v>
      </c>
    </row>
    <row r="38" spans="1:15">
      <c r="A38" s="224" t="s">
        <v>27</v>
      </c>
      <c r="B38" s="135" t="e">
        <f t="shared" ref="B38:E38" si="1">IF(OR(B22="n.a",B22=0),NA(),B22)</f>
        <v>#N/A</v>
      </c>
      <c r="C38" s="135">
        <f t="shared" si="1"/>
        <v>42.43</v>
      </c>
      <c r="D38" s="135">
        <f t="shared" si="1"/>
        <v>3.0751200000000001</v>
      </c>
      <c r="E38" s="135" t="e">
        <f t="shared" si="1"/>
        <v>#N/A</v>
      </c>
    </row>
    <row r="39" spans="1:15">
      <c r="A39" s="224" t="s">
        <v>28</v>
      </c>
      <c r="B39" s="135" t="e">
        <f t="shared" ref="B39:E39" si="2">IF(OR(B23="n.a",B23=0),NA(),B23)</f>
        <v>#N/A</v>
      </c>
      <c r="C39" s="135" t="e">
        <f t="shared" si="2"/>
        <v>#N/A</v>
      </c>
      <c r="D39" s="135" t="e">
        <f t="shared" si="2"/>
        <v>#N/A</v>
      </c>
      <c r="E39" s="135" t="e">
        <f t="shared" si="2"/>
        <v>#N/A</v>
      </c>
    </row>
    <row r="40" spans="1:15">
      <c r="A40" s="224" t="s">
        <v>29</v>
      </c>
      <c r="B40" s="135" t="e">
        <f t="shared" ref="B40:E40" si="3">IF(OR(B24="n.a",B24=0),NA(),B24)</f>
        <v>#N/A</v>
      </c>
      <c r="C40" s="135">
        <f t="shared" si="3"/>
        <v>22.4</v>
      </c>
      <c r="D40" s="135">
        <f t="shared" si="3"/>
        <v>21344.106426362501</v>
      </c>
      <c r="E40" s="135" t="e">
        <f t="shared" si="3"/>
        <v>#N/A</v>
      </c>
    </row>
    <row r="41" spans="1:15">
      <c r="A41" s="224" t="s">
        <v>30</v>
      </c>
      <c r="B41" s="135" t="e">
        <f t="shared" ref="B41:E41" si="4">IF(OR(B25="n.a",B25=0),NA(),B25)</f>
        <v>#N/A</v>
      </c>
      <c r="C41" s="135">
        <f t="shared" si="4"/>
        <v>1.3</v>
      </c>
      <c r="D41" s="135" t="e">
        <f t="shared" si="4"/>
        <v>#N/A</v>
      </c>
      <c r="E41" s="135" t="e">
        <f t="shared" si="4"/>
        <v>#N/A</v>
      </c>
    </row>
    <row r="42" spans="1:15" ht="25">
      <c r="A42" s="224" t="s">
        <v>31</v>
      </c>
      <c r="B42" s="135" t="e">
        <f t="shared" ref="B42:E42" si="5">IF(OR(B26="n.a",B26=0),NA(),B26)</f>
        <v>#N/A</v>
      </c>
      <c r="C42" s="135" t="e">
        <f t="shared" si="5"/>
        <v>#N/A</v>
      </c>
      <c r="D42" s="135" t="e">
        <f t="shared" si="5"/>
        <v>#N/A</v>
      </c>
      <c r="E42" s="135" t="e">
        <f t="shared" si="5"/>
        <v>#N/A</v>
      </c>
    </row>
    <row r="43" spans="1:15">
      <c r="A43" s="224" t="s">
        <v>32</v>
      </c>
      <c r="B43" s="135" t="e">
        <f t="shared" ref="B43:E43" si="6">IF(OR(B27="n.a",B27=0),NA(),B27)</f>
        <v>#N/A</v>
      </c>
      <c r="C43" s="135">
        <f t="shared" si="6"/>
        <v>675.4</v>
      </c>
      <c r="D43" s="135" t="e">
        <f t="shared" si="6"/>
        <v>#N/A</v>
      </c>
      <c r="E43" s="135" t="e">
        <f t="shared" si="6"/>
        <v>#N/A</v>
      </c>
    </row>
    <row r="44" spans="1:15">
      <c r="A44" s="224" t="s">
        <v>35</v>
      </c>
      <c r="B44" s="135" t="e">
        <f t="shared" ref="B44:E44" si="7">IF(OR(B28="n.a",B28=0),NA(),B28)</f>
        <v>#N/A</v>
      </c>
      <c r="C44" s="135" t="e">
        <f t="shared" si="7"/>
        <v>#N/A</v>
      </c>
      <c r="D44" s="135" t="e">
        <f t="shared" si="7"/>
        <v>#N/A</v>
      </c>
      <c r="E44" s="135" t="e">
        <f t="shared" si="7"/>
        <v>#N/A</v>
      </c>
    </row>
    <row r="45" spans="1:15">
      <c r="A45" s="224" t="s">
        <v>33</v>
      </c>
      <c r="B45" s="135" t="e">
        <f t="shared" ref="B45:E45" si="8">IF(OR(B29="n.a",B29=0),NA(),B29)</f>
        <v>#N/A</v>
      </c>
      <c r="C45" s="135" t="e">
        <f t="shared" si="8"/>
        <v>#N/A</v>
      </c>
      <c r="D45" s="135" t="e">
        <f t="shared" si="8"/>
        <v>#N/A</v>
      </c>
      <c r="E45" s="135" t="e">
        <f t="shared" si="8"/>
        <v>#N/A</v>
      </c>
    </row>
    <row r="46" spans="1:15">
      <c r="A46" s="224" t="s">
        <v>34</v>
      </c>
      <c r="B46" s="135" t="e">
        <f t="shared" ref="B46:E46" si="9">IF(OR(B30="n.a",B30=0),NA(),B30)</f>
        <v>#N/A</v>
      </c>
      <c r="C46" s="135" t="e">
        <f t="shared" si="9"/>
        <v>#N/A</v>
      </c>
      <c r="D46" s="135" t="e">
        <f t="shared" si="9"/>
        <v>#N/A</v>
      </c>
      <c r="E46" s="135" t="e">
        <f t="shared" si="9"/>
        <v>#N/A</v>
      </c>
    </row>
    <row r="47" spans="1:15">
      <c r="A47" s="224" t="s">
        <v>38</v>
      </c>
      <c r="B47" s="135" t="e">
        <f t="shared" ref="B47:E47" si="10">IF(OR(B31="n.a",B31=0),NA(),B31)</f>
        <v>#N/A</v>
      </c>
      <c r="C47" s="135" t="e">
        <f t="shared" si="10"/>
        <v>#N/A</v>
      </c>
      <c r="D47" s="135">
        <f t="shared" si="10"/>
        <v>17.322659999999999</v>
      </c>
      <c r="E47" s="135" t="e">
        <f t="shared" si="10"/>
        <v>#N/A</v>
      </c>
    </row>
    <row r="48" spans="1:15">
      <c r="A48" s="224" t="s">
        <v>39</v>
      </c>
      <c r="B48" s="135" t="e">
        <f t="shared" ref="B48:E48" si="11">IF(OR(B32="n.a",B32=0),NA(),B32)</f>
        <v>#N/A</v>
      </c>
      <c r="C48" s="135">
        <f t="shared" si="11"/>
        <v>94.640109999999993</v>
      </c>
      <c r="D48" s="135">
        <f t="shared" si="11"/>
        <v>529.08199130000003</v>
      </c>
      <c r="E48" s="135" t="e">
        <f t="shared" si="11"/>
        <v>#N/A</v>
      </c>
    </row>
    <row r="49" spans="1:5">
      <c r="A49" s="224" t="s">
        <v>36</v>
      </c>
      <c r="B49" s="135" t="e">
        <f t="shared" ref="B49:E49" si="12">IF(OR(B33="n.a",B33=0),NA(),B33)</f>
        <v>#N/A</v>
      </c>
      <c r="C49" s="135">
        <f t="shared" si="12"/>
        <v>190.25</v>
      </c>
      <c r="D49" s="135">
        <f t="shared" si="12"/>
        <v>639.25</v>
      </c>
      <c r="E49" s="135">
        <f t="shared" si="12"/>
        <v>2.5</v>
      </c>
    </row>
    <row r="50" spans="1:5">
      <c r="A50" s="224" t="s">
        <v>37</v>
      </c>
      <c r="B50" s="135" t="e">
        <f t="shared" ref="B50:E50" si="13">IF(OR(B34="n.a",B34=0),NA(),B34)</f>
        <v>#N/A</v>
      </c>
      <c r="C50" s="135">
        <f t="shared" si="13"/>
        <v>98.28</v>
      </c>
      <c r="D50" s="135">
        <f t="shared" si="13"/>
        <v>65.183999999999997</v>
      </c>
      <c r="E50" s="135">
        <f t="shared" si="13"/>
        <v>69</v>
      </c>
    </row>
  </sheetData>
  <mergeCells count="6">
    <mergeCell ref="B1:E1"/>
    <mergeCell ref="B19:E19"/>
    <mergeCell ref="G1:J1"/>
    <mergeCell ref="L1:O1"/>
    <mergeCell ref="G19:J19"/>
    <mergeCell ref="L19:O19"/>
  </mergeCells>
  <pageMargins left="0.7" right="0.7" top="0.75" bottom="0.75" header="0.3" footer="0.3"/>
  <drawing r:id="rId1"/>
  <tableParts count="3">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97C71-71E6-4A59-9362-CF74E83F47DF}">
  <sheetPr codeName="Sheet13"/>
  <dimension ref="A1:AG125"/>
  <sheetViews>
    <sheetView topLeftCell="A13" zoomScale="59" zoomScaleNormal="55" workbookViewId="0">
      <selection activeCell="D96" sqref="D96"/>
    </sheetView>
  </sheetViews>
  <sheetFormatPr defaultColWidth="8.7265625" defaultRowHeight="14.5"/>
  <cols>
    <col min="1" max="1" width="17.1796875" style="78" bestFit="1" customWidth="1"/>
    <col min="2" max="5" width="11.7265625" style="78" bestFit="1" customWidth="1"/>
    <col min="6" max="6" width="12.1796875" style="78" customWidth="1"/>
    <col min="7" max="7" width="5.1796875" style="78" bestFit="1" customWidth="1"/>
    <col min="8" max="8" width="11.453125" style="78" bestFit="1" customWidth="1"/>
    <col min="9" max="9" width="10.81640625" style="78" bestFit="1" customWidth="1"/>
    <col min="10" max="10" width="11.453125" style="78" bestFit="1" customWidth="1"/>
    <col min="11" max="11" width="12.1796875" style="78" bestFit="1" customWidth="1"/>
    <col min="12" max="12" width="5.1796875" style="78" bestFit="1" customWidth="1"/>
    <col min="13" max="13" width="12" style="78" bestFit="1" customWidth="1"/>
    <col min="14" max="14" width="10.453125" style="78" bestFit="1" customWidth="1"/>
    <col min="15" max="15" width="7.453125" style="78" bestFit="1" customWidth="1"/>
    <col min="16" max="16" width="9.1796875" style="78" bestFit="1" customWidth="1"/>
    <col min="17" max="17" width="9.1796875" style="78" customWidth="1"/>
    <col min="18" max="18" width="14.1796875" style="78" bestFit="1" customWidth="1"/>
    <col min="19" max="20" width="8.453125" style="78" bestFit="1" customWidth="1"/>
    <col min="21" max="22" width="9.1796875" style="78" bestFit="1" customWidth="1"/>
    <col min="23" max="23" width="14.1796875" style="78" bestFit="1" customWidth="1"/>
    <col min="24" max="25" width="8.453125" style="78" bestFit="1" customWidth="1"/>
    <col min="26" max="27" width="9.1796875" style="78" bestFit="1" customWidth="1"/>
    <col min="28" max="28" width="14.1796875" style="78" bestFit="1" customWidth="1"/>
    <col min="29" max="30" width="8.453125" style="78" bestFit="1" customWidth="1"/>
    <col min="31" max="32" width="9.1796875" style="78" bestFit="1" customWidth="1"/>
    <col min="33" max="33" width="14.1796875" style="78" bestFit="1" customWidth="1"/>
    <col min="34" max="35" width="8.7265625" style="78"/>
    <col min="36" max="37" width="9.1796875" style="78" bestFit="1" customWidth="1"/>
    <col min="38" max="16384" width="8.7265625" style="78"/>
  </cols>
  <sheetData>
    <row r="1" spans="1:15" ht="26">
      <c r="A1" s="235" t="s">
        <v>54</v>
      </c>
      <c r="B1" s="332" t="s">
        <v>55</v>
      </c>
      <c r="C1" s="332"/>
      <c r="D1" s="332"/>
      <c r="E1" s="332"/>
      <c r="F1" s="309"/>
      <c r="G1" s="336" t="s">
        <v>44</v>
      </c>
      <c r="H1" s="336"/>
      <c r="I1" s="336"/>
      <c r="J1" s="336"/>
      <c r="L1" s="335" t="s">
        <v>56</v>
      </c>
      <c r="M1" s="335"/>
      <c r="N1" s="335"/>
      <c r="O1" s="335"/>
    </row>
    <row r="2" spans="1:15" s="236" customFormat="1" ht="15" thickBot="1">
      <c r="A2" s="92" t="s">
        <v>1</v>
      </c>
      <c r="B2" s="230" t="s">
        <v>46</v>
      </c>
      <c r="C2" s="230" t="s">
        <v>47</v>
      </c>
      <c r="D2" s="231" t="s">
        <v>48</v>
      </c>
      <c r="E2" s="231" t="s">
        <v>49</v>
      </c>
      <c r="F2" s="229"/>
      <c r="G2" s="245">
        <v>2022</v>
      </c>
      <c r="H2" s="246">
        <v>2023</v>
      </c>
      <c r="I2" s="246">
        <v>2024</v>
      </c>
      <c r="J2" s="246">
        <v>2025</v>
      </c>
      <c r="L2" s="245">
        <v>2022</v>
      </c>
      <c r="M2" s="246">
        <v>2023</v>
      </c>
      <c r="N2" s="246">
        <v>2024</v>
      </c>
      <c r="O2" s="246">
        <v>2025</v>
      </c>
    </row>
    <row r="3" spans="1:15" s="236" customFormat="1">
      <c r="A3" s="238" t="s">
        <v>50</v>
      </c>
      <c r="B3" s="96">
        <v>81403.955300000001</v>
      </c>
      <c r="C3" s="124">
        <v>59701.604200000002</v>
      </c>
      <c r="D3" s="185">
        <v>127848.01999999999</v>
      </c>
      <c r="E3" s="185">
        <v>0</v>
      </c>
      <c r="F3" s="229"/>
      <c r="G3" s="245" t="s">
        <v>51</v>
      </c>
      <c r="H3" s="246">
        <f>IF(OR(Paddy[[#This Row],[2023]]="n.a",Paddy[[#This Row],[2022]]="n.a"),"-",Paddy[[#This Row],[2023]]-Paddy[[#This Row],[2022]])</f>
        <v>-21702.3511</v>
      </c>
      <c r="I3" s="246">
        <f>IF(OR(Paddy[[#This Row],[2024]]="n.a",Paddy[[#This Row],[2023]]="n.a"),"-",Paddy[[#This Row],[2024]]-Paddy[[#This Row],[2023]])</f>
        <v>68146.415799999988</v>
      </c>
      <c r="J3" s="246">
        <f>IF(OR(Paddy[[#This Row],[2025]]="n.a",Paddy[[#This Row],[2024]]="n.a"),"-",Paddy[[#This Row],[2025]]-Paddy[[#This Row],[2024]])</f>
        <v>-127848.01999999999</v>
      </c>
      <c r="L3" s="245" t="s">
        <v>51</v>
      </c>
      <c r="M3" s="251">
        <f>IF(OR(Paddy[[#This Row],[2022]]="n.a", Paddy[[#This Row],[2022]]=0, Paddy[[#This Row],[2023]]="n.a"),
   "-",H3/Paddy[[#This Row],[2022]])</f>
        <v>-0.26660069550699089</v>
      </c>
      <c r="N3" s="251">
        <f>IF(OR(Paddy[[#This Row],[2023]]="n.a", Paddy[[#This Row],[2023]]=0, Paddy[[#This Row],[2024]]="n.a"),
   "-",I3/Paddy[[#This Row],[2023]])</f>
        <v>1.1414503297383756</v>
      </c>
      <c r="O3" s="251">
        <f>IF(OR(Paddy[[#This Row],[2024]]="n.a", Paddy[[#This Row],[2024]]=0, Paddy[[#This Row],[2025]]="n.a"),
   "-",J3/Paddy[[#This Row],[2024]])</f>
        <v>-1</v>
      </c>
    </row>
    <row r="4" spans="1:15">
      <c r="A4" s="232" t="s">
        <v>27</v>
      </c>
      <c r="B4" s="233">
        <v>16</v>
      </c>
      <c r="C4" s="233" t="s">
        <v>53</v>
      </c>
      <c r="D4" s="71">
        <v>0</v>
      </c>
      <c r="E4" s="71">
        <v>0</v>
      </c>
      <c r="F4" s="71"/>
      <c r="G4" s="247" t="s">
        <v>51</v>
      </c>
      <c r="H4" s="246" t="str">
        <f>IF(OR(Paddy[[#This Row],[2023]]="n.a",Paddy[[#This Row],[2022]]="n.a"),"-",Paddy[[#This Row],[2023]]-Paddy[[#This Row],[2022]])</f>
        <v>-</v>
      </c>
      <c r="I4" s="246" t="str">
        <f>IF(OR(Paddy[[#This Row],[2024]]="n.a",Paddy[[#This Row],[2023]]="n.a"),"-",Paddy[[#This Row],[2024]]-Paddy[[#This Row],[2023]])</f>
        <v>-</v>
      </c>
      <c r="J4" s="246">
        <f>IF(OR(Paddy[[#This Row],[2025]]="n.a",Paddy[[#This Row],[2024]]="n.a"),"-",Paddy[[#This Row],[2025]]-Paddy[[#This Row],[2024]])</f>
        <v>0</v>
      </c>
      <c r="L4" s="249" t="s">
        <v>51</v>
      </c>
      <c r="M4" s="251" t="str">
        <f>IF(OR(Paddy[[#This Row],[2022]]="n.a", Paddy[[#This Row],[2022]]=0, Paddy[[#This Row],[2023]]="n.a"),
   "-",H4/Paddy[[#This Row],[2022]])</f>
        <v>-</v>
      </c>
      <c r="N4" s="251" t="str">
        <f>IF(OR(Paddy[[#This Row],[2023]]="n.a", Paddy[[#This Row],[2023]]=0, Paddy[[#This Row],[2024]]="n.a"),
   "-",I4/Paddy[[#This Row],[2023]])</f>
        <v>-</v>
      </c>
      <c r="O4" s="251" t="str">
        <f>IF(OR(Paddy[[#This Row],[2024]]="n.a", Paddy[[#This Row],[2024]]=0, Paddy[[#This Row],[2025]]="n.a"),
   "-",J4/Paddy[[#This Row],[2024]])</f>
        <v>-</v>
      </c>
    </row>
    <row r="5" spans="1:15">
      <c r="A5" s="232" t="s">
        <v>28</v>
      </c>
      <c r="B5" s="233">
        <v>305.89999999999998</v>
      </c>
      <c r="C5" s="233" t="s">
        <v>53</v>
      </c>
      <c r="D5" s="71">
        <v>117473.68799999999</v>
      </c>
      <c r="E5" s="71">
        <v>0</v>
      </c>
      <c r="F5" s="71"/>
      <c r="G5" s="247" t="s">
        <v>51</v>
      </c>
      <c r="H5" s="246" t="str">
        <f>IF(OR(Paddy[[#This Row],[2023]]="n.a",Paddy[[#This Row],[2022]]="n.a"),"-",Paddy[[#This Row],[2023]]-Paddy[[#This Row],[2022]])</f>
        <v>-</v>
      </c>
      <c r="I5" s="246" t="str">
        <f>IF(OR(Paddy[[#This Row],[2024]]="n.a",Paddy[[#This Row],[2023]]="n.a"),"-",Paddy[[#This Row],[2024]]-Paddy[[#This Row],[2023]])</f>
        <v>-</v>
      </c>
      <c r="J5" s="246">
        <f>IF(OR(Paddy[[#This Row],[2025]]="n.a",Paddy[[#This Row],[2024]]="n.a"),"-",Paddy[[#This Row],[2025]]-Paddy[[#This Row],[2024]])</f>
        <v>-117473.68799999999</v>
      </c>
      <c r="L5" s="249" t="s">
        <v>51</v>
      </c>
      <c r="M5" s="251" t="str">
        <f>IF(OR(Paddy[[#This Row],[2022]]="n.a", Paddy[[#This Row],[2022]]=0, Paddy[[#This Row],[2023]]="n.a"),
   "-",H5/Paddy[[#This Row],[2022]])</f>
        <v>-</v>
      </c>
      <c r="N5" s="251" t="str">
        <f>IF(OR(Paddy[[#This Row],[2023]]="n.a", Paddy[[#This Row],[2023]]=0, Paddy[[#This Row],[2024]]="n.a"),
   "-",I5/Paddy[[#This Row],[2023]])</f>
        <v>-</v>
      </c>
      <c r="O5" s="251">
        <f>IF(OR(Paddy[[#This Row],[2024]]="n.a", Paddy[[#This Row],[2024]]=0, Paddy[[#This Row],[2025]]="n.a"),
   "-",J5/Paddy[[#This Row],[2024]])</f>
        <v>-1</v>
      </c>
    </row>
    <row r="6" spans="1:15">
      <c r="A6" s="232" t="s">
        <v>29</v>
      </c>
      <c r="B6" s="233">
        <v>61654.010299999994</v>
      </c>
      <c r="C6" s="233" t="s">
        <v>53</v>
      </c>
      <c r="D6" s="71">
        <v>10374.332</v>
      </c>
      <c r="E6" s="71">
        <v>0</v>
      </c>
      <c r="F6" s="71"/>
      <c r="G6" s="247" t="s">
        <v>51</v>
      </c>
      <c r="H6" s="246" t="str">
        <f>IF(OR(Paddy[[#This Row],[2023]]="n.a",Paddy[[#This Row],[2022]]="n.a"),"-",Paddy[[#This Row],[2023]]-Paddy[[#This Row],[2022]])</f>
        <v>-</v>
      </c>
      <c r="I6" s="246" t="str">
        <f>IF(OR(Paddy[[#This Row],[2024]]="n.a",Paddy[[#This Row],[2023]]="n.a"),"-",Paddy[[#This Row],[2024]]-Paddy[[#This Row],[2023]])</f>
        <v>-</v>
      </c>
      <c r="J6" s="246">
        <f>IF(OR(Paddy[[#This Row],[2025]]="n.a",Paddy[[#This Row],[2024]]="n.a"),"-",Paddy[[#This Row],[2025]]-Paddy[[#This Row],[2024]])</f>
        <v>-10374.332</v>
      </c>
      <c r="L6" s="249" t="s">
        <v>51</v>
      </c>
      <c r="M6" s="251" t="str">
        <f>IF(OR(Paddy[[#This Row],[2022]]="n.a", Paddy[[#This Row],[2022]]=0, Paddy[[#This Row],[2023]]="n.a"),
   "-",H6/Paddy[[#This Row],[2022]])</f>
        <v>-</v>
      </c>
      <c r="N6" s="251" t="str">
        <f>IF(OR(Paddy[[#This Row],[2023]]="n.a", Paddy[[#This Row],[2023]]=0, Paddy[[#This Row],[2024]]="n.a"),
   "-",I6/Paddy[[#This Row],[2023]])</f>
        <v>-</v>
      </c>
      <c r="O6" s="251">
        <f>IF(OR(Paddy[[#This Row],[2024]]="n.a", Paddy[[#This Row],[2024]]=0, Paddy[[#This Row],[2025]]="n.a"),
   "-",J6/Paddy[[#This Row],[2024]])</f>
        <v>-1</v>
      </c>
    </row>
    <row r="7" spans="1:15">
      <c r="A7" s="232" t="s">
        <v>30</v>
      </c>
      <c r="B7" s="233">
        <v>0</v>
      </c>
      <c r="C7" s="233" t="s">
        <v>53</v>
      </c>
      <c r="D7" s="71">
        <v>0</v>
      </c>
      <c r="E7" s="71">
        <v>0</v>
      </c>
      <c r="F7" s="71"/>
      <c r="G7" s="247" t="s">
        <v>51</v>
      </c>
      <c r="H7" s="246" t="str">
        <f>IF(OR(Paddy[[#This Row],[2023]]="n.a",Paddy[[#This Row],[2022]]="n.a"),"-",Paddy[[#This Row],[2023]]-Paddy[[#This Row],[2022]])</f>
        <v>-</v>
      </c>
      <c r="I7" s="246" t="str">
        <f>IF(OR(Paddy[[#This Row],[2024]]="n.a",Paddy[[#This Row],[2023]]="n.a"),"-",Paddy[[#This Row],[2024]]-Paddy[[#This Row],[2023]])</f>
        <v>-</v>
      </c>
      <c r="J7" s="246">
        <f>IF(OR(Paddy[[#This Row],[2025]]="n.a",Paddy[[#This Row],[2024]]="n.a"),"-",Paddy[[#This Row],[2025]]-Paddy[[#This Row],[2024]])</f>
        <v>0</v>
      </c>
      <c r="L7" s="249" t="s">
        <v>51</v>
      </c>
      <c r="M7" s="251" t="str">
        <f>IF(OR(Paddy[[#This Row],[2022]]="n.a", Paddy[[#This Row],[2022]]=0, Paddy[[#This Row],[2023]]="n.a"),
   "-",H7/Paddy[[#This Row],[2022]])</f>
        <v>-</v>
      </c>
      <c r="N7" s="251" t="str">
        <f>IF(OR(Paddy[[#This Row],[2023]]="n.a", Paddy[[#This Row],[2023]]=0, Paddy[[#This Row],[2024]]="n.a"),
   "-",I7/Paddy[[#This Row],[2023]])</f>
        <v>-</v>
      </c>
      <c r="O7" s="251" t="str">
        <f>IF(OR(Paddy[[#This Row],[2024]]="n.a", Paddy[[#This Row],[2024]]=0, Paddy[[#This Row],[2025]]="n.a"),
   "-",J7/Paddy[[#This Row],[2024]])</f>
        <v>-</v>
      </c>
    </row>
    <row r="8" spans="1:15">
      <c r="A8" s="232" t="s">
        <v>31</v>
      </c>
      <c r="B8" s="233">
        <v>16.038</v>
      </c>
      <c r="C8" s="233" t="s">
        <v>53</v>
      </c>
      <c r="D8" s="71">
        <v>0</v>
      </c>
      <c r="E8" s="71">
        <v>0</v>
      </c>
      <c r="F8" s="71"/>
      <c r="G8" s="247" t="s">
        <v>51</v>
      </c>
      <c r="H8" s="246" t="str">
        <f>IF(OR(Paddy[[#This Row],[2023]]="n.a",Paddy[[#This Row],[2022]]="n.a"),"-",Paddy[[#This Row],[2023]]-Paddy[[#This Row],[2022]])</f>
        <v>-</v>
      </c>
      <c r="I8" s="246" t="str">
        <f>IF(OR(Paddy[[#This Row],[2024]]="n.a",Paddy[[#This Row],[2023]]="n.a"),"-",Paddy[[#This Row],[2024]]-Paddy[[#This Row],[2023]])</f>
        <v>-</v>
      </c>
      <c r="J8" s="246">
        <f>IF(OR(Paddy[[#This Row],[2025]]="n.a",Paddy[[#This Row],[2024]]="n.a"),"-",Paddy[[#This Row],[2025]]-Paddy[[#This Row],[2024]])</f>
        <v>0</v>
      </c>
      <c r="L8" s="249" t="s">
        <v>51</v>
      </c>
      <c r="M8" s="251" t="str">
        <f>IF(OR(Paddy[[#This Row],[2022]]="n.a", Paddy[[#This Row],[2022]]=0, Paddy[[#This Row],[2023]]="n.a"),
   "-",H8/Paddy[[#This Row],[2022]])</f>
        <v>-</v>
      </c>
      <c r="N8" s="251" t="str">
        <f>IF(OR(Paddy[[#This Row],[2023]]="n.a", Paddy[[#This Row],[2023]]=0, Paddy[[#This Row],[2024]]="n.a"),
   "-",I8/Paddy[[#This Row],[2023]])</f>
        <v>-</v>
      </c>
      <c r="O8" s="251" t="str">
        <f>IF(OR(Paddy[[#This Row],[2024]]="n.a", Paddy[[#This Row],[2024]]=0, Paddy[[#This Row],[2025]]="n.a"),
   "-",J8/Paddy[[#This Row],[2024]])</f>
        <v>-</v>
      </c>
    </row>
    <row r="9" spans="1:15">
      <c r="A9" s="232" t="s">
        <v>32</v>
      </c>
      <c r="B9" s="233">
        <v>301.5</v>
      </c>
      <c r="C9" s="233" t="s">
        <v>53</v>
      </c>
      <c r="D9" s="71">
        <v>0</v>
      </c>
      <c r="E9" s="71">
        <v>0</v>
      </c>
      <c r="F9" s="71"/>
      <c r="G9" s="247" t="s">
        <v>51</v>
      </c>
      <c r="H9" s="246" t="str">
        <f>IF(OR(Paddy[[#This Row],[2023]]="n.a",Paddy[[#This Row],[2022]]="n.a"),"-",Paddy[[#This Row],[2023]]-Paddy[[#This Row],[2022]])</f>
        <v>-</v>
      </c>
      <c r="I9" s="246" t="str">
        <f>IF(OR(Paddy[[#This Row],[2024]]="n.a",Paddy[[#This Row],[2023]]="n.a"),"-",Paddy[[#This Row],[2024]]-Paddy[[#This Row],[2023]])</f>
        <v>-</v>
      </c>
      <c r="J9" s="246">
        <f>IF(OR(Paddy[[#This Row],[2025]]="n.a",Paddy[[#This Row],[2024]]="n.a"),"-",Paddy[[#This Row],[2025]]-Paddy[[#This Row],[2024]])</f>
        <v>0</v>
      </c>
      <c r="L9" s="249" t="s">
        <v>51</v>
      </c>
      <c r="M9" s="251" t="str">
        <f>IF(OR(Paddy[[#This Row],[2022]]="n.a", Paddy[[#This Row],[2022]]=0, Paddy[[#This Row],[2023]]="n.a"),
   "-",H9/Paddy[[#This Row],[2022]])</f>
        <v>-</v>
      </c>
      <c r="N9" s="251" t="str">
        <f>IF(OR(Paddy[[#This Row],[2023]]="n.a", Paddy[[#This Row],[2023]]=0, Paddy[[#This Row],[2024]]="n.a"),
   "-",I9/Paddy[[#This Row],[2023]])</f>
        <v>-</v>
      </c>
      <c r="O9" s="251" t="str">
        <f>IF(OR(Paddy[[#This Row],[2024]]="n.a", Paddy[[#This Row],[2024]]=0, Paddy[[#This Row],[2025]]="n.a"),
   "-",J9/Paddy[[#This Row],[2024]])</f>
        <v>-</v>
      </c>
    </row>
    <row r="10" spans="1:15">
      <c r="A10" s="232" t="s">
        <v>35</v>
      </c>
      <c r="B10" s="233">
        <v>71.847999999999999</v>
      </c>
      <c r="C10" s="233" t="s">
        <v>53</v>
      </c>
      <c r="D10" s="71">
        <v>0</v>
      </c>
      <c r="E10" s="71">
        <v>0</v>
      </c>
      <c r="F10" s="71"/>
      <c r="G10" s="247" t="s">
        <v>51</v>
      </c>
      <c r="H10" s="246" t="str">
        <f>IF(OR(Paddy[[#This Row],[2023]]="n.a",Paddy[[#This Row],[2022]]="n.a"),"-",Paddy[[#This Row],[2023]]-Paddy[[#This Row],[2022]])</f>
        <v>-</v>
      </c>
      <c r="I10" s="246" t="str">
        <f>IF(OR(Paddy[[#This Row],[2024]]="n.a",Paddy[[#This Row],[2023]]="n.a"),"-",Paddy[[#This Row],[2024]]-Paddy[[#This Row],[2023]])</f>
        <v>-</v>
      </c>
      <c r="J10" s="246">
        <f>IF(OR(Paddy[[#This Row],[2025]]="n.a",Paddy[[#This Row],[2024]]="n.a"),"-",Paddy[[#This Row],[2025]]-Paddy[[#This Row],[2024]])</f>
        <v>0</v>
      </c>
      <c r="L10" s="249" t="s">
        <v>51</v>
      </c>
      <c r="M10" s="251" t="str">
        <f>IF(OR(Paddy[[#This Row],[2022]]="n.a", Paddy[[#This Row],[2022]]=0, Paddy[[#This Row],[2023]]="n.a"),
   "-",H10/Paddy[[#This Row],[2022]])</f>
        <v>-</v>
      </c>
      <c r="N10" s="251" t="str">
        <f>IF(OR(Paddy[[#This Row],[2023]]="n.a", Paddy[[#This Row],[2023]]=0, Paddy[[#This Row],[2024]]="n.a"),
   "-",I10/Paddy[[#This Row],[2023]])</f>
        <v>-</v>
      </c>
      <c r="O10" s="251" t="str">
        <f>IF(OR(Paddy[[#This Row],[2024]]="n.a", Paddy[[#This Row],[2024]]=0, Paddy[[#This Row],[2025]]="n.a"),
   "-",J10/Paddy[[#This Row],[2024]])</f>
        <v>-</v>
      </c>
    </row>
    <row r="11" spans="1:15">
      <c r="A11" s="232" t="s">
        <v>33</v>
      </c>
      <c r="B11" s="233">
        <v>85.813000000000002</v>
      </c>
      <c r="C11" s="233" t="s">
        <v>53</v>
      </c>
      <c r="D11" s="71">
        <v>0</v>
      </c>
      <c r="E11" s="71">
        <v>0</v>
      </c>
      <c r="F11" s="71"/>
      <c r="G11" s="247" t="s">
        <v>51</v>
      </c>
      <c r="H11" s="246" t="str">
        <f>IF(OR(Paddy[[#This Row],[2023]]="n.a",Paddy[[#This Row],[2022]]="n.a"),"-",Paddy[[#This Row],[2023]]-Paddy[[#This Row],[2022]])</f>
        <v>-</v>
      </c>
      <c r="I11" s="246" t="str">
        <f>IF(OR(Paddy[[#This Row],[2024]]="n.a",Paddy[[#This Row],[2023]]="n.a"),"-",Paddy[[#This Row],[2024]]-Paddy[[#This Row],[2023]])</f>
        <v>-</v>
      </c>
      <c r="J11" s="246">
        <f>IF(OR(Paddy[[#This Row],[2025]]="n.a",Paddy[[#This Row],[2024]]="n.a"),"-",Paddy[[#This Row],[2025]]-Paddy[[#This Row],[2024]])</f>
        <v>0</v>
      </c>
      <c r="L11" s="249" t="s">
        <v>51</v>
      </c>
      <c r="M11" s="251" t="str">
        <f>IF(OR(Paddy[[#This Row],[2022]]="n.a", Paddy[[#This Row],[2022]]=0, Paddy[[#This Row],[2023]]="n.a"),
   "-",H11/Paddy[[#This Row],[2022]])</f>
        <v>-</v>
      </c>
      <c r="N11" s="251" t="str">
        <f>IF(OR(Paddy[[#This Row],[2023]]="n.a", Paddy[[#This Row],[2023]]=0, Paddy[[#This Row],[2024]]="n.a"),
   "-",I11/Paddy[[#This Row],[2023]])</f>
        <v>-</v>
      </c>
      <c r="O11" s="251" t="str">
        <f>IF(OR(Paddy[[#This Row],[2024]]="n.a", Paddy[[#This Row],[2024]]=0, Paddy[[#This Row],[2025]]="n.a"),
   "-",J11/Paddy[[#This Row],[2024]])</f>
        <v>-</v>
      </c>
    </row>
    <row r="12" spans="1:15">
      <c r="A12" s="232" t="s">
        <v>34</v>
      </c>
      <c r="B12" s="233">
        <v>0</v>
      </c>
      <c r="C12" s="233" t="s">
        <v>53</v>
      </c>
      <c r="D12" s="71">
        <v>0</v>
      </c>
      <c r="E12" s="71">
        <v>0</v>
      </c>
      <c r="F12" s="71"/>
      <c r="G12" s="247" t="s">
        <v>51</v>
      </c>
      <c r="H12" s="246" t="str">
        <f>IF(OR(Paddy[[#This Row],[2023]]="n.a",Paddy[[#This Row],[2022]]="n.a"),"-",Paddy[[#This Row],[2023]]-Paddy[[#This Row],[2022]])</f>
        <v>-</v>
      </c>
      <c r="I12" s="246" t="str">
        <f>IF(OR(Paddy[[#This Row],[2024]]="n.a",Paddy[[#This Row],[2023]]="n.a"),"-",Paddy[[#This Row],[2024]]-Paddy[[#This Row],[2023]])</f>
        <v>-</v>
      </c>
      <c r="J12" s="246">
        <f>IF(OR(Paddy[[#This Row],[2025]]="n.a",Paddy[[#This Row],[2024]]="n.a"),"-",Paddy[[#This Row],[2025]]-Paddy[[#This Row],[2024]])</f>
        <v>0</v>
      </c>
      <c r="L12" s="249" t="s">
        <v>51</v>
      </c>
      <c r="M12" s="251" t="str">
        <f>IF(OR(Paddy[[#This Row],[2022]]="n.a", Paddy[[#This Row],[2022]]=0, Paddy[[#This Row],[2023]]="n.a"),
   "-",H12/Paddy[[#This Row],[2022]])</f>
        <v>-</v>
      </c>
      <c r="N12" s="251" t="str">
        <f>IF(OR(Paddy[[#This Row],[2023]]="n.a", Paddy[[#This Row],[2023]]=0, Paddy[[#This Row],[2024]]="n.a"),
   "-",I12/Paddy[[#This Row],[2023]])</f>
        <v>-</v>
      </c>
      <c r="O12" s="251" t="str">
        <f>IF(OR(Paddy[[#This Row],[2024]]="n.a", Paddy[[#This Row],[2024]]=0, Paddy[[#This Row],[2025]]="n.a"),
   "-",J12/Paddy[[#This Row],[2024]])</f>
        <v>-</v>
      </c>
    </row>
    <row r="13" spans="1:15">
      <c r="A13" s="232" t="s">
        <v>38</v>
      </c>
      <c r="B13" s="233">
        <v>26.603999999999999</v>
      </c>
      <c r="C13" s="233" t="s">
        <v>53</v>
      </c>
      <c r="D13" s="71">
        <v>0</v>
      </c>
      <c r="E13" s="71">
        <v>0</v>
      </c>
      <c r="F13" s="71"/>
      <c r="G13" s="247" t="s">
        <v>51</v>
      </c>
      <c r="H13" s="246" t="str">
        <f>IF(OR(Paddy[[#This Row],[2023]]="n.a",Paddy[[#This Row],[2022]]="n.a"),"-",Paddy[[#This Row],[2023]]-Paddy[[#This Row],[2022]])</f>
        <v>-</v>
      </c>
      <c r="I13" s="246" t="str">
        <f>IF(OR(Paddy[[#This Row],[2024]]="n.a",Paddy[[#This Row],[2023]]="n.a"),"-",Paddy[[#This Row],[2024]]-Paddy[[#This Row],[2023]])</f>
        <v>-</v>
      </c>
      <c r="J13" s="246">
        <f>IF(OR(Paddy[[#This Row],[2025]]="n.a",Paddy[[#This Row],[2024]]="n.a"),"-",Paddy[[#This Row],[2025]]-Paddy[[#This Row],[2024]])</f>
        <v>0</v>
      </c>
      <c r="L13" s="249" t="s">
        <v>51</v>
      </c>
      <c r="M13" s="251" t="str">
        <f>IF(OR(Paddy[[#This Row],[2022]]="n.a", Paddy[[#This Row],[2022]]=0, Paddy[[#This Row],[2023]]="n.a"),
   "-",H13/Paddy[[#This Row],[2022]])</f>
        <v>-</v>
      </c>
      <c r="N13" s="251" t="str">
        <f>IF(OR(Paddy[[#This Row],[2023]]="n.a", Paddy[[#This Row],[2023]]=0, Paddy[[#This Row],[2024]]="n.a"),
   "-",I13/Paddy[[#This Row],[2023]])</f>
        <v>-</v>
      </c>
      <c r="O13" s="251" t="str">
        <f>IF(OR(Paddy[[#This Row],[2024]]="n.a", Paddy[[#This Row],[2024]]=0, Paddy[[#This Row],[2025]]="n.a"),
   "-",J13/Paddy[[#This Row],[2024]])</f>
        <v>-</v>
      </c>
    </row>
    <row r="14" spans="1:15">
      <c r="A14" s="232" t="s">
        <v>39</v>
      </c>
      <c r="B14" s="233">
        <v>18926.241999999998</v>
      </c>
      <c r="C14" s="233" t="s">
        <v>53</v>
      </c>
      <c r="D14" s="71">
        <v>0</v>
      </c>
      <c r="E14" s="71">
        <v>0</v>
      </c>
      <c r="F14" s="71"/>
      <c r="G14" s="247" t="s">
        <v>51</v>
      </c>
      <c r="H14" s="246" t="str">
        <f>IF(OR(Paddy[[#This Row],[2023]]="n.a",Paddy[[#This Row],[2022]]="n.a"),"-",Paddy[[#This Row],[2023]]-Paddy[[#This Row],[2022]])</f>
        <v>-</v>
      </c>
      <c r="I14" s="246" t="str">
        <f>IF(OR(Paddy[[#This Row],[2024]]="n.a",Paddy[[#This Row],[2023]]="n.a"),"-",Paddy[[#This Row],[2024]]-Paddy[[#This Row],[2023]])</f>
        <v>-</v>
      </c>
      <c r="J14" s="246">
        <f>IF(OR(Paddy[[#This Row],[2025]]="n.a",Paddy[[#This Row],[2024]]="n.a"),"-",Paddy[[#This Row],[2025]]-Paddy[[#This Row],[2024]])</f>
        <v>0</v>
      </c>
      <c r="L14" s="249" t="s">
        <v>51</v>
      </c>
      <c r="M14" s="251" t="str">
        <f>IF(OR(Paddy[[#This Row],[2022]]="n.a", Paddy[[#This Row],[2022]]=0, Paddy[[#This Row],[2023]]="n.a"),
   "-",H14/Paddy[[#This Row],[2022]])</f>
        <v>-</v>
      </c>
      <c r="N14" s="251" t="str">
        <f>IF(OR(Paddy[[#This Row],[2023]]="n.a", Paddy[[#This Row],[2023]]=0, Paddy[[#This Row],[2024]]="n.a"),
   "-",I14/Paddy[[#This Row],[2023]])</f>
        <v>-</v>
      </c>
      <c r="O14" s="251" t="str">
        <f>IF(OR(Paddy[[#This Row],[2024]]="n.a", Paddy[[#This Row],[2024]]=0, Paddy[[#This Row],[2025]]="n.a"),
   "-",J14/Paddy[[#This Row],[2024]])</f>
        <v>-</v>
      </c>
    </row>
    <row r="15" spans="1:15">
      <c r="A15" s="232" t="s">
        <v>36</v>
      </c>
      <c r="B15" s="233">
        <v>0</v>
      </c>
      <c r="C15" s="233" t="s">
        <v>53</v>
      </c>
      <c r="D15" s="71">
        <v>0</v>
      </c>
      <c r="E15" s="71">
        <v>0</v>
      </c>
      <c r="F15" s="71"/>
      <c r="G15" s="247" t="s">
        <v>51</v>
      </c>
      <c r="H15" s="246" t="str">
        <f>IF(OR(Paddy[[#This Row],[2023]]="n.a",Paddy[[#This Row],[2022]]="n.a"),"-",Paddy[[#This Row],[2023]]-Paddy[[#This Row],[2022]])</f>
        <v>-</v>
      </c>
      <c r="I15" s="246" t="str">
        <f>IF(OR(Paddy[[#This Row],[2024]]="n.a",Paddy[[#This Row],[2023]]="n.a"),"-",Paddy[[#This Row],[2024]]-Paddy[[#This Row],[2023]])</f>
        <v>-</v>
      </c>
      <c r="J15" s="246">
        <f>IF(OR(Paddy[[#This Row],[2025]]="n.a",Paddy[[#This Row],[2024]]="n.a"),"-",Paddy[[#This Row],[2025]]-Paddy[[#This Row],[2024]])</f>
        <v>0</v>
      </c>
      <c r="L15" s="249" t="s">
        <v>51</v>
      </c>
      <c r="M15" s="251" t="str">
        <f>IF(OR(Paddy[[#This Row],[2022]]="n.a", Paddy[[#This Row],[2022]]=0, Paddy[[#This Row],[2023]]="n.a"),
   "-",H15/Paddy[[#This Row],[2022]])</f>
        <v>-</v>
      </c>
      <c r="N15" s="251" t="str">
        <f>IF(OR(Paddy[[#This Row],[2023]]="n.a", Paddy[[#This Row],[2023]]=0, Paddy[[#This Row],[2024]]="n.a"),
   "-",I15/Paddy[[#This Row],[2023]])</f>
        <v>-</v>
      </c>
      <c r="O15" s="251" t="str">
        <f>IF(OR(Paddy[[#This Row],[2024]]="n.a", Paddy[[#This Row],[2024]]=0, Paddy[[#This Row],[2025]]="n.a"),
   "-",J15/Paddy[[#This Row],[2024]])</f>
        <v>-</v>
      </c>
    </row>
    <row r="16" spans="1:15">
      <c r="A16" s="232" t="s">
        <v>37</v>
      </c>
      <c r="B16" s="233">
        <v>0</v>
      </c>
      <c r="C16" s="233" t="s">
        <v>53</v>
      </c>
      <c r="D16" s="71">
        <v>0</v>
      </c>
      <c r="E16" s="71">
        <v>0</v>
      </c>
      <c r="F16" s="71"/>
      <c r="G16" s="247" t="s">
        <v>51</v>
      </c>
      <c r="H16" s="246" t="str">
        <f>IF(OR(Paddy[[#This Row],[2023]]="n.a",Paddy[[#This Row],[2022]]="n.a"),"-",Paddy[[#This Row],[2023]]-Paddy[[#This Row],[2022]])</f>
        <v>-</v>
      </c>
      <c r="I16" s="246" t="str">
        <f>IF(OR(Paddy[[#This Row],[2024]]="n.a",Paddy[[#This Row],[2023]]="n.a"),"-",Paddy[[#This Row],[2024]]-Paddy[[#This Row],[2023]])</f>
        <v>-</v>
      </c>
      <c r="J16" s="246">
        <f>IF(OR(Paddy[[#This Row],[2025]]="n.a",Paddy[[#This Row],[2024]]="n.a"),"-",Paddy[[#This Row],[2025]]-Paddy[[#This Row],[2024]])</f>
        <v>0</v>
      </c>
      <c r="L16" s="249" t="s">
        <v>51</v>
      </c>
      <c r="M16" s="251" t="str">
        <f>IF(OR(Paddy[[#This Row],[2022]]="n.a", Paddy[[#This Row],[2022]]=0, Paddy[[#This Row],[2023]]="n.a"),
   "-",H16/Paddy[[#This Row],[2022]])</f>
        <v>-</v>
      </c>
      <c r="N16" s="251" t="str">
        <f>IF(OR(Paddy[[#This Row],[2023]]="n.a", Paddy[[#This Row],[2023]]=0, Paddy[[#This Row],[2024]]="n.a"),
   "-",I16/Paddy[[#This Row],[2023]])</f>
        <v>-</v>
      </c>
      <c r="O16" s="251" t="str">
        <f>IF(OR(Paddy[[#This Row],[2024]]="n.a", Paddy[[#This Row],[2024]]=0, Paddy[[#This Row],[2025]]="n.a"),
   "-",J16/Paddy[[#This Row],[2024]])</f>
        <v>-</v>
      </c>
    </row>
    <row r="17" spans="1:33">
      <c r="A17" s="232" t="s">
        <v>41</v>
      </c>
      <c r="B17" s="233">
        <v>0</v>
      </c>
      <c r="C17" s="233" t="s">
        <v>53</v>
      </c>
      <c r="D17" s="71">
        <v>0</v>
      </c>
      <c r="E17" s="71">
        <v>0</v>
      </c>
      <c r="F17" s="71"/>
      <c r="G17" s="247" t="s">
        <v>51</v>
      </c>
      <c r="H17" s="246" t="str">
        <f>IF(OR(Paddy[[#This Row],[2023]]="n.a",Paddy[[#This Row],[2022]]="n.a"),"-",Paddy[[#This Row],[2023]]-Paddy[[#This Row],[2022]])</f>
        <v>-</v>
      </c>
      <c r="I17" s="246" t="str">
        <f>IF(OR(Paddy[[#This Row],[2024]]="n.a",Paddy[[#This Row],[2023]]="n.a"),"-",Paddy[[#This Row],[2024]]-Paddy[[#This Row],[2023]])</f>
        <v>-</v>
      </c>
      <c r="J17" s="246">
        <f>IF(OR(Paddy[[#This Row],[2025]]="n.a",Paddy[[#This Row],[2024]]="n.a"),"-",Paddy[[#This Row],[2025]]-Paddy[[#This Row],[2024]])</f>
        <v>0</v>
      </c>
      <c r="L17" s="249" t="s">
        <v>51</v>
      </c>
      <c r="M17" s="251" t="str">
        <f>IF(OR(Paddy[[#This Row],[2022]]="n.a", Paddy[[#This Row],[2022]]=0, Paddy[[#This Row],[2023]]="n.a"),
   "-",H17/Paddy[[#This Row],[2022]])</f>
        <v>-</v>
      </c>
      <c r="N17" s="251" t="str">
        <f>IF(OR(Paddy[[#This Row],[2023]]="n.a", Paddy[[#This Row],[2023]]=0, Paddy[[#This Row],[2024]]="n.a"),
   "-",I17/Paddy[[#This Row],[2023]])</f>
        <v>-</v>
      </c>
      <c r="O17" s="251" t="str">
        <f>IF(OR(Paddy[[#This Row],[2024]]="n.a", Paddy[[#This Row],[2024]]=0, Paddy[[#This Row],[2025]]="n.a"),
   "-",J17/Paddy[[#This Row],[2024]])</f>
        <v>-</v>
      </c>
    </row>
    <row r="18" spans="1:33">
      <c r="A18" s="237"/>
      <c r="B18" s="237"/>
      <c r="C18" s="237"/>
      <c r="N18" s="237"/>
      <c r="O18" s="237"/>
      <c r="R18" s="237"/>
      <c r="S18" s="237"/>
      <c r="T18" s="237"/>
      <c r="W18" s="237"/>
      <c r="X18" s="237"/>
      <c r="Y18" s="237"/>
      <c r="AB18" s="237"/>
      <c r="AC18" s="237"/>
      <c r="AD18" s="237"/>
      <c r="AG18" s="237"/>
    </row>
    <row r="19" spans="1:33" ht="26">
      <c r="A19" s="235" t="s">
        <v>54</v>
      </c>
      <c r="B19" s="332" t="s">
        <v>57</v>
      </c>
      <c r="C19" s="332"/>
      <c r="D19" s="332"/>
      <c r="E19" s="332"/>
      <c r="F19" s="309"/>
      <c r="G19" s="336" t="s">
        <v>44</v>
      </c>
      <c r="H19" s="336"/>
      <c r="I19" s="336"/>
      <c r="J19" s="336"/>
      <c r="L19" s="335" t="s">
        <v>56</v>
      </c>
      <c r="M19" s="335"/>
      <c r="N19" s="335"/>
      <c r="O19" s="335"/>
    </row>
    <row r="20" spans="1:33" ht="15" thickBot="1">
      <c r="A20" s="92" t="s">
        <v>1</v>
      </c>
      <c r="B20" s="230" t="s">
        <v>46</v>
      </c>
      <c r="C20" s="230" t="s">
        <v>47</v>
      </c>
      <c r="D20" s="231" t="s">
        <v>48</v>
      </c>
      <c r="E20" s="231" t="s">
        <v>49</v>
      </c>
      <c r="F20" s="229"/>
      <c r="G20" s="245">
        <v>2022</v>
      </c>
      <c r="H20" s="246">
        <v>2023</v>
      </c>
      <c r="I20" s="246">
        <v>2024</v>
      </c>
      <c r="J20" s="246">
        <v>2025</v>
      </c>
      <c r="L20" s="245">
        <v>2022</v>
      </c>
      <c r="M20" s="246">
        <v>2023</v>
      </c>
      <c r="N20" s="246">
        <v>2024</v>
      </c>
      <c r="O20" s="246">
        <v>2025</v>
      </c>
    </row>
    <row r="21" spans="1:33">
      <c r="A21" s="238" t="s">
        <v>50</v>
      </c>
      <c r="B21" s="96">
        <v>33226.752999999997</v>
      </c>
      <c r="C21" s="124">
        <v>42142.945500000002</v>
      </c>
      <c r="D21" s="185">
        <v>17227.695500000002</v>
      </c>
      <c r="E21" s="185">
        <v>14376.018999999998</v>
      </c>
      <c r="F21" s="229"/>
      <c r="G21" s="245" t="s">
        <v>51</v>
      </c>
      <c r="H21" s="246">
        <f>IF(OR(Crops[[#This Row],[2023]]="n.a",Crops[[#This Row],[2022]]="n.a"),"-",Crops[[#This Row],[2023]]-Crops[[#This Row],[2022]])</f>
        <v>8916.1925000000047</v>
      </c>
      <c r="I21" s="246">
        <f>IF(OR(Crops[[#This Row],[2024]]="n.a",Crops[[#This Row],[2023]]="n.a"),"-",Crops[[#This Row],[2024]]-Crops[[#This Row],[2023]])</f>
        <v>-24915.25</v>
      </c>
      <c r="J21" s="246">
        <f>IF(OR(Crops[[#This Row],[2025]]="n.a",Crops[[#This Row],[2024]]="n.a"),"-",Crops[[#This Row],[2025]]-Crops[[#This Row],[2024]])</f>
        <v>-2851.6765000000032</v>
      </c>
      <c r="L21" s="245" t="s">
        <v>51</v>
      </c>
      <c r="M21" s="250">
        <f>IF(OR(Crops[[#This Row],[2022]]="n.a", Crops[[#This Row],[2022]]=0, Crops[[#This Row],[2023]]="n.a"),
   "-",H21/Crops[[#This Row],[2022]])</f>
        <v>0.26834378008588455</v>
      </c>
      <c r="N21" s="250">
        <f>IF(OR(Crops[[#This Row],[2023]]="n.a", Crops[[#This Row],[2023]]=0, Crops[[#This Row],[2024]]="n.a"),
   "-",I21/Crops[[#This Row],[2023]])</f>
        <v>-0.59120808250102019</v>
      </c>
      <c r="O21" s="250">
        <f>IF(OR(Crops[[#This Row],[2024]]="n.a", Crops[[#This Row],[2024]]=0, Crops[[#This Row],[2025]]="n.a"),
   "-",J21/Crops[[#This Row],[2024]])</f>
        <v>-0.16552861060261967</v>
      </c>
    </row>
    <row r="22" spans="1:33">
      <c r="A22" s="232" t="s">
        <v>27</v>
      </c>
      <c r="B22" s="233">
        <v>111</v>
      </c>
      <c r="C22" s="233" t="s">
        <v>53</v>
      </c>
      <c r="D22" s="71">
        <v>724.61900000000003</v>
      </c>
      <c r="E22" s="71">
        <v>719.93499999999995</v>
      </c>
      <c r="F22" s="71"/>
      <c r="G22" s="247" t="s">
        <v>51</v>
      </c>
      <c r="H22" s="246" t="str">
        <f>IF(OR(Crops[[#This Row],[2023]]="n.a",Crops[[#This Row],[2022]]="n.a"),"-",Crops[[#This Row],[2023]]-Crops[[#This Row],[2022]])</f>
        <v>-</v>
      </c>
      <c r="I22" s="246" t="str">
        <f>IF(OR(Crops[[#This Row],[2024]]="n.a",Crops[[#This Row],[2023]]="n.a"),"-",Crops[[#This Row],[2024]]-Crops[[#This Row],[2023]])</f>
        <v>-</v>
      </c>
      <c r="J22" s="246">
        <f>IF(OR(Crops[[#This Row],[2025]]="n.a",Crops[[#This Row],[2024]]="n.a"),"-",Crops[[#This Row],[2025]]-Crops[[#This Row],[2024]])</f>
        <v>-4.6840000000000828</v>
      </c>
      <c r="L22" s="249" t="s">
        <v>51</v>
      </c>
      <c r="M22" s="250" t="str">
        <f>IF(OR(Crops[[#This Row],[2022]]="n.a", Crops[[#This Row],[2022]]=0, Crops[[#This Row],[2023]]="n.a"),
   "-",H22/Crops[[#This Row],[2022]])</f>
        <v>-</v>
      </c>
      <c r="N22" s="250" t="str">
        <f>IF(OR(Crops[[#This Row],[2023]]="n.a", Crops[[#This Row],[2023]]=0, Crops[[#This Row],[2024]]="n.a"),
   "-",I22/Crops[[#This Row],[2023]])</f>
        <v>-</v>
      </c>
      <c r="O22" s="250">
        <f>IF(OR(Crops[[#This Row],[2024]]="n.a", Crops[[#This Row],[2024]]=0, Crops[[#This Row],[2025]]="n.a"),
   "-",J22/Crops[[#This Row],[2024]])</f>
        <v>-6.4640866441538006E-3</v>
      </c>
    </row>
    <row r="23" spans="1:33">
      <c r="A23" s="232" t="s">
        <v>28</v>
      </c>
      <c r="B23" s="233">
        <v>14.2</v>
      </c>
      <c r="C23" s="233" t="s">
        <v>53</v>
      </c>
      <c r="D23" s="71">
        <v>346.85</v>
      </c>
      <c r="E23" s="71">
        <v>222.85</v>
      </c>
      <c r="F23" s="71"/>
      <c r="G23" s="247" t="s">
        <v>51</v>
      </c>
      <c r="H23" s="246" t="str">
        <f>IF(OR(Crops[[#This Row],[2023]]="n.a",Crops[[#This Row],[2022]]="n.a"),"-",Crops[[#This Row],[2023]]-Crops[[#This Row],[2022]])</f>
        <v>-</v>
      </c>
      <c r="I23" s="246" t="str">
        <f>IF(OR(Crops[[#This Row],[2024]]="n.a",Crops[[#This Row],[2023]]="n.a"),"-",Crops[[#This Row],[2024]]-Crops[[#This Row],[2023]])</f>
        <v>-</v>
      </c>
      <c r="J23" s="246">
        <f>IF(OR(Crops[[#This Row],[2025]]="n.a",Crops[[#This Row],[2024]]="n.a"),"-",Crops[[#This Row],[2025]]-Crops[[#This Row],[2024]])</f>
        <v>-124.00000000000003</v>
      </c>
      <c r="L23" s="249" t="s">
        <v>51</v>
      </c>
      <c r="M23" s="250" t="str">
        <f>IF(OR(Crops[[#This Row],[2022]]="n.a", Crops[[#This Row],[2022]]=0, Crops[[#This Row],[2023]]="n.a"),
   "-",H23/Crops[[#This Row],[2022]])</f>
        <v>-</v>
      </c>
      <c r="N23" s="250" t="str">
        <f>IF(OR(Crops[[#This Row],[2023]]="n.a", Crops[[#This Row],[2023]]=0, Crops[[#This Row],[2024]]="n.a"),
   "-",I23/Crops[[#This Row],[2023]])</f>
        <v>-</v>
      </c>
      <c r="O23" s="250">
        <f>IF(OR(Crops[[#This Row],[2024]]="n.a", Crops[[#This Row],[2024]]=0, Crops[[#This Row],[2025]]="n.a"),
   "-",J23/Crops[[#This Row],[2024]])</f>
        <v>-0.3575032434770074</v>
      </c>
    </row>
    <row r="24" spans="1:33">
      <c r="A24" s="232" t="s">
        <v>29</v>
      </c>
      <c r="B24" s="233">
        <v>2121.98</v>
      </c>
      <c r="C24" s="233" t="s">
        <v>53</v>
      </c>
      <c r="D24" s="71">
        <v>8544.4495000000006</v>
      </c>
      <c r="E24" s="71">
        <v>2322.9899999999998</v>
      </c>
      <c r="F24" s="71"/>
      <c r="G24" s="247" t="s">
        <v>51</v>
      </c>
      <c r="H24" s="246" t="str">
        <f>IF(OR(Crops[[#This Row],[2023]]="n.a",Crops[[#This Row],[2022]]="n.a"),"-",Crops[[#This Row],[2023]]-Crops[[#This Row],[2022]])</f>
        <v>-</v>
      </c>
      <c r="I24" s="246" t="str">
        <f>IF(OR(Crops[[#This Row],[2024]]="n.a",Crops[[#This Row],[2023]]="n.a"),"-",Crops[[#This Row],[2024]]-Crops[[#This Row],[2023]])</f>
        <v>-</v>
      </c>
      <c r="J24" s="246">
        <f>IF(OR(Crops[[#This Row],[2025]]="n.a",Crops[[#This Row],[2024]]="n.a"),"-",Crops[[#This Row],[2025]]-Crops[[#This Row],[2024]])</f>
        <v>-6221.4595000000008</v>
      </c>
      <c r="L24" s="249" t="s">
        <v>51</v>
      </c>
      <c r="M24" s="250" t="str">
        <f>IF(OR(Crops[[#This Row],[2022]]="n.a", Crops[[#This Row],[2022]]=0, Crops[[#This Row],[2023]]="n.a"),
   "-",H24/Crops[[#This Row],[2022]])</f>
        <v>-</v>
      </c>
      <c r="N24" s="250" t="str">
        <f>IF(OR(Crops[[#This Row],[2023]]="n.a", Crops[[#This Row],[2023]]=0, Crops[[#This Row],[2024]]="n.a"),
   "-",I24/Crops[[#This Row],[2023]])</f>
        <v>-</v>
      </c>
      <c r="O24" s="250">
        <f>IF(OR(Crops[[#This Row],[2024]]="n.a", Crops[[#This Row],[2024]]=0, Crops[[#This Row],[2025]]="n.a"),
   "-",J24/Crops[[#This Row],[2024]])</f>
        <v>-0.72812876944266569</v>
      </c>
    </row>
    <row r="25" spans="1:33">
      <c r="A25" s="232" t="s">
        <v>30</v>
      </c>
      <c r="B25" s="233">
        <v>0</v>
      </c>
      <c r="C25" s="233" t="s">
        <v>53</v>
      </c>
      <c r="D25" s="71">
        <v>229.95</v>
      </c>
      <c r="E25" s="71">
        <v>232</v>
      </c>
      <c r="F25" s="71"/>
      <c r="G25" s="247" t="s">
        <v>51</v>
      </c>
      <c r="H25" s="246" t="str">
        <f>IF(OR(Crops[[#This Row],[2023]]="n.a",Crops[[#This Row],[2022]]="n.a"),"-",Crops[[#This Row],[2023]]-Crops[[#This Row],[2022]])</f>
        <v>-</v>
      </c>
      <c r="I25" s="246" t="str">
        <f>IF(OR(Crops[[#This Row],[2024]]="n.a",Crops[[#This Row],[2023]]="n.a"),"-",Crops[[#This Row],[2024]]-Crops[[#This Row],[2023]])</f>
        <v>-</v>
      </c>
      <c r="J25" s="246">
        <f>IF(OR(Crops[[#This Row],[2025]]="n.a",Crops[[#This Row],[2024]]="n.a"),"-",Crops[[#This Row],[2025]]-Crops[[#This Row],[2024]])</f>
        <v>2.0500000000000114</v>
      </c>
      <c r="L25" s="249" t="s">
        <v>51</v>
      </c>
      <c r="M25" s="250" t="str">
        <f>IF(OR(Crops[[#This Row],[2022]]="n.a", Crops[[#This Row],[2022]]=0, Crops[[#This Row],[2023]]="n.a"),
   "-",H25/Crops[[#This Row],[2022]])</f>
        <v>-</v>
      </c>
      <c r="N25" s="250" t="str">
        <f>IF(OR(Crops[[#This Row],[2023]]="n.a", Crops[[#This Row],[2023]]=0, Crops[[#This Row],[2024]]="n.a"),
   "-",I25/Crops[[#This Row],[2023]])</f>
        <v>-</v>
      </c>
      <c r="O25" s="250">
        <f>IF(OR(Crops[[#This Row],[2024]]="n.a", Crops[[#This Row],[2024]]=0, Crops[[#This Row],[2025]]="n.a"),
   "-",J25/Crops[[#This Row],[2024]])</f>
        <v>8.9149815177212936E-3</v>
      </c>
    </row>
    <row r="26" spans="1:33">
      <c r="A26" s="232" t="s">
        <v>31</v>
      </c>
      <c r="B26" s="233">
        <v>2930.55</v>
      </c>
      <c r="C26" s="233" t="s">
        <v>53</v>
      </c>
      <c r="D26" s="71">
        <v>698.69899999999996</v>
      </c>
      <c r="E26" s="71">
        <v>395.45</v>
      </c>
      <c r="F26" s="71"/>
      <c r="G26" s="247" t="s">
        <v>51</v>
      </c>
      <c r="H26" s="246" t="str">
        <f>IF(OR(Crops[[#This Row],[2023]]="n.a",Crops[[#This Row],[2022]]="n.a"),"-",Crops[[#This Row],[2023]]-Crops[[#This Row],[2022]])</f>
        <v>-</v>
      </c>
      <c r="I26" s="246" t="str">
        <f>IF(OR(Crops[[#This Row],[2024]]="n.a",Crops[[#This Row],[2023]]="n.a"),"-",Crops[[#This Row],[2024]]-Crops[[#This Row],[2023]])</f>
        <v>-</v>
      </c>
      <c r="J26" s="246">
        <f>IF(OR(Crops[[#This Row],[2025]]="n.a",Crops[[#This Row],[2024]]="n.a"),"-",Crops[[#This Row],[2025]]-Crops[[#This Row],[2024]])</f>
        <v>-303.24899999999997</v>
      </c>
      <c r="L26" s="249" t="s">
        <v>51</v>
      </c>
      <c r="M26" s="250" t="str">
        <f>IF(OR(Crops[[#This Row],[2022]]="n.a", Crops[[#This Row],[2022]]=0, Crops[[#This Row],[2023]]="n.a"),
   "-",H26/Crops[[#This Row],[2022]])</f>
        <v>-</v>
      </c>
      <c r="N26" s="250" t="str">
        <f>IF(OR(Crops[[#This Row],[2023]]="n.a", Crops[[#This Row],[2023]]=0, Crops[[#This Row],[2024]]="n.a"),
   "-",I26/Crops[[#This Row],[2023]])</f>
        <v>-</v>
      </c>
      <c r="O26" s="250">
        <f>IF(OR(Crops[[#This Row],[2024]]="n.a", Crops[[#This Row],[2024]]=0, Crops[[#This Row],[2025]]="n.a"),
   "-",J26/Crops[[#This Row],[2024]])</f>
        <v>-0.43401951340992329</v>
      </c>
    </row>
    <row r="27" spans="1:33">
      <c r="A27" s="232" t="s">
        <v>32</v>
      </c>
      <c r="B27" s="234">
        <v>1267.32</v>
      </c>
      <c r="C27" s="233" t="s">
        <v>53</v>
      </c>
      <c r="D27" s="71">
        <v>2155.8690000000001</v>
      </c>
      <c r="E27" s="71">
        <v>2413.9499999999998</v>
      </c>
      <c r="F27" s="71"/>
      <c r="G27" s="247" t="s">
        <v>51</v>
      </c>
      <c r="H27" s="246" t="str">
        <f>IF(OR(Crops[[#This Row],[2023]]="n.a",Crops[[#This Row],[2022]]="n.a"),"-",Crops[[#This Row],[2023]]-Crops[[#This Row],[2022]])</f>
        <v>-</v>
      </c>
      <c r="I27" s="246" t="str">
        <f>IF(OR(Crops[[#This Row],[2024]]="n.a",Crops[[#This Row],[2023]]="n.a"),"-",Crops[[#This Row],[2024]]-Crops[[#This Row],[2023]])</f>
        <v>-</v>
      </c>
      <c r="J27" s="246">
        <f>IF(OR(Crops[[#This Row],[2025]]="n.a",Crops[[#This Row],[2024]]="n.a"),"-",Crops[[#This Row],[2025]]-Crops[[#This Row],[2024]])</f>
        <v>258.08099999999968</v>
      </c>
      <c r="L27" s="249" t="s">
        <v>51</v>
      </c>
      <c r="M27" s="250" t="str">
        <f>IF(OR(Crops[[#This Row],[2022]]="n.a", Crops[[#This Row],[2022]]=0, Crops[[#This Row],[2023]]="n.a"),
   "-",H27/Crops[[#This Row],[2022]])</f>
        <v>-</v>
      </c>
      <c r="N27" s="250" t="str">
        <f>IF(OR(Crops[[#This Row],[2023]]="n.a", Crops[[#This Row],[2023]]=0, Crops[[#This Row],[2024]]="n.a"),
   "-",I27/Crops[[#This Row],[2023]])</f>
        <v>-</v>
      </c>
      <c r="O27" s="250">
        <f>IF(OR(Crops[[#This Row],[2024]]="n.a", Crops[[#This Row],[2024]]=0, Crops[[#This Row],[2025]]="n.a"),
   "-",J27/Crops[[#This Row],[2024]])</f>
        <v>0.11971089152448486</v>
      </c>
    </row>
    <row r="28" spans="1:33">
      <c r="A28" s="232" t="s">
        <v>35</v>
      </c>
      <c r="B28" s="233">
        <v>0</v>
      </c>
      <c r="C28" s="233" t="s">
        <v>53</v>
      </c>
      <c r="D28" s="71">
        <v>11.4</v>
      </c>
      <c r="E28" s="71">
        <v>251.65</v>
      </c>
      <c r="F28" s="71"/>
      <c r="G28" s="247" t="s">
        <v>51</v>
      </c>
      <c r="H28" s="246" t="str">
        <f>IF(OR(Crops[[#This Row],[2023]]="n.a",Crops[[#This Row],[2022]]="n.a"),"-",Crops[[#This Row],[2023]]-Crops[[#This Row],[2022]])</f>
        <v>-</v>
      </c>
      <c r="I28" s="246" t="str">
        <f>IF(OR(Crops[[#This Row],[2024]]="n.a",Crops[[#This Row],[2023]]="n.a"),"-",Crops[[#This Row],[2024]]-Crops[[#This Row],[2023]])</f>
        <v>-</v>
      </c>
      <c r="J28" s="246">
        <f>IF(OR(Crops[[#This Row],[2025]]="n.a",Crops[[#This Row],[2024]]="n.a"),"-",Crops[[#This Row],[2025]]-Crops[[#This Row],[2024]])</f>
        <v>240.25</v>
      </c>
      <c r="L28" s="249" t="s">
        <v>51</v>
      </c>
      <c r="M28" s="250" t="str">
        <f>IF(OR(Crops[[#This Row],[2022]]="n.a", Crops[[#This Row],[2022]]=0, Crops[[#This Row],[2023]]="n.a"),
   "-",H28/Crops[[#This Row],[2022]])</f>
        <v>-</v>
      </c>
      <c r="N28" s="250" t="str">
        <f>IF(OR(Crops[[#This Row],[2023]]="n.a", Crops[[#This Row],[2023]]=0, Crops[[#This Row],[2024]]="n.a"),
   "-",I28/Crops[[#This Row],[2023]])</f>
        <v>-</v>
      </c>
      <c r="O28" s="250">
        <f>IF(OR(Crops[[#This Row],[2024]]="n.a", Crops[[#This Row],[2024]]=0, Crops[[#This Row],[2025]]="n.a"),
   "-",J28/Crops[[#This Row],[2024]])</f>
        <v>21.07456140350877</v>
      </c>
    </row>
    <row r="29" spans="1:33">
      <c r="A29" s="232" t="s">
        <v>33</v>
      </c>
      <c r="B29" s="233">
        <v>519</v>
      </c>
      <c r="C29" s="233" t="s">
        <v>53</v>
      </c>
      <c r="D29" s="71">
        <v>136.84100000000001</v>
      </c>
      <c r="E29" s="71">
        <v>2426.4349999999999</v>
      </c>
      <c r="F29" s="71"/>
      <c r="G29" s="247" t="s">
        <v>51</v>
      </c>
      <c r="H29" s="246" t="str">
        <f>IF(OR(Crops[[#This Row],[2023]]="n.a",Crops[[#This Row],[2022]]="n.a"),"-",Crops[[#This Row],[2023]]-Crops[[#This Row],[2022]])</f>
        <v>-</v>
      </c>
      <c r="I29" s="246" t="str">
        <f>IF(OR(Crops[[#This Row],[2024]]="n.a",Crops[[#This Row],[2023]]="n.a"),"-",Crops[[#This Row],[2024]]-Crops[[#This Row],[2023]])</f>
        <v>-</v>
      </c>
      <c r="J29" s="246">
        <f>IF(OR(Crops[[#This Row],[2025]]="n.a",Crops[[#This Row],[2024]]="n.a"),"-",Crops[[#This Row],[2025]]-Crops[[#This Row],[2024]])</f>
        <v>2289.5940000000001</v>
      </c>
      <c r="L29" s="249" t="s">
        <v>51</v>
      </c>
      <c r="M29" s="250" t="str">
        <f>IF(OR(Crops[[#This Row],[2022]]="n.a", Crops[[#This Row],[2022]]=0, Crops[[#This Row],[2023]]="n.a"),
   "-",H29/Crops[[#This Row],[2022]])</f>
        <v>-</v>
      </c>
      <c r="N29" s="250" t="str">
        <f>IF(OR(Crops[[#This Row],[2023]]="n.a", Crops[[#This Row],[2023]]=0, Crops[[#This Row],[2024]]="n.a"),
   "-",I29/Crops[[#This Row],[2023]])</f>
        <v>-</v>
      </c>
      <c r="O29" s="250">
        <f>IF(OR(Crops[[#This Row],[2024]]="n.a", Crops[[#This Row],[2024]]=0, Crops[[#This Row],[2025]]="n.a"),
   "-",J29/Crops[[#This Row],[2024]])</f>
        <v>16.731783602867562</v>
      </c>
    </row>
    <row r="30" spans="1:33">
      <c r="A30" s="232" t="s">
        <v>34</v>
      </c>
      <c r="B30" s="233">
        <v>0</v>
      </c>
      <c r="C30" s="233" t="s">
        <v>53</v>
      </c>
      <c r="D30" s="71">
        <v>167.35</v>
      </c>
      <c r="E30" s="71">
        <v>381.399</v>
      </c>
      <c r="F30" s="71"/>
      <c r="G30" s="247" t="s">
        <v>51</v>
      </c>
      <c r="H30" s="246" t="str">
        <f>IF(OR(Crops[[#This Row],[2023]]="n.a",Crops[[#This Row],[2022]]="n.a"),"-",Crops[[#This Row],[2023]]-Crops[[#This Row],[2022]])</f>
        <v>-</v>
      </c>
      <c r="I30" s="246" t="str">
        <f>IF(OR(Crops[[#This Row],[2024]]="n.a",Crops[[#This Row],[2023]]="n.a"),"-",Crops[[#This Row],[2024]]-Crops[[#This Row],[2023]])</f>
        <v>-</v>
      </c>
      <c r="J30" s="246">
        <f>IF(OR(Crops[[#This Row],[2025]]="n.a",Crops[[#This Row],[2024]]="n.a"),"-",Crops[[#This Row],[2025]]-Crops[[#This Row],[2024]])</f>
        <v>214.04900000000001</v>
      </c>
      <c r="L30" s="249" t="s">
        <v>51</v>
      </c>
      <c r="M30" s="250" t="str">
        <f>IF(OR(Crops[[#This Row],[2022]]="n.a", Crops[[#This Row],[2022]]=0, Crops[[#This Row],[2023]]="n.a"),
   "-",H30/Crops[[#This Row],[2022]])</f>
        <v>-</v>
      </c>
      <c r="N30" s="250" t="str">
        <f>IF(OR(Crops[[#This Row],[2023]]="n.a", Crops[[#This Row],[2023]]=0, Crops[[#This Row],[2024]]="n.a"),
   "-",I30/Crops[[#This Row],[2023]])</f>
        <v>-</v>
      </c>
      <c r="O30" s="250">
        <f>IF(OR(Crops[[#This Row],[2024]]="n.a", Crops[[#This Row],[2024]]=0, Crops[[#This Row],[2025]]="n.a"),
   "-",J30/Crops[[#This Row],[2024]])</f>
        <v>1.2790498954287421</v>
      </c>
    </row>
    <row r="31" spans="1:33">
      <c r="A31" s="232" t="s">
        <v>38</v>
      </c>
      <c r="B31" s="233">
        <v>3082</v>
      </c>
      <c r="C31" s="233" t="s">
        <v>53</v>
      </c>
      <c r="D31" s="71">
        <v>1698.6679999999999</v>
      </c>
      <c r="E31" s="71">
        <v>4224.5</v>
      </c>
      <c r="F31" s="71"/>
      <c r="G31" s="247" t="s">
        <v>51</v>
      </c>
      <c r="H31" s="246" t="str">
        <f>IF(OR(Crops[[#This Row],[2023]]="n.a",Crops[[#This Row],[2022]]="n.a"),"-",Crops[[#This Row],[2023]]-Crops[[#This Row],[2022]])</f>
        <v>-</v>
      </c>
      <c r="I31" s="246" t="str">
        <f>IF(OR(Crops[[#This Row],[2024]]="n.a",Crops[[#This Row],[2023]]="n.a"),"-",Crops[[#This Row],[2024]]-Crops[[#This Row],[2023]])</f>
        <v>-</v>
      </c>
      <c r="J31" s="246">
        <f>IF(OR(Crops[[#This Row],[2025]]="n.a",Crops[[#This Row],[2024]]="n.a"),"-",Crops[[#This Row],[2025]]-Crops[[#This Row],[2024]])</f>
        <v>2525.8320000000003</v>
      </c>
      <c r="L31" s="249" t="s">
        <v>51</v>
      </c>
      <c r="M31" s="250" t="str">
        <f>IF(OR(Crops[[#This Row],[2022]]="n.a", Crops[[#This Row],[2022]]=0, Crops[[#This Row],[2023]]="n.a"),
   "-",H31/Crops[[#This Row],[2022]])</f>
        <v>-</v>
      </c>
      <c r="N31" s="250" t="str">
        <f>IF(OR(Crops[[#This Row],[2023]]="n.a", Crops[[#This Row],[2023]]=0, Crops[[#This Row],[2024]]="n.a"),
   "-",I31/Crops[[#This Row],[2023]])</f>
        <v>-</v>
      </c>
      <c r="O31" s="250">
        <f>IF(OR(Crops[[#This Row],[2024]]="n.a", Crops[[#This Row],[2024]]=0, Crops[[#This Row],[2025]]="n.a"),
   "-",J31/Crops[[#This Row],[2024]])</f>
        <v>1.4869485973715879</v>
      </c>
    </row>
    <row r="32" spans="1:33">
      <c r="A32" s="232" t="s">
        <v>39</v>
      </c>
      <c r="B32" s="233">
        <v>23098.703000000001</v>
      </c>
      <c r="C32" s="233" t="s">
        <v>53</v>
      </c>
      <c r="D32" s="71">
        <v>2069.3000000000002</v>
      </c>
      <c r="E32" s="71">
        <v>784.86</v>
      </c>
      <c r="F32" s="71"/>
      <c r="G32" s="247" t="s">
        <v>51</v>
      </c>
      <c r="H32" s="246" t="str">
        <f>IF(OR(Crops[[#This Row],[2023]]="n.a",Crops[[#This Row],[2022]]="n.a"),"-",Crops[[#This Row],[2023]]-Crops[[#This Row],[2022]])</f>
        <v>-</v>
      </c>
      <c r="I32" s="246" t="str">
        <f>IF(OR(Crops[[#This Row],[2024]]="n.a",Crops[[#This Row],[2023]]="n.a"),"-",Crops[[#This Row],[2024]]-Crops[[#This Row],[2023]])</f>
        <v>-</v>
      </c>
      <c r="J32" s="246">
        <f>IF(OR(Crops[[#This Row],[2025]]="n.a",Crops[[#This Row],[2024]]="n.a"),"-",Crops[[#This Row],[2025]]-Crops[[#This Row],[2024]])</f>
        <v>-1284.44</v>
      </c>
      <c r="L32" s="249" t="s">
        <v>51</v>
      </c>
      <c r="M32" s="250" t="str">
        <f>IF(OR(Crops[[#This Row],[2022]]="n.a", Crops[[#This Row],[2022]]=0, Crops[[#This Row],[2023]]="n.a"),
   "-",H32/Crops[[#This Row],[2022]])</f>
        <v>-</v>
      </c>
      <c r="N32" s="250" t="str">
        <f>IF(OR(Crops[[#This Row],[2023]]="n.a", Crops[[#This Row],[2023]]=0, Crops[[#This Row],[2024]]="n.a"),
   "-",I32/Crops[[#This Row],[2023]])</f>
        <v>-</v>
      </c>
      <c r="O32" s="250">
        <f>IF(OR(Crops[[#This Row],[2024]]="n.a", Crops[[#This Row],[2024]]=0, Crops[[#This Row],[2025]]="n.a"),
   "-",J32/Crops[[#This Row],[2024]])</f>
        <v>-0.62071231817522832</v>
      </c>
    </row>
    <row r="33" spans="1:15">
      <c r="A33" s="232" t="s">
        <v>36</v>
      </c>
      <c r="B33" s="233">
        <v>0</v>
      </c>
      <c r="C33" s="233" t="s">
        <v>53</v>
      </c>
      <c r="D33" s="71">
        <v>0</v>
      </c>
      <c r="E33" s="71">
        <v>0</v>
      </c>
      <c r="F33" s="71"/>
      <c r="G33" s="247" t="s">
        <v>51</v>
      </c>
      <c r="H33" s="246" t="str">
        <f>IF(OR(Crops[[#This Row],[2023]]="n.a",Crops[[#This Row],[2022]]="n.a"),"-",Crops[[#This Row],[2023]]-Crops[[#This Row],[2022]])</f>
        <v>-</v>
      </c>
      <c r="I33" s="246" t="str">
        <f>IF(OR(Crops[[#This Row],[2024]]="n.a",Crops[[#This Row],[2023]]="n.a"),"-",Crops[[#This Row],[2024]]-Crops[[#This Row],[2023]])</f>
        <v>-</v>
      </c>
      <c r="J33" s="246">
        <f>IF(OR(Crops[[#This Row],[2025]]="n.a",Crops[[#This Row],[2024]]="n.a"),"-",Crops[[#This Row],[2025]]-Crops[[#This Row],[2024]])</f>
        <v>0</v>
      </c>
      <c r="L33" s="249" t="s">
        <v>51</v>
      </c>
      <c r="M33" s="250" t="str">
        <f>IF(OR(Crops[[#This Row],[2022]]="n.a", Crops[[#This Row],[2022]]=0, Crops[[#This Row],[2023]]="n.a"),
   "-",H33/Crops[[#This Row],[2022]])</f>
        <v>-</v>
      </c>
      <c r="N33" s="250" t="str">
        <f>IF(OR(Crops[[#This Row],[2023]]="n.a", Crops[[#This Row],[2023]]=0, Crops[[#This Row],[2024]]="n.a"),
   "-",I33/Crops[[#This Row],[2023]])</f>
        <v>-</v>
      </c>
      <c r="O33" s="250" t="str">
        <f>IF(OR(Crops[[#This Row],[2024]]="n.a", Crops[[#This Row],[2024]]=0, Crops[[#This Row],[2025]]="n.a"),
   "-",J33/Crops[[#This Row],[2024]])</f>
        <v>-</v>
      </c>
    </row>
    <row r="34" spans="1:15">
      <c r="A34" s="232" t="s">
        <v>37</v>
      </c>
      <c r="B34" s="233">
        <v>82</v>
      </c>
      <c r="C34" s="233" t="s">
        <v>53</v>
      </c>
      <c r="D34" s="71">
        <v>443.7</v>
      </c>
      <c r="E34" s="71">
        <v>0</v>
      </c>
      <c r="F34" s="71"/>
      <c r="G34" s="247" t="s">
        <v>51</v>
      </c>
      <c r="H34" s="246" t="str">
        <f>IF(OR(Crops[[#This Row],[2023]]="n.a",Crops[[#This Row],[2022]]="n.a"),"-",Crops[[#This Row],[2023]]-Crops[[#This Row],[2022]])</f>
        <v>-</v>
      </c>
      <c r="I34" s="246" t="str">
        <f>IF(OR(Crops[[#This Row],[2024]]="n.a",Crops[[#This Row],[2023]]="n.a"),"-",Crops[[#This Row],[2024]]-Crops[[#This Row],[2023]])</f>
        <v>-</v>
      </c>
      <c r="J34" s="246">
        <f>IF(OR(Crops[[#This Row],[2025]]="n.a",Crops[[#This Row],[2024]]="n.a"),"-",Crops[[#This Row],[2025]]-Crops[[#This Row],[2024]])</f>
        <v>-443.7</v>
      </c>
      <c r="L34" s="249" t="s">
        <v>51</v>
      </c>
      <c r="M34" s="250" t="str">
        <f>IF(OR(Crops[[#This Row],[2022]]="n.a", Crops[[#This Row],[2022]]=0, Crops[[#This Row],[2023]]="n.a"),
   "-",H34/Crops[[#This Row],[2022]])</f>
        <v>-</v>
      </c>
      <c r="N34" s="250" t="str">
        <f>IF(OR(Crops[[#This Row],[2023]]="n.a", Crops[[#This Row],[2023]]=0, Crops[[#This Row],[2024]]="n.a"),
   "-",I34/Crops[[#This Row],[2023]])</f>
        <v>-</v>
      </c>
      <c r="O34" s="250">
        <f>IF(OR(Crops[[#This Row],[2024]]="n.a", Crops[[#This Row],[2024]]=0, Crops[[#This Row],[2025]]="n.a"),
   "-",J34/Crops[[#This Row],[2024]])</f>
        <v>-1</v>
      </c>
    </row>
    <row r="35" spans="1:15">
      <c r="A35" s="232" t="s">
        <v>41</v>
      </c>
      <c r="B35" s="233">
        <v>0</v>
      </c>
      <c r="C35" s="233" t="s">
        <v>53</v>
      </c>
      <c r="D35" s="71">
        <v>0</v>
      </c>
      <c r="E35" s="71">
        <v>0</v>
      </c>
      <c r="F35" s="71"/>
      <c r="G35" s="247" t="s">
        <v>51</v>
      </c>
      <c r="H35" s="246" t="str">
        <f>IF(OR(Crops[[#This Row],[2023]]="n.a",Crops[[#This Row],[2022]]="n.a"),"-",Crops[[#This Row],[2023]]-Crops[[#This Row],[2022]])</f>
        <v>-</v>
      </c>
      <c r="I35" s="246" t="str">
        <f>IF(OR(Crops[[#This Row],[2024]]="n.a",Crops[[#This Row],[2023]]="n.a"),"-",Crops[[#This Row],[2024]]-Crops[[#This Row],[2023]])</f>
        <v>-</v>
      </c>
      <c r="J35" s="246">
        <f>IF(OR(Crops[[#This Row],[2025]]="n.a",Crops[[#This Row],[2024]]="n.a"),"-",Crops[[#This Row],[2025]]-Crops[[#This Row],[2024]])</f>
        <v>0</v>
      </c>
      <c r="L35" s="249" t="s">
        <v>51</v>
      </c>
      <c r="M35" s="250" t="str">
        <f>IF(OR(Crops[[#This Row],[2022]]="n.a", Crops[[#This Row],[2022]]=0, Crops[[#This Row],[2023]]="n.a"),
   "-",H35/Crops[[#This Row],[2022]])</f>
        <v>-</v>
      </c>
      <c r="N35" s="250" t="str">
        <f>IF(OR(Crops[[#This Row],[2023]]="n.a", Crops[[#This Row],[2023]]=0, Crops[[#This Row],[2024]]="n.a"),
   "-",I35/Crops[[#This Row],[2023]])</f>
        <v>-</v>
      </c>
      <c r="O35" s="250" t="str">
        <f>IF(OR(Crops[[#This Row],[2024]]="n.a", Crops[[#This Row],[2024]]=0, Crops[[#This Row],[2025]]="n.a"),
   "-",J35/Crops[[#This Row],[2024]])</f>
        <v>-</v>
      </c>
    </row>
    <row r="37" spans="1:15" ht="26">
      <c r="A37" s="235" t="s">
        <v>54</v>
      </c>
      <c r="B37" s="334" t="s">
        <v>58</v>
      </c>
      <c r="C37" s="334"/>
      <c r="D37" s="334"/>
      <c r="E37" s="334"/>
      <c r="F37" s="310"/>
      <c r="G37" s="336" t="s">
        <v>44</v>
      </c>
      <c r="H37" s="336"/>
      <c r="I37" s="336"/>
      <c r="J37" s="336"/>
      <c r="L37" s="335" t="s">
        <v>56</v>
      </c>
      <c r="M37" s="335"/>
      <c r="N37" s="335"/>
      <c r="O37" s="335"/>
    </row>
    <row r="38" spans="1:15" ht="15" thickBot="1">
      <c r="A38" s="92" t="s">
        <v>1</v>
      </c>
      <c r="B38" s="230" t="s">
        <v>46</v>
      </c>
      <c r="C38" s="230" t="s">
        <v>47</v>
      </c>
      <c r="D38" s="231" t="s">
        <v>48</v>
      </c>
      <c r="E38" s="231" t="s">
        <v>49</v>
      </c>
      <c r="F38" s="229"/>
      <c r="G38" s="245">
        <v>2022</v>
      </c>
      <c r="H38" s="246">
        <v>2023</v>
      </c>
      <c r="I38" s="246">
        <v>2024</v>
      </c>
      <c r="J38" s="246">
        <v>2025</v>
      </c>
      <c r="L38" s="245">
        <v>2022</v>
      </c>
      <c r="M38" s="246">
        <v>2023</v>
      </c>
      <c r="N38" s="246">
        <v>2024</v>
      </c>
      <c r="O38" s="246">
        <v>2025</v>
      </c>
    </row>
    <row r="39" spans="1:15">
      <c r="A39" s="238" t="s">
        <v>50</v>
      </c>
      <c r="B39" s="96">
        <v>2709.4540000000002</v>
      </c>
      <c r="C39" s="124">
        <v>2141.19</v>
      </c>
      <c r="D39" s="185">
        <v>12881.3511</v>
      </c>
      <c r="E39" s="185">
        <v>34339.984600000003</v>
      </c>
      <c r="F39" s="229"/>
      <c r="G39" s="245" t="s">
        <v>51</v>
      </c>
      <c r="H39" s="246">
        <f>IF(OR(Fisheries[[#This Row],[2023]]="n.a",Fisheries[[#This Row],[2022]]="n.a"),"-",Fisheries[[#This Row],[2023]]-Fisheries[[#This Row],[2022]])</f>
        <v>-568.26400000000012</v>
      </c>
      <c r="I39" s="246">
        <f>IF(OR(Fisheries[[#This Row],[2024]]="n.a",Fisheries[[#This Row],[2023]]="n.a"),"-",Fisheries[[#This Row],[2024]]-Fisheries[[#This Row],[2023]])</f>
        <v>10740.161099999999</v>
      </c>
      <c r="J39" s="246">
        <f>IF(OR(Fisheries[[#This Row],[2025]]="n.a",Fisheries[[#This Row],[2024]]="n.a"),"-",Fisheries[[#This Row],[2025]]-Fisheries[[#This Row],[2024]])</f>
        <v>21458.633500000004</v>
      </c>
      <c r="L39" s="245" t="s">
        <v>51</v>
      </c>
      <c r="M39" s="250">
        <f>IF(OR(Fisheries[[#This Row],[2022]]="n.a", Fisheries[[#This Row],[2022]]=0, Fisheries[[#This Row],[2023]]="n.a"),
   "-",H39/Fisheries[[#This Row],[2022]])</f>
        <v>-0.2097337692391161</v>
      </c>
      <c r="N39" s="250">
        <f>IF(OR(Fisheries[[#This Row],[2023]]="n.a", Fisheries[[#This Row],[2023]]=0, Fisheries[[#This Row],[2024]]="n.a"),
   "-",I39/Fisheries[[#This Row],[2023]])</f>
        <v>5.0159776105810314</v>
      </c>
      <c r="O39" s="250">
        <f>IF(OR(Fisheries[[#This Row],[2024]]="n.a", Fisheries[[#This Row],[2024]]=0, Fisheries[[#This Row],[2025]]="n.a"),
   "-",J39/Fisheries[[#This Row],[2024]])</f>
        <v>1.6658682255776729</v>
      </c>
    </row>
    <row r="40" spans="1:15">
      <c r="A40" s="232" t="s">
        <v>27</v>
      </c>
      <c r="B40" s="233">
        <v>120.36</v>
      </c>
      <c r="C40" s="233" t="s">
        <v>53</v>
      </c>
      <c r="D40" s="71">
        <v>1634.7460000000001</v>
      </c>
      <c r="E40" s="71">
        <v>12236.12</v>
      </c>
      <c r="F40" s="71"/>
      <c r="G40" s="247" t="s">
        <v>51</v>
      </c>
      <c r="H40" s="246" t="str">
        <f>IF(OR(Fisheries[[#This Row],[2023]]="n.a",Fisheries[[#This Row],[2022]]="n.a"),"-",Fisheries[[#This Row],[2023]]-Fisheries[[#This Row],[2022]])</f>
        <v>-</v>
      </c>
      <c r="I40" s="246" t="str">
        <f>IF(OR(Fisheries[[#This Row],[2024]]="n.a",Fisheries[[#This Row],[2023]]="n.a"),"-",Fisheries[[#This Row],[2024]]-Fisheries[[#This Row],[2023]])</f>
        <v>-</v>
      </c>
      <c r="J40" s="246">
        <f>IF(OR(Fisheries[[#This Row],[2025]]="n.a",Fisheries[[#This Row],[2024]]="n.a"),"-",Fisheries[[#This Row],[2025]]-Fisheries[[#This Row],[2024]])</f>
        <v>10601.374</v>
      </c>
      <c r="L40" s="249" t="s">
        <v>51</v>
      </c>
      <c r="M40" s="250" t="str">
        <f>IF(OR(Fisheries[[#This Row],[2022]]="n.a", Fisheries[[#This Row],[2022]]=0, Fisheries[[#This Row],[2023]]="n.a"),
   "-",H40/Fisheries[[#This Row],[2022]])</f>
        <v>-</v>
      </c>
      <c r="N40" s="250" t="str">
        <f>IF(OR(Fisheries[[#This Row],[2023]]="n.a", Fisheries[[#This Row],[2023]]=0, Fisheries[[#This Row],[2024]]="n.a"),
   "-",I40/Fisheries[[#This Row],[2023]])</f>
        <v>-</v>
      </c>
      <c r="O40" s="250">
        <f>IF(OR(Fisheries[[#This Row],[2024]]="n.a", Fisheries[[#This Row],[2024]]=0, Fisheries[[#This Row],[2025]]="n.a"),
   "-",J40/Fisheries[[#This Row],[2024]])</f>
        <v>6.4850282551540115</v>
      </c>
    </row>
    <row r="41" spans="1:15">
      <c r="A41" s="232" t="s">
        <v>28</v>
      </c>
      <c r="B41" s="233">
        <v>7</v>
      </c>
      <c r="C41" s="233" t="s">
        <v>53</v>
      </c>
      <c r="D41" s="71">
        <v>27.114999999999998</v>
      </c>
      <c r="E41" s="71">
        <v>4238</v>
      </c>
      <c r="F41" s="71"/>
      <c r="G41" s="247" t="s">
        <v>51</v>
      </c>
      <c r="H41" s="246" t="str">
        <f>IF(OR(Fisheries[[#This Row],[2023]]="n.a",Fisheries[[#This Row],[2022]]="n.a"),"-",Fisheries[[#This Row],[2023]]-Fisheries[[#This Row],[2022]])</f>
        <v>-</v>
      </c>
      <c r="I41" s="246" t="str">
        <f>IF(OR(Fisheries[[#This Row],[2024]]="n.a",Fisheries[[#This Row],[2023]]="n.a"),"-",Fisheries[[#This Row],[2024]]-Fisheries[[#This Row],[2023]])</f>
        <v>-</v>
      </c>
      <c r="J41" s="246">
        <f>IF(OR(Fisheries[[#This Row],[2025]]="n.a",Fisheries[[#This Row],[2024]]="n.a"),"-",Fisheries[[#This Row],[2025]]-Fisheries[[#This Row],[2024]])</f>
        <v>4210.8850000000002</v>
      </c>
      <c r="L41" s="249" t="s">
        <v>51</v>
      </c>
      <c r="M41" s="250" t="str">
        <f>IF(OR(Fisheries[[#This Row],[2022]]="n.a", Fisheries[[#This Row],[2022]]=0, Fisheries[[#This Row],[2023]]="n.a"),
   "-",H41/Fisheries[[#This Row],[2022]])</f>
        <v>-</v>
      </c>
      <c r="N41" s="250" t="str">
        <f>IF(OR(Fisheries[[#This Row],[2023]]="n.a", Fisheries[[#This Row],[2023]]=0, Fisheries[[#This Row],[2024]]="n.a"),
   "-",I41/Fisheries[[#This Row],[2023]])</f>
        <v>-</v>
      </c>
      <c r="O41" s="250">
        <f>IF(OR(Fisheries[[#This Row],[2024]]="n.a", Fisheries[[#This Row],[2024]]=0, Fisheries[[#This Row],[2025]]="n.a"),
   "-",J41/Fisheries[[#This Row],[2024]])</f>
        <v>155.29725244329708</v>
      </c>
    </row>
    <row r="42" spans="1:15">
      <c r="A42" s="232" t="s">
        <v>29</v>
      </c>
      <c r="B42" s="233">
        <v>1841.0640000000001</v>
      </c>
      <c r="C42" s="233" t="s">
        <v>53</v>
      </c>
      <c r="D42" s="71">
        <v>1020.4</v>
      </c>
      <c r="E42" s="71">
        <v>1276</v>
      </c>
      <c r="F42" s="71"/>
      <c r="G42" s="247" t="s">
        <v>51</v>
      </c>
      <c r="H42" s="246" t="str">
        <f>IF(OR(Fisheries[[#This Row],[2023]]="n.a",Fisheries[[#This Row],[2022]]="n.a"),"-",Fisheries[[#This Row],[2023]]-Fisheries[[#This Row],[2022]])</f>
        <v>-</v>
      </c>
      <c r="I42" s="246" t="str">
        <f>IF(OR(Fisheries[[#This Row],[2024]]="n.a",Fisheries[[#This Row],[2023]]="n.a"),"-",Fisheries[[#This Row],[2024]]-Fisheries[[#This Row],[2023]])</f>
        <v>-</v>
      </c>
      <c r="J42" s="246">
        <f>IF(OR(Fisheries[[#This Row],[2025]]="n.a",Fisheries[[#This Row],[2024]]="n.a"),"-",Fisheries[[#This Row],[2025]]-Fisheries[[#This Row],[2024]])</f>
        <v>255.60000000000002</v>
      </c>
      <c r="L42" s="249" t="s">
        <v>51</v>
      </c>
      <c r="M42" s="250" t="str">
        <f>IF(OR(Fisheries[[#This Row],[2022]]="n.a", Fisheries[[#This Row],[2022]]=0, Fisheries[[#This Row],[2023]]="n.a"),
   "-",H42/Fisheries[[#This Row],[2022]])</f>
        <v>-</v>
      </c>
      <c r="N42" s="250" t="str">
        <f>IF(OR(Fisheries[[#This Row],[2023]]="n.a", Fisheries[[#This Row],[2023]]=0, Fisheries[[#This Row],[2024]]="n.a"),
   "-",I42/Fisheries[[#This Row],[2023]])</f>
        <v>-</v>
      </c>
      <c r="O42" s="250">
        <f>IF(OR(Fisheries[[#This Row],[2024]]="n.a", Fisheries[[#This Row],[2024]]=0, Fisheries[[#This Row],[2025]]="n.a"),
   "-",J42/Fisheries[[#This Row],[2024]])</f>
        <v>0.2504900039200314</v>
      </c>
    </row>
    <row r="43" spans="1:15">
      <c r="A43" s="232" t="s">
        <v>30</v>
      </c>
      <c r="B43" s="233">
        <v>98.3</v>
      </c>
      <c r="C43" s="233" t="s">
        <v>53</v>
      </c>
      <c r="D43" s="71">
        <v>144.8366</v>
      </c>
      <c r="E43" s="71">
        <v>0</v>
      </c>
      <c r="F43" s="71"/>
      <c r="G43" s="247" t="s">
        <v>51</v>
      </c>
      <c r="H43" s="246" t="str">
        <f>IF(OR(Fisheries[[#This Row],[2023]]="n.a",Fisheries[[#This Row],[2022]]="n.a"),"-",Fisheries[[#This Row],[2023]]-Fisheries[[#This Row],[2022]])</f>
        <v>-</v>
      </c>
      <c r="I43" s="246" t="str">
        <f>IF(OR(Fisheries[[#This Row],[2024]]="n.a",Fisheries[[#This Row],[2023]]="n.a"),"-",Fisheries[[#This Row],[2024]]-Fisheries[[#This Row],[2023]])</f>
        <v>-</v>
      </c>
      <c r="J43" s="246">
        <f>IF(OR(Fisheries[[#This Row],[2025]]="n.a",Fisheries[[#This Row],[2024]]="n.a"),"-",Fisheries[[#This Row],[2025]]-Fisheries[[#This Row],[2024]])</f>
        <v>-144.8366</v>
      </c>
      <c r="L43" s="249" t="s">
        <v>51</v>
      </c>
      <c r="M43" s="250" t="str">
        <f>IF(OR(Fisheries[[#This Row],[2022]]="n.a", Fisheries[[#This Row],[2022]]=0, Fisheries[[#This Row],[2023]]="n.a"),
   "-",H43/Fisheries[[#This Row],[2022]])</f>
        <v>-</v>
      </c>
      <c r="N43" s="250" t="str">
        <f>IF(OR(Fisheries[[#This Row],[2023]]="n.a", Fisheries[[#This Row],[2023]]=0, Fisheries[[#This Row],[2024]]="n.a"),
   "-",I43/Fisheries[[#This Row],[2023]])</f>
        <v>-</v>
      </c>
      <c r="O43" s="250">
        <f>IF(OR(Fisheries[[#This Row],[2024]]="n.a", Fisheries[[#This Row],[2024]]=0, Fisheries[[#This Row],[2025]]="n.a"),
   "-",J43/Fisheries[[#This Row],[2024]])</f>
        <v>-1</v>
      </c>
    </row>
    <row r="44" spans="1:15">
      <c r="A44" s="232" t="s">
        <v>31</v>
      </c>
      <c r="B44" s="233">
        <v>60.55</v>
      </c>
      <c r="C44" s="233" t="s">
        <v>53</v>
      </c>
      <c r="D44" s="71">
        <v>442.83</v>
      </c>
      <c r="E44" s="71">
        <v>1957.82</v>
      </c>
      <c r="F44" s="71"/>
      <c r="G44" s="247" t="s">
        <v>51</v>
      </c>
      <c r="H44" s="246" t="str">
        <f>IF(OR(Fisheries[[#This Row],[2023]]="n.a",Fisheries[[#This Row],[2022]]="n.a"),"-",Fisheries[[#This Row],[2023]]-Fisheries[[#This Row],[2022]])</f>
        <v>-</v>
      </c>
      <c r="I44" s="246" t="str">
        <f>IF(OR(Fisheries[[#This Row],[2024]]="n.a",Fisheries[[#This Row],[2023]]="n.a"),"-",Fisheries[[#This Row],[2024]]-Fisheries[[#This Row],[2023]])</f>
        <v>-</v>
      </c>
      <c r="J44" s="246">
        <f>IF(OR(Fisheries[[#This Row],[2025]]="n.a",Fisheries[[#This Row],[2024]]="n.a"),"-",Fisheries[[#This Row],[2025]]-Fisheries[[#This Row],[2024]])</f>
        <v>1514.99</v>
      </c>
      <c r="L44" s="249" t="s">
        <v>51</v>
      </c>
      <c r="M44" s="250" t="str">
        <f>IF(OR(Fisheries[[#This Row],[2022]]="n.a", Fisheries[[#This Row],[2022]]=0, Fisheries[[#This Row],[2023]]="n.a"),
   "-",H44/Fisheries[[#This Row],[2022]])</f>
        <v>-</v>
      </c>
      <c r="N44" s="250" t="str">
        <f>IF(OR(Fisheries[[#This Row],[2023]]="n.a", Fisheries[[#This Row],[2023]]=0, Fisheries[[#This Row],[2024]]="n.a"),
   "-",I44/Fisheries[[#This Row],[2023]])</f>
        <v>-</v>
      </c>
      <c r="O44" s="250">
        <f>IF(OR(Fisheries[[#This Row],[2024]]="n.a", Fisheries[[#This Row],[2024]]=0, Fisheries[[#This Row],[2025]]="n.a"),
   "-",J44/Fisheries[[#This Row],[2024]])</f>
        <v>3.4211548449743696</v>
      </c>
    </row>
    <row r="45" spans="1:15">
      <c r="A45" s="232" t="s">
        <v>32</v>
      </c>
      <c r="B45" s="233">
        <v>111</v>
      </c>
      <c r="C45" s="233" t="s">
        <v>53</v>
      </c>
      <c r="D45" s="71">
        <v>6461.7</v>
      </c>
      <c r="E45" s="71">
        <v>1570</v>
      </c>
      <c r="F45" s="71"/>
      <c r="G45" s="247" t="s">
        <v>51</v>
      </c>
      <c r="H45" s="246" t="str">
        <f>IF(OR(Fisheries[[#This Row],[2023]]="n.a",Fisheries[[#This Row],[2022]]="n.a"),"-",Fisheries[[#This Row],[2023]]-Fisheries[[#This Row],[2022]])</f>
        <v>-</v>
      </c>
      <c r="I45" s="246" t="str">
        <f>IF(OR(Fisheries[[#This Row],[2024]]="n.a",Fisheries[[#This Row],[2023]]="n.a"),"-",Fisheries[[#This Row],[2024]]-Fisheries[[#This Row],[2023]])</f>
        <v>-</v>
      </c>
      <c r="J45" s="246">
        <f>IF(OR(Fisheries[[#This Row],[2025]]="n.a",Fisheries[[#This Row],[2024]]="n.a"),"-",Fisheries[[#This Row],[2025]]-Fisheries[[#This Row],[2024]])</f>
        <v>-4891.7</v>
      </c>
      <c r="L45" s="249" t="s">
        <v>51</v>
      </c>
      <c r="M45" s="250" t="str">
        <f>IF(OR(Fisheries[[#This Row],[2022]]="n.a", Fisheries[[#This Row],[2022]]=0, Fisheries[[#This Row],[2023]]="n.a"),
   "-",H45/Fisheries[[#This Row],[2022]])</f>
        <v>-</v>
      </c>
      <c r="N45" s="250" t="str">
        <f>IF(OR(Fisheries[[#This Row],[2023]]="n.a", Fisheries[[#This Row],[2023]]=0, Fisheries[[#This Row],[2024]]="n.a"),
   "-",I45/Fisheries[[#This Row],[2023]])</f>
        <v>-</v>
      </c>
      <c r="O45" s="250">
        <f>IF(OR(Fisheries[[#This Row],[2024]]="n.a", Fisheries[[#This Row],[2024]]=0, Fisheries[[#This Row],[2025]]="n.a"),
   "-",J45/Fisheries[[#This Row],[2024]])</f>
        <v>-0.7570298837767151</v>
      </c>
    </row>
    <row r="46" spans="1:15">
      <c r="A46" s="232" t="s">
        <v>35</v>
      </c>
      <c r="B46" s="233">
        <v>3</v>
      </c>
      <c r="C46" s="233" t="s">
        <v>53</v>
      </c>
      <c r="D46" s="71">
        <v>50</v>
      </c>
      <c r="E46" s="71">
        <v>2334.4746</v>
      </c>
      <c r="F46" s="71"/>
      <c r="G46" s="247" t="s">
        <v>51</v>
      </c>
      <c r="H46" s="246" t="str">
        <f>IF(OR(Fisheries[[#This Row],[2023]]="n.a",Fisheries[[#This Row],[2022]]="n.a"),"-",Fisheries[[#This Row],[2023]]-Fisheries[[#This Row],[2022]])</f>
        <v>-</v>
      </c>
      <c r="I46" s="246" t="str">
        <f>IF(OR(Fisheries[[#This Row],[2024]]="n.a",Fisheries[[#This Row],[2023]]="n.a"),"-",Fisheries[[#This Row],[2024]]-Fisheries[[#This Row],[2023]])</f>
        <v>-</v>
      </c>
      <c r="J46" s="246">
        <f>IF(OR(Fisheries[[#This Row],[2025]]="n.a",Fisheries[[#This Row],[2024]]="n.a"),"-",Fisheries[[#This Row],[2025]]-Fisheries[[#This Row],[2024]])</f>
        <v>2284.4746</v>
      </c>
      <c r="L46" s="249" t="s">
        <v>51</v>
      </c>
      <c r="M46" s="250" t="str">
        <f>IF(OR(Fisheries[[#This Row],[2022]]="n.a", Fisheries[[#This Row],[2022]]=0, Fisheries[[#This Row],[2023]]="n.a"),
   "-",H46/Fisheries[[#This Row],[2022]])</f>
        <v>-</v>
      </c>
      <c r="N46" s="250" t="str">
        <f>IF(OR(Fisheries[[#This Row],[2023]]="n.a", Fisheries[[#This Row],[2023]]=0, Fisheries[[#This Row],[2024]]="n.a"),
   "-",I46/Fisheries[[#This Row],[2023]])</f>
        <v>-</v>
      </c>
      <c r="O46" s="250">
        <f>IF(OR(Fisheries[[#This Row],[2024]]="n.a", Fisheries[[#This Row],[2024]]=0, Fisheries[[#This Row],[2025]]="n.a"),
   "-",J46/Fisheries[[#This Row],[2024]])</f>
        <v>45.689492000000001</v>
      </c>
    </row>
    <row r="47" spans="1:15">
      <c r="A47" s="232" t="s">
        <v>33</v>
      </c>
      <c r="B47" s="233">
        <v>153</v>
      </c>
      <c r="C47" s="233" t="s">
        <v>53</v>
      </c>
      <c r="D47" s="71">
        <v>150</v>
      </c>
      <c r="E47" s="71">
        <v>1986.64</v>
      </c>
      <c r="F47" s="71"/>
      <c r="G47" s="247" t="s">
        <v>51</v>
      </c>
      <c r="H47" s="246" t="str">
        <f>IF(OR(Fisheries[[#This Row],[2023]]="n.a",Fisheries[[#This Row],[2022]]="n.a"),"-",Fisheries[[#This Row],[2023]]-Fisheries[[#This Row],[2022]])</f>
        <v>-</v>
      </c>
      <c r="I47" s="246" t="str">
        <f>IF(OR(Fisheries[[#This Row],[2024]]="n.a",Fisheries[[#This Row],[2023]]="n.a"),"-",Fisheries[[#This Row],[2024]]-Fisheries[[#This Row],[2023]])</f>
        <v>-</v>
      </c>
      <c r="J47" s="246">
        <f>IF(OR(Fisheries[[#This Row],[2025]]="n.a",Fisheries[[#This Row],[2024]]="n.a"),"-",Fisheries[[#This Row],[2025]]-Fisheries[[#This Row],[2024]])</f>
        <v>1836.64</v>
      </c>
      <c r="L47" s="249" t="s">
        <v>51</v>
      </c>
      <c r="M47" s="250" t="str">
        <f>IF(OR(Fisheries[[#This Row],[2022]]="n.a", Fisheries[[#This Row],[2022]]=0, Fisheries[[#This Row],[2023]]="n.a"),
   "-",H47/Fisheries[[#This Row],[2022]])</f>
        <v>-</v>
      </c>
      <c r="N47" s="250" t="str">
        <f>IF(OR(Fisheries[[#This Row],[2023]]="n.a", Fisheries[[#This Row],[2023]]=0, Fisheries[[#This Row],[2024]]="n.a"),
   "-",I47/Fisheries[[#This Row],[2023]])</f>
        <v>-</v>
      </c>
      <c r="O47" s="250">
        <f>IF(OR(Fisheries[[#This Row],[2024]]="n.a", Fisheries[[#This Row],[2024]]=0, Fisheries[[#This Row],[2025]]="n.a"),
   "-",J47/Fisheries[[#This Row],[2024]])</f>
        <v>12.244266666666668</v>
      </c>
    </row>
    <row r="48" spans="1:15">
      <c r="A48" s="232" t="s">
        <v>34</v>
      </c>
      <c r="B48" s="233">
        <v>0</v>
      </c>
      <c r="C48" s="233" t="s">
        <v>53</v>
      </c>
      <c r="D48" s="71">
        <v>0</v>
      </c>
      <c r="E48" s="71">
        <v>375.55</v>
      </c>
      <c r="F48" s="71"/>
      <c r="G48" s="247" t="s">
        <v>51</v>
      </c>
      <c r="H48" s="246" t="str">
        <f>IF(OR(Fisheries[[#This Row],[2023]]="n.a",Fisheries[[#This Row],[2022]]="n.a"),"-",Fisheries[[#This Row],[2023]]-Fisheries[[#This Row],[2022]])</f>
        <v>-</v>
      </c>
      <c r="I48" s="246" t="str">
        <f>IF(OR(Fisheries[[#This Row],[2024]]="n.a",Fisheries[[#This Row],[2023]]="n.a"),"-",Fisheries[[#This Row],[2024]]-Fisheries[[#This Row],[2023]])</f>
        <v>-</v>
      </c>
      <c r="J48" s="246">
        <f>IF(OR(Fisheries[[#This Row],[2025]]="n.a",Fisheries[[#This Row],[2024]]="n.a"),"-",Fisheries[[#This Row],[2025]]-Fisheries[[#This Row],[2024]])</f>
        <v>375.55</v>
      </c>
      <c r="L48" s="249" t="s">
        <v>51</v>
      </c>
      <c r="M48" s="250" t="str">
        <f>IF(OR(Fisheries[[#This Row],[2022]]="n.a", Fisheries[[#This Row],[2022]]=0, Fisheries[[#This Row],[2023]]="n.a"),
   "-",H48/Fisheries[[#This Row],[2022]])</f>
        <v>-</v>
      </c>
      <c r="N48" s="250" t="str">
        <f>IF(OR(Fisheries[[#This Row],[2023]]="n.a", Fisheries[[#This Row],[2023]]=0, Fisheries[[#This Row],[2024]]="n.a"),
   "-",I48/Fisheries[[#This Row],[2023]])</f>
        <v>-</v>
      </c>
      <c r="O48" s="250" t="str">
        <f>IF(OR(Fisheries[[#This Row],[2024]]="n.a", Fisheries[[#This Row],[2024]]=0, Fisheries[[#This Row],[2025]]="n.a"),
   "-",J48/Fisheries[[#This Row],[2024]])</f>
        <v>-</v>
      </c>
    </row>
    <row r="49" spans="1:15">
      <c r="A49" s="232" t="s">
        <v>38</v>
      </c>
      <c r="B49" s="233">
        <v>36</v>
      </c>
      <c r="C49" s="233" t="s">
        <v>53</v>
      </c>
      <c r="D49" s="71">
        <v>171.49</v>
      </c>
      <c r="E49" s="71">
        <v>5054.2</v>
      </c>
      <c r="F49" s="71"/>
      <c r="G49" s="247" t="s">
        <v>51</v>
      </c>
      <c r="H49" s="246" t="str">
        <f>IF(OR(Fisheries[[#This Row],[2023]]="n.a",Fisheries[[#This Row],[2022]]="n.a"),"-",Fisheries[[#This Row],[2023]]-Fisheries[[#This Row],[2022]])</f>
        <v>-</v>
      </c>
      <c r="I49" s="246" t="str">
        <f>IF(OR(Fisheries[[#This Row],[2024]]="n.a",Fisheries[[#This Row],[2023]]="n.a"),"-",Fisheries[[#This Row],[2024]]-Fisheries[[#This Row],[2023]])</f>
        <v>-</v>
      </c>
      <c r="J49" s="246">
        <f>IF(OR(Fisheries[[#This Row],[2025]]="n.a",Fisheries[[#This Row],[2024]]="n.a"),"-",Fisheries[[#This Row],[2025]]-Fisheries[[#This Row],[2024]])</f>
        <v>4882.71</v>
      </c>
      <c r="L49" s="249" t="s">
        <v>51</v>
      </c>
      <c r="M49" s="250" t="str">
        <f>IF(OR(Fisheries[[#This Row],[2022]]="n.a", Fisheries[[#This Row],[2022]]=0, Fisheries[[#This Row],[2023]]="n.a"),
   "-",H49/Fisheries[[#This Row],[2022]])</f>
        <v>-</v>
      </c>
      <c r="N49" s="250" t="str">
        <f>IF(OR(Fisheries[[#This Row],[2023]]="n.a", Fisheries[[#This Row],[2023]]=0, Fisheries[[#This Row],[2024]]="n.a"),
   "-",I49/Fisheries[[#This Row],[2023]])</f>
        <v>-</v>
      </c>
      <c r="O49" s="250">
        <f>IF(OR(Fisheries[[#This Row],[2024]]="n.a", Fisheries[[#This Row],[2024]]=0, Fisheries[[#This Row],[2025]]="n.a"),
   "-",J49/Fisheries[[#This Row],[2024]])</f>
        <v>28.472272435710536</v>
      </c>
    </row>
    <row r="50" spans="1:15">
      <c r="A50" s="232" t="s">
        <v>39</v>
      </c>
      <c r="B50" s="233">
        <v>279.18</v>
      </c>
      <c r="C50" s="233" t="s">
        <v>53</v>
      </c>
      <c r="D50" s="71">
        <v>2768.7114999999999</v>
      </c>
      <c r="E50" s="71">
        <v>222.7</v>
      </c>
      <c r="F50" s="71"/>
      <c r="G50" s="247" t="s">
        <v>51</v>
      </c>
      <c r="H50" s="246" t="str">
        <f>IF(OR(Fisheries[[#This Row],[2023]]="n.a",Fisheries[[#This Row],[2022]]="n.a"),"-",Fisheries[[#This Row],[2023]]-Fisheries[[#This Row],[2022]])</f>
        <v>-</v>
      </c>
      <c r="I50" s="246" t="str">
        <f>IF(OR(Fisheries[[#This Row],[2024]]="n.a",Fisheries[[#This Row],[2023]]="n.a"),"-",Fisheries[[#This Row],[2024]]-Fisheries[[#This Row],[2023]])</f>
        <v>-</v>
      </c>
      <c r="J50" s="246">
        <f>IF(OR(Fisheries[[#This Row],[2025]]="n.a",Fisheries[[#This Row],[2024]]="n.a"),"-",Fisheries[[#This Row],[2025]]-Fisheries[[#This Row],[2024]])</f>
        <v>-2546.0115000000001</v>
      </c>
      <c r="L50" s="249" t="s">
        <v>51</v>
      </c>
      <c r="M50" s="250" t="str">
        <f>IF(OR(Fisheries[[#This Row],[2022]]="n.a", Fisheries[[#This Row],[2022]]=0, Fisheries[[#This Row],[2023]]="n.a"),
   "-",H50/Fisheries[[#This Row],[2022]])</f>
        <v>-</v>
      </c>
      <c r="N50" s="250" t="str">
        <f>IF(OR(Fisheries[[#This Row],[2023]]="n.a", Fisheries[[#This Row],[2023]]=0, Fisheries[[#This Row],[2024]]="n.a"),
   "-",I50/Fisheries[[#This Row],[2023]])</f>
        <v>-</v>
      </c>
      <c r="O50" s="250">
        <f>IF(OR(Fisheries[[#This Row],[2024]]="n.a", Fisheries[[#This Row],[2024]]=0, Fisheries[[#This Row],[2025]]="n.a"),
   "-",J50/Fisheries[[#This Row],[2024]])</f>
        <v>-0.91956547296459024</v>
      </c>
    </row>
    <row r="51" spans="1:15">
      <c r="A51" s="232" t="s">
        <v>36</v>
      </c>
      <c r="B51" s="233">
        <v>0</v>
      </c>
      <c r="C51" s="233" t="s">
        <v>53</v>
      </c>
      <c r="D51" s="71">
        <v>0</v>
      </c>
      <c r="E51" s="71">
        <v>3088.48</v>
      </c>
      <c r="F51" s="71"/>
      <c r="G51" s="247" t="s">
        <v>51</v>
      </c>
      <c r="H51" s="246" t="str">
        <f>IF(OR(Fisheries[[#This Row],[2023]]="n.a",Fisheries[[#This Row],[2022]]="n.a"),"-",Fisheries[[#This Row],[2023]]-Fisheries[[#This Row],[2022]])</f>
        <v>-</v>
      </c>
      <c r="I51" s="246" t="str">
        <f>IF(OR(Fisheries[[#This Row],[2024]]="n.a",Fisheries[[#This Row],[2023]]="n.a"),"-",Fisheries[[#This Row],[2024]]-Fisheries[[#This Row],[2023]])</f>
        <v>-</v>
      </c>
      <c r="J51" s="246">
        <f>IF(OR(Fisheries[[#This Row],[2025]]="n.a",Fisheries[[#This Row],[2024]]="n.a"),"-",Fisheries[[#This Row],[2025]]-Fisheries[[#This Row],[2024]])</f>
        <v>3088.48</v>
      </c>
      <c r="L51" s="249" t="s">
        <v>51</v>
      </c>
      <c r="M51" s="250" t="str">
        <f>IF(OR(Fisheries[[#This Row],[2022]]="n.a", Fisheries[[#This Row],[2022]]=0, Fisheries[[#This Row],[2023]]="n.a"),
   "-",H51/Fisheries[[#This Row],[2022]])</f>
        <v>-</v>
      </c>
      <c r="N51" s="250" t="str">
        <f>IF(OR(Fisheries[[#This Row],[2023]]="n.a", Fisheries[[#This Row],[2023]]=0, Fisheries[[#This Row],[2024]]="n.a"),
   "-",I51/Fisheries[[#This Row],[2023]])</f>
        <v>-</v>
      </c>
      <c r="O51" s="250" t="str">
        <f>IF(OR(Fisheries[[#This Row],[2024]]="n.a", Fisheries[[#This Row],[2024]]=0, Fisheries[[#This Row],[2025]]="n.a"),
   "-",J51/Fisheries[[#This Row],[2024]])</f>
        <v>-</v>
      </c>
    </row>
    <row r="52" spans="1:15">
      <c r="A52" s="232" t="s">
        <v>37</v>
      </c>
      <c r="B52" s="233">
        <v>0</v>
      </c>
      <c r="C52" s="233" t="s">
        <v>53</v>
      </c>
      <c r="D52" s="71">
        <v>9.5220000000000002</v>
      </c>
      <c r="E52" s="71">
        <v>0</v>
      </c>
      <c r="F52" s="71"/>
      <c r="G52" s="247" t="s">
        <v>51</v>
      </c>
      <c r="H52" s="246" t="str">
        <f>IF(OR(Fisheries[[#This Row],[2023]]="n.a",Fisheries[[#This Row],[2022]]="n.a"),"-",Fisheries[[#This Row],[2023]]-Fisheries[[#This Row],[2022]])</f>
        <v>-</v>
      </c>
      <c r="I52" s="246" t="str">
        <f>IF(OR(Fisheries[[#This Row],[2024]]="n.a",Fisheries[[#This Row],[2023]]="n.a"),"-",Fisheries[[#This Row],[2024]]-Fisheries[[#This Row],[2023]])</f>
        <v>-</v>
      </c>
      <c r="J52" s="246">
        <f>IF(OR(Fisheries[[#This Row],[2025]]="n.a",Fisheries[[#This Row],[2024]]="n.a"),"-",Fisheries[[#This Row],[2025]]-Fisheries[[#This Row],[2024]])</f>
        <v>-9.5220000000000002</v>
      </c>
      <c r="L52" s="249" t="s">
        <v>51</v>
      </c>
      <c r="M52" s="250" t="str">
        <f>IF(OR(Fisheries[[#This Row],[2022]]="n.a", Fisheries[[#This Row],[2022]]=0, Fisheries[[#This Row],[2023]]="n.a"),
   "-",H52/Fisheries[[#This Row],[2022]])</f>
        <v>-</v>
      </c>
      <c r="N52" s="250" t="str">
        <f>IF(OR(Fisheries[[#This Row],[2023]]="n.a", Fisheries[[#This Row],[2023]]=0, Fisheries[[#This Row],[2024]]="n.a"),
   "-",I52/Fisheries[[#This Row],[2023]])</f>
        <v>-</v>
      </c>
      <c r="O52" s="250">
        <f>IF(OR(Fisheries[[#This Row],[2024]]="n.a", Fisheries[[#This Row],[2024]]=0, Fisheries[[#This Row],[2025]]="n.a"),
   "-",J52/Fisheries[[#This Row],[2024]])</f>
        <v>-1</v>
      </c>
    </row>
    <row r="53" spans="1:15">
      <c r="A53" s="232" t="s">
        <v>41</v>
      </c>
      <c r="B53" s="233">
        <v>0</v>
      </c>
      <c r="C53" s="233" t="s">
        <v>53</v>
      </c>
      <c r="D53" s="71">
        <v>0</v>
      </c>
      <c r="E53" s="71">
        <v>0</v>
      </c>
      <c r="F53" s="71"/>
      <c r="G53" s="247" t="s">
        <v>51</v>
      </c>
      <c r="H53" s="246" t="str">
        <f>IF(OR(Fisheries[[#This Row],[2023]]="n.a",Fisheries[[#This Row],[2022]]="n.a"),"-",Fisheries[[#This Row],[2023]]-Fisheries[[#This Row],[2022]])</f>
        <v>-</v>
      </c>
      <c r="I53" s="246" t="str">
        <f>IF(OR(Fisheries[[#This Row],[2024]]="n.a",Fisheries[[#This Row],[2023]]="n.a"),"-",Fisheries[[#This Row],[2024]]-Fisheries[[#This Row],[2023]])</f>
        <v>-</v>
      </c>
      <c r="J53" s="246">
        <f>IF(OR(Fisheries[[#This Row],[2025]]="n.a",Fisheries[[#This Row],[2024]]="n.a"),"-",Fisheries[[#This Row],[2025]]-Fisheries[[#This Row],[2024]])</f>
        <v>0</v>
      </c>
      <c r="L53" s="249" t="s">
        <v>51</v>
      </c>
      <c r="M53" s="250" t="str">
        <f>IF(OR(Fisheries[[#This Row],[2022]]="n.a", Fisheries[[#This Row],[2022]]=0, Fisheries[[#This Row],[2023]]="n.a"),
   "-",H53/Fisheries[[#This Row],[2022]])</f>
        <v>-</v>
      </c>
      <c r="N53" s="250" t="str">
        <f>IF(OR(Fisheries[[#This Row],[2023]]="n.a", Fisheries[[#This Row],[2023]]=0, Fisheries[[#This Row],[2024]]="n.a"),
   "-",I53/Fisheries[[#This Row],[2023]])</f>
        <v>-</v>
      </c>
      <c r="O53" s="250" t="str">
        <f>IF(OR(Fisheries[[#This Row],[2024]]="n.a", Fisheries[[#This Row],[2024]]=0, Fisheries[[#This Row],[2025]]="n.a"),
   "-",J53/Fisheries[[#This Row],[2024]])</f>
        <v>-</v>
      </c>
    </row>
    <row r="55" spans="1:15" ht="26">
      <c r="A55" s="235" t="s">
        <v>54</v>
      </c>
      <c r="B55" s="332" t="s">
        <v>59</v>
      </c>
      <c r="C55" s="332"/>
      <c r="D55" s="332"/>
      <c r="E55" s="332"/>
      <c r="F55" s="309"/>
      <c r="G55" s="336" t="s">
        <v>44</v>
      </c>
      <c r="H55" s="336"/>
      <c r="I55" s="336"/>
      <c r="J55" s="336"/>
      <c r="L55" s="335" t="s">
        <v>56</v>
      </c>
      <c r="M55" s="335"/>
      <c r="N55" s="335"/>
      <c r="O55" s="335"/>
    </row>
    <row r="56" spans="1:15" ht="15" thickBot="1">
      <c r="A56" s="92" t="s">
        <v>1</v>
      </c>
      <c r="B56" s="230" t="s">
        <v>46</v>
      </c>
      <c r="C56" s="230" t="s">
        <v>47</v>
      </c>
      <c r="D56" s="231" t="s">
        <v>48</v>
      </c>
      <c r="E56" s="231" t="s">
        <v>49</v>
      </c>
      <c r="F56" s="229"/>
      <c r="G56" s="245">
        <v>2022</v>
      </c>
      <c r="H56" s="246">
        <v>2023</v>
      </c>
      <c r="I56" s="246">
        <v>2024</v>
      </c>
      <c r="J56" s="246">
        <v>2025</v>
      </c>
      <c r="L56" s="245">
        <v>2022</v>
      </c>
      <c r="M56" s="246">
        <v>2023</v>
      </c>
      <c r="N56" s="246">
        <v>2024</v>
      </c>
      <c r="O56" s="246">
        <v>2025</v>
      </c>
    </row>
    <row r="57" spans="1:15">
      <c r="A57" s="238" t="s">
        <v>50</v>
      </c>
      <c r="B57" s="96">
        <v>36898.81</v>
      </c>
      <c r="C57" s="124">
        <v>15461.934999999999</v>
      </c>
      <c r="D57" s="185">
        <v>4198.6550000000007</v>
      </c>
      <c r="E57" s="185">
        <v>3121.4590599999997</v>
      </c>
      <c r="F57" s="229"/>
      <c r="G57" s="245" t="s">
        <v>51</v>
      </c>
      <c r="H57" s="248">
        <f>IF(OR(Livestock[[#This Row],[2023]]="n.a",Livestock[[#This Row],[2022]]="n.a"),"-",Livestock[[#This Row],[2023]]-Livestock[[#This Row],[2022]])</f>
        <v>-21436.875</v>
      </c>
      <c r="I57" s="248">
        <f>IF(OR(Livestock[[#This Row],[2024]]="n.a",Livestock[[#This Row],[2023]]="n.a"),"-",Livestock[[#This Row],[2024]]-Livestock[[#This Row],[2023]])</f>
        <v>-11263.279999999999</v>
      </c>
      <c r="J57" s="248">
        <f>IF(OR(Livestock[[#This Row],[2025]]="n.a",Livestock[[#This Row],[2024]]="n.a"),"-",Livestock[[#This Row],[2025]]-Livestock[[#This Row],[2024]])</f>
        <v>-1077.195940000001</v>
      </c>
      <c r="L57" s="245" t="s">
        <v>51</v>
      </c>
      <c r="M57" s="250">
        <f>IF(OR(Livestock[[#This Row],[2022]]="n.a", Livestock[[#This Row],[2022]]=0, Livestock[[#This Row],[2023]]="n.a"),
   "-",H57/Livestock[[#This Row],[2022]])</f>
        <v>-0.58096385764202152</v>
      </c>
      <c r="N57" s="250">
        <f>IF(OR(Livestock[[#This Row],[2023]]="n.a", Livestock[[#This Row],[2023]]=0, Livestock[[#This Row],[2024]]="n.a"),
   "-",I57/Livestock[[#This Row],[2023]])</f>
        <v>-0.72845216332884588</v>
      </c>
      <c r="O57" s="250">
        <f>IF(OR(Livestock[[#This Row],[2024]]="n.a", Livestock[[#This Row],[2024]]=0, Livestock[[#This Row],[2025]]="n.a"),
   "-",J57/Livestock[[#This Row],[2024]])</f>
        <v>-0.25655738325725758</v>
      </c>
    </row>
    <row r="58" spans="1:15">
      <c r="A58" s="232" t="s">
        <v>27</v>
      </c>
      <c r="B58" s="233">
        <v>0</v>
      </c>
      <c r="C58" s="233" t="s">
        <v>53</v>
      </c>
      <c r="D58" s="71">
        <v>52.35</v>
      </c>
      <c r="E58" s="71">
        <v>54.329000000000001</v>
      </c>
      <c r="F58" s="71"/>
      <c r="G58" s="247" t="s">
        <v>51</v>
      </c>
      <c r="H58" s="248" t="str">
        <f>IF(OR(Livestock[[#This Row],[2023]]="n.a",Livestock[[#This Row],[2022]]="n.a"),"-",Livestock[[#This Row],[2023]]-Livestock[[#This Row],[2022]])</f>
        <v>-</v>
      </c>
      <c r="I58" s="248" t="str">
        <f>IF(OR(Livestock[[#This Row],[2024]]="n.a",Livestock[[#This Row],[2023]]="n.a"),"-",Livestock[[#This Row],[2024]]-Livestock[[#This Row],[2023]])</f>
        <v>-</v>
      </c>
      <c r="J58" s="248">
        <f>IF(OR(Livestock[[#This Row],[2025]]="n.a",Livestock[[#This Row],[2024]]="n.a"),"-",Livestock[[#This Row],[2025]]-Livestock[[#This Row],[2024]])</f>
        <v>1.9789999999999992</v>
      </c>
      <c r="L58" s="249" t="s">
        <v>51</v>
      </c>
      <c r="M58" s="250" t="str">
        <f>IF(OR(Livestock[[#This Row],[2022]]="n.a", Livestock[[#This Row],[2022]]=0, Livestock[[#This Row],[2023]]="n.a"),
   "-",H58/Livestock[[#This Row],[2022]])</f>
        <v>-</v>
      </c>
      <c r="N58" s="250" t="str">
        <f>IF(OR(Livestock[[#This Row],[2023]]="n.a", Livestock[[#This Row],[2023]]=0, Livestock[[#This Row],[2024]]="n.a"),
   "-",I58/Livestock[[#This Row],[2023]])</f>
        <v>-</v>
      </c>
      <c r="O58" s="250">
        <f>IF(OR(Livestock[[#This Row],[2024]]="n.a", Livestock[[#This Row],[2024]]=0, Livestock[[#This Row],[2025]]="n.a"),
   "-",J58/Livestock[[#This Row],[2024]])</f>
        <v>3.780324737344793E-2</v>
      </c>
    </row>
    <row r="59" spans="1:15">
      <c r="A59" s="232" t="s">
        <v>28</v>
      </c>
      <c r="B59" s="233">
        <v>0</v>
      </c>
      <c r="C59" s="233" t="s">
        <v>53</v>
      </c>
      <c r="D59" s="71">
        <v>268.71499999999997</v>
      </c>
      <c r="E59" s="71">
        <v>579.09</v>
      </c>
      <c r="F59" s="71"/>
      <c r="G59" s="247" t="s">
        <v>51</v>
      </c>
      <c r="H59" s="248" t="str">
        <f>IF(OR(Livestock[[#This Row],[2023]]="n.a",Livestock[[#This Row],[2022]]="n.a"),"-",Livestock[[#This Row],[2023]]-Livestock[[#This Row],[2022]])</f>
        <v>-</v>
      </c>
      <c r="I59" s="248" t="str">
        <f>IF(OR(Livestock[[#This Row],[2024]]="n.a",Livestock[[#This Row],[2023]]="n.a"),"-",Livestock[[#This Row],[2024]]-Livestock[[#This Row],[2023]])</f>
        <v>-</v>
      </c>
      <c r="J59" s="248">
        <f>IF(OR(Livestock[[#This Row],[2025]]="n.a",Livestock[[#This Row],[2024]]="n.a"),"-",Livestock[[#This Row],[2025]]-Livestock[[#This Row],[2024]])</f>
        <v>310.37500000000006</v>
      </c>
      <c r="L59" s="249" t="s">
        <v>51</v>
      </c>
      <c r="M59" s="250" t="str">
        <f>IF(OR(Livestock[[#This Row],[2022]]="n.a", Livestock[[#This Row],[2022]]=0, Livestock[[#This Row],[2023]]="n.a"),
   "-",H59/Livestock[[#This Row],[2022]])</f>
        <v>-</v>
      </c>
      <c r="N59" s="250" t="str">
        <f>IF(OR(Livestock[[#This Row],[2023]]="n.a", Livestock[[#This Row],[2023]]=0, Livestock[[#This Row],[2024]]="n.a"),
   "-",I59/Livestock[[#This Row],[2023]])</f>
        <v>-</v>
      </c>
      <c r="O59" s="250">
        <f>IF(OR(Livestock[[#This Row],[2024]]="n.a", Livestock[[#This Row],[2024]]=0, Livestock[[#This Row],[2025]]="n.a"),
   "-",J59/Livestock[[#This Row],[2024]])</f>
        <v>1.1550341439815421</v>
      </c>
    </row>
    <row r="60" spans="1:15">
      <c r="A60" s="232" t="s">
        <v>29</v>
      </c>
      <c r="B60" s="233">
        <v>352.63600000000002</v>
      </c>
      <c r="C60" s="233" t="s">
        <v>53</v>
      </c>
      <c r="D60" s="71">
        <v>2158.7979999999998</v>
      </c>
      <c r="E60" s="71">
        <v>780.60199999999998</v>
      </c>
      <c r="F60" s="71"/>
      <c r="G60" s="247" t="s">
        <v>51</v>
      </c>
      <c r="H60" s="248" t="str">
        <f>IF(OR(Livestock[[#This Row],[2023]]="n.a",Livestock[[#This Row],[2022]]="n.a"),"-",Livestock[[#This Row],[2023]]-Livestock[[#This Row],[2022]])</f>
        <v>-</v>
      </c>
      <c r="I60" s="248" t="str">
        <f>IF(OR(Livestock[[#This Row],[2024]]="n.a",Livestock[[#This Row],[2023]]="n.a"),"-",Livestock[[#This Row],[2024]]-Livestock[[#This Row],[2023]])</f>
        <v>-</v>
      </c>
      <c r="J60" s="248">
        <f>IF(OR(Livestock[[#This Row],[2025]]="n.a",Livestock[[#This Row],[2024]]="n.a"),"-",Livestock[[#This Row],[2025]]-Livestock[[#This Row],[2024]])</f>
        <v>-1378.1959999999999</v>
      </c>
      <c r="L60" s="249" t="s">
        <v>51</v>
      </c>
      <c r="M60" s="250" t="str">
        <f>IF(OR(Livestock[[#This Row],[2022]]="n.a", Livestock[[#This Row],[2022]]=0, Livestock[[#This Row],[2023]]="n.a"),
   "-",H60/Livestock[[#This Row],[2022]])</f>
        <v>-</v>
      </c>
      <c r="N60" s="250" t="str">
        <f>IF(OR(Livestock[[#This Row],[2023]]="n.a", Livestock[[#This Row],[2023]]=0, Livestock[[#This Row],[2024]]="n.a"),
   "-",I60/Livestock[[#This Row],[2023]])</f>
        <v>-</v>
      </c>
      <c r="O60" s="250">
        <f>IF(OR(Livestock[[#This Row],[2024]]="n.a", Livestock[[#This Row],[2024]]=0, Livestock[[#This Row],[2025]]="n.a"),
   "-",J60/Livestock[[#This Row],[2024]])</f>
        <v>-0.63840896647115664</v>
      </c>
    </row>
    <row r="61" spans="1:15">
      <c r="A61" s="232" t="s">
        <v>30</v>
      </c>
      <c r="B61" s="233">
        <v>0</v>
      </c>
      <c r="C61" s="233" t="s">
        <v>53</v>
      </c>
      <c r="D61" s="71">
        <v>96.9</v>
      </c>
      <c r="E61" s="71">
        <v>280.298</v>
      </c>
      <c r="F61" s="71"/>
      <c r="G61" s="247" t="s">
        <v>51</v>
      </c>
      <c r="H61" s="248" t="str">
        <f>IF(OR(Livestock[[#This Row],[2023]]="n.a",Livestock[[#This Row],[2022]]="n.a"),"-",Livestock[[#This Row],[2023]]-Livestock[[#This Row],[2022]])</f>
        <v>-</v>
      </c>
      <c r="I61" s="248" t="str">
        <f>IF(OR(Livestock[[#This Row],[2024]]="n.a",Livestock[[#This Row],[2023]]="n.a"),"-",Livestock[[#This Row],[2024]]-Livestock[[#This Row],[2023]])</f>
        <v>-</v>
      </c>
      <c r="J61" s="248">
        <f>IF(OR(Livestock[[#This Row],[2025]]="n.a",Livestock[[#This Row],[2024]]="n.a"),"-",Livestock[[#This Row],[2025]]-Livestock[[#This Row],[2024]])</f>
        <v>183.398</v>
      </c>
      <c r="L61" s="249" t="s">
        <v>51</v>
      </c>
      <c r="M61" s="250" t="str">
        <f>IF(OR(Livestock[[#This Row],[2022]]="n.a", Livestock[[#This Row],[2022]]=0, Livestock[[#This Row],[2023]]="n.a"),
   "-",H61/Livestock[[#This Row],[2022]])</f>
        <v>-</v>
      </c>
      <c r="N61" s="250" t="str">
        <f>IF(OR(Livestock[[#This Row],[2023]]="n.a", Livestock[[#This Row],[2023]]=0, Livestock[[#This Row],[2024]]="n.a"),
   "-",I61/Livestock[[#This Row],[2023]])</f>
        <v>-</v>
      </c>
      <c r="O61" s="250">
        <f>IF(OR(Livestock[[#This Row],[2024]]="n.a", Livestock[[#This Row],[2024]]=0, Livestock[[#This Row],[2025]]="n.a"),
   "-",J61/Livestock[[#This Row],[2024]])</f>
        <v>1.8926522187822497</v>
      </c>
    </row>
    <row r="62" spans="1:15">
      <c r="A62" s="232" t="s">
        <v>31</v>
      </c>
      <c r="B62" s="233">
        <v>0</v>
      </c>
      <c r="C62" s="233" t="s">
        <v>53</v>
      </c>
      <c r="D62" s="71">
        <v>68.39</v>
      </c>
      <c r="E62" s="71">
        <v>21.5352</v>
      </c>
      <c r="F62" s="71"/>
      <c r="G62" s="247" t="s">
        <v>51</v>
      </c>
      <c r="H62" s="248" t="str">
        <f>IF(OR(Livestock[[#This Row],[2023]]="n.a",Livestock[[#This Row],[2022]]="n.a"),"-",Livestock[[#This Row],[2023]]-Livestock[[#This Row],[2022]])</f>
        <v>-</v>
      </c>
      <c r="I62" s="248" t="str">
        <f>IF(OR(Livestock[[#This Row],[2024]]="n.a",Livestock[[#This Row],[2023]]="n.a"),"-",Livestock[[#This Row],[2024]]-Livestock[[#This Row],[2023]])</f>
        <v>-</v>
      </c>
      <c r="J62" s="248">
        <f>IF(OR(Livestock[[#This Row],[2025]]="n.a",Livestock[[#This Row],[2024]]="n.a"),"-",Livestock[[#This Row],[2025]]-Livestock[[#This Row],[2024]])</f>
        <v>-46.854799999999997</v>
      </c>
      <c r="L62" s="249" t="s">
        <v>51</v>
      </c>
      <c r="M62" s="250" t="str">
        <f>IF(OR(Livestock[[#This Row],[2022]]="n.a", Livestock[[#This Row],[2022]]=0, Livestock[[#This Row],[2023]]="n.a"),
   "-",H62/Livestock[[#This Row],[2022]])</f>
        <v>-</v>
      </c>
      <c r="N62" s="250" t="str">
        <f>IF(OR(Livestock[[#This Row],[2023]]="n.a", Livestock[[#This Row],[2023]]=0, Livestock[[#This Row],[2024]]="n.a"),
   "-",I62/Livestock[[#This Row],[2023]])</f>
        <v>-</v>
      </c>
      <c r="O62" s="250">
        <f>IF(OR(Livestock[[#This Row],[2024]]="n.a", Livestock[[#This Row],[2024]]=0, Livestock[[#This Row],[2025]]="n.a"),
   "-",J62/Livestock[[#This Row],[2024]])</f>
        <v>-0.68511185845883893</v>
      </c>
    </row>
    <row r="63" spans="1:15">
      <c r="A63" s="232" t="s">
        <v>32</v>
      </c>
      <c r="B63" s="233">
        <v>10</v>
      </c>
      <c r="C63" s="233" t="s">
        <v>53</v>
      </c>
      <c r="D63" s="71">
        <v>189.5</v>
      </c>
      <c r="E63" s="71">
        <v>281.49935999999997</v>
      </c>
      <c r="F63" s="71"/>
      <c r="G63" s="247" t="s">
        <v>51</v>
      </c>
      <c r="H63" s="248" t="str">
        <f>IF(OR(Livestock[[#This Row],[2023]]="n.a",Livestock[[#This Row],[2022]]="n.a"),"-",Livestock[[#This Row],[2023]]-Livestock[[#This Row],[2022]])</f>
        <v>-</v>
      </c>
      <c r="I63" s="248" t="str">
        <f>IF(OR(Livestock[[#This Row],[2024]]="n.a",Livestock[[#This Row],[2023]]="n.a"),"-",Livestock[[#This Row],[2024]]-Livestock[[#This Row],[2023]])</f>
        <v>-</v>
      </c>
      <c r="J63" s="248">
        <f>IF(OR(Livestock[[#This Row],[2025]]="n.a",Livestock[[#This Row],[2024]]="n.a"),"-",Livestock[[#This Row],[2025]]-Livestock[[#This Row],[2024]])</f>
        <v>91.999359999999967</v>
      </c>
      <c r="L63" s="249" t="s">
        <v>51</v>
      </c>
      <c r="M63" s="250" t="str">
        <f>IF(OR(Livestock[[#This Row],[2022]]="n.a", Livestock[[#This Row],[2022]]=0, Livestock[[#This Row],[2023]]="n.a"),
   "-",H63/Livestock[[#This Row],[2022]])</f>
        <v>-</v>
      </c>
      <c r="N63" s="250" t="str">
        <f>IF(OR(Livestock[[#This Row],[2023]]="n.a", Livestock[[#This Row],[2023]]=0, Livestock[[#This Row],[2024]]="n.a"),
   "-",I63/Livestock[[#This Row],[2023]])</f>
        <v>-</v>
      </c>
      <c r="O63" s="250">
        <f>IF(OR(Livestock[[#This Row],[2024]]="n.a", Livestock[[#This Row],[2024]]=0, Livestock[[#This Row],[2025]]="n.a"),
   "-",J63/Livestock[[#This Row],[2024]])</f>
        <v>0.48548474934036923</v>
      </c>
    </row>
    <row r="64" spans="1:15">
      <c r="A64" s="232" t="s">
        <v>35</v>
      </c>
      <c r="B64" s="233">
        <v>0</v>
      </c>
      <c r="C64" s="233" t="s">
        <v>53</v>
      </c>
      <c r="D64" s="71">
        <v>0</v>
      </c>
      <c r="E64" s="71">
        <v>6.61</v>
      </c>
      <c r="F64" s="71"/>
      <c r="G64" s="247" t="s">
        <v>51</v>
      </c>
      <c r="H64" s="248" t="str">
        <f>IF(OR(Livestock[[#This Row],[2023]]="n.a",Livestock[[#This Row],[2022]]="n.a"),"-",Livestock[[#This Row],[2023]]-Livestock[[#This Row],[2022]])</f>
        <v>-</v>
      </c>
      <c r="I64" s="248" t="str">
        <f>IF(OR(Livestock[[#This Row],[2024]]="n.a",Livestock[[#This Row],[2023]]="n.a"),"-",Livestock[[#This Row],[2024]]-Livestock[[#This Row],[2023]])</f>
        <v>-</v>
      </c>
      <c r="J64" s="248">
        <f>IF(OR(Livestock[[#This Row],[2025]]="n.a",Livestock[[#This Row],[2024]]="n.a"),"-",Livestock[[#This Row],[2025]]-Livestock[[#This Row],[2024]])</f>
        <v>6.61</v>
      </c>
      <c r="L64" s="249" t="s">
        <v>51</v>
      </c>
      <c r="M64" s="250" t="str">
        <f>IF(OR(Livestock[[#This Row],[2022]]="n.a", Livestock[[#This Row],[2022]]=0, Livestock[[#This Row],[2023]]="n.a"),
   "-",H64/Livestock[[#This Row],[2022]])</f>
        <v>-</v>
      </c>
      <c r="N64" s="250" t="str">
        <f>IF(OR(Livestock[[#This Row],[2023]]="n.a", Livestock[[#This Row],[2023]]=0, Livestock[[#This Row],[2024]]="n.a"),
   "-",I64/Livestock[[#This Row],[2023]])</f>
        <v>-</v>
      </c>
      <c r="O64" s="250" t="str">
        <f>IF(OR(Livestock[[#This Row],[2024]]="n.a", Livestock[[#This Row],[2024]]=0, Livestock[[#This Row],[2025]]="n.a"),
   "-",J64/Livestock[[#This Row],[2024]])</f>
        <v>-</v>
      </c>
    </row>
    <row r="65" spans="1:15">
      <c r="A65" s="232" t="s">
        <v>33</v>
      </c>
      <c r="B65" s="233">
        <v>10</v>
      </c>
      <c r="C65" s="233" t="s">
        <v>53</v>
      </c>
      <c r="D65" s="71">
        <v>25.5</v>
      </c>
      <c r="E65" s="71">
        <v>0</v>
      </c>
      <c r="F65" s="71"/>
      <c r="G65" s="247" t="s">
        <v>51</v>
      </c>
      <c r="H65" s="248" t="str">
        <f>IF(OR(Livestock[[#This Row],[2023]]="n.a",Livestock[[#This Row],[2022]]="n.a"),"-",Livestock[[#This Row],[2023]]-Livestock[[#This Row],[2022]])</f>
        <v>-</v>
      </c>
      <c r="I65" s="248" t="str">
        <f>IF(OR(Livestock[[#This Row],[2024]]="n.a",Livestock[[#This Row],[2023]]="n.a"),"-",Livestock[[#This Row],[2024]]-Livestock[[#This Row],[2023]])</f>
        <v>-</v>
      </c>
      <c r="J65" s="248">
        <f>IF(OR(Livestock[[#This Row],[2025]]="n.a",Livestock[[#This Row],[2024]]="n.a"),"-",Livestock[[#This Row],[2025]]-Livestock[[#This Row],[2024]])</f>
        <v>-25.5</v>
      </c>
      <c r="L65" s="249" t="s">
        <v>51</v>
      </c>
      <c r="M65" s="250" t="str">
        <f>IF(OR(Livestock[[#This Row],[2022]]="n.a", Livestock[[#This Row],[2022]]=0, Livestock[[#This Row],[2023]]="n.a"),
   "-",H65/Livestock[[#This Row],[2022]])</f>
        <v>-</v>
      </c>
      <c r="N65" s="250" t="str">
        <f>IF(OR(Livestock[[#This Row],[2023]]="n.a", Livestock[[#This Row],[2023]]=0, Livestock[[#This Row],[2024]]="n.a"),
   "-",I65/Livestock[[#This Row],[2023]])</f>
        <v>-</v>
      </c>
      <c r="O65" s="250">
        <f>IF(OR(Livestock[[#This Row],[2024]]="n.a", Livestock[[#This Row],[2024]]=0, Livestock[[#This Row],[2025]]="n.a"),
   "-",J65/Livestock[[#This Row],[2024]])</f>
        <v>-1</v>
      </c>
    </row>
    <row r="66" spans="1:15">
      <c r="A66" s="232" t="s">
        <v>34</v>
      </c>
      <c r="B66" s="233">
        <v>0</v>
      </c>
      <c r="C66" s="233" t="s">
        <v>53</v>
      </c>
      <c r="D66" s="71">
        <v>0</v>
      </c>
      <c r="E66" s="71">
        <v>465.02300000000002</v>
      </c>
      <c r="F66" s="71"/>
      <c r="G66" s="247" t="s">
        <v>51</v>
      </c>
      <c r="H66" s="248" t="str">
        <f>IF(OR(Livestock[[#This Row],[2023]]="n.a",Livestock[[#This Row],[2022]]="n.a"),"-",Livestock[[#This Row],[2023]]-Livestock[[#This Row],[2022]])</f>
        <v>-</v>
      </c>
      <c r="I66" s="248" t="str">
        <f>IF(OR(Livestock[[#This Row],[2024]]="n.a",Livestock[[#This Row],[2023]]="n.a"),"-",Livestock[[#This Row],[2024]]-Livestock[[#This Row],[2023]])</f>
        <v>-</v>
      </c>
      <c r="J66" s="248">
        <f>IF(OR(Livestock[[#This Row],[2025]]="n.a",Livestock[[#This Row],[2024]]="n.a"),"-",Livestock[[#This Row],[2025]]-Livestock[[#This Row],[2024]])</f>
        <v>465.02300000000002</v>
      </c>
      <c r="L66" s="249" t="s">
        <v>51</v>
      </c>
      <c r="M66" s="250" t="str">
        <f>IF(OR(Livestock[[#This Row],[2022]]="n.a", Livestock[[#This Row],[2022]]=0, Livestock[[#This Row],[2023]]="n.a"),
   "-",H66/Livestock[[#This Row],[2022]])</f>
        <v>-</v>
      </c>
      <c r="N66" s="250" t="str">
        <f>IF(OR(Livestock[[#This Row],[2023]]="n.a", Livestock[[#This Row],[2023]]=0, Livestock[[#This Row],[2024]]="n.a"),
   "-",I66/Livestock[[#This Row],[2023]])</f>
        <v>-</v>
      </c>
      <c r="O66" s="250" t="str">
        <f>IF(OR(Livestock[[#This Row],[2024]]="n.a", Livestock[[#This Row],[2024]]=0, Livestock[[#This Row],[2025]]="n.a"),
   "-",J66/Livestock[[#This Row],[2024]])</f>
        <v>-</v>
      </c>
    </row>
    <row r="67" spans="1:15">
      <c r="A67" s="232" t="s">
        <v>38</v>
      </c>
      <c r="B67" s="233">
        <v>0</v>
      </c>
      <c r="C67" s="233" t="s">
        <v>53</v>
      </c>
      <c r="D67" s="71">
        <v>0</v>
      </c>
      <c r="E67" s="71">
        <v>303.33049999999997</v>
      </c>
      <c r="F67" s="71"/>
      <c r="G67" s="247" t="s">
        <v>51</v>
      </c>
      <c r="H67" s="248" t="str">
        <f>IF(OR(Livestock[[#This Row],[2023]]="n.a",Livestock[[#This Row],[2022]]="n.a"),"-",Livestock[[#This Row],[2023]]-Livestock[[#This Row],[2022]])</f>
        <v>-</v>
      </c>
      <c r="I67" s="248" t="str">
        <f>IF(OR(Livestock[[#This Row],[2024]]="n.a",Livestock[[#This Row],[2023]]="n.a"),"-",Livestock[[#This Row],[2024]]-Livestock[[#This Row],[2023]])</f>
        <v>-</v>
      </c>
      <c r="J67" s="248">
        <f>IF(OR(Livestock[[#This Row],[2025]]="n.a",Livestock[[#This Row],[2024]]="n.a"),"-",Livestock[[#This Row],[2025]]-Livestock[[#This Row],[2024]])</f>
        <v>303.33049999999997</v>
      </c>
      <c r="L67" s="249" t="s">
        <v>51</v>
      </c>
      <c r="M67" s="250" t="str">
        <f>IF(OR(Livestock[[#This Row],[2022]]="n.a", Livestock[[#This Row],[2022]]=0, Livestock[[#This Row],[2023]]="n.a"),
   "-",H67/Livestock[[#This Row],[2022]])</f>
        <v>-</v>
      </c>
      <c r="N67" s="250" t="str">
        <f>IF(OR(Livestock[[#This Row],[2023]]="n.a", Livestock[[#This Row],[2023]]=0, Livestock[[#This Row],[2024]]="n.a"),
   "-",I67/Livestock[[#This Row],[2023]])</f>
        <v>-</v>
      </c>
      <c r="O67" s="250" t="str">
        <f>IF(OR(Livestock[[#This Row],[2024]]="n.a", Livestock[[#This Row],[2024]]=0, Livestock[[#This Row],[2025]]="n.a"),
   "-",J67/Livestock[[#This Row],[2024]])</f>
        <v>-</v>
      </c>
    </row>
    <row r="68" spans="1:15">
      <c r="A68" s="232" t="s">
        <v>39</v>
      </c>
      <c r="B68" s="233">
        <v>36526.173999999999</v>
      </c>
      <c r="C68" s="233" t="s">
        <v>53</v>
      </c>
      <c r="D68" s="71">
        <v>1294.125</v>
      </c>
      <c r="E68" s="71">
        <v>0</v>
      </c>
      <c r="F68" s="71"/>
      <c r="G68" s="247" t="s">
        <v>51</v>
      </c>
      <c r="H68" s="248" t="str">
        <f>IF(OR(Livestock[[#This Row],[2023]]="n.a",Livestock[[#This Row],[2022]]="n.a"),"-",Livestock[[#This Row],[2023]]-Livestock[[#This Row],[2022]])</f>
        <v>-</v>
      </c>
      <c r="I68" s="248" t="str">
        <f>IF(OR(Livestock[[#This Row],[2024]]="n.a",Livestock[[#This Row],[2023]]="n.a"),"-",Livestock[[#This Row],[2024]]-Livestock[[#This Row],[2023]])</f>
        <v>-</v>
      </c>
      <c r="J68" s="248">
        <f>IF(OR(Livestock[[#This Row],[2025]]="n.a",Livestock[[#This Row],[2024]]="n.a"),"-",Livestock[[#This Row],[2025]]-Livestock[[#This Row],[2024]])</f>
        <v>-1294.125</v>
      </c>
      <c r="L68" s="249" t="s">
        <v>51</v>
      </c>
      <c r="M68" s="250" t="str">
        <f>IF(OR(Livestock[[#This Row],[2022]]="n.a", Livestock[[#This Row],[2022]]=0, Livestock[[#This Row],[2023]]="n.a"),
   "-",H68/Livestock[[#This Row],[2022]])</f>
        <v>-</v>
      </c>
      <c r="N68" s="250" t="str">
        <f>IF(OR(Livestock[[#This Row],[2023]]="n.a", Livestock[[#This Row],[2023]]=0, Livestock[[#This Row],[2024]]="n.a"),
   "-",I68/Livestock[[#This Row],[2023]])</f>
        <v>-</v>
      </c>
      <c r="O68" s="250">
        <f>IF(OR(Livestock[[#This Row],[2024]]="n.a", Livestock[[#This Row],[2024]]=0, Livestock[[#This Row],[2025]]="n.a"),
   "-",J68/Livestock[[#This Row],[2024]])</f>
        <v>-1</v>
      </c>
    </row>
    <row r="69" spans="1:15">
      <c r="A69" s="232" t="s">
        <v>36</v>
      </c>
      <c r="B69" s="233">
        <v>0</v>
      </c>
      <c r="C69" s="233" t="s">
        <v>53</v>
      </c>
      <c r="D69" s="71">
        <v>44.377000000000002</v>
      </c>
      <c r="E69" s="71">
        <v>349.142</v>
      </c>
      <c r="F69" s="71"/>
      <c r="G69" s="247" t="s">
        <v>51</v>
      </c>
      <c r="H69" s="248" t="str">
        <f>IF(OR(Livestock[[#This Row],[2023]]="n.a",Livestock[[#This Row],[2022]]="n.a"),"-",Livestock[[#This Row],[2023]]-Livestock[[#This Row],[2022]])</f>
        <v>-</v>
      </c>
      <c r="I69" s="248" t="str">
        <f>IF(OR(Livestock[[#This Row],[2024]]="n.a",Livestock[[#This Row],[2023]]="n.a"),"-",Livestock[[#This Row],[2024]]-Livestock[[#This Row],[2023]])</f>
        <v>-</v>
      </c>
      <c r="J69" s="248">
        <f>IF(OR(Livestock[[#This Row],[2025]]="n.a",Livestock[[#This Row],[2024]]="n.a"),"-",Livestock[[#This Row],[2025]]-Livestock[[#This Row],[2024]])</f>
        <v>304.76499999999999</v>
      </c>
      <c r="L69" s="249" t="s">
        <v>51</v>
      </c>
      <c r="M69" s="250" t="str">
        <f>IF(OR(Livestock[[#This Row],[2022]]="n.a", Livestock[[#This Row],[2022]]=0, Livestock[[#This Row],[2023]]="n.a"),
   "-",H69/Livestock[[#This Row],[2022]])</f>
        <v>-</v>
      </c>
      <c r="N69" s="250" t="str">
        <f>IF(OR(Livestock[[#This Row],[2023]]="n.a", Livestock[[#This Row],[2023]]=0, Livestock[[#This Row],[2024]]="n.a"),
   "-",I69/Livestock[[#This Row],[2023]])</f>
        <v>-</v>
      </c>
      <c r="O69" s="250">
        <f>IF(OR(Livestock[[#This Row],[2024]]="n.a", Livestock[[#This Row],[2024]]=0, Livestock[[#This Row],[2025]]="n.a"),
   "-",J69/Livestock[[#This Row],[2024]])</f>
        <v>6.867634134799558</v>
      </c>
    </row>
    <row r="70" spans="1:15">
      <c r="A70" s="232" t="s">
        <v>37</v>
      </c>
      <c r="B70" s="233">
        <v>0</v>
      </c>
      <c r="C70" s="233" t="s">
        <v>53</v>
      </c>
      <c r="D70" s="71">
        <v>0</v>
      </c>
      <c r="E70" s="71">
        <v>0</v>
      </c>
      <c r="F70" s="71"/>
      <c r="G70" s="247" t="s">
        <v>51</v>
      </c>
      <c r="H70" s="248" t="str">
        <f>IF(OR(Livestock[[#This Row],[2023]]="n.a",Livestock[[#This Row],[2022]]="n.a"),"-",Livestock[[#This Row],[2023]]-Livestock[[#This Row],[2022]])</f>
        <v>-</v>
      </c>
      <c r="I70" s="248" t="str">
        <f>IF(OR(Livestock[[#This Row],[2024]]="n.a",Livestock[[#This Row],[2023]]="n.a"),"-",Livestock[[#This Row],[2024]]-Livestock[[#This Row],[2023]])</f>
        <v>-</v>
      </c>
      <c r="J70" s="248">
        <f>IF(OR(Livestock[[#This Row],[2025]]="n.a",Livestock[[#This Row],[2024]]="n.a"),"-",Livestock[[#This Row],[2025]]-Livestock[[#This Row],[2024]])</f>
        <v>0</v>
      </c>
      <c r="L70" s="249" t="s">
        <v>51</v>
      </c>
      <c r="M70" s="250" t="str">
        <f>IF(OR(Livestock[[#This Row],[2022]]="n.a", Livestock[[#This Row],[2022]]=0, Livestock[[#This Row],[2023]]="n.a"),
   "-",H70/Livestock[[#This Row],[2022]])</f>
        <v>-</v>
      </c>
      <c r="N70" s="250" t="str">
        <f>IF(OR(Livestock[[#This Row],[2023]]="n.a", Livestock[[#This Row],[2023]]=0, Livestock[[#This Row],[2024]]="n.a"),
   "-",I70/Livestock[[#This Row],[2023]])</f>
        <v>-</v>
      </c>
      <c r="O70" s="250" t="str">
        <f>IF(OR(Livestock[[#This Row],[2024]]="n.a", Livestock[[#This Row],[2024]]=0, Livestock[[#This Row],[2025]]="n.a"),
   "-",J70/Livestock[[#This Row],[2024]])</f>
        <v>-</v>
      </c>
    </row>
    <row r="71" spans="1:15">
      <c r="A71" s="232" t="s">
        <v>41</v>
      </c>
      <c r="B71" s="233">
        <v>0</v>
      </c>
      <c r="C71" s="233" t="s">
        <v>53</v>
      </c>
      <c r="D71" s="71">
        <v>0</v>
      </c>
      <c r="E71" s="71">
        <v>0</v>
      </c>
      <c r="F71" s="71"/>
      <c r="G71" s="247" t="s">
        <v>51</v>
      </c>
      <c r="H71" s="248" t="str">
        <f>IF(OR(Livestock[[#This Row],[2023]]="n.a",Livestock[[#This Row],[2022]]="n.a"),"-",Livestock[[#This Row],[2023]]-Livestock[[#This Row],[2022]])</f>
        <v>-</v>
      </c>
      <c r="I71" s="248" t="str">
        <f>IF(OR(Livestock[[#This Row],[2024]]="n.a",Livestock[[#This Row],[2023]]="n.a"),"-",Livestock[[#This Row],[2024]]-Livestock[[#This Row],[2023]])</f>
        <v>-</v>
      </c>
      <c r="J71" s="248">
        <f>IF(OR(Livestock[[#This Row],[2025]]="n.a",Livestock[[#This Row],[2024]]="n.a"),"-",Livestock[[#This Row],[2025]]-Livestock[[#This Row],[2024]])</f>
        <v>0</v>
      </c>
      <c r="L71" s="249" t="s">
        <v>51</v>
      </c>
      <c r="M71" s="250" t="str">
        <f>IF(OR(Livestock[[#This Row],[2022]]="n.a", Livestock[[#This Row],[2022]]=0, Livestock[[#This Row],[2023]]="n.a"),
   "-",H71/Livestock[[#This Row],[2022]])</f>
        <v>-</v>
      </c>
      <c r="N71" s="250" t="str">
        <f>IF(OR(Livestock[[#This Row],[2023]]="n.a", Livestock[[#This Row],[2023]]=0, Livestock[[#This Row],[2024]]="n.a"),
   "-",I71/Livestock[[#This Row],[2023]])</f>
        <v>-</v>
      </c>
      <c r="O71" s="250" t="str">
        <f>IF(OR(Livestock[[#This Row],[2024]]="n.a", Livestock[[#This Row],[2024]]=0, Livestock[[#This Row],[2025]]="n.a"),
   "-",J71/Livestock[[#This Row],[2024]])</f>
        <v>-</v>
      </c>
    </row>
    <row r="73" spans="1:15" ht="26">
      <c r="A73" s="235" t="s">
        <v>54</v>
      </c>
      <c r="B73" s="334" t="s">
        <v>60</v>
      </c>
      <c r="C73" s="334"/>
      <c r="D73" s="334"/>
      <c r="E73" s="334"/>
      <c r="F73" s="310"/>
      <c r="G73" s="336" t="s">
        <v>44</v>
      </c>
      <c r="H73" s="336"/>
      <c r="I73" s="336"/>
      <c r="J73" s="336"/>
      <c r="L73" s="335" t="s">
        <v>56</v>
      </c>
      <c r="M73" s="335"/>
      <c r="N73" s="335"/>
      <c r="O73" s="335"/>
    </row>
    <row r="74" spans="1:15" ht="15" thickBot="1">
      <c r="A74" s="92" t="s">
        <v>1</v>
      </c>
      <c r="B74" s="230" t="s">
        <v>46</v>
      </c>
      <c r="C74" s="230" t="s">
        <v>47</v>
      </c>
      <c r="D74" s="231" t="s">
        <v>48</v>
      </c>
      <c r="E74" s="231" t="s">
        <v>49</v>
      </c>
      <c r="F74" s="229"/>
      <c r="G74" s="245">
        <v>2022</v>
      </c>
      <c r="H74" s="246">
        <v>2023</v>
      </c>
      <c r="I74" s="246">
        <v>2024</v>
      </c>
      <c r="J74" s="246">
        <v>2025</v>
      </c>
      <c r="L74" s="245">
        <v>2022</v>
      </c>
      <c r="M74" s="246">
        <v>2023</v>
      </c>
      <c r="N74" s="246">
        <v>2024</v>
      </c>
      <c r="O74" s="246">
        <v>2025</v>
      </c>
    </row>
    <row r="75" spans="1:15">
      <c r="A75" s="238" t="s">
        <v>50</v>
      </c>
      <c r="B75" s="96">
        <v>16.5</v>
      </c>
      <c r="C75" s="124">
        <v>16.5</v>
      </c>
      <c r="D75" s="151">
        <v>0</v>
      </c>
      <c r="E75" s="71">
        <v>0</v>
      </c>
      <c r="F75" s="229"/>
      <c r="G75" s="245" t="s">
        <v>51</v>
      </c>
      <c r="H75" s="246">
        <f>IF(OR(Fisherman[[#This Row],[2023]]="n.a",Fisherman[[#This Row],[2022]]="n.a"),"-",Fisherman[[#This Row],[2023]]-Fisherman[[#This Row],[2022]])</f>
        <v>0</v>
      </c>
      <c r="I75" s="246">
        <f>IF(OR(Fisherman[[#This Row],[2024]]="n.a",Fisherman[[#This Row],[2023]]="n.a"),"-",Fisherman[[#This Row],[2024]]-Fisherman[[#This Row],[2023]])</f>
        <v>-16.5</v>
      </c>
      <c r="J75" s="246">
        <f>IF(OR(Fisherman[[#This Row],[2025]]="n.a",Fisherman[[#This Row],[2024]]="n.a"),"-",Fisherman[[#This Row],[2025]]-Fisherman[[#This Row],[2024]])</f>
        <v>0</v>
      </c>
      <c r="L75" s="245" t="s">
        <v>51</v>
      </c>
      <c r="M75" s="250">
        <f>IF(OR(Fisherman[[#This Row],[2022]]="n.a", Fisherman[[#This Row],[2022]]=0, Fisherman[[#This Row],[2023]]="n.a"),
   "-",H75/Fisherman[[#This Row],[2022]])</f>
        <v>0</v>
      </c>
      <c r="N75" s="250">
        <f>IF(OR(Fisherman[[#This Row],[2023]]="n.a", Fisherman[[#This Row],[2023]]=0, Fisherman[[#This Row],[2024]]="n.a"),
   "-",I75/Fisherman[[#This Row],[2023]])</f>
        <v>-1</v>
      </c>
      <c r="O75" s="250" t="str">
        <f>IF(OR(Fisherman[[#This Row],[2024]]="n.a", Fisherman[[#This Row],[2024]]=0, Fisherman[[#This Row],[2025]]="n.a"),
   "-",J75/Fisherman[[#This Row],[2024]])</f>
        <v>-</v>
      </c>
    </row>
    <row r="76" spans="1:15">
      <c r="A76" s="232" t="s">
        <v>27</v>
      </c>
      <c r="B76" s="233">
        <v>0</v>
      </c>
      <c r="C76" s="233" t="s">
        <v>53</v>
      </c>
      <c r="D76" s="71">
        <v>0</v>
      </c>
      <c r="E76" s="71">
        <v>0</v>
      </c>
      <c r="F76" s="71"/>
      <c r="G76" s="247" t="s">
        <v>51</v>
      </c>
      <c r="H76" s="246" t="str">
        <f>IF(OR(Fisherman[[#This Row],[2023]]="n.a",Fisherman[[#This Row],[2022]]="n.a"),"-",Fisherman[[#This Row],[2023]]-Fisherman[[#This Row],[2022]])</f>
        <v>-</v>
      </c>
      <c r="I76" s="246" t="str">
        <f>IF(OR(Fisherman[[#This Row],[2024]]="n.a",Fisherman[[#This Row],[2023]]="n.a"),"-",Fisherman[[#This Row],[2024]]-Fisherman[[#This Row],[2023]])</f>
        <v>-</v>
      </c>
      <c r="J76" s="246">
        <f>IF(OR(Fisherman[[#This Row],[2025]]="n.a",Fisherman[[#This Row],[2024]]="n.a"),"-",Fisherman[[#This Row],[2025]]-Fisherman[[#This Row],[2024]])</f>
        <v>0</v>
      </c>
      <c r="L76" s="249" t="s">
        <v>51</v>
      </c>
      <c r="M76" s="250" t="str">
        <f>IF(OR(Fisherman[[#This Row],[2022]]="n.a", Fisherman[[#This Row],[2022]]=0, Fisherman[[#This Row],[2023]]="n.a"),
   "-",H76/Fisherman[[#This Row],[2022]])</f>
        <v>-</v>
      </c>
      <c r="N76" s="250" t="str">
        <f>IF(OR(Fisherman[[#This Row],[2023]]="n.a", Fisherman[[#This Row],[2023]]=0, Fisherman[[#This Row],[2024]]="n.a"),
   "-",I76/Fisherman[[#This Row],[2023]])</f>
        <v>-</v>
      </c>
      <c r="O76" s="250" t="str">
        <f>IF(OR(Fisherman[[#This Row],[2024]]="n.a", Fisherman[[#This Row],[2024]]=0, Fisherman[[#This Row],[2025]]="n.a"),
   "-",J76/Fisherman[[#This Row],[2024]])</f>
        <v>-</v>
      </c>
    </row>
    <row r="77" spans="1:15">
      <c r="A77" s="232" t="s">
        <v>28</v>
      </c>
      <c r="B77" s="233">
        <v>0</v>
      </c>
      <c r="C77" s="233" t="s">
        <v>53</v>
      </c>
      <c r="D77" s="71">
        <v>0</v>
      </c>
      <c r="E77" s="71">
        <v>0</v>
      </c>
      <c r="F77" s="71"/>
      <c r="G77" s="247" t="s">
        <v>51</v>
      </c>
      <c r="H77" s="246" t="str">
        <f>IF(OR(Fisherman[[#This Row],[2023]]="n.a",Fisherman[[#This Row],[2022]]="n.a"),"-",Fisherman[[#This Row],[2023]]-Fisherman[[#This Row],[2022]])</f>
        <v>-</v>
      </c>
      <c r="I77" s="246" t="str">
        <f>IF(OR(Fisherman[[#This Row],[2024]]="n.a",Fisherman[[#This Row],[2023]]="n.a"),"-",Fisherman[[#This Row],[2024]]-Fisherman[[#This Row],[2023]])</f>
        <v>-</v>
      </c>
      <c r="J77" s="246">
        <f>IF(OR(Fisherman[[#This Row],[2025]]="n.a",Fisherman[[#This Row],[2024]]="n.a"),"-",Fisherman[[#This Row],[2025]]-Fisherman[[#This Row],[2024]])</f>
        <v>0</v>
      </c>
      <c r="L77" s="249" t="s">
        <v>51</v>
      </c>
      <c r="M77" s="250" t="str">
        <f>IF(OR(Fisherman[[#This Row],[2022]]="n.a", Fisherman[[#This Row],[2022]]=0, Fisherman[[#This Row],[2023]]="n.a"),
   "-",H77/Fisherman[[#This Row],[2022]])</f>
        <v>-</v>
      </c>
      <c r="N77" s="250" t="str">
        <f>IF(OR(Fisherman[[#This Row],[2023]]="n.a", Fisherman[[#This Row],[2023]]=0, Fisherman[[#This Row],[2024]]="n.a"),
   "-",I77/Fisherman[[#This Row],[2023]])</f>
        <v>-</v>
      </c>
      <c r="O77" s="250" t="str">
        <f>IF(OR(Fisherman[[#This Row],[2024]]="n.a", Fisherman[[#This Row],[2024]]=0, Fisherman[[#This Row],[2025]]="n.a"),
   "-",J77/Fisherman[[#This Row],[2024]])</f>
        <v>-</v>
      </c>
    </row>
    <row r="78" spans="1:15">
      <c r="A78" s="232" t="s">
        <v>29</v>
      </c>
      <c r="B78" s="233">
        <v>0</v>
      </c>
      <c r="C78" s="233" t="s">
        <v>53</v>
      </c>
      <c r="D78" s="71">
        <v>0</v>
      </c>
      <c r="E78" s="71">
        <v>0</v>
      </c>
      <c r="F78" s="71"/>
      <c r="G78" s="247" t="s">
        <v>51</v>
      </c>
      <c r="H78" s="246" t="str">
        <f>IF(OR(Fisherman[[#This Row],[2023]]="n.a",Fisherman[[#This Row],[2022]]="n.a"),"-",Fisherman[[#This Row],[2023]]-Fisherman[[#This Row],[2022]])</f>
        <v>-</v>
      </c>
      <c r="I78" s="246" t="str">
        <f>IF(OR(Fisherman[[#This Row],[2024]]="n.a",Fisherman[[#This Row],[2023]]="n.a"),"-",Fisherman[[#This Row],[2024]]-Fisherman[[#This Row],[2023]])</f>
        <v>-</v>
      </c>
      <c r="J78" s="246">
        <f>IF(OR(Fisherman[[#This Row],[2025]]="n.a",Fisherman[[#This Row],[2024]]="n.a"),"-",Fisherman[[#This Row],[2025]]-Fisherman[[#This Row],[2024]])</f>
        <v>0</v>
      </c>
      <c r="L78" s="249" t="s">
        <v>51</v>
      </c>
      <c r="M78" s="250" t="str">
        <f>IF(OR(Fisherman[[#This Row],[2022]]="n.a", Fisherman[[#This Row],[2022]]=0, Fisherman[[#This Row],[2023]]="n.a"),
   "-",H78/Fisherman[[#This Row],[2022]])</f>
        <v>-</v>
      </c>
      <c r="N78" s="250" t="str">
        <f>IF(OR(Fisherman[[#This Row],[2023]]="n.a", Fisherman[[#This Row],[2023]]=0, Fisherman[[#This Row],[2024]]="n.a"),
   "-",I78/Fisherman[[#This Row],[2023]])</f>
        <v>-</v>
      </c>
      <c r="O78" s="250" t="str">
        <f>IF(OR(Fisherman[[#This Row],[2024]]="n.a", Fisherman[[#This Row],[2024]]=0, Fisherman[[#This Row],[2025]]="n.a"),
   "-",J78/Fisherman[[#This Row],[2024]])</f>
        <v>-</v>
      </c>
    </row>
    <row r="79" spans="1:15">
      <c r="A79" s="232" t="s">
        <v>30</v>
      </c>
      <c r="B79" s="233">
        <v>0</v>
      </c>
      <c r="C79" s="233" t="s">
        <v>53</v>
      </c>
      <c r="D79" s="71">
        <v>0</v>
      </c>
      <c r="E79" s="71">
        <v>0</v>
      </c>
      <c r="F79" s="71"/>
      <c r="G79" s="247" t="s">
        <v>51</v>
      </c>
      <c r="H79" s="246" t="str">
        <f>IF(OR(Fisherman[[#This Row],[2023]]="n.a",Fisherman[[#This Row],[2022]]="n.a"),"-",Fisherman[[#This Row],[2023]]-Fisherman[[#This Row],[2022]])</f>
        <v>-</v>
      </c>
      <c r="I79" s="246" t="str">
        <f>IF(OR(Fisherman[[#This Row],[2024]]="n.a",Fisherman[[#This Row],[2023]]="n.a"),"-",Fisherman[[#This Row],[2024]]-Fisherman[[#This Row],[2023]])</f>
        <v>-</v>
      </c>
      <c r="J79" s="246">
        <f>IF(OR(Fisherman[[#This Row],[2025]]="n.a",Fisherman[[#This Row],[2024]]="n.a"),"-",Fisherman[[#This Row],[2025]]-Fisherman[[#This Row],[2024]])</f>
        <v>0</v>
      </c>
      <c r="L79" s="249" t="s">
        <v>51</v>
      </c>
      <c r="M79" s="250" t="str">
        <f>IF(OR(Fisherman[[#This Row],[2022]]="n.a", Fisherman[[#This Row],[2022]]=0, Fisherman[[#This Row],[2023]]="n.a"),
   "-",H79/Fisherman[[#This Row],[2022]])</f>
        <v>-</v>
      </c>
      <c r="N79" s="250" t="str">
        <f>IF(OR(Fisherman[[#This Row],[2023]]="n.a", Fisherman[[#This Row],[2023]]=0, Fisherman[[#This Row],[2024]]="n.a"),
   "-",I79/Fisherman[[#This Row],[2023]])</f>
        <v>-</v>
      </c>
      <c r="O79" s="250" t="str">
        <f>IF(OR(Fisherman[[#This Row],[2024]]="n.a", Fisherman[[#This Row],[2024]]=0, Fisherman[[#This Row],[2025]]="n.a"),
   "-",J79/Fisherman[[#This Row],[2024]])</f>
        <v>-</v>
      </c>
    </row>
    <row r="80" spans="1:15">
      <c r="A80" s="232" t="s">
        <v>31</v>
      </c>
      <c r="B80" s="233">
        <v>0</v>
      </c>
      <c r="C80" s="233" t="s">
        <v>53</v>
      </c>
      <c r="D80" s="71">
        <v>0</v>
      </c>
      <c r="E80" s="71">
        <v>0</v>
      </c>
      <c r="F80" s="71"/>
      <c r="G80" s="247" t="s">
        <v>51</v>
      </c>
      <c r="H80" s="246" t="str">
        <f>IF(OR(Fisherman[[#This Row],[2023]]="n.a",Fisherman[[#This Row],[2022]]="n.a"),"-",Fisherman[[#This Row],[2023]]-Fisherman[[#This Row],[2022]])</f>
        <v>-</v>
      </c>
      <c r="I80" s="246" t="str">
        <f>IF(OR(Fisherman[[#This Row],[2024]]="n.a",Fisherman[[#This Row],[2023]]="n.a"),"-",Fisherman[[#This Row],[2024]]-Fisherman[[#This Row],[2023]])</f>
        <v>-</v>
      </c>
      <c r="J80" s="246">
        <f>IF(OR(Fisherman[[#This Row],[2025]]="n.a",Fisherman[[#This Row],[2024]]="n.a"),"-",Fisherman[[#This Row],[2025]]-Fisherman[[#This Row],[2024]])</f>
        <v>0</v>
      </c>
      <c r="L80" s="249" t="s">
        <v>51</v>
      </c>
      <c r="M80" s="250" t="str">
        <f>IF(OR(Fisherman[[#This Row],[2022]]="n.a", Fisherman[[#This Row],[2022]]=0, Fisherman[[#This Row],[2023]]="n.a"),
   "-",H80/Fisherman[[#This Row],[2022]])</f>
        <v>-</v>
      </c>
      <c r="N80" s="250" t="str">
        <f>IF(OR(Fisherman[[#This Row],[2023]]="n.a", Fisherman[[#This Row],[2023]]=0, Fisherman[[#This Row],[2024]]="n.a"),
   "-",I80/Fisherman[[#This Row],[2023]])</f>
        <v>-</v>
      </c>
      <c r="O80" s="250" t="str">
        <f>IF(OR(Fisherman[[#This Row],[2024]]="n.a", Fisherman[[#This Row],[2024]]=0, Fisherman[[#This Row],[2025]]="n.a"),
   "-",J80/Fisherman[[#This Row],[2024]])</f>
        <v>-</v>
      </c>
    </row>
    <row r="81" spans="1:15">
      <c r="A81" s="232" t="s">
        <v>32</v>
      </c>
      <c r="B81" s="233">
        <v>0</v>
      </c>
      <c r="C81" s="233" t="s">
        <v>53</v>
      </c>
      <c r="D81" s="71">
        <v>0</v>
      </c>
      <c r="E81" s="71">
        <v>0</v>
      </c>
      <c r="F81" s="71"/>
      <c r="G81" s="247" t="s">
        <v>51</v>
      </c>
      <c r="H81" s="246" t="str">
        <f>IF(OR(Fisherman[[#This Row],[2023]]="n.a",Fisherman[[#This Row],[2022]]="n.a"),"-",Fisherman[[#This Row],[2023]]-Fisherman[[#This Row],[2022]])</f>
        <v>-</v>
      </c>
      <c r="I81" s="246" t="str">
        <f>IF(OR(Fisherman[[#This Row],[2024]]="n.a",Fisherman[[#This Row],[2023]]="n.a"),"-",Fisherman[[#This Row],[2024]]-Fisherman[[#This Row],[2023]])</f>
        <v>-</v>
      </c>
      <c r="J81" s="246">
        <f>IF(OR(Fisherman[[#This Row],[2025]]="n.a",Fisherman[[#This Row],[2024]]="n.a"),"-",Fisherman[[#This Row],[2025]]-Fisherman[[#This Row],[2024]])</f>
        <v>0</v>
      </c>
      <c r="L81" s="249" t="s">
        <v>51</v>
      </c>
      <c r="M81" s="250" t="str">
        <f>IF(OR(Fisherman[[#This Row],[2022]]="n.a", Fisherman[[#This Row],[2022]]=0, Fisherman[[#This Row],[2023]]="n.a"),
   "-",H81/Fisherman[[#This Row],[2022]])</f>
        <v>-</v>
      </c>
      <c r="N81" s="250" t="str">
        <f>IF(OR(Fisherman[[#This Row],[2023]]="n.a", Fisherman[[#This Row],[2023]]=0, Fisherman[[#This Row],[2024]]="n.a"),
   "-",I81/Fisherman[[#This Row],[2023]])</f>
        <v>-</v>
      </c>
      <c r="O81" s="250" t="str">
        <f>IF(OR(Fisherman[[#This Row],[2024]]="n.a", Fisherman[[#This Row],[2024]]=0, Fisherman[[#This Row],[2025]]="n.a"),
   "-",J81/Fisherman[[#This Row],[2024]])</f>
        <v>-</v>
      </c>
    </row>
    <row r="82" spans="1:15">
      <c r="A82" s="232" t="s">
        <v>35</v>
      </c>
      <c r="B82" s="233">
        <v>0</v>
      </c>
      <c r="C82" s="233" t="s">
        <v>53</v>
      </c>
      <c r="D82" s="71">
        <v>0</v>
      </c>
      <c r="E82" s="71">
        <v>0</v>
      </c>
      <c r="F82" s="71"/>
      <c r="G82" s="247" t="s">
        <v>51</v>
      </c>
      <c r="H82" s="246" t="str">
        <f>IF(OR(Fisherman[[#This Row],[2023]]="n.a",Fisherman[[#This Row],[2022]]="n.a"),"-",Fisherman[[#This Row],[2023]]-Fisherman[[#This Row],[2022]])</f>
        <v>-</v>
      </c>
      <c r="I82" s="246" t="str">
        <f>IF(OR(Fisherman[[#This Row],[2024]]="n.a",Fisherman[[#This Row],[2023]]="n.a"),"-",Fisherman[[#This Row],[2024]]-Fisherman[[#This Row],[2023]])</f>
        <v>-</v>
      </c>
      <c r="J82" s="246">
        <f>IF(OR(Fisherman[[#This Row],[2025]]="n.a",Fisherman[[#This Row],[2024]]="n.a"),"-",Fisherman[[#This Row],[2025]]-Fisherman[[#This Row],[2024]])</f>
        <v>0</v>
      </c>
      <c r="L82" s="249" t="s">
        <v>51</v>
      </c>
      <c r="M82" s="250" t="str">
        <f>IF(OR(Fisherman[[#This Row],[2022]]="n.a", Fisherman[[#This Row],[2022]]=0, Fisherman[[#This Row],[2023]]="n.a"),
   "-",H82/Fisherman[[#This Row],[2022]])</f>
        <v>-</v>
      </c>
      <c r="N82" s="250" t="str">
        <f>IF(OR(Fisherman[[#This Row],[2023]]="n.a", Fisherman[[#This Row],[2023]]=0, Fisherman[[#This Row],[2024]]="n.a"),
   "-",I82/Fisherman[[#This Row],[2023]])</f>
        <v>-</v>
      </c>
      <c r="O82" s="250" t="str">
        <f>IF(OR(Fisherman[[#This Row],[2024]]="n.a", Fisherman[[#This Row],[2024]]=0, Fisherman[[#This Row],[2025]]="n.a"),
   "-",J82/Fisherman[[#This Row],[2024]])</f>
        <v>-</v>
      </c>
    </row>
    <row r="83" spans="1:15">
      <c r="A83" s="232" t="s">
        <v>33</v>
      </c>
      <c r="B83" s="233">
        <v>0</v>
      </c>
      <c r="C83" s="233" t="s">
        <v>53</v>
      </c>
      <c r="D83" s="71">
        <v>0</v>
      </c>
      <c r="E83" s="71">
        <v>0</v>
      </c>
      <c r="F83" s="71"/>
      <c r="G83" s="247" t="s">
        <v>51</v>
      </c>
      <c r="H83" s="246" t="str">
        <f>IF(OR(Fisherman[[#This Row],[2023]]="n.a",Fisherman[[#This Row],[2022]]="n.a"),"-",Fisherman[[#This Row],[2023]]-Fisherman[[#This Row],[2022]])</f>
        <v>-</v>
      </c>
      <c r="I83" s="246" t="str">
        <f>IF(OR(Fisherman[[#This Row],[2024]]="n.a",Fisherman[[#This Row],[2023]]="n.a"),"-",Fisherman[[#This Row],[2024]]-Fisherman[[#This Row],[2023]])</f>
        <v>-</v>
      </c>
      <c r="J83" s="246">
        <f>IF(OR(Fisherman[[#This Row],[2025]]="n.a",Fisherman[[#This Row],[2024]]="n.a"),"-",Fisherman[[#This Row],[2025]]-Fisherman[[#This Row],[2024]])</f>
        <v>0</v>
      </c>
      <c r="L83" s="249" t="s">
        <v>51</v>
      </c>
      <c r="M83" s="250" t="str">
        <f>IF(OR(Fisherman[[#This Row],[2022]]="n.a", Fisherman[[#This Row],[2022]]=0, Fisherman[[#This Row],[2023]]="n.a"),
   "-",H83/Fisherman[[#This Row],[2022]])</f>
        <v>-</v>
      </c>
      <c r="N83" s="250" t="str">
        <f>IF(OR(Fisherman[[#This Row],[2023]]="n.a", Fisherman[[#This Row],[2023]]=0, Fisherman[[#This Row],[2024]]="n.a"),
   "-",I83/Fisherman[[#This Row],[2023]])</f>
        <v>-</v>
      </c>
      <c r="O83" s="250" t="str">
        <f>IF(OR(Fisherman[[#This Row],[2024]]="n.a", Fisherman[[#This Row],[2024]]=0, Fisherman[[#This Row],[2025]]="n.a"),
   "-",J83/Fisherman[[#This Row],[2024]])</f>
        <v>-</v>
      </c>
    </row>
    <row r="84" spans="1:15">
      <c r="A84" s="232" t="s">
        <v>34</v>
      </c>
      <c r="B84" s="233">
        <v>0</v>
      </c>
      <c r="C84" s="233" t="s">
        <v>53</v>
      </c>
      <c r="D84" s="71">
        <v>0</v>
      </c>
      <c r="E84" s="71">
        <v>0</v>
      </c>
      <c r="F84" s="71"/>
      <c r="G84" s="247" t="s">
        <v>51</v>
      </c>
      <c r="H84" s="246" t="str">
        <f>IF(OR(Fisherman[[#This Row],[2023]]="n.a",Fisherman[[#This Row],[2022]]="n.a"),"-",Fisherman[[#This Row],[2023]]-Fisherman[[#This Row],[2022]])</f>
        <v>-</v>
      </c>
      <c r="I84" s="246" t="str">
        <f>IF(OR(Fisherman[[#This Row],[2024]]="n.a",Fisherman[[#This Row],[2023]]="n.a"),"-",Fisherman[[#This Row],[2024]]-Fisherman[[#This Row],[2023]])</f>
        <v>-</v>
      </c>
      <c r="J84" s="246">
        <f>IF(OR(Fisherman[[#This Row],[2025]]="n.a",Fisherman[[#This Row],[2024]]="n.a"),"-",Fisherman[[#This Row],[2025]]-Fisherman[[#This Row],[2024]])</f>
        <v>0</v>
      </c>
      <c r="L84" s="249" t="s">
        <v>51</v>
      </c>
      <c r="M84" s="250" t="str">
        <f>IF(OR(Fisherman[[#This Row],[2022]]="n.a", Fisherman[[#This Row],[2022]]=0, Fisherman[[#This Row],[2023]]="n.a"),
   "-",H84/Fisherman[[#This Row],[2022]])</f>
        <v>-</v>
      </c>
      <c r="N84" s="250" t="str">
        <f>IF(OR(Fisherman[[#This Row],[2023]]="n.a", Fisherman[[#This Row],[2023]]=0, Fisherman[[#This Row],[2024]]="n.a"),
   "-",I84/Fisherman[[#This Row],[2023]])</f>
        <v>-</v>
      </c>
      <c r="O84" s="250" t="str">
        <f>IF(OR(Fisherman[[#This Row],[2024]]="n.a", Fisherman[[#This Row],[2024]]=0, Fisherman[[#This Row],[2025]]="n.a"),
   "-",J84/Fisherman[[#This Row],[2024]])</f>
        <v>-</v>
      </c>
    </row>
    <row r="85" spans="1:15">
      <c r="A85" s="232" t="s">
        <v>38</v>
      </c>
      <c r="B85" s="233">
        <v>0</v>
      </c>
      <c r="C85" s="233" t="s">
        <v>53</v>
      </c>
      <c r="D85" s="71">
        <v>0</v>
      </c>
      <c r="E85" s="71">
        <v>0</v>
      </c>
      <c r="F85" s="71"/>
      <c r="G85" s="247" t="s">
        <v>51</v>
      </c>
      <c r="H85" s="246" t="str">
        <f>IF(OR(Fisherman[[#This Row],[2023]]="n.a",Fisherman[[#This Row],[2022]]="n.a"),"-",Fisherman[[#This Row],[2023]]-Fisherman[[#This Row],[2022]])</f>
        <v>-</v>
      </c>
      <c r="I85" s="246" t="str">
        <f>IF(OR(Fisherman[[#This Row],[2024]]="n.a",Fisherman[[#This Row],[2023]]="n.a"),"-",Fisherman[[#This Row],[2024]]-Fisherman[[#This Row],[2023]])</f>
        <v>-</v>
      </c>
      <c r="J85" s="246">
        <f>IF(OR(Fisherman[[#This Row],[2025]]="n.a",Fisherman[[#This Row],[2024]]="n.a"),"-",Fisherman[[#This Row],[2025]]-Fisherman[[#This Row],[2024]])</f>
        <v>0</v>
      </c>
      <c r="L85" s="249" t="s">
        <v>51</v>
      </c>
      <c r="M85" s="250" t="str">
        <f>IF(OR(Fisherman[[#This Row],[2022]]="n.a", Fisherman[[#This Row],[2022]]=0, Fisherman[[#This Row],[2023]]="n.a"),
   "-",H85/Fisherman[[#This Row],[2022]])</f>
        <v>-</v>
      </c>
      <c r="N85" s="250" t="str">
        <f>IF(OR(Fisherman[[#This Row],[2023]]="n.a", Fisherman[[#This Row],[2023]]=0, Fisherman[[#This Row],[2024]]="n.a"),
   "-",I85/Fisherman[[#This Row],[2023]])</f>
        <v>-</v>
      </c>
      <c r="O85" s="250" t="str">
        <f>IF(OR(Fisherman[[#This Row],[2024]]="n.a", Fisherman[[#This Row],[2024]]=0, Fisherman[[#This Row],[2025]]="n.a"),
   "-",J85/Fisherman[[#This Row],[2024]])</f>
        <v>-</v>
      </c>
    </row>
    <row r="86" spans="1:15">
      <c r="A86" s="232" t="s">
        <v>39</v>
      </c>
      <c r="B86" s="233">
        <v>0</v>
      </c>
      <c r="C86" s="233" t="s">
        <v>53</v>
      </c>
      <c r="D86" s="71">
        <v>0</v>
      </c>
      <c r="E86" s="71">
        <v>0</v>
      </c>
      <c r="F86" s="71"/>
      <c r="G86" s="247" t="s">
        <v>51</v>
      </c>
      <c r="H86" s="246" t="str">
        <f>IF(OR(Fisherman[[#This Row],[2023]]="n.a",Fisherman[[#This Row],[2022]]="n.a"),"-",Fisherman[[#This Row],[2023]]-Fisherman[[#This Row],[2022]])</f>
        <v>-</v>
      </c>
      <c r="I86" s="246" t="str">
        <f>IF(OR(Fisherman[[#This Row],[2024]]="n.a",Fisherman[[#This Row],[2023]]="n.a"),"-",Fisherman[[#This Row],[2024]]-Fisherman[[#This Row],[2023]])</f>
        <v>-</v>
      </c>
      <c r="J86" s="246">
        <f>IF(OR(Fisherman[[#This Row],[2025]]="n.a",Fisherman[[#This Row],[2024]]="n.a"),"-",Fisherman[[#This Row],[2025]]-Fisherman[[#This Row],[2024]])</f>
        <v>0</v>
      </c>
      <c r="L86" s="249" t="s">
        <v>51</v>
      </c>
      <c r="M86" s="250" t="str">
        <f>IF(OR(Fisherman[[#This Row],[2022]]="n.a", Fisherman[[#This Row],[2022]]=0, Fisherman[[#This Row],[2023]]="n.a"),
   "-",H86/Fisherman[[#This Row],[2022]])</f>
        <v>-</v>
      </c>
      <c r="N86" s="250" t="str">
        <f>IF(OR(Fisherman[[#This Row],[2023]]="n.a", Fisherman[[#This Row],[2023]]=0, Fisherman[[#This Row],[2024]]="n.a"),
   "-",I86/Fisherman[[#This Row],[2023]])</f>
        <v>-</v>
      </c>
      <c r="O86" s="250" t="str">
        <f>IF(OR(Fisherman[[#This Row],[2024]]="n.a", Fisherman[[#This Row],[2024]]=0, Fisherman[[#This Row],[2025]]="n.a"),
   "-",J86/Fisherman[[#This Row],[2024]])</f>
        <v>-</v>
      </c>
    </row>
    <row r="87" spans="1:15">
      <c r="A87" s="232" t="s">
        <v>36</v>
      </c>
      <c r="B87" s="233">
        <v>0</v>
      </c>
      <c r="C87" s="233" t="s">
        <v>53</v>
      </c>
      <c r="D87" s="71">
        <v>0</v>
      </c>
      <c r="E87" s="71">
        <v>0</v>
      </c>
      <c r="F87" s="71"/>
      <c r="G87" s="247" t="s">
        <v>51</v>
      </c>
      <c r="H87" s="246" t="str">
        <f>IF(OR(Fisherman[[#This Row],[2023]]="n.a",Fisherman[[#This Row],[2022]]="n.a"),"-",Fisherman[[#This Row],[2023]]-Fisherman[[#This Row],[2022]])</f>
        <v>-</v>
      </c>
      <c r="I87" s="246" t="str">
        <f>IF(OR(Fisherman[[#This Row],[2024]]="n.a",Fisherman[[#This Row],[2023]]="n.a"),"-",Fisherman[[#This Row],[2024]]-Fisherman[[#This Row],[2023]])</f>
        <v>-</v>
      </c>
      <c r="J87" s="246">
        <f>IF(OR(Fisherman[[#This Row],[2025]]="n.a",Fisherman[[#This Row],[2024]]="n.a"),"-",Fisherman[[#This Row],[2025]]-Fisherman[[#This Row],[2024]])</f>
        <v>0</v>
      </c>
      <c r="L87" s="249" t="s">
        <v>51</v>
      </c>
      <c r="M87" s="250" t="str">
        <f>IF(OR(Fisherman[[#This Row],[2022]]="n.a", Fisherman[[#This Row],[2022]]=0, Fisherman[[#This Row],[2023]]="n.a"),
   "-",H87/Fisherman[[#This Row],[2022]])</f>
        <v>-</v>
      </c>
      <c r="N87" s="250" t="str">
        <f>IF(OR(Fisherman[[#This Row],[2023]]="n.a", Fisherman[[#This Row],[2023]]=0, Fisherman[[#This Row],[2024]]="n.a"),
   "-",I87/Fisherman[[#This Row],[2023]])</f>
        <v>-</v>
      </c>
      <c r="O87" s="250" t="str">
        <f>IF(OR(Fisherman[[#This Row],[2024]]="n.a", Fisherman[[#This Row],[2024]]=0, Fisherman[[#This Row],[2025]]="n.a"),
   "-",J87/Fisherman[[#This Row],[2024]])</f>
        <v>-</v>
      </c>
    </row>
    <row r="88" spans="1:15">
      <c r="A88" s="232" t="s">
        <v>37</v>
      </c>
      <c r="B88" s="233">
        <v>16.5</v>
      </c>
      <c r="C88" s="233" t="s">
        <v>53</v>
      </c>
      <c r="D88" s="71">
        <v>0</v>
      </c>
      <c r="E88" s="71">
        <v>0</v>
      </c>
      <c r="F88" s="71"/>
      <c r="G88" s="247" t="s">
        <v>51</v>
      </c>
      <c r="H88" s="246" t="str">
        <f>IF(OR(Fisherman[[#This Row],[2023]]="n.a",Fisherman[[#This Row],[2022]]="n.a"),"-",Fisherman[[#This Row],[2023]]-Fisherman[[#This Row],[2022]])</f>
        <v>-</v>
      </c>
      <c r="I88" s="246" t="str">
        <f>IF(OR(Fisherman[[#This Row],[2024]]="n.a",Fisherman[[#This Row],[2023]]="n.a"),"-",Fisherman[[#This Row],[2024]]-Fisherman[[#This Row],[2023]])</f>
        <v>-</v>
      </c>
      <c r="J88" s="246">
        <f>IF(OR(Fisherman[[#This Row],[2025]]="n.a",Fisherman[[#This Row],[2024]]="n.a"),"-",Fisherman[[#This Row],[2025]]-Fisherman[[#This Row],[2024]])</f>
        <v>0</v>
      </c>
      <c r="L88" s="249" t="s">
        <v>51</v>
      </c>
      <c r="M88" s="250" t="str">
        <f>IF(OR(Fisherman[[#This Row],[2022]]="n.a", Fisherman[[#This Row],[2022]]=0, Fisherman[[#This Row],[2023]]="n.a"),
   "-",H88/Fisherman[[#This Row],[2022]])</f>
        <v>-</v>
      </c>
      <c r="N88" s="250" t="str">
        <f>IF(OR(Fisherman[[#This Row],[2023]]="n.a", Fisherman[[#This Row],[2023]]=0, Fisherman[[#This Row],[2024]]="n.a"),
   "-",I88/Fisherman[[#This Row],[2023]])</f>
        <v>-</v>
      </c>
      <c r="O88" s="250" t="str">
        <f>IF(OR(Fisherman[[#This Row],[2024]]="n.a", Fisherman[[#This Row],[2024]]=0, Fisherman[[#This Row],[2025]]="n.a"),
   "-",J88/Fisherman[[#This Row],[2024]])</f>
        <v>-</v>
      </c>
    </row>
    <row r="89" spans="1:15">
      <c r="A89" s="232" t="s">
        <v>41</v>
      </c>
      <c r="B89" s="233">
        <v>0</v>
      </c>
      <c r="C89" s="233" t="s">
        <v>53</v>
      </c>
      <c r="D89" s="71">
        <v>0</v>
      </c>
      <c r="E89" s="71">
        <v>0</v>
      </c>
      <c r="F89" s="71"/>
      <c r="G89" s="247" t="s">
        <v>51</v>
      </c>
      <c r="H89" s="246" t="str">
        <f>IF(OR(Fisherman[[#This Row],[2023]]="n.a",Fisherman[[#This Row],[2022]]="n.a"),"-",Fisherman[[#This Row],[2023]]-Fisherman[[#This Row],[2022]])</f>
        <v>-</v>
      </c>
      <c r="I89" s="246" t="str">
        <f>IF(OR(Fisherman[[#This Row],[2024]]="n.a",Fisherman[[#This Row],[2023]]="n.a"),"-",Fisherman[[#This Row],[2024]]-Fisherman[[#This Row],[2023]])</f>
        <v>-</v>
      </c>
      <c r="J89" s="246">
        <f>IF(OR(Fisherman[[#This Row],[2025]]="n.a",Fisherman[[#This Row],[2024]]="n.a"),"-",Fisherman[[#This Row],[2025]]-Fisherman[[#This Row],[2024]])</f>
        <v>0</v>
      </c>
      <c r="L89" s="249" t="s">
        <v>51</v>
      </c>
      <c r="M89" s="250" t="str">
        <f>IF(OR(Fisherman[[#This Row],[2022]]="n.a", Fisherman[[#This Row],[2022]]=0, Fisherman[[#This Row],[2023]]="n.a"),
   "-",H89/Fisherman[[#This Row],[2022]])</f>
        <v>-</v>
      </c>
      <c r="N89" s="250" t="str">
        <f>IF(OR(Fisherman[[#This Row],[2023]]="n.a", Fisherman[[#This Row],[2023]]=0, Fisherman[[#This Row],[2024]]="n.a"),
   "-",I89/Fisherman[[#This Row],[2023]])</f>
        <v>-</v>
      </c>
      <c r="O89" s="250" t="str">
        <f>IF(OR(Fisherman[[#This Row],[2024]]="n.a", Fisherman[[#This Row],[2024]]=0, Fisherman[[#This Row],[2025]]="n.a"),
   "-",J89/Fisherman[[#This Row],[2024]])</f>
        <v>-</v>
      </c>
    </row>
    <row r="90" spans="1:15">
      <c r="A90" s="237"/>
      <c r="B90" s="237"/>
      <c r="E90" s="237"/>
      <c r="F90" s="237"/>
    </row>
    <row r="91" spans="1:15" ht="26">
      <c r="A91" s="235" t="s">
        <v>54</v>
      </c>
      <c r="B91" s="332" t="s">
        <v>61</v>
      </c>
      <c r="C91" s="332"/>
      <c r="D91" s="332"/>
      <c r="E91" s="332"/>
      <c r="F91" s="309"/>
      <c r="G91" s="336" t="s">
        <v>44</v>
      </c>
      <c r="H91" s="336"/>
      <c r="I91" s="336"/>
      <c r="J91" s="336"/>
      <c r="L91" s="335" t="s">
        <v>56</v>
      </c>
      <c r="M91" s="335"/>
      <c r="N91" s="335"/>
      <c r="O91" s="335"/>
    </row>
    <row r="92" spans="1:15" ht="15" thickBot="1">
      <c r="A92" s="92" t="s">
        <v>1</v>
      </c>
      <c r="B92" s="230" t="s">
        <v>46</v>
      </c>
      <c r="C92" s="230" t="s">
        <v>47</v>
      </c>
      <c r="D92" s="231" t="s">
        <v>48</v>
      </c>
      <c r="E92" s="231" t="s">
        <v>49</v>
      </c>
      <c r="F92" s="229"/>
      <c r="G92" s="245">
        <v>2022</v>
      </c>
      <c r="H92" s="246">
        <v>2023</v>
      </c>
      <c r="I92" s="246">
        <v>2024</v>
      </c>
      <c r="J92" s="246">
        <v>2025</v>
      </c>
      <c r="L92" s="245">
        <v>2022</v>
      </c>
      <c r="M92" s="246">
        <v>2023</v>
      </c>
      <c r="N92" s="246">
        <v>2024</v>
      </c>
      <c r="O92" s="246">
        <v>2025</v>
      </c>
    </row>
    <row r="93" spans="1:15">
      <c r="A93" s="238" t="s">
        <v>50</v>
      </c>
      <c r="B93" s="96">
        <v>260</v>
      </c>
      <c r="C93" s="124">
        <v>40.5</v>
      </c>
      <c r="D93" s="185">
        <v>378.73200000000003</v>
      </c>
      <c r="E93" s="185">
        <v>649.51499999999999</v>
      </c>
      <c r="F93" s="229"/>
      <c r="G93" s="245" t="s">
        <v>51</v>
      </c>
      <c r="H93" s="246">
        <f>IF(OR(Farmer[[#This Row],[2023]]="n.a",Farmer[[#This Row],[2022]]="n.a"),"-",Farmer[[#This Row],[2023]]-Farmer[[#This Row],[2022]])</f>
        <v>-219.5</v>
      </c>
      <c r="I93" s="246">
        <f>IF(OR(Farmer[[#This Row],[2024]]="n.a",Farmer[[#This Row],[2023]]="n.a"),"-",Farmer[[#This Row],[2024]]-Farmer[[#This Row],[2023]])</f>
        <v>338.23200000000003</v>
      </c>
      <c r="J93" s="246">
        <f>IF(OR(Farmer[[#This Row],[2025]]="n.a",Farmer[[#This Row],[2024]]="n.a"),"-",Farmer[[#This Row],[2025]]-Farmer[[#This Row],[2024]])</f>
        <v>270.78299999999996</v>
      </c>
      <c r="L93" s="245" t="s">
        <v>51</v>
      </c>
      <c r="M93" s="250">
        <f>IF(OR(Farmer[[#This Row],[2022]]="n.a", Farmer[[#This Row],[2022]]=0, Farmer[[#This Row],[2023]]="n.a"),
   "-",H93/Farmer[[#This Row],[2022]])</f>
        <v>-0.84423076923076923</v>
      </c>
      <c r="N93" s="250">
        <f>IF(OR(Farmer[[#This Row],[2023]]="n.a", Farmer[[#This Row],[2023]]=0, Farmer[[#This Row],[2024]]="n.a"),
   "-",I93/Farmer[[#This Row],[2023]])</f>
        <v>8.3514074074074074</v>
      </c>
      <c r="O93" s="250">
        <f>IF(OR(Farmer[[#This Row],[2024]]="n.a", Farmer[[#This Row],[2024]]=0, Farmer[[#This Row],[2025]]="n.a"),
   "-",J93/Farmer[[#This Row],[2024]])</f>
        <v>0.7149725927568833</v>
      </c>
    </row>
    <row r="94" spans="1:15">
      <c r="A94" s="232" t="s">
        <v>27</v>
      </c>
      <c r="B94" s="233">
        <v>0</v>
      </c>
      <c r="C94" s="233" t="s">
        <v>53</v>
      </c>
      <c r="D94" s="71">
        <v>18</v>
      </c>
      <c r="E94" s="71">
        <v>0</v>
      </c>
      <c r="F94" s="71"/>
      <c r="G94" s="247" t="s">
        <v>51</v>
      </c>
      <c r="H94" s="246" t="str">
        <f>IF(OR(Farmer[[#This Row],[2023]]="n.a",Farmer[[#This Row],[2022]]="n.a"),"-",Farmer[[#This Row],[2023]]-Farmer[[#This Row],[2022]])</f>
        <v>-</v>
      </c>
      <c r="I94" s="246" t="str">
        <f>IF(OR(Farmer[[#This Row],[2024]]="n.a",Farmer[[#This Row],[2023]]="n.a"),"-",Farmer[[#This Row],[2024]]-Farmer[[#This Row],[2023]])</f>
        <v>-</v>
      </c>
      <c r="J94" s="246">
        <f>IF(OR(Farmer[[#This Row],[2025]]="n.a",Farmer[[#This Row],[2024]]="n.a"),"-",Farmer[[#This Row],[2025]]-Farmer[[#This Row],[2024]])</f>
        <v>-18</v>
      </c>
      <c r="L94" s="249" t="s">
        <v>51</v>
      </c>
      <c r="M94" s="250" t="str">
        <f>IF(OR(Farmer[[#This Row],[2022]]="n.a", Farmer[[#This Row],[2022]]=0, Farmer[[#This Row],[2023]]="n.a"),
   "-",H94/Farmer[[#This Row],[2022]])</f>
        <v>-</v>
      </c>
      <c r="N94" s="250" t="str">
        <f>IF(OR(Farmer[[#This Row],[2023]]="n.a", Farmer[[#This Row],[2023]]=0, Farmer[[#This Row],[2024]]="n.a"),
   "-",I94/Farmer[[#This Row],[2023]])</f>
        <v>-</v>
      </c>
      <c r="O94" s="250">
        <f>IF(OR(Farmer[[#This Row],[2024]]="n.a", Farmer[[#This Row],[2024]]=0, Farmer[[#This Row],[2025]]="n.a"),
   "-",J94/Farmer[[#This Row],[2024]])</f>
        <v>-1</v>
      </c>
    </row>
    <row r="95" spans="1:15">
      <c r="A95" s="232" t="s">
        <v>28</v>
      </c>
      <c r="B95" s="233">
        <v>0</v>
      </c>
      <c r="C95" s="233" t="s">
        <v>53</v>
      </c>
      <c r="D95" s="71">
        <v>4.3319999999999999</v>
      </c>
      <c r="E95" s="71">
        <v>0</v>
      </c>
      <c r="F95" s="71"/>
      <c r="G95" s="247" t="s">
        <v>51</v>
      </c>
      <c r="H95" s="246" t="str">
        <f>IF(OR(Farmer[[#This Row],[2023]]="n.a",Farmer[[#This Row],[2022]]="n.a"),"-",Farmer[[#This Row],[2023]]-Farmer[[#This Row],[2022]])</f>
        <v>-</v>
      </c>
      <c r="I95" s="246" t="str">
        <f>IF(OR(Farmer[[#This Row],[2024]]="n.a",Farmer[[#This Row],[2023]]="n.a"),"-",Farmer[[#This Row],[2024]]-Farmer[[#This Row],[2023]])</f>
        <v>-</v>
      </c>
      <c r="J95" s="246">
        <f>IF(OR(Farmer[[#This Row],[2025]]="n.a",Farmer[[#This Row],[2024]]="n.a"),"-",Farmer[[#This Row],[2025]]-Farmer[[#This Row],[2024]])</f>
        <v>-4.3319999999999999</v>
      </c>
      <c r="L95" s="249" t="s">
        <v>51</v>
      </c>
      <c r="M95" s="250" t="str">
        <f>IF(OR(Farmer[[#This Row],[2022]]="n.a", Farmer[[#This Row],[2022]]=0, Farmer[[#This Row],[2023]]="n.a"),
   "-",H95/Farmer[[#This Row],[2022]])</f>
        <v>-</v>
      </c>
      <c r="N95" s="250" t="str">
        <f>IF(OR(Farmer[[#This Row],[2023]]="n.a", Farmer[[#This Row],[2023]]=0, Farmer[[#This Row],[2024]]="n.a"),
   "-",I95/Farmer[[#This Row],[2023]])</f>
        <v>-</v>
      </c>
      <c r="O95" s="250">
        <f>IF(OR(Farmer[[#This Row],[2024]]="n.a", Farmer[[#This Row],[2024]]=0, Farmer[[#This Row],[2025]]="n.a"),
   "-",J95/Farmer[[#This Row],[2024]])</f>
        <v>-1</v>
      </c>
    </row>
    <row r="96" spans="1:15">
      <c r="A96" s="232" t="s">
        <v>29</v>
      </c>
      <c r="B96" s="233">
        <v>65</v>
      </c>
      <c r="C96" s="233" t="s">
        <v>53</v>
      </c>
      <c r="D96" s="71">
        <v>346</v>
      </c>
      <c r="E96" s="71">
        <v>4.0999999999999996</v>
      </c>
      <c r="F96" s="71"/>
      <c r="G96" s="247" t="s">
        <v>51</v>
      </c>
      <c r="H96" s="246" t="str">
        <f>IF(OR(Farmer[[#This Row],[2023]]="n.a",Farmer[[#This Row],[2022]]="n.a"),"-",Farmer[[#This Row],[2023]]-Farmer[[#This Row],[2022]])</f>
        <v>-</v>
      </c>
      <c r="I96" s="246" t="str">
        <f>IF(OR(Farmer[[#This Row],[2024]]="n.a",Farmer[[#This Row],[2023]]="n.a"),"-",Farmer[[#This Row],[2024]]-Farmer[[#This Row],[2023]])</f>
        <v>-</v>
      </c>
      <c r="J96" s="246">
        <f>IF(OR(Farmer[[#This Row],[2025]]="n.a",Farmer[[#This Row],[2024]]="n.a"),"-",Farmer[[#This Row],[2025]]-Farmer[[#This Row],[2024]])</f>
        <v>-341.9</v>
      </c>
      <c r="L96" s="249" t="s">
        <v>51</v>
      </c>
      <c r="M96" s="250" t="str">
        <f>IF(OR(Farmer[[#This Row],[2022]]="n.a", Farmer[[#This Row],[2022]]=0, Farmer[[#This Row],[2023]]="n.a"),
   "-",H96/Farmer[[#This Row],[2022]])</f>
        <v>-</v>
      </c>
      <c r="N96" s="250" t="str">
        <f>IF(OR(Farmer[[#This Row],[2023]]="n.a", Farmer[[#This Row],[2023]]=0, Farmer[[#This Row],[2024]]="n.a"),
   "-",I96/Farmer[[#This Row],[2023]])</f>
        <v>-</v>
      </c>
      <c r="O96" s="250">
        <f>IF(OR(Farmer[[#This Row],[2024]]="n.a", Farmer[[#This Row],[2024]]=0, Farmer[[#This Row],[2025]]="n.a"),
   "-",J96/Farmer[[#This Row],[2024]])</f>
        <v>-0.98815028901734092</v>
      </c>
    </row>
    <row r="97" spans="1:15">
      <c r="A97" s="232" t="s">
        <v>30</v>
      </c>
      <c r="B97" s="233">
        <v>0</v>
      </c>
      <c r="C97" s="233" t="s">
        <v>53</v>
      </c>
      <c r="D97" s="71">
        <v>0</v>
      </c>
      <c r="E97" s="71">
        <v>0</v>
      </c>
      <c r="F97" s="71"/>
      <c r="G97" s="247" t="s">
        <v>51</v>
      </c>
      <c r="H97" s="246" t="str">
        <f>IF(OR(Farmer[[#This Row],[2023]]="n.a",Farmer[[#This Row],[2022]]="n.a"),"-",Farmer[[#This Row],[2023]]-Farmer[[#This Row],[2022]])</f>
        <v>-</v>
      </c>
      <c r="I97" s="246" t="str">
        <f>IF(OR(Farmer[[#This Row],[2024]]="n.a",Farmer[[#This Row],[2023]]="n.a"),"-",Farmer[[#This Row],[2024]]-Farmer[[#This Row],[2023]])</f>
        <v>-</v>
      </c>
      <c r="J97" s="246">
        <f>IF(OR(Farmer[[#This Row],[2025]]="n.a",Farmer[[#This Row],[2024]]="n.a"),"-",Farmer[[#This Row],[2025]]-Farmer[[#This Row],[2024]])</f>
        <v>0</v>
      </c>
      <c r="L97" s="249" t="s">
        <v>51</v>
      </c>
      <c r="M97" s="250" t="str">
        <f>IF(OR(Farmer[[#This Row],[2022]]="n.a", Farmer[[#This Row],[2022]]=0, Farmer[[#This Row],[2023]]="n.a"),
   "-",H97/Farmer[[#This Row],[2022]])</f>
        <v>-</v>
      </c>
      <c r="N97" s="250" t="str">
        <f>IF(OR(Farmer[[#This Row],[2023]]="n.a", Farmer[[#This Row],[2023]]=0, Farmer[[#This Row],[2024]]="n.a"),
   "-",I97/Farmer[[#This Row],[2023]])</f>
        <v>-</v>
      </c>
      <c r="O97" s="250" t="str">
        <f>IF(OR(Farmer[[#This Row],[2024]]="n.a", Farmer[[#This Row],[2024]]=0, Farmer[[#This Row],[2025]]="n.a"),
   "-",J97/Farmer[[#This Row],[2024]])</f>
        <v>-</v>
      </c>
    </row>
    <row r="98" spans="1:15">
      <c r="A98" s="232" t="s">
        <v>31</v>
      </c>
      <c r="B98" s="233">
        <v>0</v>
      </c>
      <c r="C98" s="233" t="s">
        <v>53</v>
      </c>
      <c r="D98" s="71">
        <v>0</v>
      </c>
      <c r="E98" s="71">
        <v>248.6</v>
      </c>
      <c r="F98" s="71"/>
      <c r="G98" s="247" t="s">
        <v>51</v>
      </c>
      <c r="H98" s="246" t="str">
        <f>IF(OR(Farmer[[#This Row],[2023]]="n.a",Farmer[[#This Row],[2022]]="n.a"),"-",Farmer[[#This Row],[2023]]-Farmer[[#This Row],[2022]])</f>
        <v>-</v>
      </c>
      <c r="I98" s="246" t="str">
        <f>IF(OR(Farmer[[#This Row],[2024]]="n.a",Farmer[[#This Row],[2023]]="n.a"),"-",Farmer[[#This Row],[2024]]-Farmer[[#This Row],[2023]])</f>
        <v>-</v>
      </c>
      <c r="J98" s="246">
        <f>IF(OR(Farmer[[#This Row],[2025]]="n.a",Farmer[[#This Row],[2024]]="n.a"),"-",Farmer[[#This Row],[2025]]-Farmer[[#This Row],[2024]])</f>
        <v>248.6</v>
      </c>
      <c r="L98" s="249" t="s">
        <v>51</v>
      </c>
      <c r="M98" s="250" t="str">
        <f>IF(OR(Farmer[[#This Row],[2022]]="n.a", Farmer[[#This Row],[2022]]=0, Farmer[[#This Row],[2023]]="n.a"),
   "-",H98/Farmer[[#This Row],[2022]])</f>
        <v>-</v>
      </c>
      <c r="N98" s="250" t="str">
        <f>IF(OR(Farmer[[#This Row],[2023]]="n.a", Farmer[[#This Row],[2023]]=0, Farmer[[#This Row],[2024]]="n.a"),
   "-",I98/Farmer[[#This Row],[2023]])</f>
        <v>-</v>
      </c>
      <c r="O98" s="250" t="str">
        <f>IF(OR(Farmer[[#This Row],[2024]]="n.a", Farmer[[#This Row],[2024]]=0, Farmer[[#This Row],[2025]]="n.a"),
   "-",J98/Farmer[[#This Row],[2024]])</f>
        <v>-</v>
      </c>
    </row>
    <row r="99" spans="1:15">
      <c r="A99" s="232" t="s">
        <v>32</v>
      </c>
      <c r="B99" s="233">
        <v>3</v>
      </c>
      <c r="C99" s="233" t="s">
        <v>53</v>
      </c>
      <c r="D99" s="71">
        <v>0</v>
      </c>
      <c r="E99" s="71">
        <v>23.315000000000001</v>
      </c>
      <c r="F99" s="71"/>
      <c r="G99" s="247" t="s">
        <v>51</v>
      </c>
      <c r="H99" s="246" t="str">
        <f>IF(OR(Farmer[[#This Row],[2023]]="n.a",Farmer[[#This Row],[2022]]="n.a"),"-",Farmer[[#This Row],[2023]]-Farmer[[#This Row],[2022]])</f>
        <v>-</v>
      </c>
      <c r="I99" s="246" t="str">
        <f>IF(OR(Farmer[[#This Row],[2024]]="n.a",Farmer[[#This Row],[2023]]="n.a"),"-",Farmer[[#This Row],[2024]]-Farmer[[#This Row],[2023]])</f>
        <v>-</v>
      </c>
      <c r="J99" s="246">
        <f>IF(OR(Farmer[[#This Row],[2025]]="n.a",Farmer[[#This Row],[2024]]="n.a"),"-",Farmer[[#This Row],[2025]]-Farmer[[#This Row],[2024]])</f>
        <v>23.315000000000001</v>
      </c>
      <c r="L99" s="249" t="s">
        <v>51</v>
      </c>
      <c r="M99" s="250" t="str">
        <f>IF(OR(Farmer[[#This Row],[2022]]="n.a", Farmer[[#This Row],[2022]]=0, Farmer[[#This Row],[2023]]="n.a"),
   "-",H99/Farmer[[#This Row],[2022]])</f>
        <v>-</v>
      </c>
      <c r="N99" s="250" t="str">
        <f>IF(OR(Farmer[[#This Row],[2023]]="n.a", Farmer[[#This Row],[2023]]=0, Farmer[[#This Row],[2024]]="n.a"),
   "-",I99/Farmer[[#This Row],[2023]])</f>
        <v>-</v>
      </c>
      <c r="O99" s="250" t="str">
        <f>IF(OR(Farmer[[#This Row],[2024]]="n.a", Farmer[[#This Row],[2024]]=0, Farmer[[#This Row],[2025]]="n.a"),
   "-",J99/Farmer[[#This Row],[2024]])</f>
        <v>-</v>
      </c>
    </row>
    <row r="100" spans="1:15">
      <c r="A100" s="232" t="s">
        <v>35</v>
      </c>
      <c r="B100" s="233">
        <v>0</v>
      </c>
      <c r="C100" s="233" t="s">
        <v>53</v>
      </c>
      <c r="D100" s="71">
        <v>1.6</v>
      </c>
      <c r="E100" s="71">
        <v>0</v>
      </c>
      <c r="F100" s="71"/>
      <c r="G100" s="247" t="s">
        <v>51</v>
      </c>
      <c r="H100" s="246" t="str">
        <f>IF(OR(Farmer[[#This Row],[2023]]="n.a",Farmer[[#This Row],[2022]]="n.a"),"-",Farmer[[#This Row],[2023]]-Farmer[[#This Row],[2022]])</f>
        <v>-</v>
      </c>
      <c r="I100" s="246" t="str">
        <f>IF(OR(Farmer[[#This Row],[2024]]="n.a",Farmer[[#This Row],[2023]]="n.a"),"-",Farmer[[#This Row],[2024]]-Farmer[[#This Row],[2023]])</f>
        <v>-</v>
      </c>
      <c r="J100" s="246">
        <f>IF(OR(Farmer[[#This Row],[2025]]="n.a",Farmer[[#This Row],[2024]]="n.a"),"-",Farmer[[#This Row],[2025]]-Farmer[[#This Row],[2024]])</f>
        <v>-1.6</v>
      </c>
      <c r="L100" s="249" t="s">
        <v>51</v>
      </c>
      <c r="M100" s="250" t="str">
        <f>IF(OR(Farmer[[#This Row],[2022]]="n.a", Farmer[[#This Row],[2022]]=0, Farmer[[#This Row],[2023]]="n.a"),
   "-",H100/Farmer[[#This Row],[2022]])</f>
        <v>-</v>
      </c>
      <c r="N100" s="250" t="str">
        <f>IF(OR(Farmer[[#This Row],[2023]]="n.a", Farmer[[#This Row],[2023]]=0, Farmer[[#This Row],[2024]]="n.a"),
   "-",I100/Farmer[[#This Row],[2023]])</f>
        <v>-</v>
      </c>
      <c r="O100" s="250">
        <f>IF(OR(Farmer[[#This Row],[2024]]="n.a", Farmer[[#This Row],[2024]]=0, Farmer[[#This Row],[2025]]="n.a"),
   "-",J100/Farmer[[#This Row],[2024]])</f>
        <v>-1</v>
      </c>
    </row>
    <row r="101" spans="1:15">
      <c r="A101" s="232" t="s">
        <v>33</v>
      </c>
      <c r="B101" s="233">
        <v>0</v>
      </c>
      <c r="C101" s="233" t="s">
        <v>53</v>
      </c>
      <c r="D101" s="71">
        <v>0</v>
      </c>
      <c r="E101" s="71">
        <v>66</v>
      </c>
      <c r="F101" s="71"/>
      <c r="G101" s="247" t="s">
        <v>51</v>
      </c>
      <c r="H101" s="246" t="str">
        <f>IF(OR(Farmer[[#This Row],[2023]]="n.a",Farmer[[#This Row],[2022]]="n.a"),"-",Farmer[[#This Row],[2023]]-Farmer[[#This Row],[2022]])</f>
        <v>-</v>
      </c>
      <c r="I101" s="246" t="str">
        <f>IF(OR(Farmer[[#This Row],[2024]]="n.a",Farmer[[#This Row],[2023]]="n.a"),"-",Farmer[[#This Row],[2024]]-Farmer[[#This Row],[2023]])</f>
        <v>-</v>
      </c>
      <c r="J101" s="246">
        <f>IF(OR(Farmer[[#This Row],[2025]]="n.a",Farmer[[#This Row],[2024]]="n.a"),"-",Farmer[[#This Row],[2025]]-Farmer[[#This Row],[2024]])</f>
        <v>66</v>
      </c>
      <c r="L101" s="249" t="s">
        <v>51</v>
      </c>
      <c r="M101" s="250" t="str">
        <f>IF(OR(Farmer[[#This Row],[2022]]="n.a", Farmer[[#This Row],[2022]]=0, Farmer[[#This Row],[2023]]="n.a"),
   "-",H101/Farmer[[#This Row],[2022]])</f>
        <v>-</v>
      </c>
      <c r="N101" s="250" t="str">
        <f>IF(OR(Farmer[[#This Row],[2023]]="n.a", Farmer[[#This Row],[2023]]=0, Farmer[[#This Row],[2024]]="n.a"),
   "-",I101/Farmer[[#This Row],[2023]])</f>
        <v>-</v>
      </c>
      <c r="O101" s="250" t="str">
        <f>IF(OR(Farmer[[#This Row],[2024]]="n.a", Farmer[[#This Row],[2024]]=0, Farmer[[#This Row],[2025]]="n.a"),
   "-",J101/Farmer[[#This Row],[2024]])</f>
        <v>-</v>
      </c>
    </row>
    <row r="102" spans="1:15">
      <c r="A102" s="232" t="s">
        <v>34</v>
      </c>
      <c r="B102" s="233">
        <v>0</v>
      </c>
      <c r="C102" s="233" t="s">
        <v>53</v>
      </c>
      <c r="D102" s="71">
        <v>8.8000000000000007</v>
      </c>
      <c r="E102" s="71">
        <v>0</v>
      </c>
      <c r="F102" s="71"/>
      <c r="G102" s="247" t="s">
        <v>51</v>
      </c>
      <c r="H102" s="246" t="str">
        <f>IF(OR(Farmer[[#This Row],[2023]]="n.a",Farmer[[#This Row],[2022]]="n.a"),"-",Farmer[[#This Row],[2023]]-Farmer[[#This Row],[2022]])</f>
        <v>-</v>
      </c>
      <c r="I102" s="246" t="str">
        <f>IF(OR(Farmer[[#This Row],[2024]]="n.a",Farmer[[#This Row],[2023]]="n.a"),"-",Farmer[[#This Row],[2024]]-Farmer[[#This Row],[2023]])</f>
        <v>-</v>
      </c>
      <c r="J102" s="246">
        <f>IF(OR(Farmer[[#This Row],[2025]]="n.a",Farmer[[#This Row],[2024]]="n.a"),"-",Farmer[[#This Row],[2025]]-Farmer[[#This Row],[2024]])</f>
        <v>-8.8000000000000007</v>
      </c>
      <c r="L102" s="249" t="s">
        <v>51</v>
      </c>
      <c r="M102" s="250" t="str">
        <f>IF(OR(Farmer[[#This Row],[2022]]="n.a", Farmer[[#This Row],[2022]]=0, Farmer[[#This Row],[2023]]="n.a"),
   "-",H102/Farmer[[#This Row],[2022]])</f>
        <v>-</v>
      </c>
      <c r="N102" s="250" t="str">
        <f>IF(OR(Farmer[[#This Row],[2023]]="n.a", Farmer[[#This Row],[2023]]=0, Farmer[[#This Row],[2024]]="n.a"),
   "-",I102/Farmer[[#This Row],[2023]])</f>
        <v>-</v>
      </c>
      <c r="O102" s="250">
        <f>IF(OR(Farmer[[#This Row],[2024]]="n.a", Farmer[[#This Row],[2024]]=0, Farmer[[#This Row],[2025]]="n.a"),
   "-",J102/Farmer[[#This Row],[2024]])</f>
        <v>-1</v>
      </c>
    </row>
    <row r="103" spans="1:15">
      <c r="A103" s="232" t="s">
        <v>38</v>
      </c>
      <c r="B103" s="233">
        <v>0</v>
      </c>
      <c r="C103" s="233" t="s">
        <v>53</v>
      </c>
      <c r="D103" s="71">
        <v>0</v>
      </c>
      <c r="E103" s="71">
        <v>0</v>
      </c>
      <c r="F103" s="71"/>
      <c r="G103" s="247" t="s">
        <v>51</v>
      </c>
      <c r="H103" s="246" t="str">
        <f>IF(OR(Farmer[[#This Row],[2023]]="n.a",Farmer[[#This Row],[2022]]="n.a"),"-",Farmer[[#This Row],[2023]]-Farmer[[#This Row],[2022]])</f>
        <v>-</v>
      </c>
      <c r="I103" s="246" t="str">
        <f>IF(OR(Farmer[[#This Row],[2024]]="n.a",Farmer[[#This Row],[2023]]="n.a"),"-",Farmer[[#This Row],[2024]]-Farmer[[#This Row],[2023]])</f>
        <v>-</v>
      </c>
      <c r="J103" s="246">
        <f>IF(OR(Farmer[[#This Row],[2025]]="n.a",Farmer[[#This Row],[2024]]="n.a"),"-",Farmer[[#This Row],[2025]]-Farmer[[#This Row],[2024]])</f>
        <v>0</v>
      </c>
      <c r="L103" s="249" t="s">
        <v>51</v>
      </c>
      <c r="M103" s="250" t="str">
        <f>IF(OR(Farmer[[#This Row],[2022]]="n.a", Farmer[[#This Row],[2022]]=0, Farmer[[#This Row],[2023]]="n.a"),
   "-",H103/Farmer[[#This Row],[2022]])</f>
        <v>-</v>
      </c>
      <c r="N103" s="250" t="str">
        <f>IF(OR(Farmer[[#This Row],[2023]]="n.a", Farmer[[#This Row],[2023]]=0, Farmer[[#This Row],[2024]]="n.a"),
   "-",I103/Farmer[[#This Row],[2023]])</f>
        <v>-</v>
      </c>
      <c r="O103" s="250" t="str">
        <f>IF(OR(Farmer[[#This Row],[2024]]="n.a", Farmer[[#This Row],[2024]]=0, Farmer[[#This Row],[2025]]="n.a"),
   "-",J103/Farmer[[#This Row],[2024]])</f>
        <v>-</v>
      </c>
    </row>
    <row r="104" spans="1:15">
      <c r="A104" s="232" t="s">
        <v>39</v>
      </c>
      <c r="B104" s="233">
        <v>192</v>
      </c>
      <c r="C104" s="233" t="s">
        <v>53</v>
      </c>
      <c r="D104" s="71">
        <v>0</v>
      </c>
      <c r="E104" s="71">
        <v>4.8</v>
      </c>
      <c r="F104" s="71"/>
      <c r="G104" s="247" t="s">
        <v>51</v>
      </c>
      <c r="H104" s="246" t="str">
        <f>IF(OR(Farmer[[#This Row],[2023]]="n.a",Farmer[[#This Row],[2022]]="n.a"),"-",Farmer[[#This Row],[2023]]-Farmer[[#This Row],[2022]])</f>
        <v>-</v>
      </c>
      <c r="I104" s="246" t="str">
        <f>IF(OR(Farmer[[#This Row],[2024]]="n.a",Farmer[[#This Row],[2023]]="n.a"),"-",Farmer[[#This Row],[2024]]-Farmer[[#This Row],[2023]])</f>
        <v>-</v>
      </c>
      <c r="J104" s="246">
        <f>IF(OR(Farmer[[#This Row],[2025]]="n.a",Farmer[[#This Row],[2024]]="n.a"),"-",Farmer[[#This Row],[2025]]-Farmer[[#This Row],[2024]])</f>
        <v>4.8</v>
      </c>
      <c r="L104" s="249" t="s">
        <v>51</v>
      </c>
      <c r="M104" s="250" t="str">
        <f>IF(OR(Farmer[[#This Row],[2022]]="n.a", Farmer[[#This Row],[2022]]=0, Farmer[[#This Row],[2023]]="n.a"),
   "-",H104/Farmer[[#This Row],[2022]])</f>
        <v>-</v>
      </c>
      <c r="N104" s="250" t="str">
        <f>IF(OR(Farmer[[#This Row],[2023]]="n.a", Farmer[[#This Row],[2023]]=0, Farmer[[#This Row],[2024]]="n.a"),
   "-",I104/Farmer[[#This Row],[2023]])</f>
        <v>-</v>
      </c>
      <c r="O104" s="250" t="str">
        <f>IF(OR(Farmer[[#This Row],[2024]]="n.a", Farmer[[#This Row],[2024]]=0, Farmer[[#This Row],[2025]]="n.a"),
   "-",J104/Farmer[[#This Row],[2024]])</f>
        <v>-</v>
      </c>
    </row>
    <row r="105" spans="1:15">
      <c r="A105" s="232" t="s">
        <v>36</v>
      </c>
      <c r="B105" s="233">
        <v>0</v>
      </c>
      <c r="C105" s="233" t="s">
        <v>53</v>
      </c>
      <c r="D105" s="71">
        <v>0</v>
      </c>
      <c r="E105" s="71">
        <v>208.7</v>
      </c>
      <c r="F105" s="71"/>
      <c r="G105" s="247" t="s">
        <v>51</v>
      </c>
      <c r="H105" s="246" t="str">
        <f>IF(OR(Farmer[[#This Row],[2023]]="n.a",Farmer[[#This Row],[2022]]="n.a"),"-",Farmer[[#This Row],[2023]]-Farmer[[#This Row],[2022]])</f>
        <v>-</v>
      </c>
      <c r="I105" s="246" t="str">
        <f>IF(OR(Farmer[[#This Row],[2024]]="n.a",Farmer[[#This Row],[2023]]="n.a"),"-",Farmer[[#This Row],[2024]]-Farmer[[#This Row],[2023]])</f>
        <v>-</v>
      </c>
      <c r="J105" s="246">
        <f>IF(OR(Farmer[[#This Row],[2025]]="n.a",Farmer[[#This Row],[2024]]="n.a"),"-",Farmer[[#This Row],[2025]]-Farmer[[#This Row],[2024]])</f>
        <v>208.7</v>
      </c>
      <c r="L105" s="249" t="s">
        <v>51</v>
      </c>
      <c r="M105" s="250" t="str">
        <f>IF(OR(Farmer[[#This Row],[2022]]="n.a", Farmer[[#This Row],[2022]]=0, Farmer[[#This Row],[2023]]="n.a"),
   "-",H105/Farmer[[#This Row],[2022]])</f>
        <v>-</v>
      </c>
      <c r="N105" s="250" t="str">
        <f>IF(OR(Farmer[[#This Row],[2023]]="n.a", Farmer[[#This Row],[2023]]=0, Farmer[[#This Row],[2024]]="n.a"),
   "-",I105/Farmer[[#This Row],[2023]])</f>
        <v>-</v>
      </c>
      <c r="O105" s="250" t="str">
        <f>IF(OR(Farmer[[#This Row],[2024]]="n.a", Farmer[[#This Row],[2024]]=0, Farmer[[#This Row],[2025]]="n.a"),
   "-",J105/Farmer[[#This Row],[2024]])</f>
        <v>-</v>
      </c>
    </row>
    <row r="106" spans="1:15">
      <c r="A106" s="232" t="s">
        <v>37</v>
      </c>
      <c r="B106" s="233">
        <v>0</v>
      </c>
      <c r="C106" s="233" t="s">
        <v>53</v>
      </c>
      <c r="D106" s="71">
        <v>0</v>
      </c>
      <c r="E106" s="71">
        <v>94</v>
      </c>
      <c r="F106" s="71"/>
      <c r="G106" s="247" t="s">
        <v>51</v>
      </c>
      <c r="H106" s="246" t="str">
        <f>IF(OR(Farmer[[#This Row],[2023]]="n.a",Farmer[[#This Row],[2022]]="n.a"),"-",Farmer[[#This Row],[2023]]-Farmer[[#This Row],[2022]])</f>
        <v>-</v>
      </c>
      <c r="I106" s="246" t="str">
        <f>IF(OR(Farmer[[#This Row],[2024]]="n.a",Farmer[[#This Row],[2023]]="n.a"),"-",Farmer[[#This Row],[2024]]-Farmer[[#This Row],[2023]])</f>
        <v>-</v>
      </c>
      <c r="J106" s="246">
        <f>IF(OR(Farmer[[#This Row],[2025]]="n.a",Farmer[[#This Row],[2024]]="n.a"),"-",Farmer[[#This Row],[2025]]-Farmer[[#This Row],[2024]])</f>
        <v>94</v>
      </c>
      <c r="L106" s="249" t="s">
        <v>51</v>
      </c>
      <c r="M106" s="250" t="str">
        <f>IF(OR(Farmer[[#This Row],[2022]]="n.a", Farmer[[#This Row],[2022]]=0, Farmer[[#This Row],[2023]]="n.a"),
   "-",H106/Farmer[[#This Row],[2022]])</f>
        <v>-</v>
      </c>
      <c r="N106" s="250" t="str">
        <f>IF(OR(Farmer[[#This Row],[2023]]="n.a", Farmer[[#This Row],[2023]]=0, Farmer[[#This Row],[2024]]="n.a"),
   "-",I106/Farmer[[#This Row],[2023]])</f>
        <v>-</v>
      </c>
      <c r="O106" s="250" t="str">
        <f>IF(OR(Farmer[[#This Row],[2024]]="n.a", Farmer[[#This Row],[2024]]=0, Farmer[[#This Row],[2025]]="n.a"),
   "-",J106/Farmer[[#This Row],[2024]])</f>
        <v>-</v>
      </c>
    </row>
    <row r="107" spans="1:15">
      <c r="A107" s="232" t="s">
        <v>41</v>
      </c>
      <c r="B107" s="233">
        <v>0</v>
      </c>
      <c r="C107" s="233" t="s">
        <v>53</v>
      </c>
      <c r="D107" s="71">
        <v>0</v>
      </c>
      <c r="E107" s="71">
        <v>0</v>
      </c>
      <c r="F107" s="71"/>
      <c r="G107" s="247" t="s">
        <v>51</v>
      </c>
      <c r="H107" s="246" t="str">
        <f>IF(OR(Farmer[[#This Row],[2023]]="n.a",Farmer[[#This Row],[2022]]="n.a"),"-",Farmer[[#This Row],[2023]]-Farmer[[#This Row],[2022]])</f>
        <v>-</v>
      </c>
      <c r="I107" s="246" t="str">
        <f>IF(OR(Farmer[[#This Row],[2024]]="n.a",Farmer[[#This Row],[2023]]="n.a"),"-",Farmer[[#This Row],[2024]]-Farmer[[#This Row],[2023]])</f>
        <v>-</v>
      </c>
      <c r="J107" s="246">
        <f>IF(OR(Farmer[[#This Row],[2025]]="n.a",Farmer[[#This Row],[2024]]="n.a"),"-",Farmer[[#This Row],[2025]]-Farmer[[#This Row],[2024]])</f>
        <v>0</v>
      </c>
      <c r="L107" s="249" t="s">
        <v>51</v>
      </c>
      <c r="M107" s="250" t="str">
        <f>IF(OR(Farmer[[#This Row],[2022]]="n.a", Farmer[[#This Row],[2022]]=0, Farmer[[#This Row],[2023]]="n.a"),
   "-",H107/Farmer[[#This Row],[2022]])</f>
        <v>-</v>
      </c>
      <c r="N107" s="250" t="str">
        <f>IF(OR(Farmer[[#This Row],[2023]]="n.a", Farmer[[#This Row],[2023]]=0, Farmer[[#This Row],[2024]]="n.a"),
   "-",I107/Farmer[[#This Row],[2023]])</f>
        <v>-</v>
      </c>
      <c r="O107" s="250" t="str">
        <f>IF(OR(Farmer[[#This Row],[2024]]="n.a", Farmer[[#This Row],[2024]]=0, Farmer[[#This Row],[2025]]="n.a"),
   "-",J107/Farmer[[#This Row],[2024]])</f>
        <v>-</v>
      </c>
    </row>
    <row r="109" spans="1:15" ht="26">
      <c r="A109" s="235" t="s">
        <v>54</v>
      </c>
      <c r="B109" s="333" t="s">
        <v>62</v>
      </c>
      <c r="C109" s="333"/>
      <c r="D109" s="333"/>
      <c r="E109" s="333"/>
      <c r="F109" s="306"/>
      <c r="G109" s="336" t="s">
        <v>44</v>
      </c>
      <c r="H109" s="336"/>
      <c r="I109" s="336"/>
      <c r="J109" s="336"/>
      <c r="L109" s="335" t="s">
        <v>56</v>
      </c>
      <c r="M109" s="335"/>
      <c r="N109" s="335"/>
      <c r="O109" s="335"/>
    </row>
    <row r="110" spans="1:15" ht="15" thickBot="1">
      <c r="A110" s="92" t="s">
        <v>1</v>
      </c>
      <c r="B110" s="229" t="s">
        <v>46</v>
      </c>
      <c r="C110" s="229" t="s">
        <v>47</v>
      </c>
      <c r="D110" s="231" t="s">
        <v>48</v>
      </c>
      <c r="E110" s="231" t="s">
        <v>49</v>
      </c>
      <c r="F110" s="229"/>
      <c r="G110" s="245">
        <v>2022</v>
      </c>
      <c r="H110" s="246">
        <v>2023</v>
      </c>
      <c r="I110" s="246">
        <v>2024</v>
      </c>
      <c r="J110" s="246">
        <v>2025</v>
      </c>
      <c r="L110" s="245">
        <v>2022</v>
      </c>
      <c r="M110" s="246">
        <v>2023</v>
      </c>
      <c r="N110" s="246">
        <v>2024</v>
      </c>
      <c r="O110" s="246">
        <v>2025</v>
      </c>
    </row>
    <row r="111" spans="1:15">
      <c r="A111" s="238" t="s">
        <v>50</v>
      </c>
      <c r="B111" s="239" t="s">
        <v>51</v>
      </c>
      <c r="C111" s="20" t="s">
        <v>53</v>
      </c>
      <c r="D111" s="151">
        <v>89.33</v>
      </c>
      <c r="E111" s="185">
        <v>0</v>
      </c>
      <c r="F111" s="229"/>
      <c r="G111" s="245" t="s">
        <v>51</v>
      </c>
      <c r="H111" s="246" t="str">
        <f>IF(OR(HighValueCommodity[[#This Row],[2023]]="n.a",HighValueCommodity[[#This Row],[2022]]="n.a"),"-",HighValueCommodity[[#This Row],[2023]]-HighValueCommodity[[#This Row],[2022]])</f>
        <v>-</v>
      </c>
      <c r="I111" s="246" t="str">
        <f>IF(OR(HighValueCommodity[[#This Row],[2024]]="n.a",HighValueCommodity[[#This Row],[2023]]="n.a"),"-",HighValueCommodity[[#This Row],[2024]]-HighValueCommodity[[#This Row],[2023]])</f>
        <v>-</v>
      </c>
      <c r="J111" s="246">
        <f>IF(OR(HighValueCommodity[[#This Row],[2025]]="n.a",HighValueCommodity[[#This Row],[2024]]="n.a"),"-",HighValueCommodity[[#This Row],[2025]]-HighValueCommodity[[#This Row],[2024]])</f>
        <v>-89.33</v>
      </c>
      <c r="L111" s="245" t="s">
        <v>51</v>
      </c>
      <c r="M111" s="250" t="str">
        <f>IF(OR(HighValueCommodity[[#This Row],[2022]]="n.a", HighValueCommodity[[#This Row],[2022]]=0, HighValueCommodity[[#This Row],[2023]]="n.a"),
   "-",H111/HighValueCommodity[[#This Row],[2022]])</f>
        <v>-</v>
      </c>
      <c r="N111" s="250" t="str">
        <f>IF(OR(HighValueCommodity[[#This Row],[2023]]="n.a", HighValueCommodity[[#This Row],[2023]]=0, HighValueCommodity[[#This Row],[2024]]="n.a"),
   "-",I111/HighValueCommodity[[#This Row],[2023]])</f>
        <v>-</v>
      </c>
      <c r="O111" s="250">
        <f>IF(OR(HighValueCommodity[[#This Row],[2024]]="n.a", HighValueCommodity[[#This Row],[2024]]=0, HighValueCommodity[[#This Row],[2025]]="n.a"),
   "-",J111/HighValueCommodity[[#This Row],[2024]])</f>
        <v>-1</v>
      </c>
    </row>
    <row r="112" spans="1:15">
      <c r="A112" s="232" t="s">
        <v>27</v>
      </c>
      <c r="B112" s="78">
        <v>0</v>
      </c>
      <c r="C112" s="78" t="s">
        <v>53</v>
      </c>
      <c r="D112" s="71">
        <v>0</v>
      </c>
      <c r="E112" s="71">
        <v>0</v>
      </c>
      <c r="F112" s="71"/>
      <c r="G112" s="247" t="s">
        <v>51</v>
      </c>
      <c r="H112" s="246" t="str">
        <f>IF(OR(HighValueCommodity[[#This Row],[2023]]="n.a",HighValueCommodity[[#This Row],[2022]]="n.a"),"-",HighValueCommodity[[#This Row],[2023]]-HighValueCommodity[[#This Row],[2022]])</f>
        <v>-</v>
      </c>
      <c r="I112" s="246" t="str">
        <f>IF(OR(HighValueCommodity[[#This Row],[2024]]="n.a",HighValueCommodity[[#This Row],[2023]]="n.a"),"-",HighValueCommodity[[#This Row],[2024]]-HighValueCommodity[[#This Row],[2023]])</f>
        <v>-</v>
      </c>
      <c r="J112" s="246">
        <f>IF(OR(HighValueCommodity[[#This Row],[2025]]="n.a",HighValueCommodity[[#This Row],[2024]]="n.a"),"-",HighValueCommodity[[#This Row],[2025]]-HighValueCommodity[[#This Row],[2024]])</f>
        <v>0</v>
      </c>
      <c r="L112" s="249" t="s">
        <v>51</v>
      </c>
      <c r="M112" s="250" t="str">
        <f>IF(OR(HighValueCommodity[[#This Row],[2022]]="n.a", HighValueCommodity[[#This Row],[2022]]=0, HighValueCommodity[[#This Row],[2023]]="n.a"),
   "-",H112/HighValueCommodity[[#This Row],[2022]])</f>
        <v>-</v>
      </c>
      <c r="N112" s="250" t="str">
        <f>IF(OR(HighValueCommodity[[#This Row],[2023]]="n.a", HighValueCommodity[[#This Row],[2023]]=0, HighValueCommodity[[#This Row],[2024]]="n.a"),
   "-",I112/HighValueCommodity[[#This Row],[2023]])</f>
        <v>-</v>
      </c>
      <c r="O112" s="250" t="str">
        <f>IF(OR(HighValueCommodity[[#This Row],[2024]]="n.a", HighValueCommodity[[#This Row],[2024]]=0, HighValueCommodity[[#This Row],[2025]]="n.a"),
   "-",J112/HighValueCommodity[[#This Row],[2024]])</f>
        <v>-</v>
      </c>
    </row>
    <row r="113" spans="1:15">
      <c r="A113" s="232" t="s">
        <v>28</v>
      </c>
      <c r="B113" s="78">
        <v>0</v>
      </c>
      <c r="C113" s="78" t="s">
        <v>53</v>
      </c>
      <c r="D113" s="71">
        <v>89.33</v>
      </c>
      <c r="E113" s="71">
        <v>0</v>
      </c>
      <c r="F113" s="71"/>
      <c r="G113" s="247" t="s">
        <v>51</v>
      </c>
      <c r="H113" s="246" t="str">
        <f>IF(OR(HighValueCommodity[[#This Row],[2023]]="n.a",HighValueCommodity[[#This Row],[2022]]="n.a"),"-",HighValueCommodity[[#This Row],[2023]]-HighValueCommodity[[#This Row],[2022]])</f>
        <v>-</v>
      </c>
      <c r="I113" s="246" t="str">
        <f>IF(OR(HighValueCommodity[[#This Row],[2024]]="n.a",HighValueCommodity[[#This Row],[2023]]="n.a"),"-",HighValueCommodity[[#This Row],[2024]]-HighValueCommodity[[#This Row],[2023]])</f>
        <v>-</v>
      </c>
      <c r="J113" s="246">
        <f>IF(OR(HighValueCommodity[[#This Row],[2025]]="n.a",HighValueCommodity[[#This Row],[2024]]="n.a"),"-",HighValueCommodity[[#This Row],[2025]]-HighValueCommodity[[#This Row],[2024]])</f>
        <v>-89.33</v>
      </c>
      <c r="L113" s="249" t="s">
        <v>51</v>
      </c>
      <c r="M113" s="250" t="str">
        <f>IF(OR(HighValueCommodity[[#This Row],[2022]]="n.a", HighValueCommodity[[#This Row],[2022]]=0, HighValueCommodity[[#This Row],[2023]]="n.a"),
   "-",H113/HighValueCommodity[[#This Row],[2022]])</f>
        <v>-</v>
      </c>
      <c r="N113" s="250" t="str">
        <f>IF(OR(HighValueCommodity[[#This Row],[2023]]="n.a", HighValueCommodity[[#This Row],[2023]]=0, HighValueCommodity[[#This Row],[2024]]="n.a"),
   "-",I113/HighValueCommodity[[#This Row],[2023]])</f>
        <v>-</v>
      </c>
      <c r="O113" s="250">
        <f>IF(OR(HighValueCommodity[[#This Row],[2024]]="n.a", HighValueCommodity[[#This Row],[2024]]=0, HighValueCommodity[[#This Row],[2025]]="n.a"),
   "-",J113/HighValueCommodity[[#This Row],[2024]])</f>
        <v>-1</v>
      </c>
    </row>
    <row r="114" spans="1:15">
      <c r="A114" s="232" t="s">
        <v>29</v>
      </c>
      <c r="B114" s="78">
        <v>0</v>
      </c>
      <c r="C114" s="78" t="s">
        <v>53</v>
      </c>
      <c r="D114" s="71">
        <v>0</v>
      </c>
      <c r="E114" s="71">
        <v>0</v>
      </c>
      <c r="F114" s="71"/>
      <c r="G114" s="247" t="s">
        <v>51</v>
      </c>
      <c r="H114" s="246" t="str">
        <f>IF(OR(HighValueCommodity[[#This Row],[2023]]="n.a",HighValueCommodity[[#This Row],[2022]]="n.a"),"-",HighValueCommodity[[#This Row],[2023]]-HighValueCommodity[[#This Row],[2022]])</f>
        <v>-</v>
      </c>
      <c r="I114" s="246" t="str">
        <f>IF(OR(HighValueCommodity[[#This Row],[2024]]="n.a",HighValueCommodity[[#This Row],[2023]]="n.a"),"-",HighValueCommodity[[#This Row],[2024]]-HighValueCommodity[[#This Row],[2023]])</f>
        <v>-</v>
      </c>
      <c r="J114" s="246">
        <f>IF(OR(HighValueCommodity[[#This Row],[2025]]="n.a",HighValueCommodity[[#This Row],[2024]]="n.a"),"-",HighValueCommodity[[#This Row],[2025]]-HighValueCommodity[[#This Row],[2024]])</f>
        <v>0</v>
      </c>
      <c r="L114" s="249" t="s">
        <v>51</v>
      </c>
      <c r="M114" s="250" t="str">
        <f>IF(OR(HighValueCommodity[[#This Row],[2022]]="n.a", HighValueCommodity[[#This Row],[2022]]=0, HighValueCommodity[[#This Row],[2023]]="n.a"),
   "-",H114/HighValueCommodity[[#This Row],[2022]])</f>
        <v>-</v>
      </c>
      <c r="N114" s="250" t="str">
        <f>IF(OR(HighValueCommodity[[#This Row],[2023]]="n.a", HighValueCommodity[[#This Row],[2023]]=0, HighValueCommodity[[#This Row],[2024]]="n.a"),
   "-",I114/HighValueCommodity[[#This Row],[2023]])</f>
        <v>-</v>
      </c>
      <c r="O114" s="250" t="str">
        <f>IF(OR(HighValueCommodity[[#This Row],[2024]]="n.a", HighValueCommodity[[#This Row],[2024]]=0, HighValueCommodity[[#This Row],[2025]]="n.a"),
   "-",J114/HighValueCommodity[[#This Row],[2024]])</f>
        <v>-</v>
      </c>
    </row>
    <row r="115" spans="1:15">
      <c r="A115" s="232" t="s">
        <v>30</v>
      </c>
      <c r="B115" s="78">
        <v>0</v>
      </c>
      <c r="C115" s="78" t="s">
        <v>53</v>
      </c>
      <c r="D115" s="71">
        <v>0</v>
      </c>
      <c r="E115" s="71">
        <v>0</v>
      </c>
      <c r="F115" s="71"/>
      <c r="G115" s="247" t="s">
        <v>51</v>
      </c>
      <c r="H115" s="246" t="str">
        <f>IF(OR(HighValueCommodity[[#This Row],[2023]]="n.a",HighValueCommodity[[#This Row],[2022]]="n.a"),"-",HighValueCommodity[[#This Row],[2023]]-HighValueCommodity[[#This Row],[2022]])</f>
        <v>-</v>
      </c>
      <c r="I115" s="246" t="str">
        <f>IF(OR(HighValueCommodity[[#This Row],[2024]]="n.a",HighValueCommodity[[#This Row],[2023]]="n.a"),"-",HighValueCommodity[[#This Row],[2024]]-HighValueCommodity[[#This Row],[2023]])</f>
        <v>-</v>
      </c>
      <c r="J115" s="246">
        <f>IF(OR(HighValueCommodity[[#This Row],[2025]]="n.a",HighValueCommodity[[#This Row],[2024]]="n.a"),"-",HighValueCommodity[[#This Row],[2025]]-HighValueCommodity[[#This Row],[2024]])</f>
        <v>0</v>
      </c>
      <c r="L115" s="249" t="s">
        <v>51</v>
      </c>
      <c r="M115" s="250" t="str">
        <f>IF(OR(HighValueCommodity[[#This Row],[2022]]="n.a", HighValueCommodity[[#This Row],[2022]]=0, HighValueCommodity[[#This Row],[2023]]="n.a"),
   "-",H115/HighValueCommodity[[#This Row],[2022]])</f>
        <v>-</v>
      </c>
      <c r="N115" s="250" t="str">
        <f>IF(OR(HighValueCommodity[[#This Row],[2023]]="n.a", HighValueCommodity[[#This Row],[2023]]=0, HighValueCommodity[[#This Row],[2024]]="n.a"),
   "-",I115/HighValueCommodity[[#This Row],[2023]])</f>
        <v>-</v>
      </c>
      <c r="O115" s="250" t="str">
        <f>IF(OR(HighValueCommodity[[#This Row],[2024]]="n.a", HighValueCommodity[[#This Row],[2024]]=0, HighValueCommodity[[#This Row],[2025]]="n.a"),
   "-",J115/HighValueCommodity[[#This Row],[2024]])</f>
        <v>-</v>
      </c>
    </row>
    <row r="116" spans="1:15">
      <c r="A116" s="232" t="s">
        <v>31</v>
      </c>
      <c r="B116" s="78">
        <v>0</v>
      </c>
      <c r="C116" s="78" t="s">
        <v>53</v>
      </c>
      <c r="D116" s="71">
        <v>0</v>
      </c>
      <c r="E116" s="71">
        <v>0</v>
      </c>
      <c r="F116" s="71"/>
      <c r="G116" s="247" t="s">
        <v>51</v>
      </c>
      <c r="H116" s="246" t="str">
        <f>IF(OR(HighValueCommodity[[#This Row],[2023]]="n.a",HighValueCommodity[[#This Row],[2022]]="n.a"),"-",HighValueCommodity[[#This Row],[2023]]-HighValueCommodity[[#This Row],[2022]])</f>
        <v>-</v>
      </c>
      <c r="I116" s="246" t="str">
        <f>IF(OR(HighValueCommodity[[#This Row],[2024]]="n.a",HighValueCommodity[[#This Row],[2023]]="n.a"),"-",HighValueCommodity[[#This Row],[2024]]-HighValueCommodity[[#This Row],[2023]])</f>
        <v>-</v>
      </c>
      <c r="J116" s="246">
        <f>IF(OR(HighValueCommodity[[#This Row],[2025]]="n.a",HighValueCommodity[[#This Row],[2024]]="n.a"),"-",HighValueCommodity[[#This Row],[2025]]-HighValueCommodity[[#This Row],[2024]])</f>
        <v>0</v>
      </c>
      <c r="L116" s="249" t="s">
        <v>51</v>
      </c>
      <c r="M116" s="250" t="str">
        <f>IF(OR(HighValueCommodity[[#This Row],[2022]]="n.a", HighValueCommodity[[#This Row],[2022]]=0, HighValueCommodity[[#This Row],[2023]]="n.a"),
   "-",H116/HighValueCommodity[[#This Row],[2022]])</f>
        <v>-</v>
      </c>
      <c r="N116" s="250" t="str">
        <f>IF(OR(HighValueCommodity[[#This Row],[2023]]="n.a", HighValueCommodity[[#This Row],[2023]]=0, HighValueCommodity[[#This Row],[2024]]="n.a"),
   "-",I116/HighValueCommodity[[#This Row],[2023]])</f>
        <v>-</v>
      </c>
      <c r="O116" s="250" t="str">
        <f>IF(OR(HighValueCommodity[[#This Row],[2024]]="n.a", HighValueCommodity[[#This Row],[2024]]=0, HighValueCommodity[[#This Row],[2025]]="n.a"),
   "-",J116/HighValueCommodity[[#This Row],[2024]])</f>
        <v>-</v>
      </c>
    </row>
    <row r="117" spans="1:15">
      <c r="A117" s="232" t="s">
        <v>32</v>
      </c>
      <c r="B117" s="78">
        <v>0</v>
      </c>
      <c r="C117" s="78" t="s">
        <v>53</v>
      </c>
      <c r="D117" s="71">
        <v>0</v>
      </c>
      <c r="E117" s="71">
        <v>0</v>
      </c>
      <c r="F117" s="71"/>
      <c r="G117" s="247" t="s">
        <v>51</v>
      </c>
      <c r="H117" s="246" t="str">
        <f>IF(OR(HighValueCommodity[[#This Row],[2023]]="n.a",HighValueCommodity[[#This Row],[2022]]="n.a"),"-",HighValueCommodity[[#This Row],[2023]]-HighValueCommodity[[#This Row],[2022]])</f>
        <v>-</v>
      </c>
      <c r="I117" s="246" t="str">
        <f>IF(OR(HighValueCommodity[[#This Row],[2024]]="n.a",HighValueCommodity[[#This Row],[2023]]="n.a"),"-",HighValueCommodity[[#This Row],[2024]]-HighValueCommodity[[#This Row],[2023]])</f>
        <v>-</v>
      </c>
      <c r="J117" s="246">
        <f>IF(OR(HighValueCommodity[[#This Row],[2025]]="n.a",HighValueCommodity[[#This Row],[2024]]="n.a"),"-",HighValueCommodity[[#This Row],[2025]]-HighValueCommodity[[#This Row],[2024]])</f>
        <v>0</v>
      </c>
      <c r="L117" s="249" t="s">
        <v>51</v>
      </c>
      <c r="M117" s="250" t="str">
        <f>IF(OR(HighValueCommodity[[#This Row],[2022]]="n.a", HighValueCommodity[[#This Row],[2022]]=0, HighValueCommodity[[#This Row],[2023]]="n.a"),
   "-",H117/HighValueCommodity[[#This Row],[2022]])</f>
        <v>-</v>
      </c>
      <c r="N117" s="250" t="str">
        <f>IF(OR(HighValueCommodity[[#This Row],[2023]]="n.a", HighValueCommodity[[#This Row],[2023]]=0, HighValueCommodity[[#This Row],[2024]]="n.a"),
   "-",I117/HighValueCommodity[[#This Row],[2023]])</f>
        <v>-</v>
      </c>
      <c r="O117" s="250" t="str">
        <f>IF(OR(HighValueCommodity[[#This Row],[2024]]="n.a", HighValueCommodity[[#This Row],[2024]]=0, HighValueCommodity[[#This Row],[2025]]="n.a"),
   "-",J117/HighValueCommodity[[#This Row],[2024]])</f>
        <v>-</v>
      </c>
    </row>
    <row r="118" spans="1:15">
      <c r="A118" s="232" t="s">
        <v>35</v>
      </c>
      <c r="B118" s="78">
        <v>0</v>
      </c>
      <c r="C118" s="78" t="s">
        <v>53</v>
      </c>
      <c r="D118" s="71">
        <v>0</v>
      </c>
      <c r="E118" s="71">
        <v>0</v>
      </c>
      <c r="F118" s="71"/>
      <c r="G118" s="247" t="s">
        <v>51</v>
      </c>
      <c r="H118" s="246" t="str">
        <f>IF(OR(HighValueCommodity[[#This Row],[2023]]="n.a",HighValueCommodity[[#This Row],[2022]]="n.a"),"-",HighValueCommodity[[#This Row],[2023]]-HighValueCommodity[[#This Row],[2022]])</f>
        <v>-</v>
      </c>
      <c r="I118" s="246" t="str">
        <f>IF(OR(HighValueCommodity[[#This Row],[2024]]="n.a",HighValueCommodity[[#This Row],[2023]]="n.a"),"-",HighValueCommodity[[#This Row],[2024]]-HighValueCommodity[[#This Row],[2023]])</f>
        <v>-</v>
      </c>
      <c r="J118" s="246">
        <f>IF(OR(HighValueCommodity[[#This Row],[2025]]="n.a",HighValueCommodity[[#This Row],[2024]]="n.a"),"-",HighValueCommodity[[#This Row],[2025]]-HighValueCommodity[[#This Row],[2024]])</f>
        <v>0</v>
      </c>
      <c r="L118" s="249" t="s">
        <v>51</v>
      </c>
      <c r="M118" s="250" t="str">
        <f>IF(OR(HighValueCommodity[[#This Row],[2022]]="n.a", HighValueCommodity[[#This Row],[2022]]=0, HighValueCommodity[[#This Row],[2023]]="n.a"),
   "-",H118/HighValueCommodity[[#This Row],[2022]])</f>
        <v>-</v>
      </c>
      <c r="N118" s="250" t="str">
        <f>IF(OR(HighValueCommodity[[#This Row],[2023]]="n.a", HighValueCommodity[[#This Row],[2023]]=0, HighValueCommodity[[#This Row],[2024]]="n.a"),
   "-",I118/HighValueCommodity[[#This Row],[2023]])</f>
        <v>-</v>
      </c>
      <c r="O118" s="250" t="str">
        <f>IF(OR(HighValueCommodity[[#This Row],[2024]]="n.a", HighValueCommodity[[#This Row],[2024]]=0, HighValueCommodity[[#This Row],[2025]]="n.a"),
   "-",J118/HighValueCommodity[[#This Row],[2024]])</f>
        <v>-</v>
      </c>
    </row>
    <row r="119" spans="1:15">
      <c r="A119" s="232" t="s">
        <v>33</v>
      </c>
      <c r="B119" s="78">
        <v>0</v>
      </c>
      <c r="C119" s="78" t="s">
        <v>53</v>
      </c>
      <c r="D119" s="71">
        <v>0</v>
      </c>
      <c r="E119" s="71">
        <v>0</v>
      </c>
      <c r="F119" s="71"/>
      <c r="G119" s="247" t="s">
        <v>51</v>
      </c>
      <c r="H119" s="246" t="str">
        <f>IF(OR(HighValueCommodity[[#This Row],[2023]]="n.a",HighValueCommodity[[#This Row],[2022]]="n.a"),"-",HighValueCommodity[[#This Row],[2023]]-HighValueCommodity[[#This Row],[2022]])</f>
        <v>-</v>
      </c>
      <c r="I119" s="246" t="str">
        <f>IF(OR(HighValueCommodity[[#This Row],[2024]]="n.a",HighValueCommodity[[#This Row],[2023]]="n.a"),"-",HighValueCommodity[[#This Row],[2024]]-HighValueCommodity[[#This Row],[2023]])</f>
        <v>-</v>
      </c>
      <c r="J119" s="246">
        <f>IF(OR(HighValueCommodity[[#This Row],[2025]]="n.a",HighValueCommodity[[#This Row],[2024]]="n.a"),"-",HighValueCommodity[[#This Row],[2025]]-HighValueCommodity[[#This Row],[2024]])</f>
        <v>0</v>
      </c>
      <c r="L119" s="249" t="s">
        <v>51</v>
      </c>
      <c r="M119" s="250" t="str">
        <f>IF(OR(HighValueCommodity[[#This Row],[2022]]="n.a", HighValueCommodity[[#This Row],[2022]]=0, HighValueCommodity[[#This Row],[2023]]="n.a"),
   "-",H119/HighValueCommodity[[#This Row],[2022]])</f>
        <v>-</v>
      </c>
      <c r="N119" s="250" t="str">
        <f>IF(OR(HighValueCommodity[[#This Row],[2023]]="n.a", HighValueCommodity[[#This Row],[2023]]=0, HighValueCommodity[[#This Row],[2024]]="n.a"),
   "-",I119/HighValueCommodity[[#This Row],[2023]])</f>
        <v>-</v>
      </c>
      <c r="O119" s="250" t="str">
        <f>IF(OR(HighValueCommodity[[#This Row],[2024]]="n.a", HighValueCommodity[[#This Row],[2024]]=0, HighValueCommodity[[#This Row],[2025]]="n.a"),
   "-",J119/HighValueCommodity[[#This Row],[2024]])</f>
        <v>-</v>
      </c>
    </row>
    <row r="120" spans="1:15">
      <c r="A120" s="232" t="s">
        <v>34</v>
      </c>
      <c r="B120" s="78">
        <v>0</v>
      </c>
      <c r="C120" s="78" t="s">
        <v>53</v>
      </c>
      <c r="D120" s="71">
        <v>0</v>
      </c>
      <c r="E120" s="71">
        <v>0</v>
      </c>
      <c r="F120" s="71"/>
      <c r="G120" s="247" t="s">
        <v>51</v>
      </c>
      <c r="H120" s="246" t="str">
        <f>IF(OR(HighValueCommodity[[#This Row],[2023]]="n.a",HighValueCommodity[[#This Row],[2022]]="n.a"),"-",HighValueCommodity[[#This Row],[2023]]-HighValueCommodity[[#This Row],[2022]])</f>
        <v>-</v>
      </c>
      <c r="I120" s="246" t="str">
        <f>IF(OR(HighValueCommodity[[#This Row],[2024]]="n.a",HighValueCommodity[[#This Row],[2023]]="n.a"),"-",HighValueCommodity[[#This Row],[2024]]-HighValueCommodity[[#This Row],[2023]])</f>
        <v>-</v>
      </c>
      <c r="J120" s="246">
        <f>IF(OR(HighValueCommodity[[#This Row],[2025]]="n.a",HighValueCommodity[[#This Row],[2024]]="n.a"),"-",HighValueCommodity[[#This Row],[2025]]-HighValueCommodity[[#This Row],[2024]])</f>
        <v>0</v>
      </c>
      <c r="L120" s="249" t="s">
        <v>51</v>
      </c>
      <c r="M120" s="250" t="str">
        <f>IF(OR(HighValueCommodity[[#This Row],[2022]]="n.a", HighValueCommodity[[#This Row],[2022]]=0, HighValueCommodity[[#This Row],[2023]]="n.a"),
   "-",H120/HighValueCommodity[[#This Row],[2022]])</f>
        <v>-</v>
      </c>
      <c r="N120" s="250" t="str">
        <f>IF(OR(HighValueCommodity[[#This Row],[2023]]="n.a", HighValueCommodity[[#This Row],[2023]]=0, HighValueCommodity[[#This Row],[2024]]="n.a"),
   "-",I120/HighValueCommodity[[#This Row],[2023]])</f>
        <v>-</v>
      </c>
      <c r="O120" s="250" t="str">
        <f>IF(OR(HighValueCommodity[[#This Row],[2024]]="n.a", HighValueCommodity[[#This Row],[2024]]=0, HighValueCommodity[[#This Row],[2025]]="n.a"),
   "-",J120/HighValueCommodity[[#This Row],[2024]])</f>
        <v>-</v>
      </c>
    </row>
    <row r="121" spans="1:15">
      <c r="A121" s="232" t="s">
        <v>38</v>
      </c>
      <c r="B121" s="78">
        <v>0</v>
      </c>
      <c r="C121" s="78" t="s">
        <v>53</v>
      </c>
      <c r="D121" s="71">
        <v>0</v>
      </c>
      <c r="E121" s="71">
        <v>0</v>
      </c>
      <c r="F121" s="71"/>
      <c r="G121" s="247" t="s">
        <v>51</v>
      </c>
      <c r="H121" s="246" t="str">
        <f>IF(OR(HighValueCommodity[[#This Row],[2023]]="n.a",HighValueCommodity[[#This Row],[2022]]="n.a"),"-",HighValueCommodity[[#This Row],[2023]]-HighValueCommodity[[#This Row],[2022]])</f>
        <v>-</v>
      </c>
      <c r="I121" s="246" t="str">
        <f>IF(OR(HighValueCommodity[[#This Row],[2024]]="n.a",HighValueCommodity[[#This Row],[2023]]="n.a"),"-",HighValueCommodity[[#This Row],[2024]]-HighValueCommodity[[#This Row],[2023]])</f>
        <v>-</v>
      </c>
      <c r="J121" s="246">
        <f>IF(OR(HighValueCommodity[[#This Row],[2025]]="n.a",HighValueCommodity[[#This Row],[2024]]="n.a"),"-",HighValueCommodity[[#This Row],[2025]]-HighValueCommodity[[#This Row],[2024]])</f>
        <v>0</v>
      </c>
      <c r="L121" s="249" t="s">
        <v>51</v>
      </c>
      <c r="M121" s="250" t="str">
        <f>IF(OR(HighValueCommodity[[#This Row],[2022]]="n.a", HighValueCommodity[[#This Row],[2022]]=0, HighValueCommodity[[#This Row],[2023]]="n.a"),
   "-",H121/HighValueCommodity[[#This Row],[2022]])</f>
        <v>-</v>
      </c>
      <c r="N121" s="250" t="str">
        <f>IF(OR(HighValueCommodity[[#This Row],[2023]]="n.a", HighValueCommodity[[#This Row],[2023]]=0, HighValueCommodity[[#This Row],[2024]]="n.a"),
   "-",I121/HighValueCommodity[[#This Row],[2023]])</f>
        <v>-</v>
      </c>
      <c r="O121" s="250" t="str">
        <f>IF(OR(HighValueCommodity[[#This Row],[2024]]="n.a", HighValueCommodity[[#This Row],[2024]]=0, HighValueCommodity[[#This Row],[2025]]="n.a"),
   "-",J121/HighValueCommodity[[#This Row],[2024]])</f>
        <v>-</v>
      </c>
    </row>
    <row r="122" spans="1:15">
      <c r="A122" s="232" t="s">
        <v>39</v>
      </c>
      <c r="B122" s="78">
        <v>0</v>
      </c>
      <c r="C122" s="78" t="s">
        <v>53</v>
      </c>
      <c r="D122" s="71">
        <v>0</v>
      </c>
      <c r="E122" s="71">
        <v>0</v>
      </c>
      <c r="F122" s="71"/>
      <c r="G122" s="247" t="s">
        <v>51</v>
      </c>
      <c r="H122" s="246" t="str">
        <f>IF(OR(HighValueCommodity[[#This Row],[2023]]="n.a",HighValueCommodity[[#This Row],[2022]]="n.a"),"-",HighValueCommodity[[#This Row],[2023]]-HighValueCommodity[[#This Row],[2022]])</f>
        <v>-</v>
      </c>
      <c r="I122" s="246" t="str">
        <f>IF(OR(HighValueCommodity[[#This Row],[2024]]="n.a",HighValueCommodity[[#This Row],[2023]]="n.a"),"-",HighValueCommodity[[#This Row],[2024]]-HighValueCommodity[[#This Row],[2023]])</f>
        <v>-</v>
      </c>
      <c r="J122" s="246">
        <f>IF(OR(HighValueCommodity[[#This Row],[2025]]="n.a",HighValueCommodity[[#This Row],[2024]]="n.a"),"-",HighValueCommodity[[#This Row],[2025]]-HighValueCommodity[[#This Row],[2024]])</f>
        <v>0</v>
      </c>
      <c r="L122" s="249" t="s">
        <v>51</v>
      </c>
      <c r="M122" s="250" t="str">
        <f>IF(OR(HighValueCommodity[[#This Row],[2022]]="n.a", HighValueCommodity[[#This Row],[2022]]=0, HighValueCommodity[[#This Row],[2023]]="n.a"),
   "-",H122/HighValueCommodity[[#This Row],[2022]])</f>
        <v>-</v>
      </c>
      <c r="N122" s="250" t="str">
        <f>IF(OR(HighValueCommodity[[#This Row],[2023]]="n.a", HighValueCommodity[[#This Row],[2023]]=0, HighValueCommodity[[#This Row],[2024]]="n.a"),
   "-",I122/HighValueCommodity[[#This Row],[2023]])</f>
        <v>-</v>
      </c>
      <c r="O122" s="250" t="str">
        <f>IF(OR(HighValueCommodity[[#This Row],[2024]]="n.a", HighValueCommodity[[#This Row],[2024]]=0, HighValueCommodity[[#This Row],[2025]]="n.a"),
   "-",J122/HighValueCommodity[[#This Row],[2024]])</f>
        <v>-</v>
      </c>
    </row>
    <row r="123" spans="1:15">
      <c r="A123" s="232" t="s">
        <v>36</v>
      </c>
      <c r="B123" s="78">
        <v>0</v>
      </c>
      <c r="C123" s="78" t="s">
        <v>53</v>
      </c>
      <c r="D123" s="71">
        <v>0</v>
      </c>
      <c r="E123" s="71">
        <v>0</v>
      </c>
      <c r="F123" s="71"/>
      <c r="G123" s="247" t="s">
        <v>51</v>
      </c>
      <c r="H123" s="246" t="str">
        <f>IF(OR(HighValueCommodity[[#This Row],[2023]]="n.a",HighValueCommodity[[#This Row],[2022]]="n.a"),"-",HighValueCommodity[[#This Row],[2023]]-HighValueCommodity[[#This Row],[2022]])</f>
        <v>-</v>
      </c>
      <c r="I123" s="246" t="str">
        <f>IF(OR(HighValueCommodity[[#This Row],[2024]]="n.a",HighValueCommodity[[#This Row],[2023]]="n.a"),"-",HighValueCommodity[[#This Row],[2024]]-HighValueCommodity[[#This Row],[2023]])</f>
        <v>-</v>
      </c>
      <c r="J123" s="246">
        <f>IF(OR(HighValueCommodity[[#This Row],[2025]]="n.a",HighValueCommodity[[#This Row],[2024]]="n.a"),"-",HighValueCommodity[[#This Row],[2025]]-HighValueCommodity[[#This Row],[2024]])</f>
        <v>0</v>
      </c>
      <c r="L123" s="249" t="s">
        <v>51</v>
      </c>
      <c r="M123" s="250" t="str">
        <f>IF(OR(HighValueCommodity[[#This Row],[2022]]="n.a", HighValueCommodity[[#This Row],[2022]]=0, HighValueCommodity[[#This Row],[2023]]="n.a"),
   "-",H123/HighValueCommodity[[#This Row],[2022]])</f>
        <v>-</v>
      </c>
      <c r="N123" s="250" t="str">
        <f>IF(OR(HighValueCommodity[[#This Row],[2023]]="n.a", HighValueCommodity[[#This Row],[2023]]=0, HighValueCommodity[[#This Row],[2024]]="n.a"),
   "-",I123/HighValueCommodity[[#This Row],[2023]])</f>
        <v>-</v>
      </c>
      <c r="O123" s="250" t="str">
        <f>IF(OR(HighValueCommodity[[#This Row],[2024]]="n.a", HighValueCommodity[[#This Row],[2024]]=0, HighValueCommodity[[#This Row],[2025]]="n.a"),
   "-",J123/HighValueCommodity[[#This Row],[2024]])</f>
        <v>-</v>
      </c>
    </row>
    <row r="124" spans="1:15">
      <c r="A124" s="232" t="s">
        <v>37</v>
      </c>
      <c r="B124" s="78">
        <v>0</v>
      </c>
      <c r="C124" s="78" t="s">
        <v>53</v>
      </c>
      <c r="D124" s="71">
        <v>0</v>
      </c>
      <c r="E124" s="71">
        <v>0</v>
      </c>
      <c r="F124" s="71"/>
      <c r="G124" s="247" t="s">
        <v>51</v>
      </c>
      <c r="H124" s="246" t="str">
        <f>IF(OR(HighValueCommodity[[#This Row],[2023]]="n.a",HighValueCommodity[[#This Row],[2022]]="n.a"),"-",HighValueCommodity[[#This Row],[2023]]-HighValueCommodity[[#This Row],[2022]])</f>
        <v>-</v>
      </c>
      <c r="I124" s="246" t="str">
        <f>IF(OR(HighValueCommodity[[#This Row],[2024]]="n.a",HighValueCommodity[[#This Row],[2023]]="n.a"),"-",HighValueCommodity[[#This Row],[2024]]-HighValueCommodity[[#This Row],[2023]])</f>
        <v>-</v>
      </c>
      <c r="J124" s="246">
        <f>IF(OR(HighValueCommodity[[#This Row],[2025]]="n.a",HighValueCommodity[[#This Row],[2024]]="n.a"),"-",HighValueCommodity[[#This Row],[2025]]-HighValueCommodity[[#This Row],[2024]])</f>
        <v>0</v>
      </c>
      <c r="L124" s="249" t="s">
        <v>51</v>
      </c>
      <c r="M124" s="250" t="str">
        <f>IF(OR(HighValueCommodity[[#This Row],[2022]]="n.a", HighValueCommodity[[#This Row],[2022]]=0, HighValueCommodity[[#This Row],[2023]]="n.a"),
   "-",H124/HighValueCommodity[[#This Row],[2022]])</f>
        <v>-</v>
      </c>
      <c r="N124" s="250" t="str">
        <f>IF(OR(HighValueCommodity[[#This Row],[2023]]="n.a", HighValueCommodity[[#This Row],[2023]]=0, HighValueCommodity[[#This Row],[2024]]="n.a"),
   "-",I124/HighValueCommodity[[#This Row],[2023]])</f>
        <v>-</v>
      </c>
      <c r="O124" s="250" t="str">
        <f>IF(OR(HighValueCommodity[[#This Row],[2024]]="n.a", HighValueCommodity[[#This Row],[2024]]=0, HighValueCommodity[[#This Row],[2025]]="n.a"),
   "-",J124/HighValueCommodity[[#This Row],[2024]])</f>
        <v>-</v>
      </c>
    </row>
    <row r="125" spans="1:15">
      <c r="A125" s="232" t="s">
        <v>41</v>
      </c>
      <c r="B125" s="78">
        <v>0</v>
      </c>
      <c r="C125" s="78" t="s">
        <v>53</v>
      </c>
      <c r="D125" s="71">
        <v>0</v>
      </c>
      <c r="E125" s="71">
        <v>0</v>
      </c>
      <c r="F125" s="71"/>
      <c r="G125" s="247" t="s">
        <v>51</v>
      </c>
      <c r="H125" s="246" t="str">
        <f>IF(OR(HighValueCommodity[[#This Row],[2023]]="n.a",HighValueCommodity[[#This Row],[2022]]="n.a"),"-",HighValueCommodity[[#This Row],[2023]]-HighValueCommodity[[#This Row],[2022]])</f>
        <v>-</v>
      </c>
      <c r="I125" s="246" t="str">
        <f>IF(OR(HighValueCommodity[[#This Row],[2024]]="n.a",HighValueCommodity[[#This Row],[2023]]="n.a"),"-",HighValueCommodity[[#This Row],[2024]]-HighValueCommodity[[#This Row],[2023]])</f>
        <v>-</v>
      </c>
      <c r="J125" s="246">
        <f>IF(OR(HighValueCommodity[[#This Row],[2025]]="n.a",HighValueCommodity[[#This Row],[2024]]="n.a"),"-",HighValueCommodity[[#This Row],[2025]]-HighValueCommodity[[#This Row],[2024]])</f>
        <v>0</v>
      </c>
      <c r="L125" s="249" t="s">
        <v>51</v>
      </c>
      <c r="M125" s="250" t="str">
        <f>IF(OR(HighValueCommodity[[#This Row],[2022]]="n.a", HighValueCommodity[[#This Row],[2022]]=0, HighValueCommodity[[#This Row],[2023]]="n.a"),
   "-",H125/HighValueCommodity[[#This Row],[2022]])</f>
        <v>-</v>
      </c>
      <c r="N125" s="250" t="str">
        <f>IF(OR(HighValueCommodity[[#This Row],[2023]]="n.a", HighValueCommodity[[#This Row],[2023]]=0, HighValueCommodity[[#This Row],[2024]]="n.a"),
   "-",I125/HighValueCommodity[[#This Row],[2023]])</f>
        <v>-</v>
      </c>
      <c r="O125" s="250" t="str">
        <f>IF(OR(HighValueCommodity[[#This Row],[2024]]="n.a", HighValueCommodity[[#This Row],[2024]]=0, HighValueCommodity[[#This Row],[2025]]="n.a"),
   "-",J125/HighValueCommodity[[#This Row],[2024]])</f>
        <v>-</v>
      </c>
    </row>
  </sheetData>
  <mergeCells count="21">
    <mergeCell ref="G109:J109"/>
    <mergeCell ref="L109:O109"/>
    <mergeCell ref="G55:J55"/>
    <mergeCell ref="L55:O55"/>
    <mergeCell ref="G73:J73"/>
    <mergeCell ref="L73:O73"/>
    <mergeCell ref="G91:J91"/>
    <mergeCell ref="L91:O91"/>
    <mergeCell ref="L1:O1"/>
    <mergeCell ref="G19:J19"/>
    <mergeCell ref="L19:O19"/>
    <mergeCell ref="G37:J37"/>
    <mergeCell ref="L37:O37"/>
    <mergeCell ref="G1:J1"/>
    <mergeCell ref="B1:E1"/>
    <mergeCell ref="B109:E109"/>
    <mergeCell ref="B91:E91"/>
    <mergeCell ref="B73:E73"/>
    <mergeCell ref="B55:E55"/>
    <mergeCell ref="B37:E37"/>
    <mergeCell ref="B19:E19"/>
  </mergeCells>
  <pageMargins left="0.7" right="0.7" top="0.75" bottom="0.75" header="0.3" footer="0.3"/>
  <tableParts count="7">
    <tablePart r:id="rId1"/>
    <tablePart r:id="rId2"/>
    <tablePart r:id="rId3"/>
    <tablePart r:id="rId4"/>
    <tablePart r:id="rId5"/>
    <tablePart r:id="rId6"/>
    <tablePart r:id="rId7"/>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97FBC-2C45-4254-810C-75F94341ACDC}">
  <sheetPr codeName="Sheet33"/>
  <dimension ref="A1:D105"/>
  <sheetViews>
    <sheetView topLeftCell="A2" workbookViewId="0">
      <selection activeCell="C11" sqref="C11"/>
    </sheetView>
  </sheetViews>
  <sheetFormatPr defaultRowHeight="14.5"/>
  <cols>
    <col min="1" max="1" width="14" bestFit="1" customWidth="1"/>
    <col min="2" max="2" width="6.81640625" bestFit="1" customWidth="1"/>
    <col min="3" max="3" width="11.81640625" bestFit="1" customWidth="1"/>
    <col min="4" max="4" width="10.453125" bestFit="1" customWidth="1"/>
  </cols>
  <sheetData>
    <row r="1" spans="1:4">
      <c r="A1" t="s">
        <v>18</v>
      </c>
      <c r="B1" t="s">
        <v>1</v>
      </c>
      <c r="C1" t="s">
        <v>3</v>
      </c>
      <c r="D1" t="s">
        <v>5</v>
      </c>
    </row>
    <row r="2" spans="1:4">
      <c r="A2" t="s">
        <v>27</v>
      </c>
      <c r="B2">
        <v>2022</v>
      </c>
      <c r="C2">
        <v>247.36</v>
      </c>
      <c r="D2" t="s">
        <v>8</v>
      </c>
    </row>
    <row r="3" spans="1:4">
      <c r="A3" t="s">
        <v>27</v>
      </c>
      <c r="B3">
        <v>2023</v>
      </c>
      <c r="C3">
        <v>25196.239000000001</v>
      </c>
      <c r="D3" t="s">
        <v>8</v>
      </c>
    </row>
    <row r="4" spans="1:4">
      <c r="A4" t="s">
        <v>27</v>
      </c>
      <c r="B4">
        <v>2024</v>
      </c>
      <c r="C4">
        <v>2429.7150000000001</v>
      </c>
      <c r="D4" t="s">
        <v>8</v>
      </c>
    </row>
    <row r="5" spans="1:4">
      <c r="A5" t="s">
        <v>27</v>
      </c>
      <c r="B5">
        <v>2025</v>
      </c>
      <c r="C5">
        <v>13010.384</v>
      </c>
      <c r="D5" t="s">
        <v>8</v>
      </c>
    </row>
    <row r="6" spans="1:4">
      <c r="A6" t="s">
        <v>28</v>
      </c>
      <c r="B6">
        <v>2022</v>
      </c>
      <c r="C6">
        <v>327.09999999999997</v>
      </c>
      <c r="D6" t="s">
        <v>8</v>
      </c>
    </row>
    <row r="7" spans="1:4">
      <c r="A7" t="s">
        <v>28</v>
      </c>
      <c r="B7">
        <v>2023</v>
      </c>
      <c r="C7">
        <v>416.2</v>
      </c>
      <c r="D7" t="s">
        <v>8</v>
      </c>
    </row>
    <row r="8" spans="1:4">
      <c r="A8" t="s">
        <v>28</v>
      </c>
      <c r="B8">
        <v>2024</v>
      </c>
      <c r="C8">
        <v>118210.03</v>
      </c>
      <c r="D8" t="s">
        <v>8</v>
      </c>
    </row>
    <row r="9" spans="1:4">
      <c r="A9" t="s">
        <v>28</v>
      </c>
      <c r="B9">
        <v>2025</v>
      </c>
      <c r="C9">
        <v>5039.9400000000005</v>
      </c>
      <c r="D9" t="s">
        <v>8</v>
      </c>
    </row>
    <row r="10" spans="1:4">
      <c r="A10" t="s">
        <v>29</v>
      </c>
      <c r="B10">
        <v>2022</v>
      </c>
      <c r="C10">
        <v>66034.690300000002</v>
      </c>
      <c r="D10" t="s">
        <v>8</v>
      </c>
    </row>
    <row r="11" spans="1:4">
      <c r="A11" t="s">
        <v>29</v>
      </c>
      <c r="B11">
        <v>2023</v>
      </c>
      <c r="C11">
        <v>52525.092299999997</v>
      </c>
      <c r="D11" t="s">
        <v>8</v>
      </c>
    </row>
    <row r="12" spans="1:4">
      <c r="A12" t="s">
        <v>29</v>
      </c>
      <c r="B12">
        <v>2024</v>
      </c>
      <c r="C12">
        <v>22443.979500000001</v>
      </c>
      <c r="D12" t="s">
        <v>8</v>
      </c>
    </row>
    <row r="13" spans="1:4">
      <c r="A13" t="s">
        <v>29</v>
      </c>
      <c r="B13">
        <v>2025</v>
      </c>
      <c r="C13">
        <v>4383.692</v>
      </c>
      <c r="D13" t="s">
        <v>8</v>
      </c>
    </row>
    <row r="14" spans="1:4">
      <c r="A14" t="s">
        <v>30</v>
      </c>
      <c r="B14">
        <v>2022</v>
      </c>
      <c r="C14">
        <v>98.3</v>
      </c>
      <c r="D14" t="s">
        <v>8</v>
      </c>
    </row>
    <row r="15" spans="1:4">
      <c r="A15" t="s">
        <v>30</v>
      </c>
      <c r="B15">
        <v>2023</v>
      </c>
      <c r="C15">
        <v>206.44239999999999</v>
      </c>
      <c r="D15" t="s">
        <v>8</v>
      </c>
    </row>
    <row r="16" spans="1:4">
      <c r="A16" t="s">
        <v>30</v>
      </c>
      <c r="B16">
        <v>2024</v>
      </c>
      <c r="C16">
        <v>471.6866</v>
      </c>
      <c r="D16" t="s">
        <v>8</v>
      </c>
    </row>
    <row r="17" spans="1:4">
      <c r="A17" t="s">
        <v>30</v>
      </c>
      <c r="B17">
        <v>2025</v>
      </c>
      <c r="C17">
        <v>512.298</v>
      </c>
      <c r="D17" t="s">
        <v>8</v>
      </c>
    </row>
    <row r="18" spans="1:4">
      <c r="A18" t="s">
        <v>31</v>
      </c>
      <c r="B18">
        <v>2022</v>
      </c>
      <c r="C18">
        <v>3007.1380000000004</v>
      </c>
      <c r="D18" t="s">
        <v>8</v>
      </c>
    </row>
    <row r="19" spans="1:4">
      <c r="A19" t="s">
        <v>31</v>
      </c>
      <c r="B19">
        <v>2023</v>
      </c>
      <c r="C19">
        <v>3023.6379999999999</v>
      </c>
      <c r="D19" t="s">
        <v>8</v>
      </c>
    </row>
    <row r="20" spans="1:4">
      <c r="A20" t="s">
        <v>31</v>
      </c>
      <c r="B20">
        <v>2024</v>
      </c>
      <c r="C20">
        <v>1209.9190000000001</v>
      </c>
      <c r="D20" t="s">
        <v>8</v>
      </c>
    </row>
    <row r="21" spans="1:4">
      <c r="A21" t="s">
        <v>31</v>
      </c>
      <c r="B21">
        <v>2025</v>
      </c>
      <c r="C21">
        <v>2623.4051999999997</v>
      </c>
      <c r="D21" t="s">
        <v>8</v>
      </c>
    </row>
    <row r="22" spans="1:4">
      <c r="A22" t="s">
        <v>32</v>
      </c>
      <c r="B22">
        <v>2022</v>
      </c>
      <c r="C22">
        <v>1692.82</v>
      </c>
      <c r="D22" t="s">
        <v>8</v>
      </c>
    </row>
    <row r="23" spans="1:4">
      <c r="A23" t="s">
        <v>32</v>
      </c>
      <c r="B23">
        <v>2023</v>
      </c>
      <c r="C23">
        <v>2694.02</v>
      </c>
      <c r="D23" t="s">
        <v>8</v>
      </c>
    </row>
    <row r="24" spans="1:4">
      <c r="A24" t="s">
        <v>32</v>
      </c>
      <c r="B24">
        <v>2024</v>
      </c>
      <c r="C24">
        <v>8807.0689999999995</v>
      </c>
      <c r="D24" t="s">
        <v>8</v>
      </c>
    </row>
    <row r="25" spans="1:4">
      <c r="A25" t="s">
        <v>32</v>
      </c>
      <c r="B25">
        <v>2025</v>
      </c>
      <c r="C25">
        <v>4288.7643599999992</v>
      </c>
      <c r="D25" t="s">
        <v>8</v>
      </c>
    </row>
    <row r="26" spans="1:4">
      <c r="A26" t="s">
        <v>35</v>
      </c>
      <c r="B26">
        <v>2022</v>
      </c>
      <c r="C26">
        <v>74.847999999999999</v>
      </c>
      <c r="D26" t="s">
        <v>8</v>
      </c>
    </row>
    <row r="27" spans="1:4">
      <c r="A27" t="s">
        <v>35</v>
      </c>
      <c r="B27">
        <v>2023</v>
      </c>
      <c r="C27">
        <v>99.847999999999999</v>
      </c>
      <c r="D27" t="s">
        <v>8</v>
      </c>
    </row>
    <row r="28" spans="1:4">
      <c r="A28" t="s">
        <v>35</v>
      </c>
      <c r="B28">
        <v>2024</v>
      </c>
      <c r="C28">
        <v>63</v>
      </c>
      <c r="D28" t="s">
        <v>8</v>
      </c>
    </row>
    <row r="29" spans="1:4">
      <c r="A29" t="s">
        <v>35</v>
      </c>
      <c r="B29">
        <v>2025</v>
      </c>
      <c r="C29">
        <v>2592.7346000000002</v>
      </c>
      <c r="D29" t="s">
        <v>8</v>
      </c>
    </row>
    <row r="30" spans="1:4">
      <c r="A30" t="s">
        <v>33</v>
      </c>
      <c r="B30">
        <v>2022</v>
      </c>
      <c r="C30">
        <v>767.81299999999999</v>
      </c>
      <c r="D30" t="s">
        <v>8</v>
      </c>
    </row>
    <row r="31" spans="1:4">
      <c r="A31" t="s">
        <v>33</v>
      </c>
      <c r="B31">
        <v>2023</v>
      </c>
      <c r="C31">
        <v>767.81299999999999</v>
      </c>
      <c r="D31" t="s">
        <v>8</v>
      </c>
    </row>
    <row r="32" spans="1:4">
      <c r="A32" t="s">
        <v>33</v>
      </c>
      <c r="B32">
        <v>2024</v>
      </c>
      <c r="C32">
        <v>312.34100000000001</v>
      </c>
      <c r="D32" t="s">
        <v>8</v>
      </c>
    </row>
    <row r="33" spans="1:4">
      <c r="A33" t="s">
        <v>33</v>
      </c>
      <c r="B33">
        <v>2025</v>
      </c>
      <c r="C33">
        <v>4479.0749999999998</v>
      </c>
      <c r="D33" t="s">
        <v>8</v>
      </c>
    </row>
    <row r="34" spans="1:4">
      <c r="A34" t="s">
        <v>34</v>
      </c>
      <c r="B34">
        <v>2022</v>
      </c>
      <c r="C34">
        <v>0</v>
      </c>
      <c r="D34" t="s">
        <v>8</v>
      </c>
    </row>
    <row r="35" spans="1:4">
      <c r="A35" t="s">
        <v>34</v>
      </c>
      <c r="B35">
        <v>2023</v>
      </c>
      <c r="C35">
        <v>0</v>
      </c>
      <c r="D35" t="s">
        <v>8</v>
      </c>
    </row>
    <row r="36" spans="1:4">
      <c r="A36" t="s">
        <v>34</v>
      </c>
      <c r="B36">
        <v>2024</v>
      </c>
      <c r="C36">
        <v>176.15</v>
      </c>
      <c r="D36" t="s">
        <v>8</v>
      </c>
    </row>
    <row r="37" spans="1:4">
      <c r="A37" t="s">
        <v>34</v>
      </c>
      <c r="B37">
        <v>2025</v>
      </c>
      <c r="C37">
        <v>1221.9720000000002</v>
      </c>
      <c r="D37" t="s">
        <v>8</v>
      </c>
    </row>
    <row r="38" spans="1:4">
      <c r="A38" t="s">
        <v>38</v>
      </c>
      <c r="B38">
        <v>2022</v>
      </c>
      <c r="C38">
        <v>3144.6039999999998</v>
      </c>
      <c r="D38" t="s">
        <v>8</v>
      </c>
    </row>
    <row r="39" spans="1:4">
      <c r="A39" t="s">
        <v>38</v>
      </c>
      <c r="B39">
        <v>2023</v>
      </c>
      <c r="C39">
        <v>3284.3829999999998</v>
      </c>
      <c r="D39" t="s">
        <v>8</v>
      </c>
    </row>
    <row r="40" spans="1:4">
      <c r="A40" t="s">
        <v>38</v>
      </c>
      <c r="B40">
        <v>2024</v>
      </c>
      <c r="C40">
        <v>1870.1579999999999</v>
      </c>
      <c r="D40" t="s">
        <v>8</v>
      </c>
    </row>
    <row r="41" spans="1:4">
      <c r="A41" t="s">
        <v>38</v>
      </c>
      <c r="B41">
        <v>2025</v>
      </c>
      <c r="C41">
        <v>9582.0305000000008</v>
      </c>
      <c r="D41" t="s">
        <v>8</v>
      </c>
    </row>
    <row r="42" spans="1:4">
      <c r="A42" t="s">
        <v>39</v>
      </c>
      <c r="B42">
        <v>2022</v>
      </c>
      <c r="C42">
        <v>79022.298999999999</v>
      </c>
      <c r="D42" t="s">
        <v>8</v>
      </c>
    </row>
    <row r="43" spans="1:4">
      <c r="A43" t="s">
        <v>39</v>
      </c>
      <c r="B43">
        <v>2023</v>
      </c>
      <c r="C43">
        <v>31186.999</v>
      </c>
      <c r="D43" t="s">
        <v>8</v>
      </c>
    </row>
    <row r="44" spans="1:4">
      <c r="A44" t="s">
        <v>39</v>
      </c>
      <c r="B44">
        <v>2024</v>
      </c>
      <c r="C44">
        <v>6132.1365000000005</v>
      </c>
      <c r="D44" t="s">
        <v>8</v>
      </c>
    </row>
    <row r="45" spans="1:4">
      <c r="A45" t="s">
        <v>39</v>
      </c>
      <c r="B45">
        <v>2025</v>
      </c>
      <c r="C45">
        <v>1012.3599999999999</v>
      </c>
      <c r="D45" t="s">
        <v>8</v>
      </c>
    </row>
    <row r="46" spans="1:4">
      <c r="A46" t="s">
        <v>36</v>
      </c>
      <c r="B46">
        <v>2022</v>
      </c>
      <c r="C46">
        <v>0</v>
      </c>
      <c r="D46" t="s">
        <v>8</v>
      </c>
    </row>
    <row r="47" spans="1:4">
      <c r="A47" t="s">
        <v>36</v>
      </c>
      <c r="B47">
        <v>2023</v>
      </c>
      <c r="C47">
        <v>5.5</v>
      </c>
      <c r="D47" t="s">
        <v>8</v>
      </c>
    </row>
    <row r="48" spans="1:4">
      <c r="A48" t="s">
        <v>36</v>
      </c>
      <c r="B48">
        <v>2024</v>
      </c>
      <c r="C48">
        <v>44.377000000000002</v>
      </c>
      <c r="D48" t="s">
        <v>8</v>
      </c>
    </row>
    <row r="49" spans="1:4">
      <c r="A49" t="s">
        <v>36</v>
      </c>
      <c r="B49">
        <v>2025</v>
      </c>
      <c r="C49">
        <v>3646.3219999999997</v>
      </c>
      <c r="D49" t="s">
        <v>8</v>
      </c>
    </row>
    <row r="50" spans="1:4">
      <c r="A50" t="s">
        <v>37</v>
      </c>
      <c r="B50">
        <v>2022</v>
      </c>
      <c r="C50">
        <v>98.5</v>
      </c>
      <c r="D50" t="s">
        <v>8</v>
      </c>
    </row>
    <row r="51" spans="1:4">
      <c r="A51" t="s">
        <v>37</v>
      </c>
      <c r="B51">
        <v>2023</v>
      </c>
      <c r="C51">
        <v>98.5</v>
      </c>
      <c r="D51" t="s">
        <v>8</v>
      </c>
    </row>
    <row r="52" spans="1:4">
      <c r="A52" t="s">
        <v>37</v>
      </c>
      <c r="B52">
        <v>2024</v>
      </c>
      <c r="C52">
        <v>453.22199999999998</v>
      </c>
      <c r="D52" t="s">
        <v>8</v>
      </c>
    </row>
    <row r="53" spans="1:4">
      <c r="A53" t="s">
        <v>37</v>
      </c>
      <c r="B53">
        <v>2025</v>
      </c>
      <c r="C53">
        <v>94</v>
      </c>
      <c r="D53" t="s">
        <v>8</v>
      </c>
    </row>
    <row r="54" spans="1:4">
      <c r="A54" t="s">
        <v>27</v>
      </c>
      <c r="B54">
        <v>2022</v>
      </c>
      <c r="C54">
        <v>0</v>
      </c>
      <c r="D54" t="s">
        <v>63</v>
      </c>
    </row>
    <row r="55" spans="1:4">
      <c r="A55" t="s">
        <v>27</v>
      </c>
      <c r="B55">
        <v>2023</v>
      </c>
      <c r="C55">
        <v>42.43</v>
      </c>
      <c r="D55" t="s">
        <v>63</v>
      </c>
    </row>
    <row r="56" spans="1:4">
      <c r="A56" t="s">
        <v>27</v>
      </c>
      <c r="B56">
        <v>2024</v>
      </c>
      <c r="C56">
        <v>3.0751200000000001</v>
      </c>
      <c r="D56" t="s">
        <v>63</v>
      </c>
    </row>
    <row r="57" spans="1:4">
      <c r="A57" t="s">
        <v>27</v>
      </c>
      <c r="B57">
        <v>2025</v>
      </c>
      <c r="C57">
        <v>0</v>
      </c>
      <c r="D57" t="s">
        <v>63</v>
      </c>
    </row>
    <row r="58" spans="1:4">
      <c r="A58" t="s">
        <v>28</v>
      </c>
      <c r="B58">
        <v>2022</v>
      </c>
      <c r="C58">
        <v>0</v>
      </c>
      <c r="D58" t="s">
        <v>63</v>
      </c>
    </row>
    <row r="59" spans="1:4">
      <c r="A59" t="s">
        <v>28</v>
      </c>
      <c r="B59">
        <v>2023</v>
      </c>
      <c r="C59">
        <v>0</v>
      </c>
      <c r="D59" t="s">
        <v>63</v>
      </c>
    </row>
    <row r="60" spans="1:4">
      <c r="A60" t="s">
        <v>28</v>
      </c>
      <c r="B60">
        <v>2024</v>
      </c>
      <c r="C60">
        <v>0</v>
      </c>
      <c r="D60" t="s">
        <v>63</v>
      </c>
    </row>
    <row r="61" spans="1:4">
      <c r="A61" t="s">
        <v>28</v>
      </c>
      <c r="B61">
        <v>2025</v>
      </c>
      <c r="C61">
        <v>0</v>
      </c>
      <c r="D61" t="s">
        <v>63</v>
      </c>
    </row>
    <row r="62" spans="1:4">
      <c r="A62" t="s">
        <v>29</v>
      </c>
      <c r="B62">
        <v>2022</v>
      </c>
      <c r="C62">
        <v>0</v>
      </c>
      <c r="D62" t="s">
        <v>63</v>
      </c>
    </row>
    <row r="63" spans="1:4">
      <c r="A63" t="s">
        <v>29</v>
      </c>
      <c r="B63">
        <v>2023</v>
      </c>
      <c r="C63">
        <v>22.4</v>
      </c>
      <c r="D63" t="s">
        <v>63</v>
      </c>
    </row>
    <row r="64" spans="1:4">
      <c r="A64" t="s">
        <v>29</v>
      </c>
      <c r="B64">
        <v>2024</v>
      </c>
      <c r="C64">
        <v>21344.106426362501</v>
      </c>
      <c r="D64" t="s">
        <v>63</v>
      </c>
    </row>
    <row r="65" spans="1:4">
      <c r="A65" t="s">
        <v>29</v>
      </c>
      <c r="B65">
        <v>2025</v>
      </c>
      <c r="C65">
        <v>0</v>
      </c>
      <c r="D65" t="s">
        <v>63</v>
      </c>
    </row>
    <row r="66" spans="1:4">
      <c r="A66" t="s">
        <v>30</v>
      </c>
      <c r="B66">
        <v>2022</v>
      </c>
      <c r="C66">
        <v>0</v>
      </c>
      <c r="D66" t="s">
        <v>63</v>
      </c>
    </row>
    <row r="67" spans="1:4">
      <c r="A67" t="s">
        <v>30</v>
      </c>
      <c r="B67">
        <v>2023</v>
      </c>
      <c r="C67">
        <v>1.3</v>
      </c>
      <c r="D67" t="s">
        <v>63</v>
      </c>
    </row>
    <row r="68" spans="1:4">
      <c r="A68" t="s">
        <v>30</v>
      </c>
      <c r="B68">
        <v>2024</v>
      </c>
      <c r="C68">
        <v>0</v>
      </c>
      <c r="D68" t="s">
        <v>63</v>
      </c>
    </row>
    <row r="69" spans="1:4">
      <c r="A69" t="s">
        <v>30</v>
      </c>
      <c r="B69">
        <v>2025</v>
      </c>
      <c r="C69">
        <v>0</v>
      </c>
      <c r="D69" t="s">
        <v>63</v>
      </c>
    </row>
    <row r="70" spans="1:4">
      <c r="A70" t="s">
        <v>31</v>
      </c>
      <c r="B70">
        <v>2022</v>
      </c>
      <c r="C70">
        <v>0</v>
      </c>
      <c r="D70" t="s">
        <v>63</v>
      </c>
    </row>
    <row r="71" spans="1:4">
      <c r="A71" t="s">
        <v>31</v>
      </c>
      <c r="B71">
        <v>2023</v>
      </c>
      <c r="C71">
        <v>0</v>
      </c>
      <c r="D71" t="s">
        <v>63</v>
      </c>
    </row>
    <row r="72" spans="1:4">
      <c r="A72" t="s">
        <v>31</v>
      </c>
      <c r="B72">
        <v>2024</v>
      </c>
      <c r="C72">
        <v>0</v>
      </c>
      <c r="D72" t="s">
        <v>63</v>
      </c>
    </row>
    <row r="73" spans="1:4">
      <c r="A73" t="s">
        <v>31</v>
      </c>
      <c r="B73">
        <v>2025</v>
      </c>
      <c r="C73">
        <v>0</v>
      </c>
      <c r="D73" t="s">
        <v>63</v>
      </c>
    </row>
    <row r="74" spans="1:4">
      <c r="A74" t="s">
        <v>32</v>
      </c>
      <c r="B74">
        <v>2022</v>
      </c>
      <c r="C74">
        <v>0</v>
      </c>
      <c r="D74" t="s">
        <v>63</v>
      </c>
    </row>
    <row r="75" spans="1:4">
      <c r="A75" t="s">
        <v>32</v>
      </c>
      <c r="B75">
        <v>2023</v>
      </c>
      <c r="C75">
        <v>675.4</v>
      </c>
      <c r="D75" t="s">
        <v>63</v>
      </c>
    </row>
    <row r="76" spans="1:4">
      <c r="A76" t="s">
        <v>32</v>
      </c>
      <c r="B76">
        <v>2024</v>
      </c>
      <c r="C76">
        <v>0</v>
      </c>
      <c r="D76" t="s">
        <v>63</v>
      </c>
    </row>
    <row r="77" spans="1:4">
      <c r="A77" t="s">
        <v>32</v>
      </c>
      <c r="B77">
        <v>2025</v>
      </c>
      <c r="C77">
        <v>0</v>
      </c>
      <c r="D77" t="s">
        <v>63</v>
      </c>
    </row>
    <row r="78" spans="1:4">
      <c r="A78" t="s">
        <v>35</v>
      </c>
      <c r="B78">
        <v>2022</v>
      </c>
      <c r="C78">
        <v>0</v>
      </c>
      <c r="D78" t="s">
        <v>63</v>
      </c>
    </row>
    <row r="79" spans="1:4">
      <c r="A79" t="s">
        <v>35</v>
      </c>
      <c r="B79">
        <v>2023</v>
      </c>
      <c r="C79">
        <v>0</v>
      </c>
      <c r="D79" t="s">
        <v>63</v>
      </c>
    </row>
    <row r="80" spans="1:4">
      <c r="A80" t="s">
        <v>35</v>
      </c>
      <c r="B80">
        <v>2024</v>
      </c>
      <c r="C80">
        <v>0</v>
      </c>
      <c r="D80" t="s">
        <v>63</v>
      </c>
    </row>
    <row r="81" spans="1:4">
      <c r="A81" t="s">
        <v>35</v>
      </c>
      <c r="B81">
        <v>2025</v>
      </c>
      <c r="C81">
        <v>0</v>
      </c>
      <c r="D81" t="s">
        <v>63</v>
      </c>
    </row>
    <row r="82" spans="1:4">
      <c r="A82" t="s">
        <v>33</v>
      </c>
      <c r="B82">
        <v>2022</v>
      </c>
      <c r="C82">
        <v>0</v>
      </c>
      <c r="D82" t="s">
        <v>63</v>
      </c>
    </row>
    <row r="83" spans="1:4">
      <c r="A83" t="s">
        <v>33</v>
      </c>
      <c r="B83">
        <v>2023</v>
      </c>
      <c r="C83">
        <v>0</v>
      </c>
      <c r="D83" t="s">
        <v>63</v>
      </c>
    </row>
    <row r="84" spans="1:4">
      <c r="A84" t="s">
        <v>33</v>
      </c>
      <c r="B84">
        <v>2024</v>
      </c>
      <c r="C84">
        <v>0</v>
      </c>
      <c r="D84" t="s">
        <v>63</v>
      </c>
    </row>
    <row r="85" spans="1:4">
      <c r="A85" t="s">
        <v>33</v>
      </c>
      <c r="B85">
        <v>2025</v>
      </c>
      <c r="C85">
        <v>0</v>
      </c>
      <c r="D85" t="s">
        <v>63</v>
      </c>
    </row>
    <row r="86" spans="1:4">
      <c r="A86" t="s">
        <v>34</v>
      </c>
      <c r="B86">
        <v>2022</v>
      </c>
      <c r="C86">
        <v>0</v>
      </c>
      <c r="D86" t="s">
        <v>63</v>
      </c>
    </row>
    <row r="87" spans="1:4">
      <c r="A87" t="s">
        <v>34</v>
      </c>
      <c r="B87">
        <v>2023</v>
      </c>
      <c r="C87">
        <v>0</v>
      </c>
      <c r="D87" t="s">
        <v>63</v>
      </c>
    </row>
    <row r="88" spans="1:4">
      <c r="A88" t="s">
        <v>34</v>
      </c>
      <c r="B88">
        <v>2024</v>
      </c>
      <c r="C88">
        <v>0</v>
      </c>
      <c r="D88" t="s">
        <v>63</v>
      </c>
    </row>
    <row r="89" spans="1:4">
      <c r="A89" t="s">
        <v>34</v>
      </c>
      <c r="B89">
        <v>2025</v>
      </c>
      <c r="C89">
        <v>0</v>
      </c>
      <c r="D89" t="s">
        <v>63</v>
      </c>
    </row>
    <row r="90" spans="1:4">
      <c r="A90" t="s">
        <v>38</v>
      </c>
      <c r="B90">
        <v>2022</v>
      </c>
      <c r="C90">
        <v>0</v>
      </c>
      <c r="D90" t="s">
        <v>63</v>
      </c>
    </row>
    <row r="91" spans="1:4">
      <c r="A91" t="s">
        <v>38</v>
      </c>
      <c r="B91">
        <v>2023</v>
      </c>
      <c r="C91">
        <v>0</v>
      </c>
      <c r="D91" t="s">
        <v>63</v>
      </c>
    </row>
    <row r="92" spans="1:4">
      <c r="A92" t="s">
        <v>38</v>
      </c>
      <c r="B92">
        <v>2024</v>
      </c>
      <c r="C92">
        <v>17.322659999999999</v>
      </c>
      <c r="D92" t="s">
        <v>63</v>
      </c>
    </row>
    <row r="93" spans="1:4">
      <c r="A93" t="s">
        <v>38</v>
      </c>
      <c r="B93">
        <v>2025</v>
      </c>
      <c r="C93">
        <v>0</v>
      </c>
      <c r="D93" t="s">
        <v>63</v>
      </c>
    </row>
    <row r="94" spans="1:4">
      <c r="A94" t="s">
        <v>39</v>
      </c>
      <c r="B94">
        <v>2022</v>
      </c>
      <c r="C94">
        <v>0</v>
      </c>
      <c r="D94" t="s">
        <v>63</v>
      </c>
    </row>
    <row r="95" spans="1:4">
      <c r="A95" t="s">
        <v>39</v>
      </c>
      <c r="B95">
        <v>2023</v>
      </c>
      <c r="C95">
        <v>94.640109999999993</v>
      </c>
      <c r="D95" t="s">
        <v>63</v>
      </c>
    </row>
    <row r="96" spans="1:4">
      <c r="A96" t="s">
        <v>39</v>
      </c>
      <c r="B96">
        <v>2024</v>
      </c>
      <c r="C96">
        <v>529.08199130000003</v>
      </c>
      <c r="D96" t="s">
        <v>63</v>
      </c>
    </row>
    <row r="97" spans="1:4">
      <c r="A97" t="s">
        <v>39</v>
      </c>
      <c r="B97">
        <v>2025</v>
      </c>
      <c r="C97">
        <v>0</v>
      </c>
      <c r="D97" t="s">
        <v>63</v>
      </c>
    </row>
    <row r="98" spans="1:4">
      <c r="A98" t="s">
        <v>36</v>
      </c>
      <c r="B98">
        <v>2022</v>
      </c>
      <c r="C98">
        <v>0</v>
      </c>
      <c r="D98" t="s">
        <v>63</v>
      </c>
    </row>
    <row r="99" spans="1:4">
      <c r="A99" t="s">
        <v>36</v>
      </c>
      <c r="B99">
        <v>2023</v>
      </c>
      <c r="C99">
        <v>190.25</v>
      </c>
      <c r="D99" t="s">
        <v>63</v>
      </c>
    </row>
    <row r="100" spans="1:4">
      <c r="A100" t="s">
        <v>36</v>
      </c>
      <c r="B100">
        <v>2024</v>
      </c>
      <c r="C100">
        <v>639.25</v>
      </c>
      <c r="D100" t="s">
        <v>63</v>
      </c>
    </row>
    <row r="101" spans="1:4">
      <c r="A101" t="s">
        <v>36</v>
      </c>
      <c r="B101">
        <v>2025</v>
      </c>
      <c r="C101">
        <v>2.5</v>
      </c>
      <c r="D101" t="s">
        <v>63</v>
      </c>
    </row>
    <row r="102" spans="1:4">
      <c r="A102" t="s">
        <v>37</v>
      </c>
      <c r="B102">
        <v>2022</v>
      </c>
      <c r="C102">
        <v>0</v>
      </c>
      <c r="D102" t="s">
        <v>63</v>
      </c>
    </row>
    <row r="103" spans="1:4">
      <c r="A103" t="s">
        <v>37</v>
      </c>
      <c r="B103">
        <v>2023</v>
      </c>
      <c r="C103">
        <v>98.28</v>
      </c>
      <c r="D103" t="s">
        <v>63</v>
      </c>
    </row>
    <row r="104" spans="1:4">
      <c r="A104" t="s">
        <v>37</v>
      </c>
      <c r="B104">
        <v>2024</v>
      </c>
      <c r="C104">
        <v>65.183999999999997</v>
      </c>
      <c r="D104" t="s">
        <v>63</v>
      </c>
    </row>
    <row r="105" spans="1:4">
      <c r="A105" t="s">
        <v>37</v>
      </c>
      <c r="B105">
        <v>2025</v>
      </c>
      <c r="C105">
        <v>69</v>
      </c>
      <c r="D105" t="s">
        <v>63</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7BF53-C1ED-45E2-953C-7C64FF44E3F6}">
  <sheetPr codeName="Sheet34"/>
  <dimension ref="A1:D393"/>
  <sheetViews>
    <sheetView tabSelected="1" workbookViewId="0">
      <selection activeCell="C7" sqref="C7"/>
    </sheetView>
  </sheetViews>
  <sheetFormatPr defaultRowHeight="14.5"/>
  <cols>
    <col min="1" max="1" width="16" bestFit="1" customWidth="1"/>
    <col min="2" max="2" width="6.81640625" bestFit="1" customWidth="1"/>
    <col min="3" max="3" width="10.81640625" bestFit="1" customWidth="1"/>
    <col min="4" max="4" width="10.453125" bestFit="1" customWidth="1"/>
  </cols>
  <sheetData>
    <row r="1" spans="1:4">
      <c r="A1" t="s">
        <v>18</v>
      </c>
      <c r="B1" t="s">
        <v>1</v>
      </c>
      <c r="C1" t="s">
        <v>3</v>
      </c>
      <c r="D1" t="s">
        <v>5</v>
      </c>
    </row>
    <row r="2" spans="1:4">
      <c r="A2" t="s">
        <v>27</v>
      </c>
      <c r="B2">
        <v>2022</v>
      </c>
      <c r="C2">
        <v>16</v>
      </c>
      <c r="D2" t="s">
        <v>64</v>
      </c>
    </row>
    <row r="3" spans="1:4">
      <c r="A3" t="s">
        <v>27</v>
      </c>
      <c r="B3">
        <v>2023</v>
      </c>
      <c r="C3">
        <v>0</v>
      </c>
      <c r="D3" t="s">
        <v>64</v>
      </c>
    </row>
    <row r="4" spans="1:4">
      <c r="A4" t="s">
        <v>27</v>
      </c>
      <c r="B4">
        <v>2024</v>
      </c>
      <c r="C4">
        <v>0</v>
      </c>
      <c r="D4" t="s">
        <v>64</v>
      </c>
    </row>
    <row r="5" spans="1:4">
      <c r="A5" t="s">
        <v>27</v>
      </c>
      <c r="B5">
        <v>2025</v>
      </c>
      <c r="C5">
        <v>0</v>
      </c>
      <c r="D5" t="s">
        <v>64</v>
      </c>
    </row>
    <row r="6" spans="1:4">
      <c r="A6" t="s">
        <v>28</v>
      </c>
      <c r="B6">
        <v>2022</v>
      </c>
      <c r="C6">
        <v>305.89999999999998</v>
      </c>
      <c r="D6" t="s">
        <v>64</v>
      </c>
    </row>
    <row r="7" spans="1:4">
      <c r="A7" t="s">
        <v>28</v>
      </c>
      <c r="B7">
        <v>2023</v>
      </c>
      <c r="C7">
        <v>0</v>
      </c>
      <c r="D7" t="s">
        <v>64</v>
      </c>
    </row>
    <row r="8" spans="1:4">
      <c r="A8" t="s">
        <v>28</v>
      </c>
      <c r="B8">
        <v>2024</v>
      </c>
      <c r="C8">
        <v>117473.68799999999</v>
      </c>
      <c r="D8" t="s">
        <v>64</v>
      </c>
    </row>
    <row r="9" spans="1:4">
      <c r="A9" t="s">
        <v>28</v>
      </c>
      <c r="B9">
        <v>2025</v>
      </c>
      <c r="C9">
        <v>0</v>
      </c>
      <c r="D9" t="s">
        <v>64</v>
      </c>
    </row>
    <row r="10" spans="1:4">
      <c r="A10" t="s">
        <v>29</v>
      </c>
      <c r="B10">
        <v>2022</v>
      </c>
      <c r="C10">
        <v>61654.010299999994</v>
      </c>
      <c r="D10" t="s">
        <v>64</v>
      </c>
    </row>
    <row r="11" spans="1:4">
      <c r="A11" t="s">
        <v>29</v>
      </c>
      <c r="B11">
        <v>2023</v>
      </c>
      <c r="C11">
        <v>0</v>
      </c>
      <c r="D11" t="s">
        <v>64</v>
      </c>
    </row>
    <row r="12" spans="1:4">
      <c r="A12" t="s">
        <v>29</v>
      </c>
      <c r="B12">
        <v>2024</v>
      </c>
      <c r="C12">
        <v>10374.332</v>
      </c>
      <c r="D12" t="s">
        <v>64</v>
      </c>
    </row>
    <row r="13" spans="1:4">
      <c r="A13" t="s">
        <v>29</v>
      </c>
      <c r="B13">
        <v>2025</v>
      </c>
      <c r="C13">
        <v>0</v>
      </c>
      <c r="D13" t="s">
        <v>64</v>
      </c>
    </row>
    <row r="14" spans="1:4">
      <c r="A14" t="s">
        <v>30</v>
      </c>
      <c r="B14">
        <v>2022</v>
      </c>
      <c r="C14">
        <v>0</v>
      </c>
      <c r="D14" t="s">
        <v>64</v>
      </c>
    </row>
    <row r="15" spans="1:4">
      <c r="A15" t="s">
        <v>30</v>
      </c>
      <c r="B15">
        <v>2023</v>
      </c>
      <c r="C15">
        <v>0</v>
      </c>
      <c r="D15" t="s">
        <v>64</v>
      </c>
    </row>
    <row r="16" spans="1:4">
      <c r="A16" t="s">
        <v>30</v>
      </c>
      <c r="B16">
        <v>2024</v>
      </c>
      <c r="C16">
        <v>0</v>
      </c>
      <c r="D16" t="s">
        <v>64</v>
      </c>
    </row>
    <row r="17" spans="1:4">
      <c r="A17" t="s">
        <v>30</v>
      </c>
      <c r="B17">
        <v>2025</v>
      </c>
      <c r="C17">
        <v>0</v>
      </c>
      <c r="D17" t="s">
        <v>64</v>
      </c>
    </row>
    <row r="18" spans="1:4">
      <c r="A18" t="s">
        <v>31</v>
      </c>
      <c r="B18">
        <v>2022</v>
      </c>
      <c r="C18">
        <v>16.038</v>
      </c>
      <c r="D18" t="s">
        <v>64</v>
      </c>
    </row>
    <row r="19" spans="1:4">
      <c r="A19" t="s">
        <v>31</v>
      </c>
      <c r="B19">
        <v>2023</v>
      </c>
      <c r="C19">
        <v>0</v>
      </c>
      <c r="D19" t="s">
        <v>64</v>
      </c>
    </row>
    <row r="20" spans="1:4">
      <c r="A20" t="s">
        <v>31</v>
      </c>
      <c r="B20">
        <v>2024</v>
      </c>
      <c r="C20">
        <v>0</v>
      </c>
      <c r="D20" t="s">
        <v>64</v>
      </c>
    </row>
    <row r="21" spans="1:4">
      <c r="A21" t="s">
        <v>31</v>
      </c>
      <c r="B21">
        <v>2025</v>
      </c>
      <c r="C21">
        <v>0</v>
      </c>
      <c r="D21" t="s">
        <v>64</v>
      </c>
    </row>
    <row r="22" spans="1:4">
      <c r="A22" t="s">
        <v>32</v>
      </c>
      <c r="B22">
        <v>2022</v>
      </c>
      <c r="C22">
        <v>301.5</v>
      </c>
      <c r="D22" t="s">
        <v>64</v>
      </c>
    </row>
    <row r="23" spans="1:4">
      <c r="A23" t="s">
        <v>32</v>
      </c>
      <c r="B23">
        <v>2023</v>
      </c>
      <c r="C23">
        <v>0</v>
      </c>
      <c r="D23" t="s">
        <v>64</v>
      </c>
    </row>
    <row r="24" spans="1:4">
      <c r="A24" t="s">
        <v>32</v>
      </c>
      <c r="B24">
        <v>2024</v>
      </c>
      <c r="C24">
        <v>0</v>
      </c>
      <c r="D24" t="s">
        <v>64</v>
      </c>
    </row>
    <row r="25" spans="1:4">
      <c r="A25" t="s">
        <v>32</v>
      </c>
      <c r="B25">
        <v>2025</v>
      </c>
      <c r="C25">
        <v>0</v>
      </c>
      <c r="D25" t="s">
        <v>64</v>
      </c>
    </row>
    <row r="26" spans="1:4">
      <c r="A26" t="s">
        <v>35</v>
      </c>
      <c r="B26">
        <v>2022</v>
      </c>
      <c r="C26">
        <v>71.847999999999999</v>
      </c>
      <c r="D26" t="s">
        <v>64</v>
      </c>
    </row>
    <row r="27" spans="1:4">
      <c r="A27" t="s">
        <v>35</v>
      </c>
      <c r="B27">
        <v>2023</v>
      </c>
      <c r="C27">
        <v>0</v>
      </c>
      <c r="D27" t="s">
        <v>64</v>
      </c>
    </row>
    <row r="28" spans="1:4">
      <c r="A28" t="s">
        <v>35</v>
      </c>
      <c r="B28">
        <v>2024</v>
      </c>
      <c r="C28">
        <v>0</v>
      </c>
      <c r="D28" t="s">
        <v>64</v>
      </c>
    </row>
    <row r="29" spans="1:4">
      <c r="A29" t="s">
        <v>35</v>
      </c>
      <c r="B29">
        <v>2025</v>
      </c>
      <c r="C29">
        <v>0</v>
      </c>
      <c r="D29" t="s">
        <v>64</v>
      </c>
    </row>
    <row r="30" spans="1:4">
      <c r="A30" t="s">
        <v>33</v>
      </c>
      <c r="B30">
        <v>2022</v>
      </c>
      <c r="C30">
        <v>85.813000000000002</v>
      </c>
      <c r="D30" t="s">
        <v>64</v>
      </c>
    </row>
    <row r="31" spans="1:4">
      <c r="A31" t="s">
        <v>33</v>
      </c>
      <c r="B31">
        <v>2023</v>
      </c>
      <c r="C31">
        <v>0</v>
      </c>
      <c r="D31" t="s">
        <v>64</v>
      </c>
    </row>
    <row r="32" spans="1:4">
      <c r="A32" t="s">
        <v>33</v>
      </c>
      <c r="B32">
        <v>2024</v>
      </c>
      <c r="C32">
        <v>0</v>
      </c>
      <c r="D32" t="s">
        <v>64</v>
      </c>
    </row>
    <row r="33" spans="1:4">
      <c r="A33" t="s">
        <v>33</v>
      </c>
      <c r="B33">
        <v>2025</v>
      </c>
      <c r="C33">
        <v>0</v>
      </c>
      <c r="D33" t="s">
        <v>64</v>
      </c>
    </row>
    <row r="34" spans="1:4">
      <c r="A34" t="s">
        <v>34</v>
      </c>
      <c r="B34">
        <v>2022</v>
      </c>
      <c r="C34">
        <v>0</v>
      </c>
      <c r="D34" t="s">
        <v>64</v>
      </c>
    </row>
    <row r="35" spans="1:4">
      <c r="A35" t="s">
        <v>34</v>
      </c>
      <c r="B35">
        <v>2023</v>
      </c>
      <c r="C35">
        <v>0</v>
      </c>
      <c r="D35" t="s">
        <v>64</v>
      </c>
    </row>
    <row r="36" spans="1:4">
      <c r="A36" t="s">
        <v>34</v>
      </c>
      <c r="B36">
        <v>2024</v>
      </c>
      <c r="C36">
        <v>0</v>
      </c>
      <c r="D36" t="s">
        <v>64</v>
      </c>
    </row>
    <row r="37" spans="1:4">
      <c r="A37" t="s">
        <v>34</v>
      </c>
      <c r="B37">
        <v>2025</v>
      </c>
      <c r="C37">
        <v>0</v>
      </c>
      <c r="D37" t="s">
        <v>64</v>
      </c>
    </row>
    <row r="38" spans="1:4">
      <c r="A38" t="s">
        <v>38</v>
      </c>
      <c r="B38">
        <v>2022</v>
      </c>
      <c r="C38">
        <v>26.603999999999999</v>
      </c>
      <c r="D38" t="s">
        <v>64</v>
      </c>
    </row>
    <row r="39" spans="1:4">
      <c r="A39" t="s">
        <v>38</v>
      </c>
      <c r="B39">
        <v>2023</v>
      </c>
      <c r="C39">
        <v>0</v>
      </c>
      <c r="D39" t="s">
        <v>64</v>
      </c>
    </row>
    <row r="40" spans="1:4">
      <c r="A40" t="s">
        <v>38</v>
      </c>
      <c r="B40">
        <v>2024</v>
      </c>
      <c r="C40">
        <v>0</v>
      </c>
      <c r="D40" t="s">
        <v>64</v>
      </c>
    </row>
    <row r="41" spans="1:4">
      <c r="A41" t="s">
        <v>38</v>
      </c>
      <c r="B41">
        <v>2025</v>
      </c>
      <c r="C41">
        <v>0</v>
      </c>
      <c r="D41" t="s">
        <v>64</v>
      </c>
    </row>
    <row r="42" spans="1:4">
      <c r="A42" t="s">
        <v>39</v>
      </c>
      <c r="B42">
        <v>2022</v>
      </c>
      <c r="C42">
        <v>18926.241999999998</v>
      </c>
      <c r="D42" t="s">
        <v>64</v>
      </c>
    </row>
    <row r="43" spans="1:4">
      <c r="A43" t="s">
        <v>39</v>
      </c>
      <c r="B43">
        <v>2023</v>
      </c>
      <c r="C43">
        <v>0</v>
      </c>
      <c r="D43" t="s">
        <v>64</v>
      </c>
    </row>
    <row r="44" spans="1:4">
      <c r="A44" t="s">
        <v>39</v>
      </c>
      <c r="B44">
        <v>2024</v>
      </c>
      <c r="C44">
        <v>0</v>
      </c>
      <c r="D44" t="s">
        <v>64</v>
      </c>
    </row>
    <row r="45" spans="1:4">
      <c r="A45" t="s">
        <v>39</v>
      </c>
      <c r="B45">
        <v>2025</v>
      </c>
      <c r="C45">
        <v>0</v>
      </c>
      <c r="D45" t="s">
        <v>64</v>
      </c>
    </row>
    <row r="46" spans="1:4">
      <c r="A46" t="s">
        <v>36</v>
      </c>
      <c r="B46">
        <v>2022</v>
      </c>
      <c r="C46">
        <v>0</v>
      </c>
      <c r="D46" t="s">
        <v>64</v>
      </c>
    </row>
    <row r="47" spans="1:4">
      <c r="A47" t="s">
        <v>36</v>
      </c>
      <c r="B47">
        <v>2023</v>
      </c>
      <c r="C47">
        <v>0</v>
      </c>
      <c r="D47" t="s">
        <v>64</v>
      </c>
    </row>
    <row r="48" spans="1:4">
      <c r="A48" t="s">
        <v>36</v>
      </c>
      <c r="B48">
        <v>2024</v>
      </c>
      <c r="C48">
        <v>0</v>
      </c>
      <c r="D48" t="s">
        <v>64</v>
      </c>
    </row>
    <row r="49" spans="1:4">
      <c r="A49" t="s">
        <v>36</v>
      </c>
      <c r="B49">
        <v>2025</v>
      </c>
      <c r="C49">
        <v>0</v>
      </c>
      <c r="D49" t="s">
        <v>64</v>
      </c>
    </row>
    <row r="50" spans="1:4">
      <c r="A50" t="s">
        <v>37</v>
      </c>
      <c r="B50">
        <v>2022</v>
      </c>
      <c r="C50">
        <v>0</v>
      </c>
      <c r="D50" t="s">
        <v>64</v>
      </c>
    </row>
    <row r="51" spans="1:4">
      <c r="A51" t="s">
        <v>37</v>
      </c>
      <c r="B51">
        <v>2023</v>
      </c>
      <c r="C51">
        <v>0</v>
      </c>
      <c r="D51" t="s">
        <v>64</v>
      </c>
    </row>
    <row r="52" spans="1:4">
      <c r="A52" t="s">
        <v>37</v>
      </c>
      <c r="B52">
        <v>2024</v>
      </c>
      <c r="C52">
        <v>0</v>
      </c>
      <c r="D52" t="s">
        <v>64</v>
      </c>
    </row>
    <row r="53" spans="1:4">
      <c r="A53" t="s">
        <v>37</v>
      </c>
      <c r="B53">
        <v>2025</v>
      </c>
      <c r="C53">
        <v>0</v>
      </c>
      <c r="D53" t="s">
        <v>64</v>
      </c>
    </row>
    <row r="54" spans="1:4">
      <c r="A54" t="s">
        <v>41</v>
      </c>
      <c r="B54">
        <v>2022</v>
      </c>
      <c r="C54">
        <v>0</v>
      </c>
      <c r="D54" t="s">
        <v>64</v>
      </c>
    </row>
    <row r="55" spans="1:4">
      <c r="A55" t="s">
        <v>41</v>
      </c>
      <c r="B55">
        <v>2023</v>
      </c>
      <c r="C55">
        <v>0</v>
      </c>
      <c r="D55" t="s">
        <v>64</v>
      </c>
    </row>
    <row r="56" spans="1:4">
      <c r="A56" t="s">
        <v>41</v>
      </c>
      <c r="B56">
        <v>2024</v>
      </c>
      <c r="C56">
        <v>0</v>
      </c>
      <c r="D56" t="s">
        <v>64</v>
      </c>
    </row>
    <row r="57" spans="1:4">
      <c r="A57" t="s">
        <v>41</v>
      </c>
      <c r="B57">
        <v>2025</v>
      </c>
      <c r="C57">
        <v>0</v>
      </c>
      <c r="D57" t="s">
        <v>64</v>
      </c>
    </row>
    <row r="58" spans="1:4">
      <c r="A58" t="s">
        <v>27</v>
      </c>
      <c r="B58">
        <v>2022</v>
      </c>
      <c r="C58">
        <v>111</v>
      </c>
      <c r="D58" t="s">
        <v>65</v>
      </c>
    </row>
    <row r="59" spans="1:4">
      <c r="A59" t="s">
        <v>27</v>
      </c>
      <c r="B59">
        <v>2023</v>
      </c>
      <c r="C59">
        <v>0</v>
      </c>
      <c r="D59" t="s">
        <v>65</v>
      </c>
    </row>
    <row r="60" spans="1:4">
      <c r="A60" t="s">
        <v>27</v>
      </c>
      <c r="B60">
        <v>2024</v>
      </c>
      <c r="C60">
        <v>724.61900000000003</v>
      </c>
      <c r="D60" t="s">
        <v>65</v>
      </c>
    </row>
    <row r="61" spans="1:4">
      <c r="A61" t="s">
        <v>27</v>
      </c>
      <c r="B61">
        <v>2025</v>
      </c>
      <c r="C61">
        <v>719.93499999999995</v>
      </c>
      <c r="D61" t="s">
        <v>65</v>
      </c>
    </row>
    <row r="62" spans="1:4">
      <c r="A62" t="s">
        <v>28</v>
      </c>
      <c r="B62">
        <v>2022</v>
      </c>
      <c r="C62">
        <v>14.2</v>
      </c>
      <c r="D62" t="s">
        <v>65</v>
      </c>
    </row>
    <row r="63" spans="1:4">
      <c r="A63" t="s">
        <v>28</v>
      </c>
      <c r="B63">
        <v>2023</v>
      </c>
      <c r="C63">
        <v>0</v>
      </c>
      <c r="D63" t="s">
        <v>65</v>
      </c>
    </row>
    <row r="64" spans="1:4">
      <c r="A64" t="s">
        <v>28</v>
      </c>
      <c r="B64">
        <v>2024</v>
      </c>
      <c r="C64">
        <v>346.85</v>
      </c>
      <c r="D64" t="s">
        <v>65</v>
      </c>
    </row>
    <row r="65" spans="1:4">
      <c r="A65" t="s">
        <v>28</v>
      </c>
      <c r="B65">
        <v>2025</v>
      </c>
      <c r="C65">
        <v>222.85</v>
      </c>
      <c r="D65" t="s">
        <v>65</v>
      </c>
    </row>
    <row r="66" spans="1:4">
      <c r="A66" t="s">
        <v>29</v>
      </c>
      <c r="B66">
        <v>2022</v>
      </c>
      <c r="C66">
        <v>2121.98</v>
      </c>
      <c r="D66" t="s">
        <v>65</v>
      </c>
    </row>
    <row r="67" spans="1:4">
      <c r="A67" t="s">
        <v>29</v>
      </c>
      <c r="B67">
        <v>2023</v>
      </c>
      <c r="C67">
        <v>0</v>
      </c>
      <c r="D67" t="s">
        <v>65</v>
      </c>
    </row>
    <row r="68" spans="1:4">
      <c r="A68" t="s">
        <v>29</v>
      </c>
      <c r="B68">
        <v>2024</v>
      </c>
      <c r="C68">
        <v>8544.4495000000006</v>
      </c>
      <c r="D68" t="s">
        <v>65</v>
      </c>
    </row>
    <row r="69" spans="1:4">
      <c r="A69" t="s">
        <v>29</v>
      </c>
      <c r="B69">
        <v>2025</v>
      </c>
      <c r="C69">
        <v>2322.9899999999998</v>
      </c>
      <c r="D69" t="s">
        <v>65</v>
      </c>
    </row>
    <row r="70" spans="1:4">
      <c r="A70" t="s">
        <v>30</v>
      </c>
      <c r="B70">
        <v>2022</v>
      </c>
      <c r="C70">
        <v>0</v>
      </c>
      <c r="D70" t="s">
        <v>65</v>
      </c>
    </row>
    <row r="71" spans="1:4">
      <c r="A71" t="s">
        <v>30</v>
      </c>
      <c r="B71">
        <v>2023</v>
      </c>
      <c r="C71">
        <v>0</v>
      </c>
      <c r="D71" t="s">
        <v>65</v>
      </c>
    </row>
    <row r="72" spans="1:4">
      <c r="A72" t="s">
        <v>30</v>
      </c>
      <c r="B72">
        <v>2024</v>
      </c>
      <c r="C72">
        <v>229.95</v>
      </c>
      <c r="D72" t="s">
        <v>65</v>
      </c>
    </row>
    <row r="73" spans="1:4">
      <c r="A73" t="s">
        <v>30</v>
      </c>
      <c r="B73">
        <v>2025</v>
      </c>
      <c r="C73">
        <v>232</v>
      </c>
      <c r="D73" t="s">
        <v>65</v>
      </c>
    </row>
    <row r="74" spans="1:4">
      <c r="A74" t="s">
        <v>31</v>
      </c>
      <c r="B74">
        <v>2022</v>
      </c>
      <c r="C74">
        <v>2930.55</v>
      </c>
      <c r="D74" t="s">
        <v>65</v>
      </c>
    </row>
    <row r="75" spans="1:4">
      <c r="A75" t="s">
        <v>31</v>
      </c>
      <c r="B75">
        <v>2023</v>
      </c>
      <c r="C75">
        <v>0</v>
      </c>
      <c r="D75" t="s">
        <v>65</v>
      </c>
    </row>
    <row r="76" spans="1:4">
      <c r="A76" t="s">
        <v>31</v>
      </c>
      <c r="B76">
        <v>2024</v>
      </c>
      <c r="C76">
        <v>698.69899999999996</v>
      </c>
      <c r="D76" t="s">
        <v>65</v>
      </c>
    </row>
    <row r="77" spans="1:4">
      <c r="A77" t="s">
        <v>31</v>
      </c>
      <c r="B77">
        <v>2025</v>
      </c>
      <c r="C77">
        <v>395.45</v>
      </c>
      <c r="D77" t="s">
        <v>65</v>
      </c>
    </row>
    <row r="78" spans="1:4">
      <c r="A78" t="s">
        <v>32</v>
      </c>
      <c r="B78">
        <v>2022</v>
      </c>
      <c r="C78">
        <v>1267.32</v>
      </c>
      <c r="D78" t="s">
        <v>65</v>
      </c>
    </row>
    <row r="79" spans="1:4">
      <c r="A79" t="s">
        <v>32</v>
      </c>
      <c r="B79">
        <v>2023</v>
      </c>
      <c r="C79">
        <v>0</v>
      </c>
      <c r="D79" t="s">
        <v>65</v>
      </c>
    </row>
    <row r="80" spans="1:4">
      <c r="A80" t="s">
        <v>32</v>
      </c>
      <c r="B80">
        <v>2024</v>
      </c>
      <c r="C80">
        <v>2155.8690000000001</v>
      </c>
      <c r="D80" t="s">
        <v>65</v>
      </c>
    </row>
    <row r="81" spans="1:4">
      <c r="A81" t="s">
        <v>32</v>
      </c>
      <c r="B81">
        <v>2025</v>
      </c>
      <c r="C81">
        <v>2413.9499999999998</v>
      </c>
      <c r="D81" t="s">
        <v>65</v>
      </c>
    </row>
    <row r="82" spans="1:4">
      <c r="A82" t="s">
        <v>35</v>
      </c>
      <c r="B82">
        <v>2022</v>
      </c>
      <c r="C82">
        <v>0</v>
      </c>
      <c r="D82" t="s">
        <v>65</v>
      </c>
    </row>
    <row r="83" spans="1:4">
      <c r="A83" t="s">
        <v>35</v>
      </c>
      <c r="B83">
        <v>2023</v>
      </c>
      <c r="C83">
        <v>0</v>
      </c>
      <c r="D83" t="s">
        <v>65</v>
      </c>
    </row>
    <row r="84" spans="1:4">
      <c r="A84" t="s">
        <v>35</v>
      </c>
      <c r="B84">
        <v>2024</v>
      </c>
      <c r="C84">
        <v>11.4</v>
      </c>
      <c r="D84" t="s">
        <v>65</v>
      </c>
    </row>
    <row r="85" spans="1:4">
      <c r="A85" t="s">
        <v>35</v>
      </c>
      <c r="B85">
        <v>2025</v>
      </c>
      <c r="C85">
        <v>251.65</v>
      </c>
      <c r="D85" t="s">
        <v>65</v>
      </c>
    </row>
    <row r="86" spans="1:4">
      <c r="A86" t="s">
        <v>33</v>
      </c>
      <c r="B86">
        <v>2022</v>
      </c>
      <c r="C86">
        <v>519</v>
      </c>
      <c r="D86" t="s">
        <v>65</v>
      </c>
    </row>
    <row r="87" spans="1:4">
      <c r="A87" t="s">
        <v>33</v>
      </c>
      <c r="B87">
        <v>2023</v>
      </c>
      <c r="C87">
        <v>0</v>
      </c>
      <c r="D87" t="s">
        <v>65</v>
      </c>
    </row>
    <row r="88" spans="1:4">
      <c r="A88" t="s">
        <v>33</v>
      </c>
      <c r="B88">
        <v>2024</v>
      </c>
      <c r="C88">
        <v>136.84100000000001</v>
      </c>
      <c r="D88" t="s">
        <v>65</v>
      </c>
    </row>
    <row r="89" spans="1:4">
      <c r="A89" t="s">
        <v>33</v>
      </c>
      <c r="B89">
        <v>2025</v>
      </c>
      <c r="C89">
        <v>2426.4349999999999</v>
      </c>
      <c r="D89" t="s">
        <v>65</v>
      </c>
    </row>
    <row r="90" spans="1:4">
      <c r="A90" t="s">
        <v>34</v>
      </c>
      <c r="B90">
        <v>2022</v>
      </c>
      <c r="C90">
        <v>0</v>
      </c>
      <c r="D90" t="s">
        <v>65</v>
      </c>
    </row>
    <row r="91" spans="1:4">
      <c r="A91" t="s">
        <v>34</v>
      </c>
      <c r="B91">
        <v>2023</v>
      </c>
      <c r="C91">
        <v>0</v>
      </c>
      <c r="D91" t="s">
        <v>65</v>
      </c>
    </row>
    <row r="92" spans="1:4">
      <c r="A92" t="s">
        <v>34</v>
      </c>
      <c r="B92">
        <v>2024</v>
      </c>
      <c r="C92">
        <v>167.35</v>
      </c>
      <c r="D92" t="s">
        <v>65</v>
      </c>
    </row>
    <row r="93" spans="1:4">
      <c r="A93" t="s">
        <v>34</v>
      </c>
      <c r="B93">
        <v>2025</v>
      </c>
      <c r="C93">
        <v>381.399</v>
      </c>
      <c r="D93" t="s">
        <v>65</v>
      </c>
    </row>
    <row r="94" spans="1:4">
      <c r="A94" t="s">
        <v>38</v>
      </c>
      <c r="B94">
        <v>2022</v>
      </c>
      <c r="C94">
        <v>3082</v>
      </c>
      <c r="D94" t="s">
        <v>65</v>
      </c>
    </row>
    <row r="95" spans="1:4">
      <c r="A95" t="s">
        <v>38</v>
      </c>
      <c r="B95">
        <v>2023</v>
      </c>
      <c r="C95">
        <v>0</v>
      </c>
      <c r="D95" t="s">
        <v>65</v>
      </c>
    </row>
    <row r="96" spans="1:4">
      <c r="A96" t="s">
        <v>38</v>
      </c>
      <c r="B96">
        <v>2024</v>
      </c>
      <c r="C96">
        <v>1698.6679999999999</v>
      </c>
      <c r="D96" t="s">
        <v>65</v>
      </c>
    </row>
    <row r="97" spans="1:4">
      <c r="A97" t="s">
        <v>38</v>
      </c>
      <c r="B97">
        <v>2025</v>
      </c>
      <c r="C97">
        <v>4224.5</v>
      </c>
      <c r="D97" t="s">
        <v>65</v>
      </c>
    </row>
    <row r="98" spans="1:4">
      <c r="A98" t="s">
        <v>39</v>
      </c>
      <c r="B98">
        <v>2022</v>
      </c>
      <c r="C98">
        <v>23098.703000000001</v>
      </c>
      <c r="D98" t="s">
        <v>65</v>
      </c>
    </row>
    <row r="99" spans="1:4">
      <c r="A99" t="s">
        <v>39</v>
      </c>
      <c r="B99">
        <v>2023</v>
      </c>
      <c r="C99">
        <v>0</v>
      </c>
      <c r="D99" t="s">
        <v>65</v>
      </c>
    </row>
    <row r="100" spans="1:4">
      <c r="A100" t="s">
        <v>39</v>
      </c>
      <c r="B100">
        <v>2024</v>
      </c>
      <c r="C100">
        <v>2069.3000000000002</v>
      </c>
      <c r="D100" t="s">
        <v>65</v>
      </c>
    </row>
    <row r="101" spans="1:4">
      <c r="A101" t="s">
        <v>39</v>
      </c>
      <c r="B101">
        <v>2025</v>
      </c>
      <c r="C101">
        <v>784.86</v>
      </c>
      <c r="D101" t="s">
        <v>65</v>
      </c>
    </row>
    <row r="102" spans="1:4">
      <c r="A102" t="s">
        <v>36</v>
      </c>
      <c r="B102">
        <v>2022</v>
      </c>
      <c r="C102">
        <v>0</v>
      </c>
      <c r="D102" t="s">
        <v>65</v>
      </c>
    </row>
    <row r="103" spans="1:4">
      <c r="A103" t="s">
        <v>36</v>
      </c>
      <c r="B103">
        <v>2023</v>
      </c>
      <c r="C103">
        <v>0</v>
      </c>
      <c r="D103" t="s">
        <v>65</v>
      </c>
    </row>
    <row r="104" spans="1:4">
      <c r="A104" t="s">
        <v>36</v>
      </c>
      <c r="B104">
        <v>2024</v>
      </c>
      <c r="C104">
        <v>0</v>
      </c>
      <c r="D104" t="s">
        <v>65</v>
      </c>
    </row>
    <row r="105" spans="1:4">
      <c r="A105" t="s">
        <v>36</v>
      </c>
      <c r="B105">
        <v>2025</v>
      </c>
      <c r="C105">
        <v>0</v>
      </c>
      <c r="D105" t="s">
        <v>65</v>
      </c>
    </row>
    <row r="106" spans="1:4">
      <c r="A106" t="s">
        <v>37</v>
      </c>
      <c r="B106">
        <v>2022</v>
      </c>
      <c r="C106">
        <v>82</v>
      </c>
      <c r="D106" t="s">
        <v>65</v>
      </c>
    </row>
    <row r="107" spans="1:4">
      <c r="A107" t="s">
        <v>37</v>
      </c>
      <c r="B107">
        <v>2023</v>
      </c>
      <c r="C107">
        <v>0</v>
      </c>
      <c r="D107" t="s">
        <v>65</v>
      </c>
    </row>
    <row r="108" spans="1:4">
      <c r="A108" t="s">
        <v>37</v>
      </c>
      <c r="B108">
        <v>2024</v>
      </c>
      <c r="C108">
        <v>443.7</v>
      </c>
      <c r="D108" t="s">
        <v>65</v>
      </c>
    </row>
    <row r="109" spans="1:4">
      <c r="A109" t="s">
        <v>37</v>
      </c>
      <c r="B109">
        <v>2025</v>
      </c>
      <c r="C109">
        <v>0</v>
      </c>
      <c r="D109" t="s">
        <v>65</v>
      </c>
    </row>
    <row r="110" spans="1:4">
      <c r="A110" t="s">
        <v>41</v>
      </c>
      <c r="B110">
        <v>2022</v>
      </c>
      <c r="C110">
        <v>0</v>
      </c>
      <c r="D110" t="s">
        <v>65</v>
      </c>
    </row>
    <row r="111" spans="1:4">
      <c r="A111" t="s">
        <v>41</v>
      </c>
      <c r="B111">
        <v>2023</v>
      </c>
      <c r="C111">
        <v>0</v>
      </c>
      <c r="D111" t="s">
        <v>65</v>
      </c>
    </row>
    <row r="112" spans="1:4">
      <c r="A112" t="s">
        <v>41</v>
      </c>
      <c r="B112">
        <v>2024</v>
      </c>
      <c r="C112">
        <v>0</v>
      </c>
      <c r="D112" t="s">
        <v>65</v>
      </c>
    </row>
    <row r="113" spans="1:4">
      <c r="A113" t="s">
        <v>41</v>
      </c>
      <c r="B113">
        <v>2025</v>
      </c>
      <c r="C113">
        <v>0</v>
      </c>
      <c r="D113" t="s">
        <v>65</v>
      </c>
    </row>
    <row r="114" spans="1:4">
      <c r="A114" t="s">
        <v>27</v>
      </c>
      <c r="B114">
        <v>2022</v>
      </c>
      <c r="C114">
        <v>120.36</v>
      </c>
      <c r="D114" t="s">
        <v>66</v>
      </c>
    </row>
    <row r="115" spans="1:4">
      <c r="A115" t="s">
        <v>27</v>
      </c>
      <c r="B115">
        <v>2023</v>
      </c>
      <c r="C115">
        <v>1</v>
      </c>
      <c r="D115" t="s">
        <v>66</v>
      </c>
    </row>
    <row r="116" spans="1:4">
      <c r="A116" t="s">
        <v>27</v>
      </c>
      <c r="B116">
        <v>2024</v>
      </c>
      <c r="C116">
        <v>1634.7460000000001</v>
      </c>
      <c r="D116" t="s">
        <v>66</v>
      </c>
    </row>
    <row r="117" spans="1:4">
      <c r="A117" t="s">
        <v>27</v>
      </c>
      <c r="B117">
        <v>2025</v>
      </c>
      <c r="C117">
        <v>12236.12</v>
      </c>
      <c r="D117" t="s">
        <v>66</v>
      </c>
    </row>
    <row r="118" spans="1:4">
      <c r="A118" t="s">
        <v>28</v>
      </c>
      <c r="B118">
        <v>2022</v>
      </c>
      <c r="C118">
        <v>7</v>
      </c>
      <c r="D118" t="s">
        <v>66</v>
      </c>
    </row>
    <row r="119" spans="1:4">
      <c r="A119" t="s">
        <v>28</v>
      </c>
      <c r="B119">
        <v>2023</v>
      </c>
      <c r="C119">
        <v>1</v>
      </c>
      <c r="D119" t="s">
        <v>66</v>
      </c>
    </row>
    <row r="120" spans="1:4">
      <c r="A120" t="s">
        <v>28</v>
      </c>
      <c r="B120">
        <v>2024</v>
      </c>
      <c r="C120">
        <v>27.114999999999998</v>
      </c>
      <c r="D120" t="s">
        <v>66</v>
      </c>
    </row>
    <row r="121" spans="1:4">
      <c r="A121" t="s">
        <v>28</v>
      </c>
      <c r="B121">
        <v>2025</v>
      </c>
      <c r="C121">
        <v>4238</v>
      </c>
      <c r="D121" t="s">
        <v>66</v>
      </c>
    </row>
    <row r="122" spans="1:4">
      <c r="A122" t="s">
        <v>29</v>
      </c>
      <c r="B122">
        <v>2022</v>
      </c>
      <c r="C122">
        <v>1841.0640000000001</v>
      </c>
      <c r="D122" t="s">
        <v>66</v>
      </c>
    </row>
    <row r="123" spans="1:4">
      <c r="A123" t="s">
        <v>29</v>
      </c>
      <c r="B123">
        <v>2023</v>
      </c>
      <c r="C123">
        <v>1</v>
      </c>
      <c r="D123" t="s">
        <v>66</v>
      </c>
    </row>
    <row r="124" spans="1:4">
      <c r="A124" t="s">
        <v>29</v>
      </c>
      <c r="B124">
        <v>2024</v>
      </c>
      <c r="C124">
        <v>1020.4</v>
      </c>
      <c r="D124" t="s">
        <v>66</v>
      </c>
    </row>
    <row r="125" spans="1:4">
      <c r="A125" t="s">
        <v>29</v>
      </c>
      <c r="B125">
        <v>2025</v>
      </c>
      <c r="C125">
        <v>1276</v>
      </c>
      <c r="D125" t="s">
        <v>66</v>
      </c>
    </row>
    <row r="126" spans="1:4">
      <c r="A126" t="s">
        <v>30</v>
      </c>
      <c r="B126">
        <v>2022</v>
      </c>
      <c r="C126">
        <v>98.3</v>
      </c>
      <c r="D126" t="s">
        <v>66</v>
      </c>
    </row>
    <row r="127" spans="1:4">
      <c r="A127" t="s">
        <v>30</v>
      </c>
      <c r="B127">
        <v>2023</v>
      </c>
      <c r="C127">
        <v>1</v>
      </c>
      <c r="D127" t="s">
        <v>66</v>
      </c>
    </row>
    <row r="128" spans="1:4">
      <c r="A128" t="s">
        <v>30</v>
      </c>
      <c r="B128">
        <v>2024</v>
      </c>
      <c r="C128">
        <v>144.8366</v>
      </c>
      <c r="D128" t="s">
        <v>66</v>
      </c>
    </row>
    <row r="129" spans="1:4">
      <c r="A129" t="s">
        <v>30</v>
      </c>
      <c r="B129">
        <v>2025</v>
      </c>
      <c r="C129">
        <v>0</v>
      </c>
      <c r="D129" t="s">
        <v>66</v>
      </c>
    </row>
    <row r="130" spans="1:4">
      <c r="A130" t="s">
        <v>31</v>
      </c>
      <c r="B130">
        <v>2022</v>
      </c>
      <c r="C130">
        <v>60.55</v>
      </c>
      <c r="D130" t="s">
        <v>66</v>
      </c>
    </row>
    <row r="131" spans="1:4">
      <c r="A131" t="s">
        <v>31</v>
      </c>
      <c r="B131">
        <v>2023</v>
      </c>
      <c r="C131">
        <v>1</v>
      </c>
      <c r="D131" t="s">
        <v>66</v>
      </c>
    </row>
    <row r="132" spans="1:4">
      <c r="A132" t="s">
        <v>31</v>
      </c>
      <c r="B132">
        <v>2024</v>
      </c>
      <c r="C132">
        <v>442.83</v>
      </c>
      <c r="D132" t="s">
        <v>66</v>
      </c>
    </row>
    <row r="133" spans="1:4">
      <c r="A133" t="s">
        <v>31</v>
      </c>
      <c r="B133">
        <v>2025</v>
      </c>
      <c r="C133">
        <v>1957.82</v>
      </c>
      <c r="D133" t="s">
        <v>66</v>
      </c>
    </row>
    <row r="134" spans="1:4">
      <c r="A134" t="s">
        <v>32</v>
      </c>
      <c r="B134">
        <v>2022</v>
      </c>
      <c r="C134">
        <v>111</v>
      </c>
      <c r="D134" t="s">
        <v>66</v>
      </c>
    </row>
    <row r="135" spans="1:4">
      <c r="A135" t="s">
        <v>32</v>
      </c>
      <c r="B135">
        <v>2023</v>
      </c>
      <c r="C135">
        <v>1</v>
      </c>
      <c r="D135" t="s">
        <v>66</v>
      </c>
    </row>
    <row r="136" spans="1:4">
      <c r="A136" t="s">
        <v>32</v>
      </c>
      <c r="B136">
        <v>2024</v>
      </c>
      <c r="C136">
        <v>6461.7</v>
      </c>
      <c r="D136" t="s">
        <v>66</v>
      </c>
    </row>
    <row r="137" spans="1:4">
      <c r="A137" t="s">
        <v>32</v>
      </c>
      <c r="B137">
        <v>2025</v>
      </c>
      <c r="C137">
        <v>1570</v>
      </c>
      <c r="D137" t="s">
        <v>66</v>
      </c>
    </row>
    <row r="138" spans="1:4">
      <c r="A138" t="s">
        <v>35</v>
      </c>
      <c r="B138">
        <v>2022</v>
      </c>
      <c r="C138">
        <v>3</v>
      </c>
      <c r="D138" t="s">
        <v>66</v>
      </c>
    </row>
    <row r="139" spans="1:4">
      <c r="A139" t="s">
        <v>35</v>
      </c>
      <c r="B139">
        <v>2023</v>
      </c>
      <c r="C139">
        <v>1</v>
      </c>
      <c r="D139" t="s">
        <v>66</v>
      </c>
    </row>
    <row r="140" spans="1:4">
      <c r="A140" t="s">
        <v>35</v>
      </c>
      <c r="B140">
        <v>2024</v>
      </c>
      <c r="C140">
        <v>50</v>
      </c>
      <c r="D140" t="s">
        <v>66</v>
      </c>
    </row>
    <row r="141" spans="1:4">
      <c r="A141" t="s">
        <v>35</v>
      </c>
      <c r="B141">
        <v>2025</v>
      </c>
      <c r="C141">
        <v>2334.4746</v>
      </c>
      <c r="D141" t="s">
        <v>66</v>
      </c>
    </row>
    <row r="142" spans="1:4">
      <c r="A142" t="s">
        <v>33</v>
      </c>
      <c r="B142">
        <v>2022</v>
      </c>
      <c r="C142">
        <v>153</v>
      </c>
      <c r="D142" t="s">
        <v>66</v>
      </c>
    </row>
    <row r="143" spans="1:4">
      <c r="A143" t="s">
        <v>33</v>
      </c>
      <c r="B143">
        <v>2023</v>
      </c>
      <c r="C143">
        <v>1</v>
      </c>
      <c r="D143" t="s">
        <v>66</v>
      </c>
    </row>
    <row r="144" spans="1:4">
      <c r="A144" t="s">
        <v>33</v>
      </c>
      <c r="B144">
        <v>2024</v>
      </c>
      <c r="C144">
        <v>150</v>
      </c>
      <c r="D144" t="s">
        <v>66</v>
      </c>
    </row>
    <row r="145" spans="1:4">
      <c r="A145" t="s">
        <v>33</v>
      </c>
      <c r="B145">
        <v>2025</v>
      </c>
      <c r="C145">
        <v>1986.64</v>
      </c>
      <c r="D145" t="s">
        <v>66</v>
      </c>
    </row>
    <row r="146" spans="1:4">
      <c r="A146" t="s">
        <v>34</v>
      </c>
      <c r="B146">
        <v>2022</v>
      </c>
      <c r="C146">
        <v>0</v>
      </c>
      <c r="D146" t="s">
        <v>66</v>
      </c>
    </row>
    <row r="147" spans="1:4">
      <c r="A147" t="s">
        <v>34</v>
      </c>
      <c r="B147">
        <v>2023</v>
      </c>
      <c r="C147">
        <v>1</v>
      </c>
      <c r="D147" t="s">
        <v>66</v>
      </c>
    </row>
    <row r="148" spans="1:4">
      <c r="A148" t="s">
        <v>34</v>
      </c>
      <c r="B148">
        <v>2024</v>
      </c>
      <c r="C148">
        <v>0</v>
      </c>
      <c r="D148" t="s">
        <v>66</v>
      </c>
    </row>
    <row r="149" spans="1:4">
      <c r="A149" t="s">
        <v>34</v>
      </c>
      <c r="B149">
        <v>2025</v>
      </c>
      <c r="C149">
        <v>375.55</v>
      </c>
      <c r="D149" t="s">
        <v>66</v>
      </c>
    </row>
    <row r="150" spans="1:4">
      <c r="A150" t="s">
        <v>38</v>
      </c>
      <c r="B150">
        <v>2022</v>
      </c>
      <c r="C150">
        <v>36</v>
      </c>
      <c r="D150" t="s">
        <v>66</v>
      </c>
    </row>
    <row r="151" spans="1:4">
      <c r="A151" t="s">
        <v>38</v>
      </c>
      <c r="B151">
        <v>2023</v>
      </c>
      <c r="C151">
        <v>1</v>
      </c>
      <c r="D151" t="s">
        <v>66</v>
      </c>
    </row>
    <row r="152" spans="1:4">
      <c r="A152" t="s">
        <v>38</v>
      </c>
      <c r="B152">
        <v>2024</v>
      </c>
      <c r="C152">
        <v>171.49</v>
      </c>
      <c r="D152" t="s">
        <v>66</v>
      </c>
    </row>
    <row r="153" spans="1:4">
      <c r="A153" t="s">
        <v>38</v>
      </c>
      <c r="B153">
        <v>2025</v>
      </c>
      <c r="C153">
        <v>5054.2</v>
      </c>
      <c r="D153" t="s">
        <v>66</v>
      </c>
    </row>
    <row r="154" spans="1:4">
      <c r="A154" t="s">
        <v>39</v>
      </c>
      <c r="B154">
        <v>2022</v>
      </c>
      <c r="C154">
        <v>279.18</v>
      </c>
      <c r="D154" t="s">
        <v>66</v>
      </c>
    </row>
    <row r="155" spans="1:4">
      <c r="A155" t="s">
        <v>39</v>
      </c>
      <c r="B155">
        <v>2023</v>
      </c>
      <c r="C155">
        <v>1</v>
      </c>
      <c r="D155" t="s">
        <v>66</v>
      </c>
    </row>
    <row r="156" spans="1:4">
      <c r="A156" t="s">
        <v>39</v>
      </c>
      <c r="B156">
        <v>2024</v>
      </c>
      <c r="C156">
        <v>2768.7114999999999</v>
      </c>
      <c r="D156" t="s">
        <v>66</v>
      </c>
    </row>
    <row r="157" spans="1:4">
      <c r="A157" t="s">
        <v>39</v>
      </c>
      <c r="B157">
        <v>2025</v>
      </c>
      <c r="C157">
        <v>222.7</v>
      </c>
      <c r="D157" t="s">
        <v>66</v>
      </c>
    </row>
    <row r="158" spans="1:4">
      <c r="A158" t="s">
        <v>36</v>
      </c>
      <c r="B158">
        <v>2022</v>
      </c>
      <c r="C158">
        <v>0</v>
      </c>
      <c r="D158" t="s">
        <v>66</v>
      </c>
    </row>
    <row r="159" spans="1:4">
      <c r="A159" t="s">
        <v>36</v>
      </c>
      <c r="B159">
        <v>2023</v>
      </c>
      <c r="C159">
        <v>1</v>
      </c>
      <c r="D159" t="s">
        <v>66</v>
      </c>
    </row>
    <row r="160" spans="1:4">
      <c r="A160" t="s">
        <v>36</v>
      </c>
      <c r="B160">
        <v>2024</v>
      </c>
      <c r="C160">
        <v>0</v>
      </c>
      <c r="D160" t="s">
        <v>66</v>
      </c>
    </row>
    <row r="161" spans="1:4">
      <c r="A161" t="s">
        <v>36</v>
      </c>
      <c r="B161">
        <v>2025</v>
      </c>
      <c r="C161">
        <v>3088.48</v>
      </c>
      <c r="D161" t="s">
        <v>66</v>
      </c>
    </row>
    <row r="162" spans="1:4">
      <c r="A162" t="s">
        <v>37</v>
      </c>
      <c r="B162">
        <v>2022</v>
      </c>
      <c r="C162">
        <v>0</v>
      </c>
      <c r="D162" t="s">
        <v>66</v>
      </c>
    </row>
    <row r="163" spans="1:4">
      <c r="A163" t="s">
        <v>37</v>
      </c>
      <c r="B163">
        <v>2023</v>
      </c>
      <c r="C163">
        <v>1</v>
      </c>
      <c r="D163" t="s">
        <v>66</v>
      </c>
    </row>
    <row r="164" spans="1:4">
      <c r="A164" t="s">
        <v>37</v>
      </c>
      <c r="B164">
        <v>2024</v>
      </c>
      <c r="C164">
        <v>9.5220000000000002</v>
      </c>
      <c r="D164" t="s">
        <v>66</v>
      </c>
    </row>
    <row r="165" spans="1:4">
      <c r="A165" t="s">
        <v>37</v>
      </c>
      <c r="B165">
        <v>2025</v>
      </c>
      <c r="C165">
        <v>0</v>
      </c>
      <c r="D165" t="s">
        <v>66</v>
      </c>
    </row>
    <row r="166" spans="1:4">
      <c r="A166" t="s">
        <v>41</v>
      </c>
      <c r="B166">
        <v>2022</v>
      </c>
      <c r="C166">
        <v>0</v>
      </c>
      <c r="D166" t="s">
        <v>66</v>
      </c>
    </row>
    <row r="167" spans="1:4">
      <c r="A167" t="s">
        <v>41</v>
      </c>
      <c r="B167">
        <v>2023</v>
      </c>
      <c r="C167">
        <v>1</v>
      </c>
      <c r="D167" t="s">
        <v>66</v>
      </c>
    </row>
    <row r="168" spans="1:4">
      <c r="A168" t="s">
        <v>41</v>
      </c>
      <c r="B168">
        <v>2024</v>
      </c>
      <c r="C168">
        <v>0</v>
      </c>
      <c r="D168" t="s">
        <v>66</v>
      </c>
    </row>
    <row r="169" spans="1:4">
      <c r="A169" t="s">
        <v>41</v>
      </c>
      <c r="B169">
        <v>2025</v>
      </c>
      <c r="C169">
        <v>0</v>
      </c>
      <c r="D169" t="s">
        <v>66</v>
      </c>
    </row>
    <row r="170" spans="1:4">
      <c r="A170" t="s">
        <v>27</v>
      </c>
      <c r="B170">
        <v>2022</v>
      </c>
      <c r="C170">
        <v>0</v>
      </c>
      <c r="D170" t="s">
        <v>67</v>
      </c>
    </row>
    <row r="171" spans="1:4">
      <c r="A171" t="s">
        <v>27</v>
      </c>
      <c r="B171">
        <v>2023</v>
      </c>
      <c r="C171">
        <v>0</v>
      </c>
      <c r="D171" t="s">
        <v>67</v>
      </c>
    </row>
    <row r="172" spans="1:4">
      <c r="A172" t="s">
        <v>27</v>
      </c>
      <c r="B172">
        <v>2024</v>
      </c>
      <c r="C172">
        <v>52.35</v>
      </c>
      <c r="D172" t="s">
        <v>67</v>
      </c>
    </row>
    <row r="173" spans="1:4">
      <c r="A173" t="s">
        <v>27</v>
      </c>
      <c r="B173">
        <v>2025</v>
      </c>
      <c r="C173">
        <v>54.329000000000001</v>
      </c>
      <c r="D173" t="s">
        <v>67</v>
      </c>
    </row>
    <row r="174" spans="1:4">
      <c r="A174" t="s">
        <v>28</v>
      </c>
      <c r="B174">
        <v>2022</v>
      </c>
      <c r="C174">
        <v>0</v>
      </c>
      <c r="D174" t="s">
        <v>67</v>
      </c>
    </row>
    <row r="175" spans="1:4">
      <c r="A175" t="s">
        <v>28</v>
      </c>
      <c r="B175">
        <v>2023</v>
      </c>
      <c r="C175">
        <v>0</v>
      </c>
      <c r="D175" t="s">
        <v>67</v>
      </c>
    </row>
    <row r="176" spans="1:4">
      <c r="A176" t="s">
        <v>28</v>
      </c>
      <c r="B176">
        <v>2024</v>
      </c>
      <c r="C176">
        <v>268.71499999999997</v>
      </c>
      <c r="D176" t="s">
        <v>67</v>
      </c>
    </row>
    <row r="177" spans="1:4">
      <c r="A177" t="s">
        <v>28</v>
      </c>
      <c r="B177">
        <v>2025</v>
      </c>
      <c r="C177">
        <v>579.09</v>
      </c>
      <c r="D177" t="s">
        <v>67</v>
      </c>
    </row>
    <row r="178" spans="1:4">
      <c r="A178" t="s">
        <v>29</v>
      </c>
      <c r="B178">
        <v>2022</v>
      </c>
      <c r="C178">
        <v>352.63600000000002</v>
      </c>
      <c r="D178" t="s">
        <v>67</v>
      </c>
    </row>
    <row r="179" spans="1:4">
      <c r="A179" t="s">
        <v>29</v>
      </c>
      <c r="B179">
        <v>2023</v>
      </c>
      <c r="C179">
        <v>0</v>
      </c>
      <c r="D179" t="s">
        <v>67</v>
      </c>
    </row>
    <row r="180" spans="1:4">
      <c r="A180" t="s">
        <v>29</v>
      </c>
      <c r="B180">
        <v>2024</v>
      </c>
      <c r="C180">
        <v>2158.7979999999998</v>
      </c>
      <c r="D180" t="s">
        <v>67</v>
      </c>
    </row>
    <row r="181" spans="1:4">
      <c r="A181" t="s">
        <v>29</v>
      </c>
      <c r="B181">
        <v>2025</v>
      </c>
      <c r="C181">
        <v>780.60199999999998</v>
      </c>
      <c r="D181" t="s">
        <v>67</v>
      </c>
    </row>
    <row r="182" spans="1:4">
      <c r="A182" t="s">
        <v>30</v>
      </c>
      <c r="B182">
        <v>2022</v>
      </c>
      <c r="C182">
        <v>0</v>
      </c>
      <c r="D182" t="s">
        <v>67</v>
      </c>
    </row>
    <row r="183" spans="1:4">
      <c r="A183" t="s">
        <v>30</v>
      </c>
      <c r="B183">
        <v>2023</v>
      </c>
      <c r="C183">
        <v>0</v>
      </c>
      <c r="D183" t="s">
        <v>67</v>
      </c>
    </row>
    <row r="184" spans="1:4">
      <c r="A184" t="s">
        <v>30</v>
      </c>
      <c r="B184">
        <v>2024</v>
      </c>
      <c r="C184">
        <v>96.9</v>
      </c>
      <c r="D184" t="s">
        <v>67</v>
      </c>
    </row>
    <row r="185" spans="1:4">
      <c r="A185" t="s">
        <v>30</v>
      </c>
      <c r="B185">
        <v>2025</v>
      </c>
      <c r="C185">
        <v>280.298</v>
      </c>
      <c r="D185" t="s">
        <v>67</v>
      </c>
    </row>
    <row r="186" spans="1:4">
      <c r="A186" t="s">
        <v>31</v>
      </c>
      <c r="B186">
        <v>2022</v>
      </c>
      <c r="C186">
        <v>0</v>
      </c>
      <c r="D186" t="s">
        <v>67</v>
      </c>
    </row>
    <row r="187" spans="1:4">
      <c r="A187" t="s">
        <v>31</v>
      </c>
      <c r="B187">
        <v>2023</v>
      </c>
      <c r="C187">
        <v>0</v>
      </c>
      <c r="D187" t="s">
        <v>67</v>
      </c>
    </row>
    <row r="188" spans="1:4">
      <c r="A188" t="s">
        <v>31</v>
      </c>
      <c r="B188">
        <v>2024</v>
      </c>
      <c r="C188">
        <v>68.39</v>
      </c>
      <c r="D188" t="s">
        <v>67</v>
      </c>
    </row>
    <row r="189" spans="1:4">
      <c r="A189" t="s">
        <v>31</v>
      </c>
      <c r="B189">
        <v>2025</v>
      </c>
      <c r="C189">
        <v>21.5352</v>
      </c>
      <c r="D189" t="s">
        <v>67</v>
      </c>
    </row>
    <row r="190" spans="1:4">
      <c r="A190" t="s">
        <v>32</v>
      </c>
      <c r="B190">
        <v>2022</v>
      </c>
      <c r="C190">
        <v>10</v>
      </c>
      <c r="D190" t="s">
        <v>67</v>
      </c>
    </row>
    <row r="191" spans="1:4">
      <c r="A191" t="s">
        <v>32</v>
      </c>
      <c r="B191">
        <v>2023</v>
      </c>
      <c r="C191">
        <v>0</v>
      </c>
      <c r="D191" t="s">
        <v>67</v>
      </c>
    </row>
    <row r="192" spans="1:4">
      <c r="A192" t="s">
        <v>32</v>
      </c>
      <c r="B192">
        <v>2024</v>
      </c>
      <c r="C192">
        <v>189.5</v>
      </c>
      <c r="D192" t="s">
        <v>67</v>
      </c>
    </row>
    <row r="193" spans="1:4">
      <c r="A193" t="s">
        <v>32</v>
      </c>
      <c r="B193">
        <v>2025</v>
      </c>
      <c r="C193">
        <v>281.49935999999997</v>
      </c>
      <c r="D193" t="s">
        <v>67</v>
      </c>
    </row>
    <row r="194" spans="1:4">
      <c r="A194" t="s">
        <v>35</v>
      </c>
      <c r="B194">
        <v>2022</v>
      </c>
      <c r="C194">
        <v>0</v>
      </c>
      <c r="D194" t="s">
        <v>67</v>
      </c>
    </row>
    <row r="195" spans="1:4">
      <c r="A195" t="s">
        <v>35</v>
      </c>
      <c r="B195">
        <v>2023</v>
      </c>
      <c r="C195">
        <v>0</v>
      </c>
      <c r="D195" t="s">
        <v>67</v>
      </c>
    </row>
    <row r="196" spans="1:4">
      <c r="A196" t="s">
        <v>35</v>
      </c>
      <c r="B196">
        <v>2024</v>
      </c>
      <c r="C196">
        <v>0</v>
      </c>
      <c r="D196" t="s">
        <v>67</v>
      </c>
    </row>
    <row r="197" spans="1:4">
      <c r="A197" t="s">
        <v>35</v>
      </c>
      <c r="B197">
        <v>2025</v>
      </c>
      <c r="C197">
        <v>6.61</v>
      </c>
      <c r="D197" t="s">
        <v>67</v>
      </c>
    </row>
    <row r="198" spans="1:4">
      <c r="A198" t="s">
        <v>33</v>
      </c>
      <c r="B198">
        <v>2022</v>
      </c>
      <c r="C198">
        <v>10</v>
      </c>
      <c r="D198" t="s">
        <v>67</v>
      </c>
    </row>
    <row r="199" spans="1:4">
      <c r="A199" t="s">
        <v>33</v>
      </c>
      <c r="B199">
        <v>2023</v>
      </c>
      <c r="C199">
        <v>0</v>
      </c>
      <c r="D199" t="s">
        <v>67</v>
      </c>
    </row>
    <row r="200" spans="1:4">
      <c r="A200" t="s">
        <v>33</v>
      </c>
      <c r="B200">
        <v>2024</v>
      </c>
      <c r="C200">
        <v>25.5</v>
      </c>
      <c r="D200" t="s">
        <v>67</v>
      </c>
    </row>
    <row r="201" spans="1:4">
      <c r="A201" t="s">
        <v>33</v>
      </c>
      <c r="B201">
        <v>2025</v>
      </c>
      <c r="C201">
        <v>0</v>
      </c>
      <c r="D201" t="s">
        <v>67</v>
      </c>
    </row>
    <row r="202" spans="1:4">
      <c r="A202" t="s">
        <v>34</v>
      </c>
      <c r="B202">
        <v>2022</v>
      </c>
      <c r="C202">
        <v>0</v>
      </c>
      <c r="D202" t="s">
        <v>67</v>
      </c>
    </row>
    <row r="203" spans="1:4">
      <c r="A203" t="s">
        <v>34</v>
      </c>
      <c r="B203">
        <v>2023</v>
      </c>
      <c r="C203">
        <v>0</v>
      </c>
      <c r="D203" t="s">
        <v>67</v>
      </c>
    </row>
    <row r="204" spans="1:4">
      <c r="A204" t="s">
        <v>34</v>
      </c>
      <c r="B204">
        <v>2024</v>
      </c>
      <c r="C204">
        <v>0</v>
      </c>
      <c r="D204" t="s">
        <v>67</v>
      </c>
    </row>
    <row r="205" spans="1:4">
      <c r="A205" t="s">
        <v>34</v>
      </c>
      <c r="B205">
        <v>2025</v>
      </c>
      <c r="C205">
        <v>465.02300000000002</v>
      </c>
      <c r="D205" t="s">
        <v>67</v>
      </c>
    </row>
    <row r="206" spans="1:4">
      <c r="A206" t="s">
        <v>38</v>
      </c>
      <c r="B206">
        <v>2022</v>
      </c>
      <c r="C206">
        <v>0</v>
      </c>
      <c r="D206" t="s">
        <v>67</v>
      </c>
    </row>
    <row r="207" spans="1:4">
      <c r="A207" t="s">
        <v>38</v>
      </c>
      <c r="B207">
        <v>2023</v>
      </c>
      <c r="C207">
        <v>0</v>
      </c>
      <c r="D207" t="s">
        <v>67</v>
      </c>
    </row>
    <row r="208" spans="1:4">
      <c r="A208" t="s">
        <v>38</v>
      </c>
      <c r="B208">
        <v>2024</v>
      </c>
      <c r="C208">
        <v>0</v>
      </c>
      <c r="D208" t="s">
        <v>67</v>
      </c>
    </row>
    <row r="209" spans="1:4">
      <c r="A209" t="s">
        <v>38</v>
      </c>
      <c r="B209">
        <v>2025</v>
      </c>
      <c r="C209">
        <v>303.33049999999997</v>
      </c>
      <c r="D209" t="s">
        <v>67</v>
      </c>
    </row>
    <row r="210" spans="1:4">
      <c r="A210" t="s">
        <v>39</v>
      </c>
      <c r="B210">
        <v>2022</v>
      </c>
      <c r="C210">
        <v>36526.173999999999</v>
      </c>
      <c r="D210" t="s">
        <v>67</v>
      </c>
    </row>
    <row r="211" spans="1:4">
      <c r="A211" t="s">
        <v>39</v>
      </c>
      <c r="B211">
        <v>2023</v>
      </c>
      <c r="C211">
        <v>0</v>
      </c>
      <c r="D211" t="s">
        <v>67</v>
      </c>
    </row>
    <row r="212" spans="1:4">
      <c r="A212" t="s">
        <v>39</v>
      </c>
      <c r="B212">
        <v>2024</v>
      </c>
      <c r="C212">
        <v>1294.125</v>
      </c>
      <c r="D212" t="s">
        <v>67</v>
      </c>
    </row>
    <row r="213" spans="1:4">
      <c r="A213" t="s">
        <v>39</v>
      </c>
      <c r="B213">
        <v>2025</v>
      </c>
      <c r="C213">
        <v>0</v>
      </c>
      <c r="D213" t="s">
        <v>67</v>
      </c>
    </row>
    <row r="214" spans="1:4">
      <c r="A214" t="s">
        <v>36</v>
      </c>
      <c r="B214">
        <v>2022</v>
      </c>
      <c r="C214">
        <v>0</v>
      </c>
      <c r="D214" t="s">
        <v>67</v>
      </c>
    </row>
    <row r="215" spans="1:4">
      <c r="A215" t="s">
        <v>36</v>
      </c>
      <c r="B215">
        <v>2023</v>
      </c>
      <c r="C215">
        <v>0</v>
      </c>
      <c r="D215" t="s">
        <v>67</v>
      </c>
    </row>
    <row r="216" spans="1:4">
      <c r="A216" t="s">
        <v>36</v>
      </c>
      <c r="B216">
        <v>2024</v>
      </c>
      <c r="C216">
        <v>44.377000000000002</v>
      </c>
      <c r="D216" t="s">
        <v>67</v>
      </c>
    </row>
    <row r="217" spans="1:4">
      <c r="A217" t="s">
        <v>36</v>
      </c>
      <c r="B217">
        <v>2025</v>
      </c>
      <c r="C217">
        <v>349.142</v>
      </c>
      <c r="D217" t="s">
        <v>67</v>
      </c>
    </row>
    <row r="218" spans="1:4">
      <c r="A218" t="s">
        <v>37</v>
      </c>
      <c r="B218">
        <v>2022</v>
      </c>
      <c r="C218">
        <v>0</v>
      </c>
      <c r="D218" t="s">
        <v>67</v>
      </c>
    </row>
    <row r="219" spans="1:4">
      <c r="A219" t="s">
        <v>37</v>
      </c>
      <c r="B219">
        <v>2023</v>
      </c>
      <c r="C219">
        <v>0</v>
      </c>
      <c r="D219" t="s">
        <v>67</v>
      </c>
    </row>
    <row r="220" spans="1:4">
      <c r="A220" t="s">
        <v>37</v>
      </c>
      <c r="B220">
        <v>2024</v>
      </c>
      <c r="C220">
        <v>0</v>
      </c>
      <c r="D220" t="s">
        <v>67</v>
      </c>
    </row>
    <row r="221" spans="1:4">
      <c r="A221" t="s">
        <v>37</v>
      </c>
      <c r="B221">
        <v>2025</v>
      </c>
      <c r="C221">
        <v>0</v>
      </c>
      <c r="D221" t="s">
        <v>67</v>
      </c>
    </row>
    <row r="222" spans="1:4">
      <c r="A222" t="s">
        <v>41</v>
      </c>
      <c r="B222">
        <v>2022</v>
      </c>
      <c r="C222">
        <v>0</v>
      </c>
      <c r="D222" t="s">
        <v>67</v>
      </c>
    </row>
    <row r="223" spans="1:4">
      <c r="A223" t="s">
        <v>41</v>
      </c>
      <c r="B223">
        <v>2023</v>
      </c>
      <c r="C223">
        <v>0</v>
      </c>
      <c r="D223" t="s">
        <v>67</v>
      </c>
    </row>
    <row r="224" spans="1:4">
      <c r="A224" t="s">
        <v>41</v>
      </c>
      <c r="B224">
        <v>2024</v>
      </c>
      <c r="C224">
        <v>0</v>
      </c>
      <c r="D224" t="s">
        <v>67</v>
      </c>
    </row>
    <row r="225" spans="1:4">
      <c r="A225" t="s">
        <v>41</v>
      </c>
      <c r="B225">
        <v>2025</v>
      </c>
      <c r="C225">
        <v>0</v>
      </c>
      <c r="D225" t="s">
        <v>67</v>
      </c>
    </row>
    <row r="226" spans="1:4">
      <c r="A226" t="s">
        <v>27</v>
      </c>
      <c r="B226">
        <v>2022</v>
      </c>
      <c r="C226">
        <v>0</v>
      </c>
      <c r="D226" t="s">
        <v>68</v>
      </c>
    </row>
    <row r="227" spans="1:4">
      <c r="A227" t="s">
        <v>27</v>
      </c>
      <c r="B227">
        <v>2023</v>
      </c>
      <c r="C227">
        <v>0</v>
      </c>
      <c r="D227" t="s">
        <v>68</v>
      </c>
    </row>
    <row r="228" spans="1:4">
      <c r="A228" t="s">
        <v>27</v>
      </c>
      <c r="B228">
        <v>2024</v>
      </c>
      <c r="C228">
        <v>0</v>
      </c>
      <c r="D228" t="s">
        <v>68</v>
      </c>
    </row>
    <row r="229" spans="1:4">
      <c r="A229" t="s">
        <v>27</v>
      </c>
      <c r="B229">
        <v>2025</v>
      </c>
      <c r="C229">
        <v>0</v>
      </c>
      <c r="D229" t="s">
        <v>68</v>
      </c>
    </row>
    <row r="230" spans="1:4">
      <c r="A230" t="s">
        <v>28</v>
      </c>
      <c r="B230">
        <v>2022</v>
      </c>
      <c r="C230">
        <v>0</v>
      </c>
      <c r="D230" t="s">
        <v>68</v>
      </c>
    </row>
    <row r="231" spans="1:4">
      <c r="A231" t="s">
        <v>28</v>
      </c>
      <c r="B231">
        <v>2023</v>
      </c>
      <c r="C231">
        <v>0</v>
      </c>
      <c r="D231" t="s">
        <v>68</v>
      </c>
    </row>
    <row r="232" spans="1:4">
      <c r="A232" t="s">
        <v>28</v>
      </c>
      <c r="B232">
        <v>2024</v>
      </c>
      <c r="C232">
        <v>0</v>
      </c>
      <c r="D232" t="s">
        <v>68</v>
      </c>
    </row>
    <row r="233" spans="1:4">
      <c r="A233" t="s">
        <v>28</v>
      </c>
      <c r="B233">
        <v>2025</v>
      </c>
      <c r="C233">
        <v>0</v>
      </c>
      <c r="D233" t="s">
        <v>68</v>
      </c>
    </row>
    <row r="234" spans="1:4">
      <c r="A234" t="s">
        <v>29</v>
      </c>
      <c r="B234">
        <v>2022</v>
      </c>
      <c r="C234">
        <v>0</v>
      </c>
      <c r="D234" t="s">
        <v>68</v>
      </c>
    </row>
    <row r="235" spans="1:4">
      <c r="A235" t="s">
        <v>29</v>
      </c>
      <c r="B235">
        <v>2023</v>
      </c>
      <c r="C235">
        <v>0</v>
      </c>
      <c r="D235" t="s">
        <v>68</v>
      </c>
    </row>
    <row r="236" spans="1:4">
      <c r="A236" t="s">
        <v>29</v>
      </c>
      <c r="B236">
        <v>2024</v>
      </c>
      <c r="C236">
        <v>0</v>
      </c>
      <c r="D236" t="s">
        <v>68</v>
      </c>
    </row>
    <row r="237" spans="1:4">
      <c r="A237" t="s">
        <v>29</v>
      </c>
      <c r="B237">
        <v>2025</v>
      </c>
      <c r="C237">
        <v>0</v>
      </c>
      <c r="D237" t="s">
        <v>68</v>
      </c>
    </row>
    <row r="238" spans="1:4">
      <c r="A238" t="s">
        <v>30</v>
      </c>
      <c r="B238">
        <v>2022</v>
      </c>
      <c r="C238">
        <v>0</v>
      </c>
      <c r="D238" t="s">
        <v>68</v>
      </c>
    </row>
    <row r="239" spans="1:4">
      <c r="A239" t="s">
        <v>30</v>
      </c>
      <c r="B239">
        <v>2023</v>
      </c>
      <c r="C239">
        <v>0</v>
      </c>
      <c r="D239" t="s">
        <v>68</v>
      </c>
    </row>
    <row r="240" spans="1:4">
      <c r="A240" t="s">
        <v>30</v>
      </c>
      <c r="B240">
        <v>2024</v>
      </c>
      <c r="C240">
        <v>0</v>
      </c>
      <c r="D240" t="s">
        <v>68</v>
      </c>
    </row>
    <row r="241" spans="1:4">
      <c r="A241" t="s">
        <v>30</v>
      </c>
      <c r="B241">
        <v>2025</v>
      </c>
      <c r="C241">
        <v>0</v>
      </c>
      <c r="D241" t="s">
        <v>68</v>
      </c>
    </row>
    <row r="242" spans="1:4">
      <c r="A242" t="s">
        <v>31</v>
      </c>
      <c r="B242">
        <v>2022</v>
      </c>
      <c r="C242">
        <v>0</v>
      </c>
      <c r="D242" t="s">
        <v>68</v>
      </c>
    </row>
    <row r="243" spans="1:4">
      <c r="A243" t="s">
        <v>31</v>
      </c>
      <c r="B243">
        <v>2023</v>
      </c>
      <c r="C243">
        <v>0</v>
      </c>
      <c r="D243" t="s">
        <v>68</v>
      </c>
    </row>
    <row r="244" spans="1:4">
      <c r="A244" t="s">
        <v>31</v>
      </c>
      <c r="B244">
        <v>2024</v>
      </c>
      <c r="C244">
        <v>0</v>
      </c>
      <c r="D244" t="s">
        <v>68</v>
      </c>
    </row>
    <row r="245" spans="1:4">
      <c r="A245" t="s">
        <v>31</v>
      </c>
      <c r="B245">
        <v>2025</v>
      </c>
      <c r="C245">
        <v>0</v>
      </c>
      <c r="D245" t="s">
        <v>68</v>
      </c>
    </row>
    <row r="246" spans="1:4">
      <c r="A246" t="s">
        <v>32</v>
      </c>
      <c r="B246">
        <v>2022</v>
      </c>
      <c r="C246">
        <v>0</v>
      </c>
      <c r="D246" t="s">
        <v>68</v>
      </c>
    </row>
    <row r="247" spans="1:4">
      <c r="A247" t="s">
        <v>32</v>
      </c>
      <c r="B247">
        <v>2023</v>
      </c>
      <c r="C247">
        <v>0</v>
      </c>
      <c r="D247" t="s">
        <v>68</v>
      </c>
    </row>
    <row r="248" spans="1:4">
      <c r="A248" t="s">
        <v>32</v>
      </c>
      <c r="B248">
        <v>2024</v>
      </c>
      <c r="C248">
        <v>0</v>
      </c>
      <c r="D248" t="s">
        <v>68</v>
      </c>
    </row>
    <row r="249" spans="1:4">
      <c r="A249" t="s">
        <v>32</v>
      </c>
      <c r="B249">
        <v>2025</v>
      </c>
      <c r="C249">
        <v>0</v>
      </c>
      <c r="D249" t="s">
        <v>68</v>
      </c>
    </row>
    <row r="250" spans="1:4">
      <c r="A250" t="s">
        <v>35</v>
      </c>
      <c r="B250">
        <v>2022</v>
      </c>
      <c r="C250">
        <v>0</v>
      </c>
      <c r="D250" t="s">
        <v>68</v>
      </c>
    </row>
    <row r="251" spans="1:4">
      <c r="A251" t="s">
        <v>35</v>
      </c>
      <c r="B251">
        <v>2023</v>
      </c>
      <c r="C251">
        <v>0</v>
      </c>
      <c r="D251" t="s">
        <v>68</v>
      </c>
    </row>
    <row r="252" spans="1:4">
      <c r="A252" t="s">
        <v>35</v>
      </c>
      <c r="B252">
        <v>2024</v>
      </c>
      <c r="C252">
        <v>0</v>
      </c>
      <c r="D252" t="s">
        <v>68</v>
      </c>
    </row>
    <row r="253" spans="1:4">
      <c r="A253" t="s">
        <v>35</v>
      </c>
      <c r="B253">
        <v>2025</v>
      </c>
      <c r="C253">
        <v>0</v>
      </c>
      <c r="D253" t="s">
        <v>68</v>
      </c>
    </row>
    <row r="254" spans="1:4">
      <c r="A254" t="s">
        <v>33</v>
      </c>
      <c r="B254">
        <v>2022</v>
      </c>
      <c r="C254">
        <v>0</v>
      </c>
      <c r="D254" t="s">
        <v>68</v>
      </c>
    </row>
    <row r="255" spans="1:4">
      <c r="A255" t="s">
        <v>33</v>
      </c>
      <c r="B255">
        <v>2023</v>
      </c>
      <c r="C255">
        <v>0</v>
      </c>
      <c r="D255" t="s">
        <v>68</v>
      </c>
    </row>
    <row r="256" spans="1:4">
      <c r="A256" t="s">
        <v>33</v>
      </c>
      <c r="B256">
        <v>2024</v>
      </c>
      <c r="C256">
        <v>0</v>
      </c>
      <c r="D256" t="s">
        <v>68</v>
      </c>
    </row>
    <row r="257" spans="1:4">
      <c r="A257" t="s">
        <v>33</v>
      </c>
      <c r="B257">
        <v>2025</v>
      </c>
      <c r="C257">
        <v>0</v>
      </c>
      <c r="D257" t="s">
        <v>68</v>
      </c>
    </row>
    <row r="258" spans="1:4">
      <c r="A258" t="s">
        <v>34</v>
      </c>
      <c r="B258">
        <v>2022</v>
      </c>
      <c r="C258">
        <v>0</v>
      </c>
      <c r="D258" t="s">
        <v>68</v>
      </c>
    </row>
    <row r="259" spans="1:4">
      <c r="A259" t="s">
        <v>34</v>
      </c>
      <c r="B259">
        <v>2023</v>
      </c>
      <c r="C259">
        <v>0</v>
      </c>
      <c r="D259" t="s">
        <v>68</v>
      </c>
    </row>
    <row r="260" spans="1:4">
      <c r="A260" t="s">
        <v>34</v>
      </c>
      <c r="B260">
        <v>2024</v>
      </c>
      <c r="C260">
        <v>0</v>
      </c>
      <c r="D260" t="s">
        <v>68</v>
      </c>
    </row>
    <row r="261" spans="1:4">
      <c r="A261" t="s">
        <v>34</v>
      </c>
      <c r="B261">
        <v>2025</v>
      </c>
      <c r="C261">
        <v>0</v>
      </c>
      <c r="D261" t="s">
        <v>68</v>
      </c>
    </row>
    <row r="262" spans="1:4">
      <c r="A262" t="s">
        <v>38</v>
      </c>
      <c r="B262">
        <v>2022</v>
      </c>
      <c r="C262">
        <v>0</v>
      </c>
      <c r="D262" t="s">
        <v>68</v>
      </c>
    </row>
    <row r="263" spans="1:4">
      <c r="A263" t="s">
        <v>38</v>
      </c>
      <c r="B263">
        <v>2023</v>
      </c>
      <c r="C263">
        <v>0</v>
      </c>
      <c r="D263" t="s">
        <v>68</v>
      </c>
    </row>
    <row r="264" spans="1:4">
      <c r="A264" t="s">
        <v>38</v>
      </c>
      <c r="B264">
        <v>2024</v>
      </c>
      <c r="C264">
        <v>0</v>
      </c>
      <c r="D264" t="s">
        <v>68</v>
      </c>
    </row>
    <row r="265" spans="1:4">
      <c r="A265" t="s">
        <v>38</v>
      </c>
      <c r="B265">
        <v>2025</v>
      </c>
      <c r="C265">
        <v>0</v>
      </c>
      <c r="D265" t="s">
        <v>68</v>
      </c>
    </row>
    <row r="266" spans="1:4">
      <c r="A266" t="s">
        <v>39</v>
      </c>
      <c r="B266">
        <v>2022</v>
      </c>
      <c r="C266">
        <v>0</v>
      </c>
      <c r="D266" t="s">
        <v>68</v>
      </c>
    </row>
    <row r="267" spans="1:4">
      <c r="A267" t="s">
        <v>39</v>
      </c>
      <c r="B267">
        <v>2023</v>
      </c>
      <c r="C267">
        <v>0</v>
      </c>
      <c r="D267" t="s">
        <v>68</v>
      </c>
    </row>
    <row r="268" spans="1:4">
      <c r="A268" t="s">
        <v>39</v>
      </c>
      <c r="B268">
        <v>2024</v>
      </c>
      <c r="C268">
        <v>0</v>
      </c>
      <c r="D268" t="s">
        <v>68</v>
      </c>
    </row>
    <row r="269" spans="1:4">
      <c r="A269" t="s">
        <v>39</v>
      </c>
      <c r="B269">
        <v>2025</v>
      </c>
      <c r="C269">
        <v>0</v>
      </c>
      <c r="D269" t="s">
        <v>68</v>
      </c>
    </row>
    <row r="270" spans="1:4">
      <c r="A270" t="s">
        <v>36</v>
      </c>
      <c r="B270">
        <v>2022</v>
      </c>
      <c r="C270">
        <v>0</v>
      </c>
      <c r="D270" t="s">
        <v>68</v>
      </c>
    </row>
    <row r="271" spans="1:4">
      <c r="A271" t="s">
        <v>36</v>
      </c>
      <c r="B271">
        <v>2023</v>
      </c>
      <c r="C271">
        <v>0</v>
      </c>
      <c r="D271" t="s">
        <v>68</v>
      </c>
    </row>
    <row r="272" spans="1:4">
      <c r="A272" t="s">
        <v>36</v>
      </c>
      <c r="B272">
        <v>2024</v>
      </c>
      <c r="C272">
        <v>0</v>
      </c>
      <c r="D272" t="s">
        <v>68</v>
      </c>
    </row>
    <row r="273" spans="1:4">
      <c r="A273" t="s">
        <v>36</v>
      </c>
      <c r="B273">
        <v>2025</v>
      </c>
      <c r="C273">
        <v>0</v>
      </c>
      <c r="D273" t="s">
        <v>68</v>
      </c>
    </row>
    <row r="274" spans="1:4">
      <c r="A274" t="s">
        <v>37</v>
      </c>
      <c r="B274">
        <v>2022</v>
      </c>
      <c r="C274">
        <v>16.5</v>
      </c>
      <c r="D274" t="s">
        <v>68</v>
      </c>
    </row>
    <row r="275" spans="1:4">
      <c r="A275" t="s">
        <v>37</v>
      </c>
      <c r="B275">
        <v>2023</v>
      </c>
      <c r="C275">
        <v>0</v>
      </c>
      <c r="D275" t="s">
        <v>68</v>
      </c>
    </row>
    <row r="276" spans="1:4">
      <c r="A276" t="s">
        <v>37</v>
      </c>
      <c r="B276">
        <v>2024</v>
      </c>
      <c r="C276">
        <v>0</v>
      </c>
      <c r="D276" t="s">
        <v>68</v>
      </c>
    </row>
    <row r="277" spans="1:4">
      <c r="A277" t="s">
        <v>37</v>
      </c>
      <c r="B277">
        <v>2025</v>
      </c>
      <c r="C277">
        <v>0</v>
      </c>
      <c r="D277" t="s">
        <v>68</v>
      </c>
    </row>
    <row r="278" spans="1:4">
      <c r="A278" t="s">
        <v>41</v>
      </c>
      <c r="B278">
        <v>2022</v>
      </c>
      <c r="C278">
        <v>0</v>
      </c>
      <c r="D278" t="s">
        <v>68</v>
      </c>
    </row>
    <row r="279" spans="1:4">
      <c r="A279" t="s">
        <v>41</v>
      </c>
      <c r="B279">
        <v>2023</v>
      </c>
      <c r="C279">
        <v>0</v>
      </c>
      <c r="D279" t="s">
        <v>68</v>
      </c>
    </row>
    <row r="280" spans="1:4">
      <c r="A280" t="s">
        <v>41</v>
      </c>
      <c r="B280">
        <v>2024</v>
      </c>
      <c r="C280">
        <v>0</v>
      </c>
      <c r="D280" t="s">
        <v>68</v>
      </c>
    </row>
    <row r="281" spans="1:4">
      <c r="A281" t="s">
        <v>41</v>
      </c>
      <c r="B281">
        <v>2025</v>
      </c>
      <c r="C281">
        <v>0</v>
      </c>
      <c r="D281" t="s">
        <v>68</v>
      </c>
    </row>
    <row r="282" spans="1:4">
      <c r="A282" t="s">
        <v>27</v>
      </c>
      <c r="B282">
        <v>2022</v>
      </c>
      <c r="C282">
        <v>0</v>
      </c>
      <c r="D282" t="s">
        <v>69</v>
      </c>
    </row>
    <row r="283" spans="1:4">
      <c r="A283" t="s">
        <v>27</v>
      </c>
      <c r="B283">
        <v>2023</v>
      </c>
      <c r="C283">
        <v>0</v>
      </c>
      <c r="D283" t="s">
        <v>69</v>
      </c>
    </row>
    <row r="284" spans="1:4">
      <c r="A284" t="s">
        <v>27</v>
      </c>
      <c r="B284">
        <v>2024</v>
      </c>
      <c r="C284">
        <v>18</v>
      </c>
      <c r="D284" t="s">
        <v>69</v>
      </c>
    </row>
    <row r="285" spans="1:4">
      <c r="A285" t="s">
        <v>27</v>
      </c>
      <c r="B285">
        <v>2025</v>
      </c>
      <c r="C285">
        <v>0</v>
      </c>
      <c r="D285" t="s">
        <v>69</v>
      </c>
    </row>
    <row r="286" spans="1:4">
      <c r="A286" t="s">
        <v>28</v>
      </c>
      <c r="B286">
        <v>2022</v>
      </c>
      <c r="C286">
        <v>0</v>
      </c>
      <c r="D286" t="s">
        <v>69</v>
      </c>
    </row>
    <row r="287" spans="1:4">
      <c r="A287" t="s">
        <v>28</v>
      </c>
      <c r="B287">
        <v>2023</v>
      </c>
      <c r="C287">
        <v>0</v>
      </c>
      <c r="D287" t="s">
        <v>69</v>
      </c>
    </row>
    <row r="288" spans="1:4">
      <c r="A288" t="s">
        <v>28</v>
      </c>
      <c r="B288">
        <v>2024</v>
      </c>
      <c r="C288">
        <v>4.3319999999999999</v>
      </c>
      <c r="D288" t="s">
        <v>69</v>
      </c>
    </row>
    <row r="289" spans="1:4">
      <c r="A289" t="s">
        <v>28</v>
      </c>
      <c r="B289">
        <v>2025</v>
      </c>
      <c r="C289">
        <v>0</v>
      </c>
      <c r="D289" t="s">
        <v>69</v>
      </c>
    </row>
    <row r="290" spans="1:4">
      <c r="A290" t="s">
        <v>29</v>
      </c>
      <c r="B290">
        <v>2022</v>
      </c>
      <c r="C290">
        <v>65</v>
      </c>
      <c r="D290" t="s">
        <v>69</v>
      </c>
    </row>
    <row r="291" spans="1:4">
      <c r="A291" t="s">
        <v>29</v>
      </c>
      <c r="B291">
        <v>2023</v>
      </c>
      <c r="C291">
        <v>0</v>
      </c>
      <c r="D291" t="s">
        <v>69</v>
      </c>
    </row>
    <row r="292" spans="1:4">
      <c r="A292" t="s">
        <v>29</v>
      </c>
      <c r="B292">
        <v>2024</v>
      </c>
      <c r="C292">
        <v>346</v>
      </c>
      <c r="D292" t="s">
        <v>69</v>
      </c>
    </row>
    <row r="293" spans="1:4">
      <c r="A293" t="s">
        <v>29</v>
      </c>
      <c r="B293">
        <v>2025</v>
      </c>
      <c r="C293">
        <v>4.0999999999999996</v>
      </c>
      <c r="D293" t="s">
        <v>69</v>
      </c>
    </row>
    <row r="294" spans="1:4">
      <c r="A294" t="s">
        <v>30</v>
      </c>
      <c r="B294">
        <v>2022</v>
      </c>
      <c r="C294">
        <v>0</v>
      </c>
      <c r="D294" t="s">
        <v>69</v>
      </c>
    </row>
    <row r="295" spans="1:4">
      <c r="A295" t="s">
        <v>30</v>
      </c>
      <c r="B295">
        <v>2023</v>
      </c>
      <c r="C295">
        <v>0</v>
      </c>
      <c r="D295" t="s">
        <v>69</v>
      </c>
    </row>
    <row r="296" spans="1:4">
      <c r="A296" t="s">
        <v>30</v>
      </c>
      <c r="B296">
        <v>2024</v>
      </c>
      <c r="C296">
        <v>0</v>
      </c>
      <c r="D296" t="s">
        <v>69</v>
      </c>
    </row>
    <row r="297" spans="1:4">
      <c r="A297" t="s">
        <v>30</v>
      </c>
      <c r="B297">
        <v>2025</v>
      </c>
      <c r="C297">
        <v>0</v>
      </c>
      <c r="D297" t="s">
        <v>69</v>
      </c>
    </row>
    <row r="298" spans="1:4">
      <c r="A298" t="s">
        <v>31</v>
      </c>
      <c r="B298">
        <v>2022</v>
      </c>
      <c r="C298">
        <v>0</v>
      </c>
      <c r="D298" t="s">
        <v>69</v>
      </c>
    </row>
    <row r="299" spans="1:4">
      <c r="A299" t="s">
        <v>31</v>
      </c>
      <c r="B299">
        <v>2023</v>
      </c>
      <c r="C299">
        <v>0</v>
      </c>
      <c r="D299" t="s">
        <v>69</v>
      </c>
    </row>
    <row r="300" spans="1:4">
      <c r="A300" t="s">
        <v>31</v>
      </c>
      <c r="B300">
        <v>2024</v>
      </c>
      <c r="C300">
        <v>0</v>
      </c>
      <c r="D300" t="s">
        <v>69</v>
      </c>
    </row>
    <row r="301" spans="1:4">
      <c r="A301" t="s">
        <v>31</v>
      </c>
      <c r="B301">
        <v>2025</v>
      </c>
      <c r="C301">
        <v>248.6</v>
      </c>
      <c r="D301" t="s">
        <v>69</v>
      </c>
    </row>
    <row r="302" spans="1:4">
      <c r="A302" t="s">
        <v>32</v>
      </c>
      <c r="B302">
        <v>2022</v>
      </c>
      <c r="C302">
        <v>3</v>
      </c>
      <c r="D302" t="s">
        <v>69</v>
      </c>
    </row>
    <row r="303" spans="1:4">
      <c r="A303" t="s">
        <v>32</v>
      </c>
      <c r="B303">
        <v>2023</v>
      </c>
      <c r="C303">
        <v>0</v>
      </c>
      <c r="D303" t="s">
        <v>69</v>
      </c>
    </row>
    <row r="304" spans="1:4">
      <c r="A304" t="s">
        <v>32</v>
      </c>
      <c r="B304">
        <v>2024</v>
      </c>
      <c r="C304">
        <v>0</v>
      </c>
      <c r="D304" t="s">
        <v>69</v>
      </c>
    </row>
    <row r="305" spans="1:4">
      <c r="A305" t="s">
        <v>32</v>
      </c>
      <c r="B305">
        <v>2025</v>
      </c>
      <c r="C305">
        <v>23.315000000000001</v>
      </c>
      <c r="D305" t="s">
        <v>69</v>
      </c>
    </row>
    <row r="306" spans="1:4">
      <c r="A306" t="s">
        <v>35</v>
      </c>
      <c r="B306">
        <v>2022</v>
      </c>
      <c r="C306">
        <v>0</v>
      </c>
      <c r="D306" t="s">
        <v>69</v>
      </c>
    </row>
    <row r="307" spans="1:4">
      <c r="A307" t="s">
        <v>35</v>
      </c>
      <c r="B307">
        <v>2023</v>
      </c>
      <c r="C307">
        <v>0</v>
      </c>
      <c r="D307" t="s">
        <v>69</v>
      </c>
    </row>
    <row r="308" spans="1:4">
      <c r="A308" t="s">
        <v>35</v>
      </c>
      <c r="B308">
        <v>2024</v>
      </c>
      <c r="C308">
        <v>1.6</v>
      </c>
      <c r="D308" t="s">
        <v>69</v>
      </c>
    </row>
    <row r="309" spans="1:4">
      <c r="A309" t="s">
        <v>35</v>
      </c>
      <c r="B309">
        <v>2025</v>
      </c>
      <c r="C309">
        <v>0</v>
      </c>
      <c r="D309" t="s">
        <v>69</v>
      </c>
    </row>
    <row r="310" spans="1:4">
      <c r="A310" t="s">
        <v>33</v>
      </c>
      <c r="B310">
        <v>2022</v>
      </c>
      <c r="C310">
        <v>0</v>
      </c>
      <c r="D310" t="s">
        <v>69</v>
      </c>
    </row>
    <row r="311" spans="1:4">
      <c r="A311" t="s">
        <v>33</v>
      </c>
      <c r="B311">
        <v>2023</v>
      </c>
      <c r="C311">
        <v>0</v>
      </c>
      <c r="D311" t="s">
        <v>69</v>
      </c>
    </row>
    <row r="312" spans="1:4">
      <c r="A312" t="s">
        <v>33</v>
      </c>
      <c r="B312">
        <v>2024</v>
      </c>
      <c r="C312">
        <v>0</v>
      </c>
      <c r="D312" t="s">
        <v>69</v>
      </c>
    </row>
    <row r="313" spans="1:4">
      <c r="A313" t="s">
        <v>33</v>
      </c>
      <c r="B313">
        <v>2025</v>
      </c>
      <c r="C313">
        <v>66</v>
      </c>
      <c r="D313" t="s">
        <v>69</v>
      </c>
    </row>
    <row r="314" spans="1:4">
      <c r="A314" t="s">
        <v>34</v>
      </c>
      <c r="B314">
        <v>2022</v>
      </c>
      <c r="C314">
        <v>0</v>
      </c>
      <c r="D314" t="s">
        <v>69</v>
      </c>
    </row>
    <row r="315" spans="1:4">
      <c r="A315" t="s">
        <v>34</v>
      </c>
      <c r="B315">
        <v>2023</v>
      </c>
      <c r="C315">
        <v>0</v>
      </c>
      <c r="D315" t="s">
        <v>69</v>
      </c>
    </row>
    <row r="316" spans="1:4">
      <c r="A316" t="s">
        <v>34</v>
      </c>
      <c r="B316">
        <v>2024</v>
      </c>
      <c r="C316">
        <v>8.8000000000000007</v>
      </c>
      <c r="D316" t="s">
        <v>69</v>
      </c>
    </row>
    <row r="317" spans="1:4">
      <c r="A317" t="s">
        <v>34</v>
      </c>
      <c r="B317">
        <v>2025</v>
      </c>
      <c r="C317">
        <v>0</v>
      </c>
      <c r="D317" t="s">
        <v>69</v>
      </c>
    </row>
    <row r="318" spans="1:4">
      <c r="A318" t="s">
        <v>38</v>
      </c>
      <c r="B318">
        <v>2022</v>
      </c>
      <c r="C318">
        <v>0</v>
      </c>
      <c r="D318" t="s">
        <v>69</v>
      </c>
    </row>
    <row r="319" spans="1:4">
      <c r="A319" t="s">
        <v>38</v>
      </c>
      <c r="B319">
        <v>2023</v>
      </c>
      <c r="C319">
        <v>0</v>
      </c>
      <c r="D319" t="s">
        <v>69</v>
      </c>
    </row>
    <row r="320" spans="1:4">
      <c r="A320" t="s">
        <v>38</v>
      </c>
      <c r="B320">
        <v>2024</v>
      </c>
      <c r="C320">
        <v>0</v>
      </c>
      <c r="D320" t="s">
        <v>69</v>
      </c>
    </row>
    <row r="321" spans="1:4">
      <c r="A321" t="s">
        <v>38</v>
      </c>
      <c r="B321">
        <v>2025</v>
      </c>
      <c r="C321">
        <v>0</v>
      </c>
      <c r="D321" t="s">
        <v>69</v>
      </c>
    </row>
    <row r="322" spans="1:4">
      <c r="A322" t="s">
        <v>39</v>
      </c>
      <c r="B322">
        <v>2022</v>
      </c>
      <c r="C322">
        <v>192</v>
      </c>
      <c r="D322" t="s">
        <v>69</v>
      </c>
    </row>
    <row r="323" spans="1:4">
      <c r="A323" t="s">
        <v>39</v>
      </c>
      <c r="B323">
        <v>2023</v>
      </c>
      <c r="C323">
        <v>0</v>
      </c>
      <c r="D323" t="s">
        <v>69</v>
      </c>
    </row>
    <row r="324" spans="1:4">
      <c r="A324" t="s">
        <v>39</v>
      </c>
      <c r="B324">
        <v>2024</v>
      </c>
      <c r="C324">
        <v>0</v>
      </c>
      <c r="D324" t="s">
        <v>69</v>
      </c>
    </row>
    <row r="325" spans="1:4">
      <c r="A325" t="s">
        <v>39</v>
      </c>
      <c r="B325">
        <v>2025</v>
      </c>
      <c r="C325">
        <v>4.8</v>
      </c>
      <c r="D325" t="s">
        <v>69</v>
      </c>
    </row>
    <row r="326" spans="1:4">
      <c r="A326" t="s">
        <v>36</v>
      </c>
      <c r="B326">
        <v>2022</v>
      </c>
      <c r="C326">
        <v>0</v>
      </c>
      <c r="D326" t="s">
        <v>69</v>
      </c>
    </row>
    <row r="327" spans="1:4">
      <c r="A327" t="s">
        <v>36</v>
      </c>
      <c r="B327">
        <v>2023</v>
      </c>
      <c r="C327">
        <v>0</v>
      </c>
      <c r="D327" t="s">
        <v>69</v>
      </c>
    </row>
    <row r="328" spans="1:4">
      <c r="A328" t="s">
        <v>36</v>
      </c>
      <c r="B328">
        <v>2024</v>
      </c>
      <c r="C328">
        <v>0</v>
      </c>
      <c r="D328" t="s">
        <v>69</v>
      </c>
    </row>
    <row r="329" spans="1:4">
      <c r="A329" t="s">
        <v>36</v>
      </c>
      <c r="B329">
        <v>2025</v>
      </c>
      <c r="C329">
        <v>208.7</v>
      </c>
      <c r="D329" t="s">
        <v>69</v>
      </c>
    </row>
    <row r="330" spans="1:4">
      <c r="A330" t="s">
        <v>37</v>
      </c>
      <c r="B330">
        <v>2022</v>
      </c>
      <c r="C330">
        <v>0</v>
      </c>
      <c r="D330" t="s">
        <v>69</v>
      </c>
    </row>
    <row r="331" spans="1:4">
      <c r="A331" t="s">
        <v>37</v>
      </c>
      <c r="B331">
        <v>2023</v>
      </c>
      <c r="C331">
        <v>0</v>
      </c>
      <c r="D331" t="s">
        <v>69</v>
      </c>
    </row>
    <row r="332" spans="1:4">
      <c r="A332" t="s">
        <v>37</v>
      </c>
      <c r="B332">
        <v>2024</v>
      </c>
      <c r="C332">
        <v>0</v>
      </c>
      <c r="D332" t="s">
        <v>69</v>
      </c>
    </row>
    <row r="333" spans="1:4">
      <c r="A333" t="s">
        <v>37</v>
      </c>
      <c r="B333">
        <v>2025</v>
      </c>
      <c r="C333">
        <v>94</v>
      </c>
      <c r="D333" t="s">
        <v>69</v>
      </c>
    </row>
    <row r="334" spans="1:4">
      <c r="A334" t="s">
        <v>41</v>
      </c>
      <c r="B334">
        <v>2022</v>
      </c>
      <c r="C334">
        <v>0</v>
      </c>
      <c r="D334" t="s">
        <v>69</v>
      </c>
    </row>
    <row r="335" spans="1:4">
      <c r="A335" t="s">
        <v>41</v>
      </c>
      <c r="B335">
        <v>2023</v>
      </c>
      <c r="C335">
        <v>0</v>
      </c>
      <c r="D335" t="s">
        <v>69</v>
      </c>
    </row>
    <row r="336" spans="1:4">
      <c r="A336" t="s">
        <v>41</v>
      </c>
      <c r="B336">
        <v>2024</v>
      </c>
      <c r="C336">
        <v>0</v>
      </c>
      <c r="D336" t="s">
        <v>69</v>
      </c>
    </row>
    <row r="337" spans="1:4">
      <c r="A337" t="s">
        <v>41</v>
      </c>
      <c r="B337">
        <v>2025</v>
      </c>
      <c r="C337">
        <v>0</v>
      </c>
      <c r="D337" t="s">
        <v>69</v>
      </c>
    </row>
    <row r="338" spans="1:4">
      <c r="A338" t="s">
        <v>27</v>
      </c>
      <c r="B338">
        <v>2022</v>
      </c>
      <c r="C338">
        <v>0</v>
      </c>
      <c r="D338" t="s">
        <v>63</v>
      </c>
    </row>
    <row r="339" spans="1:4">
      <c r="A339" t="s">
        <v>27</v>
      </c>
      <c r="B339">
        <v>2023</v>
      </c>
      <c r="C339">
        <v>0</v>
      </c>
      <c r="D339" t="s">
        <v>63</v>
      </c>
    </row>
    <row r="340" spans="1:4">
      <c r="A340" t="s">
        <v>27</v>
      </c>
      <c r="B340">
        <v>2024</v>
      </c>
      <c r="C340">
        <v>0</v>
      </c>
      <c r="D340" t="s">
        <v>63</v>
      </c>
    </row>
    <row r="341" spans="1:4">
      <c r="A341" t="s">
        <v>27</v>
      </c>
      <c r="B341">
        <v>2025</v>
      </c>
      <c r="C341">
        <v>0</v>
      </c>
      <c r="D341" t="s">
        <v>63</v>
      </c>
    </row>
    <row r="342" spans="1:4">
      <c r="A342" t="s">
        <v>28</v>
      </c>
      <c r="B342">
        <v>2022</v>
      </c>
      <c r="C342">
        <v>0</v>
      </c>
      <c r="D342" t="s">
        <v>63</v>
      </c>
    </row>
    <row r="343" spans="1:4">
      <c r="A343" t="s">
        <v>28</v>
      </c>
      <c r="B343">
        <v>2023</v>
      </c>
      <c r="C343">
        <v>0</v>
      </c>
      <c r="D343" t="s">
        <v>63</v>
      </c>
    </row>
    <row r="344" spans="1:4">
      <c r="A344" t="s">
        <v>28</v>
      </c>
      <c r="B344">
        <v>2024</v>
      </c>
      <c r="C344">
        <v>89.33</v>
      </c>
      <c r="D344" t="s">
        <v>63</v>
      </c>
    </row>
    <row r="345" spans="1:4">
      <c r="A345" t="s">
        <v>28</v>
      </c>
      <c r="B345">
        <v>2025</v>
      </c>
      <c r="C345">
        <v>0</v>
      </c>
      <c r="D345" t="s">
        <v>63</v>
      </c>
    </row>
    <row r="346" spans="1:4">
      <c r="A346" t="s">
        <v>29</v>
      </c>
      <c r="B346">
        <v>2022</v>
      </c>
      <c r="C346">
        <v>0</v>
      </c>
      <c r="D346" t="s">
        <v>63</v>
      </c>
    </row>
    <row r="347" spans="1:4">
      <c r="A347" t="s">
        <v>29</v>
      </c>
      <c r="B347">
        <v>2023</v>
      </c>
      <c r="C347">
        <v>0</v>
      </c>
      <c r="D347" t="s">
        <v>63</v>
      </c>
    </row>
    <row r="348" spans="1:4">
      <c r="A348" t="s">
        <v>29</v>
      </c>
      <c r="B348">
        <v>2024</v>
      </c>
      <c r="C348">
        <v>0</v>
      </c>
      <c r="D348" t="s">
        <v>63</v>
      </c>
    </row>
    <row r="349" spans="1:4">
      <c r="A349" t="s">
        <v>29</v>
      </c>
      <c r="B349">
        <v>2025</v>
      </c>
      <c r="C349">
        <v>0</v>
      </c>
      <c r="D349" t="s">
        <v>63</v>
      </c>
    </row>
    <row r="350" spans="1:4">
      <c r="A350" t="s">
        <v>30</v>
      </c>
      <c r="B350">
        <v>2022</v>
      </c>
      <c r="C350">
        <v>0</v>
      </c>
      <c r="D350" t="s">
        <v>63</v>
      </c>
    </row>
    <row r="351" spans="1:4">
      <c r="A351" t="s">
        <v>30</v>
      </c>
      <c r="B351">
        <v>2023</v>
      </c>
      <c r="C351">
        <v>0</v>
      </c>
      <c r="D351" t="s">
        <v>63</v>
      </c>
    </row>
    <row r="352" spans="1:4">
      <c r="A352" t="s">
        <v>30</v>
      </c>
      <c r="B352">
        <v>2024</v>
      </c>
      <c r="C352">
        <v>0</v>
      </c>
      <c r="D352" t="s">
        <v>63</v>
      </c>
    </row>
    <row r="353" spans="1:4">
      <c r="A353" t="s">
        <v>30</v>
      </c>
      <c r="B353">
        <v>2025</v>
      </c>
      <c r="C353">
        <v>0</v>
      </c>
      <c r="D353" t="s">
        <v>63</v>
      </c>
    </row>
    <row r="354" spans="1:4">
      <c r="A354" t="s">
        <v>31</v>
      </c>
      <c r="B354">
        <v>2022</v>
      </c>
      <c r="C354">
        <v>0</v>
      </c>
      <c r="D354" t="s">
        <v>63</v>
      </c>
    </row>
    <row r="355" spans="1:4">
      <c r="A355" t="s">
        <v>31</v>
      </c>
      <c r="B355">
        <v>2023</v>
      </c>
      <c r="C355">
        <v>0</v>
      </c>
      <c r="D355" t="s">
        <v>63</v>
      </c>
    </row>
    <row r="356" spans="1:4">
      <c r="A356" t="s">
        <v>31</v>
      </c>
      <c r="B356">
        <v>2024</v>
      </c>
      <c r="C356">
        <v>0</v>
      </c>
      <c r="D356" t="s">
        <v>63</v>
      </c>
    </row>
    <row r="357" spans="1:4">
      <c r="A357" t="s">
        <v>31</v>
      </c>
      <c r="B357">
        <v>2025</v>
      </c>
      <c r="C357">
        <v>0</v>
      </c>
      <c r="D357" t="s">
        <v>63</v>
      </c>
    </row>
    <row r="358" spans="1:4">
      <c r="A358" t="s">
        <v>32</v>
      </c>
      <c r="B358">
        <v>2022</v>
      </c>
      <c r="C358">
        <v>0</v>
      </c>
      <c r="D358" t="s">
        <v>63</v>
      </c>
    </row>
    <row r="359" spans="1:4">
      <c r="A359" t="s">
        <v>32</v>
      </c>
      <c r="B359">
        <v>2023</v>
      </c>
      <c r="C359">
        <v>0</v>
      </c>
      <c r="D359" t="s">
        <v>63</v>
      </c>
    </row>
    <row r="360" spans="1:4">
      <c r="A360" t="s">
        <v>32</v>
      </c>
      <c r="B360">
        <v>2024</v>
      </c>
      <c r="C360">
        <v>0</v>
      </c>
      <c r="D360" t="s">
        <v>63</v>
      </c>
    </row>
    <row r="361" spans="1:4">
      <c r="A361" t="s">
        <v>32</v>
      </c>
      <c r="B361">
        <v>2025</v>
      </c>
      <c r="C361">
        <v>0</v>
      </c>
      <c r="D361" t="s">
        <v>63</v>
      </c>
    </row>
    <row r="362" spans="1:4">
      <c r="A362" t="s">
        <v>35</v>
      </c>
      <c r="B362">
        <v>2022</v>
      </c>
      <c r="C362">
        <v>0</v>
      </c>
      <c r="D362" t="s">
        <v>63</v>
      </c>
    </row>
    <row r="363" spans="1:4">
      <c r="A363" t="s">
        <v>35</v>
      </c>
      <c r="B363">
        <v>2023</v>
      </c>
      <c r="C363">
        <v>0</v>
      </c>
      <c r="D363" t="s">
        <v>63</v>
      </c>
    </row>
    <row r="364" spans="1:4">
      <c r="A364" t="s">
        <v>35</v>
      </c>
      <c r="B364">
        <v>2024</v>
      </c>
      <c r="C364">
        <v>0</v>
      </c>
      <c r="D364" t="s">
        <v>63</v>
      </c>
    </row>
    <row r="365" spans="1:4">
      <c r="A365" t="s">
        <v>35</v>
      </c>
      <c r="B365">
        <v>2025</v>
      </c>
      <c r="C365">
        <v>0</v>
      </c>
      <c r="D365" t="s">
        <v>63</v>
      </c>
    </row>
    <row r="366" spans="1:4">
      <c r="A366" t="s">
        <v>33</v>
      </c>
      <c r="B366">
        <v>2022</v>
      </c>
      <c r="C366">
        <v>0</v>
      </c>
      <c r="D366" t="s">
        <v>63</v>
      </c>
    </row>
    <row r="367" spans="1:4">
      <c r="A367" t="s">
        <v>33</v>
      </c>
      <c r="B367">
        <v>2023</v>
      </c>
      <c r="C367">
        <v>0</v>
      </c>
      <c r="D367" t="s">
        <v>63</v>
      </c>
    </row>
    <row r="368" spans="1:4">
      <c r="A368" t="s">
        <v>33</v>
      </c>
      <c r="B368">
        <v>2024</v>
      </c>
      <c r="C368">
        <v>0</v>
      </c>
      <c r="D368" t="s">
        <v>63</v>
      </c>
    </row>
    <row r="369" spans="1:4">
      <c r="A369" t="s">
        <v>33</v>
      </c>
      <c r="B369">
        <v>2025</v>
      </c>
      <c r="C369">
        <v>0</v>
      </c>
      <c r="D369" t="s">
        <v>63</v>
      </c>
    </row>
    <row r="370" spans="1:4">
      <c r="A370" t="s">
        <v>34</v>
      </c>
      <c r="B370">
        <v>2022</v>
      </c>
      <c r="C370">
        <v>0</v>
      </c>
      <c r="D370" t="s">
        <v>63</v>
      </c>
    </row>
    <row r="371" spans="1:4">
      <c r="A371" t="s">
        <v>34</v>
      </c>
      <c r="B371">
        <v>2023</v>
      </c>
      <c r="C371">
        <v>0</v>
      </c>
      <c r="D371" t="s">
        <v>63</v>
      </c>
    </row>
    <row r="372" spans="1:4">
      <c r="A372" t="s">
        <v>34</v>
      </c>
      <c r="B372">
        <v>2024</v>
      </c>
      <c r="C372">
        <v>0</v>
      </c>
      <c r="D372" t="s">
        <v>63</v>
      </c>
    </row>
    <row r="373" spans="1:4">
      <c r="A373" t="s">
        <v>34</v>
      </c>
      <c r="B373">
        <v>2025</v>
      </c>
      <c r="C373">
        <v>0</v>
      </c>
      <c r="D373" t="s">
        <v>63</v>
      </c>
    </row>
    <row r="374" spans="1:4">
      <c r="A374" t="s">
        <v>38</v>
      </c>
      <c r="B374">
        <v>2022</v>
      </c>
      <c r="C374">
        <v>0</v>
      </c>
      <c r="D374" t="s">
        <v>63</v>
      </c>
    </row>
    <row r="375" spans="1:4">
      <c r="A375" t="s">
        <v>38</v>
      </c>
      <c r="B375">
        <v>2023</v>
      </c>
      <c r="C375">
        <v>0</v>
      </c>
      <c r="D375" t="s">
        <v>63</v>
      </c>
    </row>
    <row r="376" spans="1:4">
      <c r="A376" t="s">
        <v>38</v>
      </c>
      <c r="B376">
        <v>2024</v>
      </c>
      <c r="C376">
        <v>0</v>
      </c>
      <c r="D376" t="s">
        <v>63</v>
      </c>
    </row>
    <row r="377" spans="1:4">
      <c r="A377" t="s">
        <v>38</v>
      </c>
      <c r="B377">
        <v>2025</v>
      </c>
      <c r="C377">
        <v>0</v>
      </c>
      <c r="D377" t="s">
        <v>63</v>
      </c>
    </row>
    <row r="378" spans="1:4">
      <c r="A378" t="s">
        <v>39</v>
      </c>
      <c r="B378">
        <v>2022</v>
      </c>
      <c r="C378">
        <v>0</v>
      </c>
      <c r="D378" t="s">
        <v>63</v>
      </c>
    </row>
    <row r="379" spans="1:4">
      <c r="A379" t="s">
        <v>39</v>
      </c>
      <c r="B379">
        <v>2023</v>
      </c>
      <c r="C379">
        <v>0</v>
      </c>
      <c r="D379" t="s">
        <v>63</v>
      </c>
    </row>
    <row r="380" spans="1:4">
      <c r="A380" t="s">
        <v>39</v>
      </c>
      <c r="B380">
        <v>2024</v>
      </c>
      <c r="C380">
        <v>0</v>
      </c>
      <c r="D380" t="s">
        <v>63</v>
      </c>
    </row>
    <row r="381" spans="1:4">
      <c r="A381" t="s">
        <v>39</v>
      </c>
      <c r="B381">
        <v>2025</v>
      </c>
      <c r="C381">
        <v>0</v>
      </c>
      <c r="D381" t="s">
        <v>63</v>
      </c>
    </row>
    <row r="382" spans="1:4">
      <c r="A382" t="s">
        <v>36</v>
      </c>
      <c r="B382">
        <v>2022</v>
      </c>
      <c r="C382">
        <v>0</v>
      </c>
      <c r="D382" t="s">
        <v>63</v>
      </c>
    </row>
    <row r="383" spans="1:4">
      <c r="A383" t="s">
        <v>36</v>
      </c>
      <c r="B383">
        <v>2023</v>
      </c>
      <c r="C383">
        <v>0</v>
      </c>
      <c r="D383" t="s">
        <v>63</v>
      </c>
    </row>
    <row r="384" spans="1:4">
      <c r="A384" t="s">
        <v>36</v>
      </c>
      <c r="B384">
        <v>2024</v>
      </c>
      <c r="C384">
        <v>0</v>
      </c>
      <c r="D384" t="s">
        <v>63</v>
      </c>
    </row>
    <row r="385" spans="1:4">
      <c r="A385" t="s">
        <v>36</v>
      </c>
      <c r="B385">
        <v>2025</v>
      </c>
      <c r="C385">
        <v>0</v>
      </c>
      <c r="D385" t="s">
        <v>63</v>
      </c>
    </row>
    <row r="386" spans="1:4">
      <c r="A386" t="s">
        <v>37</v>
      </c>
      <c r="B386">
        <v>2022</v>
      </c>
      <c r="C386">
        <v>0</v>
      </c>
      <c r="D386" t="s">
        <v>63</v>
      </c>
    </row>
    <row r="387" spans="1:4">
      <c r="A387" t="s">
        <v>37</v>
      </c>
      <c r="B387">
        <v>2023</v>
      </c>
      <c r="C387">
        <v>0</v>
      </c>
      <c r="D387" t="s">
        <v>63</v>
      </c>
    </row>
    <row r="388" spans="1:4">
      <c r="A388" t="s">
        <v>37</v>
      </c>
      <c r="B388">
        <v>2024</v>
      </c>
      <c r="C388">
        <v>0</v>
      </c>
      <c r="D388" t="s">
        <v>63</v>
      </c>
    </row>
    <row r="389" spans="1:4">
      <c r="A389" t="s">
        <v>37</v>
      </c>
      <c r="B389">
        <v>2025</v>
      </c>
      <c r="C389">
        <v>0</v>
      </c>
      <c r="D389" t="s">
        <v>63</v>
      </c>
    </row>
    <row r="390" spans="1:4">
      <c r="A390" t="s">
        <v>41</v>
      </c>
      <c r="B390">
        <v>2022</v>
      </c>
      <c r="C390">
        <v>0</v>
      </c>
      <c r="D390" t="s">
        <v>63</v>
      </c>
    </row>
    <row r="391" spans="1:4">
      <c r="A391" t="s">
        <v>41</v>
      </c>
      <c r="B391">
        <v>2023</v>
      </c>
      <c r="C391">
        <v>0</v>
      </c>
      <c r="D391" t="s">
        <v>63</v>
      </c>
    </row>
    <row r="392" spans="1:4">
      <c r="A392" t="s">
        <v>41</v>
      </c>
      <c r="B392">
        <v>2024</v>
      </c>
      <c r="C392">
        <v>0</v>
      </c>
      <c r="D392" t="s">
        <v>63</v>
      </c>
    </row>
    <row r="393" spans="1:4">
      <c r="A393" t="s">
        <v>41</v>
      </c>
      <c r="B393">
        <v>2025</v>
      </c>
      <c r="C393">
        <v>0</v>
      </c>
      <c r="D393" t="s">
        <v>63</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17188-9B92-4F75-8AE6-69260E464978}">
  <sheetPr codeName="Sheet14">
    <tabColor theme="4" tint="0.79998168889431442"/>
  </sheetPr>
  <dimension ref="A1"/>
  <sheetViews>
    <sheetView workbookViewId="0"/>
  </sheetViews>
  <sheetFormatPr defaultRowHeight="14.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37322-A93D-4C32-8542-5479B002A804}">
  <sheetPr codeName="Sheet35"/>
  <dimension ref="A1:F21"/>
  <sheetViews>
    <sheetView workbookViewId="0">
      <selection activeCell="B3" sqref="B3"/>
    </sheetView>
  </sheetViews>
  <sheetFormatPr defaultRowHeight="14.5"/>
  <cols>
    <col min="1" max="1" width="16" bestFit="1" customWidth="1"/>
    <col min="2" max="10" width="11.81640625" bestFit="1" customWidth="1"/>
  </cols>
  <sheetData>
    <row r="1" spans="1:6">
      <c r="A1" s="307" t="s">
        <v>5</v>
      </c>
      <c r="B1" t="s">
        <v>19</v>
      </c>
    </row>
    <row r="3" spans="1:6">
      <c r="A3" s="307" t="s">
        <v>0</v>
      </c>
      <c r="B3" s="307" t="s">
        <v>1</v>
      </c>
    </row>
    <row r="4" spans="1:6">
      <c r="A4" s="307" t="s">
        <v>18</v>
      </c>
      <c r="B4">
        <v>2022</v>
      </c>
      <c r="C4">
        <v>2023</v>
      </c>
      <c r="D4">
        <v>2024</v>
      </c>
      <c r="E4">
        <v>2025</v>
      </c>
      <c r="F4" t="s">
        <v>6</v>
      </c>
    </row>
    <row r="5" spans="1:6">
      <c r="A5" s="308" t="s">
        <v>27</v>
      </c>
      <c r="B5">
        <v>38238.571199999998</v>
      </c>
      <c r="C5">
        <v>71845.449599999993</v>
      </c>
      <c r="D5">
        <v>29748.4467</v>
      </c>
      <c r="E5">
        <v>29842.576699999998</v>
      </c>
      <c r="F5">
        <v>169675.0442</v>
      </c>
    </row>
    <row r="6" spans="1:6">
      <c r="A6" s="308" t="s">
        <v>28</v>
      </c>
      <c r="B6">
        <v>24309.591</v>
      </c>
      <c r="C6">
        <v>20746.419099999999</v>
      </c>
      <c r="D6">
        <v>15052.903699999999</v>
      </c>
      <c r="E6">
        <v>20113.4192</v>
      </c>
      <c r="F6">
        <v>80222.332999999999</v>
      </c>
    </row>
    <row r="7" spans="1:6">
      <c r="A7" s="308" t="s">
        <v>29</v>
      </c>
      <c r="B7">
        <v>61954.260300000002</v>
      </c>
      <c r="C7">
        <v>51458.6613</v>
      </c>
      <c r="D7">
        <v>48088.7889</v>
      </c>
      <c r="E7">
        <v>67139.931899999996</v>
      </c>
      <c r="F7">
        <v>228641.64239999998</v>
      </c>
    </row>
    <row r="8" spans="1:6">
      <c r="A8" s="308" t="s">
        <v>30</v>
      </c>
      <c r="B8">
        <v>16650.5429</v>
      </c>
      <c r="C8">
        <v>5000</v>
      </c>
      <c r="D8">
        <v>7248.7259999999997</v>
      </c>
      <c r="E8">
        <v>12900.816999999999</v>
      </c>
      <c r="F8">
        <v>41800.085899999998</v>
      </c>
    </row>
    <row r="9" spans="1:6">
      <c r="A9" s="308" t="s">
        <v>31</v>
      </c>
      <c r="B9">
        <v>35538.841</v>
      </c>
      <c r="C9">
        <v>7579.9111000000003</v>
      </c>
      <c r="D9">
        <v>16180.5</v>
      </c>
      <c r="E9">
        <v>12902</v>
      </c>
      <c r="F9">
        <v>72201.252099999998</v>
      </c>
    </row>
    <row r="10" spans="1:6">
      <c r="A10" s="308" t="s">
        <v>32</v>
      </c>
      <c r="B10">
        <v>176064.81200000001</v>
      </c>
      <c r="C10">
        <v>63424.137000000002</v>
      </c>
      <c r="D10">
        <v>16219.958000000001</v>
      </c>
      <c r="E10">
        <v>19045.5435</v>
      </c>
      <c r="F10">
        <v>274754.45050000004</v>
      </c>
    </row>
    <row r="11" spans="1:6">
      <c r="A11" s="308" t="s">
        <v>33</v>
      </c>
      <c r="B11">
        <v>30358.846299999997</v>
      </c>
      <c r="C11">
        <v>45368.082800000004</v>
      </c>
      <c r="D11">
        <v>43398.063399999999</v>
      </c>
      <c r="E11">
        <v>15377.634</v>
      </c>
      <c r="F11">
        <v>134502.62650000001</v>
      </c>
    </row>
    <row r="12" spans="1:6">
      <c r="A12" s="308" t="s">
        <v>34</v>
      </c>
      <c r="B12">
        <v>3584.8620999999998</v>
      </c>
      <c r="C12">
        <v>4664.3908000000001</v>
      </c>
      <c r="D12">
        <v>3988.0556999999999</v>
      </c>
      <c r="E12">
        <v>22995.032900000002</v>
      </c>
      <c r="F12">
        <v>35232.341500000002</v>
      </c>
    </row>
    <row r="13" spans="1:6">
      <c r="A13" s="308" t="s">
        <v>35</v>
      </c>
      <c r="B13">
        <v>12499.627899999999</v>
      </c>
      <c r="C13">
        <v>8130.5333000000001</v>
      </c>
      <c r="D13">
        <v>7660.9919</v>
      </c>
      <c r="E13">
        <v>8741.9670999999998</v>
      </c>
      <c r="F13">
        <v>37033.120199999998</v>
      </c>
    </row>
    <row r="14" spans="1:6">
      <c r="A14" s="308" t="s">
        <v>36</v>
      </c>
      <c r="B14">
        <v>30776.1777</v>
      </c>
      <c r="C14">
        <v>12835.275599999999</v>
      </c>
      <c r="D14">
        <v>16913.8766</v>
      </c>
      <c r="E14">
        <v>23982.415799999999</v>
      </c>
      <c r="F14">
        <v>84507.745699999999</v>
      </c>
    </row>
    <row r="15" spans="1:6">
      <c r="A15" s="308" t="s">
        <v>37</v>
      </c>
      <c r="B15">
        <v>31249.7503</v>
      </c>
      <c r="C15">
        <v>29215.445400000001</v>
      </c>
      <c r="D15">
        <v>24279.790700000001</v>
      </c>
      <c r="E15">
        <v>25024.908800000001</v>
      </c>
      <c r="F15">
        <v>109769.8952</v>
      </c>
    </row>
    <row r="16" spans="1:6">
      <c r="A16" s="308" t="s">
        <v>38</v>
      </c>
      <c r="B16">
        <v>88778.224499999997</v>
      </c>
      <c r="C16">
        <v>7957.0007999999998</v>
      </c>
      <c r="D16">
        <v>13787.811299999999</v>
      </c>
      <c r="E16">
        <v>26585.289000000001</v>
      </c>
      <c r="F16">
        <v>137108.32559999998</v>
      </c>
    </row>
    <row r="17" spans="1:6">
      <c r="A17" s="308" t="s">
        <v>39</v>
      </c>
      <c r="B17">
        <v>41141.8851</v>
      </c>
      <c r="C17">
        <v>32711.429499999998</v>
      </c>
      <c r="D17">
        <v>49854.792600000001</v>
      </c>
      <c r="E17">
        <v>71849.38029999999</v>
      </c>
      <c r="F17">
        <v>195557.48749999999</v>
      </c>
    </row>
    <row r="18" spans="1:6">
      <c r="A18" s="308" t="s">
        <v>41</v>
      </c>
      <c r="B18">
        <v>41731.647100000002</v>
      </c>
      <c r="C18">
        <v>15562.070299999999</v>
      </c>
      <c r="D18">
        <v>7960.2209999999995</v>
      </c>
      <c r="E18">
        <v>20147.615600000001</v>
      </c>
      <c r="F18">
        <v>85401.554000000004</v>
      </c>
    </row>
    <row r="19" spans="1:6">
      <c r="A19" s="308" t="s">
        <v>70</v>
      </c>
      <c r="B19">
        <v>3599.8703999999998</v>
      </c>
      <c r="C19">
        <v>3443.3285999999998</v>
      </c>
      <c r="D19">
        <v>2299.6439999999998</v>
      </c>
      <c r="E19">
        <v>2254</v>
      </c>
      <c r="F19">
        <v>11596.842999999999</v>
      </c>
    </row>
    <row r="20" spans="1:6">
      <c r="A20" s="308" t="s">
        <v>71</v>
      </c>
      <c r="B20">
        <v>289.91000000000003</v>
      </c>
      <c r="C20">
        <v>799.82</v>
      </c>
      <c r="D20">
        <v>697.07709999999997</v>
      </c>
      <c r="E20">
        <v>1279.1865</v>
      </c>
      <c r="F20">
        <v>3065.9935999999998</v>
      </c>
    </row>
    <row r="21" spans="1:6">
      <c r="A21" s="308" t="s">
        <v>6</v>
      </c>
      <c r="B21">
        <v>636767.41980000003</v>
      </c>
      <c r="C21">
        <v>380741.95520000003</v>
      </c>
      <c r="D21">
        <v>303379.64759999997</v>
      </c>
      <c r="E21">
        <v>380181.71830000001</v>
      </c>
      <c r="F21">
        <v>1701070.7408999999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61E06-CE0D-4FB8-8503-F0DDED304C59}">
  <sheetPr codeName="Sheet36"/>
  <dimension ref="A1:F19"/>
  <sheetViews>
    <sheetView workbookViewId="0">
      <selection activeCell="B11" sqref="B11"/>
    </sheetView>
  </sheetViews>
  <sheetFormatPr defaultRowHeight="14.5"/>
  <cols>
    <col min="1" max="1" width="16" bestFit="1" customWidth="1"/>
    <col min="2" max="2" width="10.81640625" bestFit="1" customWidth="1"/>
    <col min="3" max="3" width="4.81640625" bestFit="1" customWidth="1"/>
    <col min="4" max="5" width="5.81640625" bestFit="1" customWidth="1"/>
    <col min="6" max="6" width="11.81640625" bestFit="1" customWidth="1"/>
  </cols>
  <sheetData>
    <row r="1" spans="1:6">
      <c r="A1" s="307" t="s">
        <v>5</v>
      </c>
      <c r="B1" t="s">
        <v>19</v>
      </c>
    </row>
    <row r="3" spans="1:6">
      <c r="A3" s="307" t="s">
        <v>0</v>
      </c>
      <c r="B3" s="307" t="s">
        <v>1</v>
      </c>
    </row>
    <row r="4" spans="1:6">
      <c r="A4" s="307" t="s">
        <v>18</v>
      </c>
      <c r="B4">
        <v>2022</v>
      </c>
      <c r="C4">
        <v>2023</v>
      </c>
      <c r="D4">
        <v>2024</v>
      </c>
      <c r="E4">
        <v>2025</v>
      </c>
      <c r="F4" t="s">
        <v>6</v>
      </c>
    </row>
    <row r="5" spans="1:6">
      <c r="A5" s="308" t="s">
        <v>27</v>
      </c>
      <c r="B5">
        <v>80</v>
      </c>
      <c r="C5">
        <v>0</v>
      </c>
      <c r="D5">
        <v>12510</v>
      </c>
      <c r="E5">
        <v>12510</v>
      </c>
      <c r="F5">
        <v>25100</v>
      </c>
    </row>
    <row r="6" spans="1:6">
      <c r="A6" s="308" t="s">
        <v>28</v>
      </c>
      <c r="B6">
        <v>880</v>
      </c>
      <c r="C6">
        <v>0</v>
      </c>
      <c r="D6">
        <v>1100</v>
      </c>
      <c r="E6">
        <v>1100</v>
      </c>
      <c r="F6">
        <v>3080</v>
      </c>
    </row>
    <row r="7" spans="1:6">
      <c r="A7" s="308" t="s">
        <v>29</v>
      </c>
      <c r="B7">
        <v>20650</v>
      </c>
      <c r="C7">
        <v>0</v>
      </c>
      <c r="D7">
        <v>13880</v>
      </c>
      <c r="E7">
        <v>13880</v>
      </c>
      <c r="F7">
        <v>48410</v>
      </c>
    </row>
    <row r="8" spans="1:6">
      <c r="A8" s="308" t="s">
        <v>30</v>
      </c>
      <c r="B8">
        <v>0</v>
      </c>
      <c r="C8">
        <v>0</v>
      </c>
      <c r="D8">
        <v>0</v>
      </c>
      <c r="E8">
        <v>0</v>
      </c>
      <c r="F8">
        <v>0</v>
      </c>
    </row>
    <row r="9" spans="1:6">
      <c r="A9" s="308" t="s">
        <v>31</v>
      </c>
      <c r="B9">
        <v>350</v>
      </c>
      <c r="C9">
        <v>0</v>
      </c>
      <c r="D9">
        <v>1850</v>
      </c>
      <c r="E9">
        <v>850</v>
      </c>
      <c r="F9">
        <v>3050</v>
      </c>
    </row>
    <row r="10" spans="1:6">
      <c r="A10" s="308" t="s">
        <v>32</v>
      </c>
      <c r="B10">
        <v>1610</v>
      </c>
      <c r="C10">
        <v>0</v>
      </c>
      <c r="D10">
        <v>0</v>
      </c>
      <c r="E10">
        <v>0</v>
      </c>
      <c r="F10">
        <v>1610</v>
      </c>
    </row>
    <row r="11" spans="1:6">
      <c r="A11" s="308" t="s">
        <v>33</v>
      </c>
      <c r="B11">
        <v>3059.7514999999999</v>
      </c>
      <c r="C11">
        <v>0</v>
      </c>
      <c r="D11">
        <v>400</v>
      </c>
      <c r="E11">
        <v>400</v>
      </c>
      <c r="F11">
        <v>3859.7514999999999</v>
      </c>
    </row>
    <row r="12" spans="1:6">
      <c r="A12" s="308" t="s">
        <v>34</v>
      </c>
      <c r="B12">
        <v>0</v>
      </c>
      <c r="C12">
        <v>0</v>
      </c>
      <c r="D12">
        <v>0</v>
      </c>
      <c r="E12">
        <v>0</v>
      </c>
      <c r="F12">
        <v>0</v>
      </c>
    </row>
    <row r="13" spans="1:6">
      <c r="A13" s="308" t="s">
        <v>35</v>
      </c>
      <c r="B13">
        <v>0</v>
      </c>
      <c r="C13">
        <v>0</v>
      </c>
      <c r="D13">
        <v>0</v>
      </c>
      <c r="E13">
        <v>0</v>
      </c>
      <c r="F13">
        <v>0</v>
      </c>
    </row>
    <row r="14" spans="1:6">
      <c r="A14" s="308" t="s">
        <v>36</v>
      </c>
      <c r="B14">
        <v>0</v>
      </c>
      <c r="C14">
        <v>0</v>
      </c>
      <c r="D14">
        <v>0</v>
      </c>
      <c r="E14">
        <v>0</v>
      </c>
      <c r="F14">
        <v>0</v>
      </c>
    </row>
    <row r="15" spans="1:6">
      <c r="A15" s="308" t="s">
        <v>37</v>
      </c>
      <c r="B15">
        <v>0</v>
      </c>
      <c r="C15">
        <v>0</v>
      </c>
      <c r="D15">
        <v>0</v>
      </c>
      <c r="E15">
        <v>0</v>
      </c>
      <c r="F15">
        <v>0</v>
      </c>
    </row>
    <row r="16" spans="1:6">
      <c r="A16" s="308" t="s">
        <v>38</v>
      </c>
      <c r="B16">
        <v>0</v>
      </c>
      <c r="C16">
        <v>0</v>
      </c>
      <c r="D16">
        <v>0</v>
      </c>
      <c r="E16">
        <v>500</v>
      </c>
      <c r="F16">
        <v>500</v>
      </c>
    </row>
    <row r="17" spans="1:6">
      <c r="A17" s="308" t="s">
        <v>39</v>
      </c>
      <c r="B17">
        <v>13285</v>
      </c>
      <c r="C17">
        <v>0</v>
      </c>
      <c r="D17">
        <v>16130</v>
      </c>
      <c r="E17">
        <v>16130</v>
      </c>
      <c r="F17">
        <v>45545</v>
      </c>
    </row>
    <row r="18" spans="1:6">
      <c r="A18" s="308" t="s">
        <v>41</v>
      </c>
      <c r="B18">
        <v>0</v>
      </c>
      <c r="C18">
        <v>0</v>
      </c>
      <c r="D18">
        <v>0</v>
      </c>
      <c r="E18">
        <v>0</v>
      </c>
      <c r="F18">
        <v>0</v>
      </c>
    </row>
    <row r="19" spans="1:6">
      <c r="A19" s="308" t="s">
        <v>6</v>
      </c>
      <c r="B19">
        <v>39914.751499999998</v>
      </c>
      <c r="C19">
        <v>0</v>
      </c>
      <c r="D19">
        <v>45870</v>
      </c>
      <c r="E19">
        <v>45370</v>
      </c>
      <c r="F19">
        <v>131154.75150000001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93F6B-93EE-4205-A6F5-0BF214E8E3FB}">
  <sheetPr codeName="Sheet37"/>
  <dimension ref="A1:F21"/>
  <sheetViews>
    <sheetView workbookViewId="0">
      <selection activeCell="B3" sqref="B3"/>
    </sheetView>
  </sheetViews>
  <sheetFormatPr defaultRowHeight="14.5"/>
  <cols>
    <col min="1" max="1" width="16" bestFit="1" customWidth="1"/>
    <col min="2" max="6" width="11.81640625" bestFit="1" customWidth="1"/>
  </cols>
  <sheetData>
    <row r="1" spans="1:6">
      <c r="A1" s="307" t="s">
        <v>5</v>
      </c>
      <c r="B1" t="s">
        <v>19</v>
      </c>
    </row>
    <row r="3" spans="1:6">
      <c r="A3" s="307" t="s">
        <v>0</v>
      </c>
      <c r="B3" s="307" t="s">
        <v>1</v>
      </c>
    </row>
    <row r="4" spans="1:6">
      <c r="A4" s="307" t="s">
        <v>18</v>
      </c>
      <c r="B4">
        <v>2022</v>
      </c>
      <c r="C4">
        <v>2023</v>
      </c>
      <c r="D4">
        <v>2024</v>
      </c>
      <c r="E4">
        <v>2025</v>
      </c>
      <c r="F4" t="s">
        <v>6</v>
      </c>
    </row>
    <row r="5" spans="1:6">
      <c r="A5" s="308" t="s">
        <v>27</v>
      </c>
      <c r="B5">
        <v>34788.571199999998</v>
      </c>
      <c r="C5">
        <v>12396.449499999999</v>
      </c>
      <c r="D5">
        <v>16128.911400000001</v>
      </c>
      <c r="E5">
        <v>15655.576700000001</v>
      </c>
      <c r="F5">
        <v>78969.508799999996</v>
      </c>
    </row>
    <row r="6" spans="1:6">
      <c r="A6" s="308" t="s">
        <v>28</v>
      </c>
      <c r="B6">
        <v>23429.591</v>
      </c>
      <c r="C6">
        <v>19846.419099999999</v>
      </c>
      <c r="D6">
        <v>12442.5571</v>
      </c>
      <c r="E6">
        <v>14173.4192</v>
      </c>
      <c r="F6">
        <v>69891.986399999994</v>
      </c>
    </row>
    <row r="7" spans="1:6">
      <c r="A7" s="308" t="s">
        <v>29</v>
      </c>
      <c r="B7">
        <v>40814.260399999999</v>
      </c>
      <c r="C7">
        <v>10992.246299999999</v>
      </c>
      <c r="D7">
        <v>14657.2726</v>
      </c>
      <c r="E7">
        <v>11148.619700000001</v>
      </c>
      <c r="F7">
        <v>77612.39899999999</v>
      </c>
    </row>
    <row r="8" spans="1:6">
      <c r="A8" s="308" t="s">
        <v>30</v>
      </c>
      <c r="B8">
        <v>15150.5429</v>
      </c>
      <c r="C8">
        <v>5000</v>
      </c>
      <c r="D8">
        <v>7248.7260000000006</v>
      </c>
      <c r="E8">
        <v>12810.816999999999</v>
      </c>
      <c r="F8">
        <v>40210.085900000005</v>
      </c>
    </row>
    <row r="9" spans="1:6">
      <c r="A9" s="308" t="s">
        <v>31</v>
      </c>
      <c r="B9">
        <v>17598.841</v>
      </c>
      <c r="C9">
        <v>7579.9110999999994</v>
      </c>
      <c r="D9">
        <v>11970</v>
      </c>
      <c r="E9">
        <v>11070</v>
      </c>
      <c r="F9">
        <v>48218.752099999998</v>
      </c>
    </row>
    <row r="10" spans="1:6">
      <c r="A10" s="308" t="s">
        <v>32</v>
      </c>
      <c r="B10">
        <v>35974.811999999998</v>
      </c>
      <c r="C10">
        <v>13808.136999999999</v>
      </c>
      <c r="D10">
        <v>14742.957999999999</v>
      </c>
      <c r="E10">
        <v>17800.5435</v>
      </c>
      <c r="F10">
        <v>82326.450499999992</v>
      </c>
    </row>
    <row r="11" spans="1:6">
      <c r="A11" s="308" t="s">
        <v>33</v>
      </c>
      <c r="B11">
        <v>18199.094799999999</v>
      </c>
      <c r="C11">
        <v>26358.0828</v>
      </c>
      <c r="D11">
        <v>13727.7644</v>
      </c>
      <c r="E11">
        <v>13286.634000000002</v>
      </c>
      <c r="F11">
        <v>71571.576000000001</v>
      </c>
    </row>
    <row r="12" spans="1:6">
      <c r="A12" s="308" t="s">
        <v>34</v>
      </c>
      <c r="B12">
        <v>3584.8621000000003</v>
      </c>
      <c r="C12">
        <v>4664.3908000000001</v>
      </c>
      <c r="D12">
        <v>3987.5558000000001</v>
      </c>
      <c r="E12">
        <v>6309.9640999999992</v>
      </c>
      <c r="F12">
        <v>18546.772799999999</v>
      </c>
    </row>
    <row r="13" spans="1:6">
      <c r="A13" s="308" t="s">
        <v>35</v>
      </c>
      <c r="B13">
        <v>12499.627899999999</v>
      </c>
      <c r="C13">
        <v>8130.5332999999991</v>
      </c>
      <c r="D13">
        <v>7659.9919</v>
      </c>
      <c r="E13">
        <v>7372.9670999999998</v>
      </c>
      <c r="F13">
        <v>35663.120199999998</v>
      </c>
    </row>
    <row r="14" spans="1:6">
      <c r="A14" s="308" t="s">
        <v>36</v>
      </c>
      <c r="B14">
        <v>30776.1777</v>
      </c>
      <c r="C14">
        <v>12099.875599999999</v>
      </c>
      <c r="D14">
        <v>12273.8766</v>
      </c>
      <c r="E14">
        <v>17515.720399999998</v>
      </c>
      <c r="F14">
        <v>72665.650300000008</v>
      </c>
    </row>
    <row r="15" spans="1:6">
      <c r="A15" s="308" t="s">
        <v>37</v>
      </c>
      <c r="B15">
        <v>31249.7503</v>
      </c>
      <c r="C15">
        <v>21632.655200000001</v>
      </c>
      <c r="D15">
        <v>19214.972999999998</v>
      </c>
      <c r="E15">
        <v>20454.263899999998</v>
      </c>
      <c r="F15">
        <v>92551.642399999982</v>
      </c>
    </row>
    <row r="16" spans="1:6">
      <c r="A16" s="308" t="s">
        <v>38</v>
      </c>
      <c r="B16">
        <v>69528.224499999997</v>
      </c>
      <c r="C16">
        <v>7957.0007999999998</v>
      </c>
      <c r="D16">
        <v>13107.811400000001</v>
      </c>
      <c r="E16">
        <v>19225.5</v>
      </c>
      <c r="F16">
        <v>109818.5367</v>
      </c>
    </row>
    <row r="17" spans="1:6">
      <c r="A17" s="308" t="s">
        <v>39</v>
      </c>
      <c r="B17">
        <v>24856.8851</v>
      </c>
      <c r="C17">
        <v>13696.729500000001</v>
      </c>
      <c r="D17">
        <v>7653.1283000000003</v>
      </c>
      <c r="E17">
        <v>11535</v>
      </c>
      <c r="F17">
        <v>57741.742899999997</v>
      </c>
    </row>
    <row r="18" spans="1:6">
      <c r="A18" s="308" t="s">
        <v>41</v>
      </c>
      <c r="B18">
        <v>41731.647100000002</v>
      </c>
      <c r="C18">
        <v>7299.3661000000002</v>
      </c>
      <c r="D18">
        <v>7960.2209999999995</v>
      </c>
      <c r="E18">
        <v>19997.615600000001</v>
      </c>
      <c r="F18">
        <v>76988.849799999996</v>
      </c>
    </row>
    <row r="19" spans="1:6">
      <c r="A19" s="308" t="s">
        <v>70</v>
      </c>
      <c r="B19">
        <v>3599.8704000000002</v>
      </c>
      <c r="C19">
        <v>7099.6796000000004</v>
      </c>
      <c r="D19">
        <v>2299.6440000000002</v>
      </c>
      <c r="E19">
        <v>2254</v>
      </c>
      <c r="F19">
        <v>15253.194000000001</v>
      </c>
    </row>
    <row r="20" spans="1:6">
      <c r="A20" s="308" t="s">
        <v>71</v>
      </c>
      <c r="B20">
        <v>289.90999999999997</v>
      </c>
      <c r="C20">
        <v>5399.8096000000005</v>
      </c>
      <c r="D20">
        <v>679.07709999999997</v>
      </c>
      <c r="E20">
        <v>1279.1865</v>
      </c>
      <c r="F20">
        <v>7647.9832000000006</v>
      </c>
    </row>
    <row r="21" spans="1:6">
      <c r="A21" s="308" t="s">
        <v>6</v>
      </c>
      <c r="B21">
        <v>404072.66840000002</v>
      </c>
      <c r="C21">
        <v>183961.28630000001</v>
      </c>
      <c r="D21">
        <v>165754.46859999999</v>
      </c>
      <c r="E21">
        <v>201889.82769999999</v>
      </c>
      <c r="F21">
        <v>955678.25099999993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7F806-121D-45EC-92C0-26A38F52ECF3}">
  <sheetPr codeName="Sheet15"/>
  <dimension ref="A1:V79"/>
  <sheetViews>
    <sheetView zoomScale="62" workbookViewId="0">
      <selection activeCell="B72" sqref="B72"/>
    </sheetView>
  </sheetViews>
  <sheetFormatPr defaultColWidth="8.7265625" defaultRowHeight="14.5"/>
  <cols>
    <col min="1" max="1" width="16.54296875" style="287" bestFit="1" customWidth="1"/>
    <col min="2" max="3" width="14.453125" style="287" bestFit="1" customWidth="1"/>
    <col min="4" max="5" width="16.54296875" style="287" bestFit="1" customWidth="1"/>
    <col min="6" max="6" width="8.1796875" style="287" customWidth="1"/>
    <col min="7" max="7" width="5.1796875" style="287" bestFit="1" customWidth="1"/>
    <col min="8" max="8" width="14.26953125" style="287" bestFit="1" customWidth="1"/>
    <col min="9" max="10" width="13.1796875" style="287" bestFit="1" customWidth="1"/>
    <col min="11" max="11" width="17.7265625" style="287" bestFit="1" customWidth="1"/>
    <col min="12" max="12" width="5.1796875" style="287" bestFit="1" customWidth="1"/>
    <col min="13" max="13" width="6.7265625" style="287" bestFit="1" customWidth="1"/>
    <col min="14" max="14" width="6.26953125" style="287" bestFit="1" customWidth="1"/>
    <col min="15" max="15" width="8.7265625" style="287" bestFit="1" customWidth="1"/>
    <col min="16" max="17" width="17.81640625" style="287" bestFit="1" customWidth="1"/>
    <col min="18" max="16384" width="8.7265625" style="287"/>
  </cols>
  <sheetData>
    <row r="1" spans="1:15">
      <c r="B1" s="337" t="s">
        <v>72</v>
      </c>
      <c r="C1" s="337"/>
      <c r="D1" s="337"/>
      <c r="E1" s="337"/>
      <c r="G1" s="338" t="s">
        <v>44</v>
      </c>
      <c r="H1" s="339"/>
      <c r="I1" s="339"/>
      <c r="J1" s="340"/>
      <c r="L1" s="338" t="s">
        <v>73</v>
      </c>
      <c r="M1" s="339"/>
      <c r="N1" s="339"/>
      <c r="O1" s="340"/>
    </row>
    <row r="2" spans="1:15">
      <c r="A2" s="287" t="s">
        <v>74</v>
      </c>
      <c r="B2" s="287" t="s">
        <v>46</v>
      </c>
      <c r="C2" s="287" t="s">
        <v>47</v>
      </c>
      <c r="D2" s="287" t="s">
        <v>48</v>
      </c>
      <c r="E2" s="287" t="s">
        <v>49</v>
      </c>
      <c r="G2" s="300">
        <v>2022</v>
      </c>
      <c r="H2" s="300">
        <v>2023</v>
      </c>
      <c r="I2" s="300">
        <v>2024</v>
      </c>
      <c r="J2" s="300">
        <v>2025</v>
      </c>
      <c r="L2" s="300">
        <v>2022</v>
      </c>
      <c r="M2" s="300">
        <v>2023</v>
      </c>
      <c r="N2" s="300">
        <v>2024</v>
      </c>
      <c r="O2" s="300">
        <v>2025</v>
      </c>
    </row>
    <row r="3" spans="1:15">
      <c r="A3" s="288" t="s">
        <v>50</v>
      </c>
      <c r="B3" s="281">
        <v>232694.75150000001</v>
      </c>
      <c r="C3" s="311">
        <v>174938.7</v>
      </c>
      <c r="D3" s="282">
        <v>86370</v>
      </c>
      <c r="E3" s="282">
        <v>153879</v>
      </c>
      <c r="G3" s="305" t="s">
        <v>51</v>
      </c>
      <c r="H3" s="305">
        <f>Pertanian[[#This Row],[2023]]-Pertanian[[#This Row],[2022]]</f>
        <v>-57756.051500000001</v>
      </c>
      <c r="I3" s="305">
        <f>Pertanian[[#This Row],[2024]]-Pertanian[[#This Row],[2023]]</f>
        <v>-88568.700000000012</v>
      </c>
      <c r="J3" s="305">
        <f>Pertanian[[#This Row],[2025]]-Pertanian[[#This Row],[2024]]</f>
        <v>67509</v>
      </c>
      <c r="L3" s="250" t="s">
        <v>51</v>
      </c>
      <c r="M3" s="250">
        <f>IFERROR(H3/Pertanian[[#This Row],[2022]], "-")</f>
        <v>-0.24820521789895206</v>
      </c>
      <c r="N3" s="250">
        <f>IFERROR(I3/Pertanian[[#This Row],[2023]], "-")</f>
        <v>-0.50628420126592921</v>
      </c>
      <c r="O3" s="250">
        <f>IFERROR(J3/Pertanian[[#This Row],[2024]], "-")</f>
        <v>0.78162556443209452</v>
      </c>
    </row>
    <row r="4" spans="1:15">
      <c r="A4" s="289" t="s">
        <v>27</v>
      </c>
      <c r="B4" s="283">
        <v>3450</v>
      </c>
      <c r="C4" s="258">
        <v>57086</v>
      </c>
      <c r="D4" s="256">
        <v>12510</v>
      </c>
      <c r="E4" s="256">
        <v>13510</v>
      </c>
      <c r="G4" s="305" t="s">
        <v>51</v>
      </c>
      <c r="H4" s="305">
        <f>Pertanian[[#This Row],[2023]]-Pertanian[[#This Row],[2022]]</f>
        <v>53636</v>
      </c>
      <c r="I4" s="305">
        <f>Pertanian[[#This Row],[2024]]-Pertanian[[#This Row],[2023]]</f>
        <v>-44576</v>
      </c>
      <c r="J4" s="305">
        <f>Pertanian[[#This Row],[2025]]-Pertanian[[#This Row],[2024]]</f>
        <v>1000</v>
      </c>
      <c r="L4" s="250" t="s">
        <v>51</v>
      </c>
      <c r="M4" s="250">
        <f>IFERROR(H4/Pertanian[[#This Row],[2022]], "-")</f>
        <v>15.546666666666667</v>
      </c>
      <c r="N4" s="250">
        <f>IFERROR(I4/Pertanian[[#This Row],[2023]], "-")</f>
        <v>-0.78085695266790456</v>
      </c>
      <c r="O4" s="250">
        <f>IFERROR(J4/Pertanian[[#This Row],[2024]], "-")</f>
        <v>7.9936051159072735E-2</v>
      </c>
    </row>
    <row r="5" spans="1:15">
      <c r="A5" s="289" t="s">
        <v>28</v>
      </c>
      <c r="B5" s="283">
        <v>880</v>
      </c>
      <c r="C5" s="258">
        <v>900</v>
      </c>
      <c r="D5" s="256">
        <v>1100</v>
      </c>
      <c r="E5" s="256">
        <v>5600</v>
      </c>
      <c r="G5" s="305" t="s">
        <v>51</v>
      </c>
      <c r="H5" s="305">
        <f>Pertanian[[#This Row],[2023]]-Pertanian[[#This Row],[2022]]</f>
        <v>20</v>
      </c>
      <c r="I5" s="305">
        <f>Pertanian[[#This Row],[2024]]-Pertanian[[#This Row],[2023]]</f>
        <v>200</v>
      </c>
      <c r="J5" s="305">
        <f>Pertanian[[#This Row],[2025]]-Pertanian[[#This Row],[2024]]</f>
        <v>4500</v>
      </c>
      <c r="L5" s="250" t="s">
        <v>51</v>
      </c>
      <c r="M5" s="250">
        <f>IFERROR(H5/Pertanian[[#This Row],[2022]], "-")</f>
        <v>2.2727272727272728E-2</v>
      </c>
      <c r="N5" s="250">
        <f>IFERROR(I5/Pertanian[[#This Row],[2023]], "-")</f>
        <v>0.22222222222222221</v>
      </c>
      <c r="O5" s="250">
        <f>IFERROR(J5/Pertanian[[#This Row],[2024]], "-")</f>
        <v>4.0909090909090908</v>
      </c>
    </row>
    <row r="6" spans="1:15">
      <c r="A6" s="289" t="s">
        <v>29</v>
      </c>
      <c r="B6" s="283">
        <v>21140</v>
      </c>
      <c r="C6" s="258">
        <v>37398</v>
      </c>
      <c r="D6" s="256">
        <v>19380</v>
      </c>
      <c r="E6" s="256">
        <v>50880</v>
      </c>
      <c r="G6" s="305" t="s">
        <v>51</v>
      </c>
      <c r="H6" s="305">
        <f>Pertanian[[#This Row],[2023]]-Pertanian[[#This Row],[2022]]</f>
        <v>16258</v>
      </c>
      <c r="I6" s="305">
        <f>Pertanian[[#This Row],[2024]]-Pertanian[[#This Row],[2023]]</f>
        <v>-18018</v>
      </c>
      <c r="J6" s="305">
        <f>Pertanian[[#This Row],[2025]]-Pertanian[[#This Row],[2024]]</f>
        <v>31500</v>
      </c>
      <c r="L6" s="250" t="s">
        <v>51</v>
      </c>
      <c r="M6" s="250">
        <f>IFERROR(H6/Pertanian[[#This Row],[2022]], "-")</f>
        <v>0.76906338694418164</v>
      </c>
      <c r="N6" s="250">
        <f>IFERROR(I6/Pertanian[[#This Row],[2023]], "-")</f>
        <v>-0.48179047007861381</v>
      </c>
      <c r="O6" s="250">
        <f>IFERROR(J6/Pertanian[[#This Row],[2024]], "-")</f>
        <v>1.6253869969040247</v>
      </c>
    </row>
    <row r="7" spans="1:15">
      <c r="A7" s="289" t="s">
        <v>30</v>
      </c>
      <c r="B7" s="283">
        <v>1500</v>
      </c>
      <c r="C7" s="258">
        <v>0</v>
      </c>
      <c r="D7" s="256">
        <v>0</v>
      </c>
      <c r="E7" s="256">
        <v>0</v>
      </c>
      <c r="G7" s="305" t="s">
        <v>51</v>
      </c>
      <c r="H7" s="305">
        <f>Pertanian[[#This Row],[2023]]-Pertanian[[#This Row],[2022]]</f>
        <v>-1500</v>
      </c>
      <c r="I7" s="305">
        <f>Pertanian[[#This Row],[2024]]-Pertanian[[#This Row],[2023]]</f>
        <v>0</v>
      </c>
      <c r="J7" s="305">
        <f>Pertanian[[#This Row],[2025]]-Pertanian[[#This Row],[2024]]</f>
        <v>0</v>
      </c>
      <c r="L7" s="250" t="s">
        <v>51</v>
      </c>
      <c r="M7" s="250">
        <f>IFERROR(H7/Pertanian[[#This Row],[2022]], "-")</f>
        <v>-1</v>
      </c>
      <c r="N7" s="250" t="str">
        <f>IFERROR(I7/Pertanian[[#This Row],[2023]], "-")</f>
        <v>-</v>
      </c>
      <c r="O7" s="250" t="str">
        <f>IFERROR(J7/Pertanian[[#This Row],[2024]], "-")</f>
        <v>-</v>
      </c>
    </row>
    <row r="8" spans="1:15">
      <c r="A8" s="289" t="s">
        <v>31</v>
      </c>
      <c r="B8" s="283">
        <v>17940</v>
      </c>
      <c r="C8" s="258">
        <v>0</v>
      </c>
      <c r="D8" s="256">
        <v>1850</v>
      </c>
      <c r="E8" s="256">
        <v>850</v>
      </c>
      <c r="G8" s="305" t="s">
        <v>51</v>
      </c>
      <c r="H8" s="305">
        <f>Pertanian[[#This Row],[2023]]-Pertanian[[#This Row],[2022]]</f>
        <v>-17940</v>
      </c>
      <c r="I8" s="305">
        <f>Pertanian[[#This Row],[2024]]-Pertanian[[#This Row],[2023]]</f>
        <v>1850</v>
      </c>
      <c r="J8" s="305">
        <f>Pertanian[[#This Row],[2025]]-Pertanian[[#This Row],[2024]]</f>
        <v>-1000</v>
      </c>
      <c r="L8" s="250" t="s">
        <v>51</v>
      </c>
      <c r="M8" s="250">
        <f>IFERROR(H8/Pertanian[[#This Row],[2022]], "-")</f>
        <v>-1</v>
      </c>
      <c r="N8" s="250" t="str">
        <f>IFERROR(I8/Pertanian[[#This Row],[2023]], "-")</f>
        <v>-</v>
      </c>
      <c r="O8" s="250">
        <f>IFERROR(J8/Pertanian[[#This Row],[2024]], "-")</f>
        <v>-0.54054054054054057</v>
      </c>
    </row>
    <row r="9" spans="1:15">
      <c r="A9" s="289" t="s">
        <v>32</v>
      </c>
      <c r="B9" s="283">
        <v>140090</v>
      </c>
      <c r="C9" s="258">
        <v>49193</v>
      </c>
      <c r="D9" s="256">
        <v>0</v>
      </c>
      <c r="E9" s="256">
        <v>1000</v>
      </c>
      <c r="G9" s="305" t="s">
        <v>51</v>
      </c>
      <c r="H9" s="305">
        <f>Pertanian[[#This Row],[2023]]-Pertanian[[#This Row],[2022]]</f>
        <v>-90897</v>
      </c>
      <c r="I9" s="305">
        <f>Pertanian[[#This Row],[2024]]-Pertanian[[#This Row],[2023]]</f>
        <v>-49193</v>
      </c>
      <c r="J9" s="305">
        <f>Pertanian[[#This Row],[2025]]-Pertanian[[#This Row],[2024]]</f>
        <v>1000</v>
      </c>
      <c r="L9" s="250" t="s">
        <v>51</v>
      </c>
      <c r="M9" s="250">
        <f>IFERROR(H9/Pertanian[[#This Row],[2022]], "-")</f>
        <v>-0.64884716967663647</v>
      </c>
      <c r="N9" s="250">
        <f>IFERROR(I9/Pertanian[[#This Row],[2023]], "-")</f>
        <v>-1</v>
      </c>
      <c r="O9" s="250" t="str">
        <f>IFERROR(J9/Pertanian[[#This Row],[2024]], "-")</f>
        <v>-</v>
      </c>
    </row>
    <row r="10" spans="1:15">
      <c r="A10" s="289" t="s">
        <v>35</v>
      </c>
      <c r="B10" s="283">
        <v>0</v>
      </c>
      <c r="C10" s="258">
        <v>0</v>
      </c>
      <c r="D10" s="256">
        <v>0</v>
      </c>
      <c r="E10" s="256">
        <v>1309</v>
      </c>
      <c r="G10" s="305" t="s">
        <v>51</v>
      </c>
      <c r="H10" s="305">
        <f>Pertanian[[#This Row],[2023]]-Pertanian[[#This Row],[2022]]</f>
        <v>0</v>
      </c>
      <c r="I10" s="305">
        <f>Pertanian[[#This Row],[2024]]-Pertanian[[#This Row],[2023]]</f>
        <v>0</v>
      </c>
      <c r="J10" s="305">
        <f>Pertanian[[#This Row],[2025]]-Pertanian[[#This Row],[2024]]</f>
        <v>1309</v>
      </c>
      <c r="L10" s="250" t="s">
        <v>51</v>
      </c>
      <c r="M10" s="250" t="str">
        <f>IFERROR(H10/Pertanian[[#This Row],[2022]], "-")</f>
        <v>-</v>
      </c>
      <c r="N10" s="250" t="str">
        <f>IFERROR(I10/Pertanian[[#This Row],[2023]], "-")</f>
        <v>-</v>
      </c>
      <c r="O10" s="250" t="str">
        <f>IFERROR(J10/Pertanian[[#This Row],[2024]], "-")</f>
        <v>-</v>
      </c>
    </row>
    <row r="11" spans="1:15">
      <c r="A11" s="289" t="s">
        <v>33</v>
      </c>
      <c r="B11" s="283">
        <v>12159.7515</v>
      </c>
      <c r="C11" s="258">
        <v>19010</v>
      </c>
      <c r="D11" s="256">
        <v>29400</v>
      </c>
      <c r="E11" s="256">
        <v>1400</v>
      </c>
      <c r="G11" s="305" t="s">
        <v>51</v>
      </c>
      <c r="H11" s="305">
        <f>Pertanian[[#This Row],[2023]]-Pertanian[[#This Row],[2022]]</f>
        <v>6850.2484999999997</v>
      </c>
      <c r="I11" s="305">
        <f>Pertanian[[#This Row],[2024]]-Pertanian[[#This Row],[2023]]</f>
        <v>10390</v>
      </c>
      <c r="J11" s="305">
        <f>Pertanian[[#This Row],[2025]]-Pertanian[[#This Row],[2024]]</f>
        <v>-28000</v>
      </c>
      <c r="L11" s="250" t="s">
        <v>51</v>
      </c>
      <c r="M11" s="250">
        <f>IFERROR(H11/Pertanian[[#This Row],[2022]], "-")</f>
        <v>0.56335431690359783</v>
      </c>
      <c r="N11" s="250">
        <f>IFERROR(I11/Pertanian[[#This Row],[2023]], "-")</f>
        <v>0.54655444502893213</v>
      </c>
      <c r="O11" s="250">
        <f>IFERROR(J11/Pertanian[[#This Row],[2024]], "-")</f>
        <v>-0.95238095238095233</v>
      </c>
    </row>
    <row r="12" spans="1:15">
      <c r="A12" s="289" t="s">
        <v>34</v>
      </c>
      <c r="B12" s="283">
        <v>0</v>
      </c>
      <c r="C12" s="258">
        <v>0</v>
      </c>
      <c r="D12" s="256">
        <v>0</v>
      </c>
      <c r="E12" s="256">
        <v>15900</v>
      </c>
      <c r="G12" s="305" t="s">
        <v>51</v>
      </c>
      <c r="H12" s="305">
        <f>Pertanian[[#This Row],[2023]]-Pertanian[[#This Row],[2022]]</f>
        <v>0</v>
      </c>
      <c r="I12" s="305">
        <f>Pertanian[[#This Row],[2024]]-Pertanian[[#This Row],[2023]]</f>
        <v>0</v>
      </c>
      <c r="J12" s="305">
        <f>Pertanian[[#This Row],[2025]]-Pertanian[[#This Row],[2024]]</f>
        <v>15900</v>
      </c>
      <c r="L12" s="250" t="s">
        <v>51</v>
      </c>
      <c r="M12" s="250" t="str">
        <f>IFERROR(H12/Pertanian[[#This Row],[2022]], "-")</f>
        <v>-</v>
      </c>
      <c r="N12" s="250" t="str">
        <f>IFERROR(I12/Pertanian[[#This Row],[2023]], "-")</f>
        <v>-</v>
      </c>
      <c r="O12" s="250" t="str">
        <f>IFERROR(J12/Pertanian[[#This Row],[2024]], "-")</f>
        <v>-</v>
      </c>
    </row>
    <row r="13" spans="1:15">
      <c r="A13" s="289" t="s">
        <v>38</v>
      </c>
      <c r="B13" s="283">
        <v>19250</v>
      </c>
      <c r="C13" s="258">
        <v>0</v>
      </c>
      <c r="D13" s="256">
        <v>0</v>
      </c>
      <c r="E13" s="256">
        <v>7300</v>
      </c>
      <c r="G13" s="305" t="s">
        <v>51</v>
      </c>
      <c r="H13" s="305">
        <f>Pertanian[[#This Row],[2023]]-Pertanian[[#This Row],[2022]]</f>
        <v>-19250</v>
      </c>
      <c r="I13" s="305">
        <f>Pertanian[[#This Row],[2024]]-Pertanian[[#This Row],[2023]]</f>
        <v>0</v>
      </c>
      <c r="J13" s="305">
        <f>Pertanian[[#This Row],[2025]]-Pertanian[[#This Row],[2024]]</f>
        <v>7300</v>
      </c>
      <c r="L13" s="250" t="s">
        <v>51</v>
      </c>
      <c r="M13" s="250">
        <f>IFERROR(H13/Pertanian[[#This Row],[2022]], "-")</f>
        <v>-1</v>
      </c>
      <c r="N13" s="250" t="str">
        <f>IFERROR(I13/Pertanian[[#This Row],[2023]], "-")</f>
        <v>-</v>
      </c>
      <c r="O13" s="250" t="str">
        <f>IFERROR(J13/Pertanian[[#This Row],[2024]], "-")</f>
        <v>-</v>
      </c>
    </row>
    <row r="14" spans="1:15">
      <c r="A14" s="289" t="s">
        <v>39</v>
      </c>
      <c r="B14" s="283">
        <v>16285</v>
      </c>
      <c r="C14" s="258">
        <v>11351.7</v>
      </c>
      <c r="D14" s="256">
        <v>22130</v>
      </c>
      <c r="E14" s="256">
        <v>56130</v>
      </c>
      <c r="G14" s="305" t="s">
        <v>51</v>
      </c>
      <c r="H14" s="305">
        <f>Pertanian[[#This Row],[2023]]-Pertanian[[#This Row],[2022]]</f>
        <v>-4933.2999999999993</v>
      </c>
      <c r="I14" s="305">
        <f>Pertanian[[#This Row],[2024]]-Pertanian[[#This Row],[2023]]</f>
        <v>10778.3</v>
      </c>
      <c r="J14" s="305">
        <f>Pertanian[[#This Row],[2025]]-Pertanian[[#This Row],[2024]]</f>
        <v>34000</v>
      </c>
      <c r="L14" s="250" t="s">
        <v>51</v>
      </c>
      <c r="M14" s="250">
        <f>IFERROR(H14/Pertanian[[#This Row],[2022]], "-")</f>
        <v>-0.30293521645686211</v>
      </c>
      <c r="N14" s="250">
        <f>IFERROR(I14/Pertanian[[#This Row],[2023]], "-")</f>
        <v>0.949487741924117</v>
      </c>
      <c r="O14" s="250">
        <f>IFERROR(J14/Pertanian[[#This Row],[2024]], "-")</f>
        <v>1.5363759602349751</v>
      </c>
    </row>
    <row r="15" spans="1:15">
      <c r="A15" s="289" t="s">
        <v>36</v>
      </c>
      <c r="B15" s="283">
        <v>0</v>
      </c>
      <c r="C15" s="258">
        <v>0</v>
      </c>
      <c r="D15" s="256">
        <v>0</v>
      </c>
      <c r="E15" s="256">
        <v>0</v>
      </c>
      <c r="G15" s="305" t="s">
        <v>51</v>
      </c>
      <c r="H15" s="305">
        <f>Pertanian[[#This Row],[2023]]-Pertanian[[#This Row],[2022]]</f>
        <v>0</v>
      </c>
      <c r="I15" s="305">
        <f>Pertanian[[#This Row],[2024]]-Pertanian[[#This Row],[2023]]</f>
        <v>0</v>
      </c>
      <c r="J15" s="305">
        <f>Pertanian[[#This Row],[2025]]-Pertanian[[#This Row],[2024]]</f>
        <v>0</v>
      </c>
      <c r="L15" s="250" t="s">
        <v>51</v>
      </c>
      <c r="M15" s="250" t="str">
        <f>IFERROR(H15/Pertanian[[#This Row],[2022]], "-")</f>
        <v>-</v>
      </c>
      <c r="N15" s="250" t="str">
        <f>IFERROR(I15/Pertanian[[#This Row],[2023]], "-")</f>
        <v>-</v>
      </c>
      <c r="O15" s="250" t="str">
        <f>IFERROR(J15/Pertanian[[#This Row],[2024]], "-")</f>
        <v>-</v>
      </c>
    </row>
    <row r="16" spans="1:15">
      <c r="A16" s="289" t="s">
        <v>37</v>
      </c>
      <c r="B16" s="283">
        <v>0</v>
      </c>
      <c r="C16" s="258">
        <v>0</v>
      </c>
      <c r="D16" s="256">
        <v>0</v>
      </c>
      <c r="E16" s="256">
        <v>0</v>
      </c>
      <c r="G16" s="305" t="s">
        <v>51</v>
      </c>
      <c r="H16" s="305">
        <f>Pertanian[[#This Row],[2023]]-Pertanian[[#This Row],[2022]]</f>
        <v>0</v>
      </c>
      <c r="I16" s="305">
        <f>Pertanian[[#This Row],[2024]]-Pertanian[[#This Row],[2023]]</f>
        <v>0</v>
      </c>
      <c r="J16" s="305">
        <f>Pertanian[[#This Row],[2025]]-Pertanian[[#This Row],[2024]]</f>
        <v>0</v>
      </c>
      <c r="L16" s="250" t="s">
        <v>51</v>
      </c>
      <c r="M16" s="250" t="str">
        <f>IFERROR(H16/Pertanian[[#This Row],[2022]], "-")</f>
        <v>-</v>
      </c>
      <c r="N16" s="250" t="str">
        <f>IFERROR(I16/Pertanian[[#This Row],[2023]], "-")</f>
        <v>-</v>
      </c>
      <c r="O16" s="250" t="str">
        <f>IFERROR(J16/Pertanian[[#This Row],[2024]], "-")</f>
        <v>-</v>
      </c>
    </row>
    <row r="17" spans="1:22">
      <c r="A17" s="289" t="s">
        <v>41</v>
      </c>
      <c r="B17" s="283">
        <v>0</v>
      </c>
      <c r="C17" s="258">
        <v>0</v>
      </c>
      <c r="D17" s="256">
        <v>0</v>
      </c>
      <c r="E17" s="256">
        <v>0</v>
      </c>
      <c r="G17" s="305" t="s">
        <v>51</v>
      </c>
      <c r="H17" s="305">
        <f>Pertanian[[#This Row],[2023]]-Pertanian[[#This Row],[2022]]</f>
        <v>0</v>
      </c>
      <c r="I17" s="305">
        <f>Pertanian[[#This Row],[2024]]-Pertanian[[#This Row],[2023]]</f>
        <v>0</v>
      </c>
      <c r="J17" s="305">
        <f>Pertanian[[#This Row],[2025]]-Pertanian[[#This Row],[2024]]</f>
        <v>0</v>
      </c>
      <c r="L17" s="250" t="s">
        <v>51</v>
      </c>
      <c r="M17" s="250" t="str">
        <f>IFERROR(H17/Pertanian[[#This Row],[2022]], "-")</f>
        <v>-</v>
      </c>
      <c r="N17" s="250" t="str">
        <f>IFERROR(I17/Pertanian[[#This Row],[2023]], "-")</f>
        <v>-</v>
      </c>
      <c r="O17" s="250" t="str">
        <f>IFERROR(J17/Pertanian[[#This Row],[2024]], "-")</f>
        <v>-</v>
      </c>
    </row>
    <row r="18" spans="1:22">
      <c r="A18" s="289" t="s">
        <v>70</v>
      </c>
      <c r="B18" s="283">
        <v>0</v>
      </c>
      <c r="C18" s="258">
        <v>0</v>
      </c>
      <c r="D18" s="256">
        <v>0</v>
      </c>
      <c r="E18" s="256">
        <v>0</v>
      </c>
      <c r="G18" s="305" t="s">
        <v>51</v>
      </c>
      <c r="H18" s="305">
        <f>Pertanian[[#This Row],[2023]]-Pertanian[[#This Row],[2022]]</f>
        <v>0</v>
      </c>
      <c r="I18" s="305">
        <f>Pertanian[[#This Row],[2024]]-Pertanian[[#This Row],[2023]]</f>
        <v>0</v>
      </c>
      <c r="J18" s="305">
        <f>Pertanian[[#This Row],[2025]]-Pertanian[[#This Row],[2024]]</f>
        <v>0</v>
      </c>
      <c r="L18" s="250" t="s">
        <v>51</v>
      </c>
      <c r="M18" s="250" t="str">
        <f>IFERROR(H18/Pertanian[[#This Row],[2022]], "-")</f>
        <v>-</v>
      </c>
      <c r="N18" s="250" t="str">
        <f>IFERROR(I18/Pertanian[[#This Row],[2023]], "-")</f>
        <v>-</v>
      </c>
      <c r="O18" s="250" t="str">
        <f>IFERROR(J18/Pertanian[[#This Row],[2024]], "-")</f>
        <v>-</v>
      </c>
    </row>
    <row r="19" spans="1:22">
      <c r="A19" s="289" t="s">
        <v>71</v>
      </c>
      <c r="B19" s="284">
        <v>0</v>
      </c>
      <c r="C19" s="258">
        <v>0</v>
      </c>
      <c r="D19" s="256">
        <v>0</v>
      </c>
      <c r="E19" s="256">
        <v>0</v>
      </c>
      <c r="G19" s="305" t="s">
        <v>51</v>
      </c>
      <c r="H19" s="305">
        <f>Pertanian[[#This Row],[2023]]-Pertanian[[#This Row],[2022]]</f>
        <v>0</v>
      </c>
      <c r="I19" s="305">
        <f>Pertanian[[#This Row],[2024]]-Pertanian[[#This Row],[2023]]</f>
        <v>0</v>
      </c>
      <c r="J19" s="305">
        <f>Pertanian[[#This Row],[2025]]-Pertanian[[#This Row],[2024]]</f>
        <v>0</v>
      </c>
      <c r="L19" s="250" t="s">
        <v>51</v>
      </c>
      <c r="M19" s="250" t="str">
        <f>IFERROR(H19/Pertanian[[#This Row],[2022]], "-")</f>
        <v>-</v>
      </c>
      <c r="N19" s="250" t="str">
        <f>IFERROR(I19/Pertanian[[#This Row],[2023]], "-")</f>
        <v>-</v>
      </c>
      <c r="O19" s="250" t="str">
        <f>IFERROR(J19/Pertanian[[#This Row],[2024]], "-")</f>
        <v>-</v>
      </c>
    </row>
    <row r="20" spans="1:22">
      <c r="A20" s="289"/>
      <c r="B20" s="290"/>
      <c r="C20" s="291"/>
      <c r="D20" s="292"/>
      <c r="E20" s="292"/>
      <c r="F20" s="293"/>
      <c r="G20" s="293"/>
      <c r="H20" s="294"/>
      <c r="I20" s="294"/>
      <c r="J20" s="293"/>
      <c r="K20" s="293"/>
      <c r="L20" s="294"/>
      <c r="M20" s="294"/>
      <c r="N20" s="291"/>
      <c r="O20" s="291"/>
      <c r="P20" s="292"/>
      <c r="Q20" s="292"/>
      <c r="R20" s="295"/>
      <c r="S20" s="294"/>
      <c r="T20" s="292"/>
      <c r="U20" s="292"/>
      <c r="V20" s="292"/>
    </row>
    <row r="21" spans="1:22">
      <c r="B21" s="337" t="s">
        <v>75</v>
      </c>
      <c r="C21" s="337"/>
      <c r="D21" s="337"/>
      <c r="E21" s="337"/>
      <c r="G21" s="338" t="s">
        <v>44</v>
      </c>
      <c r="H21" s="339"/>
      <c r="I21" s="339"/>
      <c r="J21" s="340"/>
      <c r="L21" s="338" t="s">
        <v>73</v>
      </c>
      <c r="M21" s="339"/>
      <c r="N21" s="339"/>
      <c r="O21" s="340"/>
    </row>
    <row r="22" spans="1:22">
      <c r="A22" s="296" t="s">
        <v>74</v>
      </c>
      <c r="B22" s="287" t="s">
        <v>46</v>
      </c>
      <c r="C22" s="287" t="s">
        <v>47</v>
      </c>
      <c r="D22" s="287" t="s">
        <v>48</v>
      </c>
      <c r="E22" s="287" t="s">
        <v>49</v>
      </c>
      <c r="G22" s="301">
        <v>2022</v>
      </c>
      <c r="H22" s="301">
        <v>2023</v>
      </c>
      <c r="I22" s="301">
        <v>2024</v>
      </c>
      <c r="J22" s="301">
        <v>2025</v>
      </c>
      <c r="L22" s="300">
        <v>2022</v>
      </c>
      <c r="M22" s="300">
        <v>2023</v>
      </c>
      <c r="N22" s="300">
        <v>2024</v>
      </c>
      <c r="O22" s="300">
        <v>2025</v>
      </c>
    </row>
    <row r="23" spans="1:22">
      <c r="A23" s="297" t="s">
        <v>50</v>
      </c>
      <c r="B23" s="281">
        <v>404072.66817999998</v>
      </c>
      <c r="C23" s="311">
        <v>191065.69013999999</v>
      </c>
      <c r="D23" s="282">
        <v>165754.46839999998</v>
      </c>
      <c r="E23" s="282">
        <v>201889.82800000001</v>
      </c>
      <c r="G23" s="305" t="s">
        <v>51</v>
      </c>
      <c r="H23" s="305">
        <f>Pengairan[[#This Row],[2023]]-Pengairan[[#This Row],[2022]]</f>
        <v>-213006.97803999999</v>
      </c>
      <c r="I23" s="305">
        <f>Pengairan[[#This Row],[2024]]-Pengairan[[#This Row],[2023]]</f>
        <v>-25311.221740000008</v>
      </c>
      <c r="J23" s="305">
        <f>Pengairan[[#This Row],[2025]]-Pengairan[[#This Row],[2024]]</f>
        <v>36135.359600000025</v>
      </c>
      <c r="L23" s="250" t="s">
        <v>51</v>
      </c>
      <c r="M23" s="250">
        <f>IFERROR(H23/Pengairan[[#This Row],[2022]], "-")</f>
        <v>-0.52715017573302669</v>
      </c>
      <c r="N23" s="250">
        <f>IFERROR(I23/Pengairan[[#This Row],[2023]], "-")</f>
        <v>-0.13247392413286582</v>
      </c>
      <c r="O23" s="250">
        <f>IFERROR(J23/Pengairan[[#This Row],[2024]], "-")</f>
        <v>0.21800534217151776</v>
      </c>
    </row>
    <row r="24" spans="1:22">
      <c r="A24" s="298" t="s">
        <v>27</v>
      </c>
      <c r="B24" s="284">
        <v>34788.571219999998</v>
      </c>
      <c r="C24" s="284">
        <v>12396.449569999999</v>
      </c>
      <c r="D24" s="252">
        <v>16128.911340000002</v>
      </c>
      <c r="E24" s="252">
        <v>15655.57674</v>
      </c>
      <c r="G24" s="305" t="s">
        <v>51</v>
      </c>
      <c r="H24" s="305">
        <f>Pengairan[[#This Row],[2023]]-Pengairan[[#This Row],[2022]]</f>
        <v>-22392.121650000001</v>
      </c>
      <c r="I24" s="305">
        <f>Pengairan[[#This Row],[2024]]-Pengairan[[#This Row],[2023]]</f>
        <v>3732.4617700000035</v>
      </c>
      <c r="J24" s="305">
        <f>Pengairan[[#This Row],[2025]]-Pengairan[[#This Row],[2024]]</f>
        <v>-473.33460000000196</v>
      </c>
      <c r="L24" s="250" t="s">
        <v>51</v>
      </c>
      <c r="M24" s="250">
        <f>IFERROR(H24/Pengairan[[#This Row],[2022]], "-")</f>
        <v>-0.64366315904134452</v>
      </c>
      <c r="N24" s="250">
        <f>IFERROR(I24/Pengairan[[#This Row],[2023]], "-")</f>
        <v>0.30109119138698709</v>
      </c>
      <c r="O24" s="250">
        <f>IFERROR(J24/Pengairan[[#This Row],[2024]], "-")</f>
        <v>-2.9346965211850554E-2</v>
      </c>
    </row>
    <row r="25" spans="1:22">
      <c r="A25" s="299" t="s">
        <v>28</v>
      </c>
      <c r="B25" s="284">
        <v>23429.590990000001</v>
      </c>
      <c r="C25" s="284">
        <v>19846.419099999999</v>
      </c>
      <c r="D25" s="252">
        <v>12442.55709</v>
      </c>
      <c r="E25" s="252">
        <v>14173.4192</v>
      </c>
      <c r="G25" s="305" t="s">
        <v>51</v>
      </c>
      <c r="H25" s="305">
        <f>Pengairan[[#This Row],[2023]]-Pengairan[[#This Row],[2022]]</f>
        <v>-3583.1718900000014</v>
      </c>
      <c r="I25" s="305">
        <f>Pengairan[[#This Row],[2024]]-Pengairan[[#This Row],[2023]]</f>
        <v>-7403.8620099999989</v>
      </c>
      <c r="J25" s="305">
        <f>Pengairan[[#This Row],[2025]]-Pengairan[[#This Row],[2024]]</f>
        <v>1730.86211</v>
      </c>
      <c r="L25" s="250" t="s">
        <v>51</v>
      </c>
      <c r="M25" s="250">
        <f>IFERROR(H25/Pengairan[[#This Row],[2022]], "-")</f>
        <v>-0.15293360825331254</v>
      </c>
      <c r="N25" s="250">
        <f>IFERROR(I25/Pengairan[[#This Row],[2023]], "-")</f>
        <v>-0.37305782835151352</v>
      </c>
      <c r="O25" s="250">
        <f>IFERROR(J25/Pengairan[[#This Row],[2024]], "-")</f>
        <v>0.13910823132899927</v>
      </c>
    </row>
    <row r="26" spans="1:22">
      <c r="A26" s="298" t="s">
        <v>29</v>
      </c>
      <c r="B26" s="284">
        <v>40814.260340000001</v>
      </c>
      <c r="C26" s="284">
        <v>10992.24626</v>
      </c>
      <c r="D26" s="252">
        <v>14657.272569999997</v>
      </c>
      <c r="E26" s="252">
        <v>11148.619699999999</v>
      </c>
      <c r="G26" s="305" t="s">
        <v>51</v>
      </c>
      <c r="H26" s="305">
        <f>Pengairan[[#This Row],[2023]]-Pengairan[[#This Row],[2022]]</f>
        <v>-29822.014080000001</v>
      </c>
      <c r="I26" s="305">
        <f>Pengairan[[#This Row],[2024]]-Pengairan[[#This Row],[2023]]</f>
        <v>3665.0263099999975</v>
      </c>
      <c r="J26" s="305">
        <f>Pengairan[[#This Row],[2025]]-Pengairan[[#This Row],[2024]]</f>
        <v>-3508.6528699999981</v>
      </c>
      <c r="L26" s="250" t="s">
        <v>51</v>
      </c>
      <c r="M26" s="250">
        <f>IFERROR(H26/Pengairan[[#This Row],[2022]], "-")</f>
        <v>-0.73067633301620671</v>
      </c>
      <c r="N26" s="250">
        <f>IFERROR(I26/Pengairan[[#This Row],[2023]], "-")</f>
        <v>0.33341923236716109</v>
      </c>
      <c r="O26" s="250">
        <f>IFERROR(J26/Pengairan[[#This Row],[2024]], "-")</f>
        <v>-0.2393796562930397</v>
      </c>
    </row>
    <row r="27" spans="1:22">
      <c r="A27" s="299" t="s">
        <v>30</v>
      </c>
      <c r="B27" s="284">
        <v>15150.5429</v>
      </c>
      <c r="C27" s="284">
        <v>5000</v>
      </c>
      <c r="D27" s="252">
        <v>7248.7260000000006</v>
      </c>
      <c r="E27" s="252">
        <v>12810.816999999999</v>
      </c>
      <c r="G27" s="305" t="s">
        <v>51</v>
      </c>
      <c r="H27" s="305">
        <f>Pengairan[[#This Row],[2023]]-Pengairan[[#This Row],[2022]]</f>
        <v>-10150.5429</v>
      </c>
      <c r="I27" s="305">
        <f>Pengairan[[#This Row],[2024]]-Pengairan[[#This Row],[2023]]</f>
        <v>2248.7260000000006</v>
      </c>
      <c r="J27" s="305">
        <f>Pengairan[[#This Row],[2025]]-Pengairan[[#This Row],[2024]]</f>
        <v>5562.0909999999985</v>
      </c>
      <c r="L27" s="250" t="s">
        <v>51</v>
      </c>
      <c r="M27" s="250">
        <f>IFERROR(H27/Pengairan[[#This Row],[2022]], "-")</f>
        <v>-0.66997882300310174</v>
      </c>
      <c r="N27" s="250">
        <f>IFERROR(I27/Pengairan[[#This Row],[2023]], "-")</f>
        <v>0.44974520000000012</v>
      </c>
      <c r="O27" s="250">
        <f>IFERROR(J27/Pengairan[[#This Row],[2024]], "-")</f>
        <v>0.76731980212798745</v>
      </c>
    </row>
    <row r="28" spans="1:22">
      <c r="A28" s="298" t="s">
        <v>31</v>
      </c>
      <c r="B28" s="284">
        <v>17598.841049999999</v>
      </c>
      <c r="C28" s="284">
        <v>7579.9111499999999</v>
      </c>
      <c r="D28" s="252">
        <v>11970</v>
      </c>
      <c r="E28" s="252">
        <v>11070</v>
      </c>
      <c r="G28" s="305" t="s">
        <v>51</v>
      </c>
      <c r="H28" s="305">
        <f>Pengairan[[#This Row],[2023]]-Pengairan[[#This Row],[2022]]</f>
        <v>-10018.929899999999</v>
      </c>
      <c r="I28" s="305">
        <f>Pengairan[[#This Row],[2024]]-Pengairan[[#This Row],[2023]]</f>
        <v>4390.0888500000001</v>
      </c>
      <c r="J28" s="305">
        <f>Pengairan[[#This Row],[2025]]-Pengairan[[#This Row],[2024]]</f>
        <v>-900</v>
      </c>
      <c r="L28" s="250" t="s">
        <v>51</v>
      </c>
      <c r="M28" s="250">
        <f>IFERROR(H28/Pengairan[[#This Row],[2022]], "-")</f>
        <v>-0.56929486842544097</v>
      </c>
      <c r="N28" s="250">
        <f>IFERROR(I28/Pengairan[[#This Row],[2023]], "-")</f>
        <v>0.5791741833279932</v>
      </c>
      <c r="O28" s="250">
        <f>IFERROR(J28/Pengairan[[#This Row],[2024]], "-")</f>
        <v>-7.5187969924812026E-2</v>
      </c>
    </row>
    <row r="29" spans="1:22">
      <c r="A29" s="299" t="s">
        <v>32</v>
      </c>
      <c r="B29" s="284">
        <v>35974.811950000003</v>
      </c>
      <c r="C29" s="284">
        <v>13808.13696</v>
      </c>
      <c r="D29" s="252">
        <v>14742.957989999999</v>
      </c>
      <c r="E29" s="252">
        <v>17800.54349</v>
      </c>
      <c r="G29" s="305" t="s">
        <v>51</v>
      </c>
      <c r="H29" s="305">
        <f>Pengairan[[#This Row],[2023]]-Pengairan[[#This Row],[2022]]</f>
        <v>-22166.674990000003</v>
      </c>
      <c r="I29" s="305">
        <f>Pengairan[[#This Row],[2024]]-Pengairan[[#This Row],[2023]]</f>
        <v>934.82102999999915</v>
      </c>
      <c r="J29" s="305">
        <f>Pengairan[[#This Row],[2025]]-Pengairan[[#This Row],[2024]]</f>
        <v>3057.585500000001</v>
      </c>
      <c r="L29" s="250" t="s">
        <v>51</v>
      </c>
      <c r="M29" s="250">
        <f>IFERROR(H29/Pengairan[[#This Row],[2022]], "-")</f>
        <v>-0.61617208787105282</v>
      </c>
      <c r="N29" s="250">
        <f>IFERROR(I29/Pengairan[[#This Row],[2023]], "-")</f>
        <v>6.7700735639284915E-2</v>
      </c>
      <c r="O29" s="250">
        <f>IFERROR(J29/Pengairan[[#This Row],[2024]], "-")</f>
        <v>0.20739294665791835</v>
      </c>
    </row>
    <row r="30" spans="1:22">
      <c r="A30" s="298" t="s">
        <v>35</v>
      </c>
      <c r="B30" s="283">
        <v>12499.627899999999</v>
      </c>
      <c r="C30" s="258">
        <v>8130.5333200000005</v>
      </c>
      <c r="D30" s="252">
        <v>7659.9918799999996</v>
      </c>
      <c r="E30" s="252">
        <v>7372.9670600000009</v>
      </c>
      <c r="G30" s="305" t="s">
        <v>51</v>
      </c>
      <c r="H30" s="305">
        <f>Pengairan[[#This Row],[2023]]-Pengairan[[#This Row],[2022]]</f>
        <v>-4369.094579999999</v>
      </c>
      <c r="I30" s="305">
        <f>Pengairan[[#This Row],[2024]]-Pengairan[[#This Row],[2023]]</f>
        <v>-470.54144000000088</v>
      </c>
      <c r="J30" s="305">
        <f>Pengairan[[#This Row],[2025]]-Pengairan[[#This Row],[2024]]</f>
        <v>-287.02481999999873</v>
      </c>
      <c r="L30" s="250" t="s">
        <v>51</v>
      </c>
      <c r="M30" s="250">
        <f>IFERROR(H30/Pengairan[[#This Row],[2022]], "-")</f>
        <v>-0.34953797144633397</v>
      </c>
      <c r="N30" s="250">
        <f>IFERROR(I30/Pengairan[[#This Row],[2023]], "-")</f>
        <v>-5.7873379455014751E-2</v>
      </c>
      <c r="O30" s="250">
        <f>IFERROR(J30/Pengairan[[#This Row],[2024]], "-")</f>
        <v>-3.7470642853997219E-2</v>
      </c>
    </row>
    <row r="31" spans="1:22">
      <c r="A31" s="299" t="s">
        <v>33</v>
      </c>
      <c r="B31" s="284">
        <v>18199.094809999999</v>
      </c>
      <c r="C31" s="284">
        <v>26358.082750000001</v>
      </c>
      <c r="D31" s="252">
        <v>13727.764429999999</v>
      </c>
      <c r="E31" s="252">
        <v>13286.634000000002</v>
      </c>
      <c r="G31" s="305" t="s">
        <v>51</v>
      </c>
      <c r="H31" s="305">
        <f>Pengairan[[#This Row],[2023]]-Pengairan[[#This Row],[2022]]</f>
        <v>8158.9879400000027</v>
      </c>
      <c r="I31" s="305">
        <f>Pengairan[[#This Row],[2024]]-Pengairan[[#This Row],[2023]]</f>
        <v>-12630.318320000002</v>
      </c>
      <c r="J31" s="305">
        <f>Pengairan[[#This Row],[2025]]-Pengairan[[#This Row],[2024]]</f>
        <v>-441.13042999999743</v>
      </c>
      <c r="L31" s="250" t="s">
        <v>51</v>
      </c>
      <c r="M31" s="250">
        <f>IFERROR(H31/Pengairan[[#This Row],[2022]], "-")</f>
        <v>0.44831833809211324</v>
      </c>
      <c r="N31" s="250">
        <f>IFERROR(I31/Pengairan[[#This Row],[2023]], "-")</f>
        <v>-0.47918198147397506</v>
      </c>
      <c r="O31" s="250">
        <f>IFERROR(J31/Pengairan[[#This Row],[2024]], "-")</f>
        <v>-3.2134178310633893E-2</v>
      </c>
    </row>
    <row r="32" spans="1:22">
      <c r="A32" s="298" t="s">
        <v>34</v>
      </c>
      <c r="B32" s="283">
        <v>3584.8620500000006</v>
      </c>
      <c r="C32" s="258">
        <v>4664.3907799999997</v>
      </c>
      <c r="D32" s="252">
        <v>3987.55573</v>
      </c>
      <c r="E32" s="252">
        <v>6309.96414</v>
      </c>
      <c r="G32" s="305" t="s">
        <v>51</v>
      </c>
      <c r="H32" s="305">
        <f>Pengairan[[#This Row],[2023]]-Pengairan[[#This Row],[2022]]</f>
        <v>1079.5287299999991</v>
      </c>
      <c r="I32" s="305">
        <f>Pengairan[[#This Row],[2024]]-Pengairan[[#This Row],[2023]]</f>
        <v>-676.83504999999968</v>
      </c>
      <c r="J32" s="305">
        <f>Pengairan[[#This Row],[2025]]-Pengairan[[#This Row],[2024]]</f>
        <v>2322.40841</v>
      </c>
      <c r="L32" s="250" t="s">
        <v>51</v>
      </c>
      <c r="M32" s="250">
        <f>IFERROR(H32/Pengairan[[#This Row],[2022]], "-")</f>
        <v>0.30113536168009558</v>
      </c>
      <c r="N32" s="250">
        <f>IFERROR(I32/Pengairan[[#This Row],[2023]], "-")</f>
        <v>-0.14510684930219328</v>
      </c>
      <c r="O32" s="250">
        <f>IFERROR(J32/Pengairan[[#This Row],[2024]], "-")</f>
        <v>0.58241403186608254</v>
      </c>
    </row>
    <row r="33" spans="1:15">
      <c r="A33" s="299" t="s">
        <v>38</v>
      </c>
      <c r="B33" s="284">
        <v>69528.224500000011</v>
      </c>
      <c r="C33" s="284">
        <v>7957.0007999999998</v>
      </c>
      <c r="D33" s="252">
        <v>13107.81135</v>
      </c>
      <c r="E33" s="252">
        <v>19225.5</v>
      </c>
      <c r="G33" s="305" t="s">
        <v>51</v>
      </c>
      <c r="H33" s="305">
        <f>Pengairan[[#This Row],[2023]]-Pengairan[[#This Row],[2022]]</f>
        <v>-61571.22370000001</v>
      </c>
      <c r="I33" s="305">
        <f>Pengairan[[#This Row],[2024]]-Pengairan[[#This Row],[2023]]</f>
        <v>5150.8105500000001</v>
      </c>
      <c r="J33" s="305">
        <f>Pengairan[[#This Row],[2025]]-Pengairan[[#This Row],[2024]]</f>
        <v>6117.6886500000001</v>
      </c>
      <c r="L33" s="250" t="s">
        <v>51</v>
      </c>
      <c r="M33" s="250">
        <f>IFERROR(H33/Pengairan[[#This Row],[2022]], "-")</f>
        <v>-0.88555725596013168</v>
      </c>
      <c r="N33" s="250">
        <f>IFERROR(I33/Pengairan[[#This Row],[2023]], "-")</f>
        <v>0.64733065629451747</v>
      </c>
      <c r="O33" s="250">
        <f>IFERROR(J33/Pengairan[[#This Row],[2024]], "-")</f>
        <v>0.46672083436721112</v>
      </c>
    </row>
    <row r="34" spans="1:15">
      <c r="A34" s="298" t="s">
        <v>39</v>
      </c>
      <c r="B34" s="284">
        <v>24856.885060000001</v>
      </c>
      <c r="C34" s="284">
        <v>13696.729499999998</v>
      </c>
      <c r="D34" s="252">
        <v>7653.1282799999999</v>
      </c>
      <c r="E34" s="252">
        <v>11535</v>
      </c>
      <c r="G34" s="305" t="s">
        <v>51</v>
      </c>
      <c r="H34" s="305">
        <f>Pengairan[[#This Row],[2023]]-Pengairan[[#This Row],[2022]]</f>
        <v>-11160.155560000003</v>
      </c>
      <c r="I34" s="305">
        <f>Pengairan[[#This Row],[2024]]-Pengairan[[#This Row],[2023]]</f>
        <v>-6043.6012199999977</v>
      </c>
      <c r="J34" s="305">
        <f>Pengairan[[#This Row],[2025]]-Pengairan[[#This Row],[2024]]</f>
        <v>3881.8717200000001</v>
      </c>
      <c r="L34" s="250" t="s">
        <v>51</v>
      </c>
      <c r="M34" s="250">
        <f>IFERROR(H34/Pengairan[[#This Row],[2022]], "-")</f>
        <v>-0.44897643180396163</v>
      </c>
      <c r="N34" s="250">
        <f>IFERROR(I34/Pengairan[[#This Row],[2023]], "-")</f>
        <v>-0.4412441101359269</v>
      </c>
      <c r="O34" s="250">
        <f>IFERROR(J34/Pengairan[[#This Row],[2024]], "-")</f>
        <v>0.50722679379941094</v>
      </c>
    </row>
    <row r="35" spans="1:15">
      <c r="A35" s="299" t="s">
        <v>36</v>
      </c>
      <c r="B35" s="283">
        <v>30776.1777</v>
      </c>
      <c r="C35" s="258">
        <v>12099.87564</v>
      </c>
      <c r="D35" s="252">
        <v>12273.876639999999</v>
      </c>
      <c r="E35" s="252">
        <v>17515.720369999999</v>
      </c>
      <c r="G35" s="305" t="s">
        <v>51</v>
      </c>
      <c r="H35" s="305">
        <f>Pengairan[[#This Row],[2023]]-Pengairan[[#This Row],[2022]]</f>
        <v>-18676.302060000002</v>
      </c>
      <c r="I35" s="305">
        <f>Pengairan[[#This Row],[2024]]-Pengairan[[#This Row],[2023]]</f>
        <v>174.00099999999838</v>
      </c>
      <c r="J35" s="305">
        <f>Pengairan[[#This Row],[2025]]-Pengairan[[#This Row],[2024]]</f>
        <v>5241.8437300000005</v>
      </c>
      <c r="L35" s="250" t="s">
        <v>51</v>
      </c>
      <c r="M35" s="250">
        <f>IFERROR(H35/Pengairan[[#This Row],[2022]], "-")</f>
        <v>-0.60684280686356973</v>
      </c>
      <c r="N35" s="250">
        <f>IFERROR(I35/Pengairan[[#This Row],[2023]], "-")</f>
        <v>1.4380395731075331E-2</v>
      </c>
      <c r="O35" s="250">
        <f>IFERROR(J35/Pengairan[[#This Row],[2024]], "-")</f>
        <v>0.42707319649254688</v>
      </c>
    </row>
    <row r="36" spans="1:15">
      <c r="A36" s="298" t="s">
        <v>37</v>
      </c>
      <c r="B36" s="283">
        <v>31249.750250000005</v>
      </c>
      <c r="C36" s="258">
        <v>28730.695400000001</v>
      </c>
      <c r="D36" s="252">
        <v>19214.972999999998</v>
      </c>
      <c r="E36" s="252">
        <v>20454.263899999998</v>
      </c>
      <c r="G36" s="305" t="s">
        <v>51</v>
      </c>
      <c r="H36" s="305">
        <f>Pengairan[[#This Row],[2023]]-Pengairan[[#This Row],[2022]]</f>
        <v>-2519.0548500000041</v>
      </c>
      <c r="I36" s="305">
        <f>Pengairan[[#This Row],[2024]]-Pengairan[[#This Row],[2023]]</f>
        <v>-9515.7224000000024</v>
      </c>
      <c r="J36" s="305">
        <f>Pengairan[[#This Row],[2025]]-Pengairan[[#This Row],[2024]]</f>
        <v>1239.2909</v>
      </c>
      <c r="L36" s="250" t="s">
        <v>51</v>
      </c>
      <c r="M36" s="250">
        <f>IFERROR(H36/Pengairan[[#This Row],[2022]], "-")</f>
        <v>-8.0610399438312427E-2</v>
      </c>
      <c r="N36" s="250">
        <f>IFERROR(I36/Pengairan[[#This Row],[2023]], "-")</f>
        <v>-0.33120404040063722</v>
      </c>
      <c r="O36" s="250">
        <f>IFERROR(J36/Pengairan[[#This Row],[2024]], "-")</f>
        <v>6.4496104157939757E-2</v>
      </c>
    </row>
    <row r="37" spans="1:15">
      <c r="A37" s="299" t="s">
        <v>41</v>
      </c>
      <c r="B37" s="283">
        <v>41731.647060000003</v>
      </c>
      <c r="C37" s="258">
        <v>15562.070309999999</v>
      </c>
      <c r="D37" s="252">
        <v>7960.22102</v>
      </c>
      <c r="E37" s="252">
        <v>19997.615600000001</v>
      </c>
      <c r="G37" s="305" t="s">
        <v>51</v>
      </c>
      <c r="H37" s="305">
        <f>Pengairan[[#This Row],[2023]]-Pengairan[[#This Row],[2022]]</f>
        <v>-26169.576750000004</v>
      </c>
      <c r="I37" s="305">
        <f>Pengairan[[#This Row],[2024]]-Pengairan[[#This Row],[2023]]</f>
        <v>-7601.8492899999992</v>
      </c>
      <c r="J37" s="305">
        <f>Pengairan[[#This Row],[2025]]-Pengairan[[#This Row],[2024]]</f>
        <v>12037.39458</v>
      </c>
      <c r="L37" s="250" t="s">
        <v>51</v>
      </c>
      <c r="M37" s="250">
        <f>IFERROR(H37/Pengairan[[#This Row],[2022]], "-")</f>
        <v>-0.62709187376128461</v>
      </c>
      <c r="N37" s="250">
        <f>IFERROR(I37/Pengairan[[#This Row],[2023]], "-")</f>
        <v>-0.4884857309194357</v>
      </c>
      <c r="O37" s="250">
        <f>IFERROR(J37/Pengairan[[#This Row],[2024]], "-")</f>
        <v>1.5121935119334162</v>
      </c>
    </row>
    <row r="38" spans="1:15">
      <c r="A38" s="298" t="s">
        <v>70</v>
      </c>
      <c r="B38" s="283">
        <v>3599.8704000000002</v>
      </c>
      <c r="C38" s="258">
        <v>3443.3285999999998</v>
      </c>
      <c r="D38" s="252">
        <v>2299.6440000000002</v>
      </c>
      <c r="E38" s="252">
        <v>2254</v>
      </c>
      <c r="G38" s="305" t="s">
        <v>51</v>
      </c>
      <c r="H38" s="305">
        <f>Pengairan[[#This Row],[2023]]-Pengairan[[#This Row],[2022]]</f>
        <v>-156.54180000000042</v>
      </c>
      <c r="I38" s="305">
        <f>Pengairan[[#This Row],[2024]]-Pengairan[[#This Row],[2023]]</f>
        <v>-1143.6845999999996</v>
      </c>
      <c r="J38" s="305">
        <f>Pengairan[[#This Row],[2025]]-Pengairan[[#This Row],[2024]]</f>
        <v>-45.644000000000233</v>
      </c>
      <c r="L38" s="250" t="s">
        <v>51</v>
      </c>
      <c r="M38" s="250">
        <f>IFERROR(H38/Pengairan[[#This Row],[2022]], "-")</f>
        <v>-4.3485398807690527E-2</v>
      </c>
      <c r="N38" s="250">
        <f>IFERROR(I38/Pengairan[[#This Row],[2023]], "-")</f>
        <v>-0.33214506451693271</v>
      </c>
      <c r="O38" s="250">
        <f>IFERROR(J38/Pengairan[[#This Row],[2024]], "-")</f>
        <v>-1.9848289561340899E-2</v>
      </c>
    </row>
    <row r="39" spans="1:15">
      <c r="A39" s="299" t="s">
        <v>71</v>
      </c>
      <c r="B39" s="283">
        <v>289.90999999999997</v>
      </c>
      <c r="C39" s="258">
        <v>799.82</v>
      </c>
      <c r="D39" s="252">
        <v>679.07708000000002</v>
      </c>
      <c r="E39" s="252">
        <v>1279.1865499999999</v>
      </c>
      <c r="G39" s="305" t="s">
        <v>51</v>
      </c>
      <c r="H39" s="305">
        <f>Pengairan[[#This Row],[2023]]-Pengairan[[#This Row],[2022]]</f>
        <v>509.91000000000008</v>
      </c>
      <c r="I39" s="305">
        <f>Pengairan[[#This Row],[2024]]-Pengairan[[#This Row],[2023]]</f>
        <v>-120.74292000000003</v>
      </c>
      <c r="J39" s="305">
        <f>Pengairan[[#This Row],[2025]]-Pengairan[[#This Row],[2024]]</f>
        <v>600.10946999999987</v>
      </c>
      <c r="L39" s="250" t="s">
        <v>51</v>
      </c>
      <c r="M39" s="250">
        <f>IFERROR(H39/Pengairan[[#This Row],[2022]], "-")</f>
        <v>1.7588561967507161</v>
      </c>
      <c r="N39" s="250">
        <f>IFERROR(I39/Pengairan[[#This Row],[2023]], "-")</f>
        <v>-0.1509626165887325</v>
      </c>
      <c r="O39" s="250">
        <f>IFERROR(J39/Pengairan[[#This Row],[2024]], "-")</f>
        <v>0.88371333339655622</v>
      </c>
    </row>
    <row r="41" spans="1:15">
      <c r="B41" s="337" t="s">
        <v>76</v>
      </c>
      <c r="C41" s="337"/>
      <c r="D41" s="337"/>
      <c r="E41" s="337"/>
      <c r="G41" s="338" t="s">
        <v>44</v>
      </c>
      <c r="H41" s="339"/>
      <c r="I41" s="339"/>
      <c r="J41" s="340"/>
      <c r="L41" s="338" t="s">
        <v>73</v>
      </c>
      <c r="M41" s="339"/>
      <c r="N41" s="339"/>
      <c r="O41" s="340"/>
    </row>
    <row r="42" spans="1:15">
      <c r="A42" s="296" t="s">
        <v>74</v>
      </c>
      <c r="B42" s="287" t="s">
        <v>46</v>
      </c>
      <c r="C42" s="287" t="s">
        <v>47</v>
      </c>
      <c r="D42" s="287" t="s">
        <v>48</v>
      </c>
      <c r="E42" s="287" t="s">
        <v>49</v>
      </c>
      <c r="G42" s="300">
        <v>2022</v>
      </c>
      <c r="H42" s="300">
        <v>2023</v>
      </c>
      <c r="I42" s="300">
        <v>2024</v>
      </c>
      <c r="J42" s="300">
        <v>2025</v>
      </c>
      <c r="L42" s="300">
        <v>2022</v>
      </c>
      <c r="M42" s="300">
        <v>2023</v>
      </c>
      <c r="N42" s="300">
        <v>2024</v>
      </c>
      <c r="O42" s="300">
        <v>2025</v>
      </c>
    </row>
    <row r="43" spans="1:15">
      <c r="A43" s="297" t="s">
        <v>50</v>
      </c>
      <c r="B43" s="281" t="s">
        <v>53</v>
      </c>
      <c r="C43" s="311">
        <v>14737.565000000001</v>
      </c>
      <c r="D43" s="282">
        <v>29262.488389999999</v>
      </c>
      <c r="E43" s="282">
        <v>14057.890510000001</v>
      </c>
      <c r="G43" s="305" t="s">
        <v>51</v>
      </c>
      <c r="H43" s="305" t="str">
        <f>IF(OR(Pendidikan[[#This Row],[2023]]="n.a",Pendidikan[[#This Row],[2022]]="n.a"), "-", Pendidikan[[#This Row],[2023]]-Pendidikan[[#This Row],[2022]])</f>
        <v>-</v>
      </c>
      <c r="I43" s="305">
        <f>IF(OR(Pendidikan[[#This Row],[2024]]="n.a",Pendidikan[[#This Row],[2023]]="n.a"), "-", Pendidikan[[#This Row],[2024]]-Pendidikan[[#This Row],[2023]])</f>
        <v>14524.923389999998</v>
      </c>
      <c r="J43" s="305">
        <f>IF(OR(Pendidikan[[#This Row],[2025]]="n.a",Pendidikan[[#This Row],[2024]]="n.a"), "-", Pendidikan[[#This Row],[2025]]-Pendidikan[[#This Row],[2024]])</f>
        <v>-15204.597879999998</v>
      </c>
      <c r="L43" s="250" t="s">
        <v>51</v>
      </c>
      <c r="M43" s="250" t="str">
        <f>IFERROR(H43/Pendidikan[[#This Row],[2022]], "-")</f>
        <v>-</v>
      </c>
      <c r="N43" s="250">
        <f>IFERROR(I43/Pendidikan[[#This Row],[2023]], "-")</f>
        <v>0.98557145566448712</v>
      </c>
      <c r="O43" s="250">
        <f>IFERROR(J43/Pendidikan[[#This Row],[2024]], "-")</f>
        <v>-0.51959346988398747</v>
      </c>
    </row>
    <row r="44" spans="1:15">
      <c r="A44" s="298" t="s">
        <v>27</v>
      </c>
      <c r="B44" s="284" t="s">
        <v>53</v>
      </c>
      <c r="C44" s="284">
        <v>2363</v>
      </c>
      <c r="D44" s="252">
        <v>1001.45541</v>
      </c>
      <c r="E44" s="252">
        <v>647</v>
      </c>
      <c r="G44" s="305" t="s">
        <v>51</v>
      </c>
      <c r="H44" s="305" t="str">
        <f>IF(OR(Pendidikan[[#This Row],[2023]]="n.a",Pendidikan[[#This Row],[2022]]="n.a"), "-", Pendidikan[[#This Row],[2023]]-Pendidikan[[#This Row],[2022]])</f>
        <v>-</v>
      </c>
      <c r="I44" s="305">
        <f>IF(OR(Pendidikan[[#This Row],[2024]]="n.a",Pendidikan[[#This Row],[2023]]="n.a"), "-", Pendidikan[[#This Row],[2024]]-Pendidikan[[#This Row],[2023]])</f>
        <v>-1361.54459</v>
      </c>
      <c r="J44" s="305">
        <f>IF(OR(Pendidikan[[#This Row],[2025]]="n.a",Pendidikan[[#This Row],[2024]]="n.a"), "-", Pendidikan[[#This Row],[2025]]-Pendidikan[[#This Row],[2024]])</f>
        <v>-354.45541000000003</v>
      </c>
      <c r="L44" s="250" t="s">
        <v>51</v>
      </c>
      <c r="M44" s="250" t="str">
        <f>IFERROR(H44/Pendidikan[[#This Row],[2022]], "-")</f>
        <v>-</v>
      </c>
      <c r="N44" s="250">
        <f>IFERROR(I44/Pendidikan[[#This Row],[2023]], "-")</f>
        <v>-0.5761932247143462</v>
      </c>
      <c r="O44" s="250">
        <f>IFERROR(J44/Pendidikan[[#This Row],[2024]], "-")</f>
        <v>-0.3539402817745026</v>
      </c>
    </row>
    <row r="45" spans="1:15">
      <c r="A45" s="299" t="s">
        <v>28</v>
      </c>
      <c r="B45" s="284" t="s">
        <v>53</v>
      </c>
      <c r="C45" s="284">
        <v>0</v>
      </c>
      <c r="D45" s="252">
        <v>896.96163000000001</v>
      </c>
      <c r="E45" s="252">
        <v>130</v>
      </c>
      <c r="G45" s="305" t="s">
        <v>51</v>
      </c>
      <c r="H45" s="305" t="str">
        <f>IF(OR(Pendidikan[[#This Row],[2023]]="n.a",Pendidikan[[#This Row],[2022]]="n.a"), "-", Pendidikan[[#This Row],[2023]]-Pendidikan[[#This Row],[2022]])</f>
        <v>-</v>
      </c>
      <c r="I45" s="305">
        <f>IF(OR(Pendidikan[[#This Row],[2024]]="n.a",Pendidikan[[#This Row],[2023]]="n.a"), "-", Pendidikan[[#This Row],[2024]]-Pendidikan[[#This Row],[2023]])</f>
        <v>896.96163000000001</v>
      </c>
      <c r="J45" s="305">
        <f>IF(OR(Pendidikan[[#This Row],[2025]]="n.a",Pendidikan[[#This Row],[2024]]="n.a"), "-", Pendidikan[[#This Row],[2025]]-Pendidikan[[#This Row],[2024]])</f>
        <v>-766.96163000000001</v>
      </c>
      <c r="L45" s="250" t="s">
        <v>51</v>
      </c>
      <c r="M45" s="250" t="str">
        <f>IFERROR(H45/Pendidikan[[#This Row],[2022]], "-")</f>
        <v>-</v>
      </c>
      <c r="N45" s="250" t="str">
        <f>IFERROR(I45/Pendidikan[[#This Row],[2023]], "-")</f>
        <v>-</v>
      </c>
      <c r="O45" s="250">
        <f>IFERROR(J45/Pendidikan[[#This Row],[2024]], "-")</f>
        <v>-0.85506626409426234</v>
      </c>
    </row>
    <row r="46" spans="1:15">
      <c r="A46" s="298" t="s">
        <v>29</v>
      </c>
      <c r="B46" s="284" t="s">
        <v>53</v>
      </c>
      <c r="C46" s="284">
        <v>3068.415</v>
      </c>
      <c r="D46" s="252">
        <v>8072.77628</v>
      </c>
      <c r="E46" s="252">
        <v>671.31217000000004</v>
      </c>
      <c r="G46" s="305" t="s">
        <v>51</v>
      </c>
      <c r="H46" s="305" t="str">
        <f>IF(OR(Pendidikan[[#This Row],[2023]]="n.a",Pendidikan[[#This Row],[2022]]="n.a"), "-", Pendidikan[[#This Row],[2023]]-Pendidikan[[#This Row],[2022]])</f>
        <v>-</v>
      </c>
      <c r="I46" s="305">
        <f>IF(OR(Pendidikan[[#This Row],[2024]]="n.a",Pendidikan[[#This Row],[2023]]="n.a"), "-", Pendidikan[[#This Row],[2024]]-Pendidikan[[#This Row],[2023]])</f>
        <v>5004.3612800000001</v>
      </c>
      <c r="J46" s="305">
        <f>IF(OR(Pendidikan[[#This Row],[2025]]="n.a",Pendidikan[[#This Row],[2024]]="n.a"), "-", Pendidikan[[#This Row],[2025]]-Pendidikan[[#This Row],[2024]])</f>
        <v>-7401.4641099999999</v>
      </c>
      <c r="L46" s="250" t="s">
        <v>51</v>
      </c>
      <c r="M46" s="250" t="str">
        <f>IFERROR(H46/Pendidikan[[#This Row],[2022]], "-")</f>
        <v>-</v>
      </c>
      <c r="N46" s="250">
        <f>IFERROR(I46/Pendidikan[[#This Row],[2023]], "-")</f>
        <v>1.6309271333897142</v>
      </c>
      <c r="O46" s="250">
        <f>IFERROR(J46/Pendidikan[[#This Row],[2024]], "-")</f>
        <v>-0.91684246574958961</v>
      </c>
    </row>
    <row r="47" spans="1:15">
      <c r="A47" s="299" t="s">
        <v>30</v>
      </c>
      <c r="B47" s="284" t="s">
        <v>53</v>
      </c>
      <c r="C47" s="284">
        <v>0</v>
      </c>
      <c r="D47" s="252">
        <v>0</v>
      </c>
      <c r="E47" s="252">
        <v>0</v>
      </c>
      <c r="G47" s="305" t="s">
        <v>51</v>
      </c>
      <c r="H47" s="305" t="str">
        <f>IF(OR(Pendidikan[[#This Row],[2023]]="n.a",Pendidikan[[#This Row],[2022]]="n.a"), "-", Pendidikan[[#This Row],[2023]]-Pendidikan[[#This Row],[2022]])</f>
        <v>-</v>
      </c>
      <c r="I47" s="305">
        <f>IF(OR(Pendidikan[[#This Row],[2024]]="n.a",Pendidikan[[#This Row],[2023]]="n.a"), "-", Pendidikan[[#This Row],[2024]]-Pendidikan[[#This Row],[2023]])</f>
        <v>0</v>
      </c>
      <c r="J47" s="305">
        <f>IF(OR(Pendidikan[[#This Row],[2025]]="n.a",Pendidikan[[#This Row],[2024]]="n.a"), "-", Pendidikan[[#This Row],[2025]]-Pendidikan[[#This Row],[2024]])</f>
        <v>0</v>
      </c>
      <c r="L47" s="250" t="s">
        <v>51</v>
      </c>
      <c r="M47" s="250" t="str">
        <f>IFERROR(H47/Pendidikan[[#This Row],[2022]], "-")</f>
        <v>-</v>
      </c>
      <c r="N47" s="250" t="str">
        <f>IFERROR(I47/Pendidikan[[#This Row],[2023]], "-")</f>
        <v>-</v>
      </c>
      <c r="O47" s="250" t="str">
        <f>IFERROR(J47/Pendidikan[[#This Row],[2024]], "-")</f>
        <v>-</v>
      </c>
    </row>
    <row r="48" spans="1:15">
      <c r="A48" s="298" t="s">
        <v>31</v>
      </c>
      <c r="B48" s="284" t="s">
        <v>53</v>
      </c>
      <c r="C48" s="284">
        <v>0</v>
      </c>
      <c r="D48" s="252">
        <v>2334</v>
      </c>
      <c r="E48" s="252">
        <v>712</v>
      </c>
      <c r="G48" s="305" t="s">
        <v>51</v>
      </c>
      <c r="H48" s="305" t="str">
        <f>IF(OR(Pendidikan[[#This Row],[2023]]="n.a",Pendidikan[[#This Row],[2022]]="n.a"), "-", Pendidikan[[#This Row],[2023]]-Pendidikan[[#This Row],[2022]])</f>
        <v>-</v>
      </c>
      <c r="I48" s="305">
        <f>IF(OR(Pendidikan[[#This Row],[2024]]="n.a",Pendidikan[[#This Row],[2023]]="n.a"), "-", Pendidikan[[#This Row],[2024]]-Pendidikan[[#This Row],[2023]])</f>
        <v>2334</v>
      </c>
      <c r="J48" s="305">
        <f>IF(OR(Pendidikan[[#This Row],[2025]]="n.a",Pendidikan[[#This Row],[2024]]="n.a"), "-", Pendidikan[[#This Row],[2025]]-Pendidikan[[#This Row],[2024]])</f>
        <v>-1622</v>
      </c>
      <c r="L48" s="250" t="s">
        <v>51</v>
      </c>
      <c r="M48" s="250" t="str">
        <f>IFERROR(H48/Pendidikan[[#This Row],[2022]], "-")</f>
        <v>-</v>
      </c>
      <c r="N48" s="250" t="str">
        <f>IFERROR(I48/Pendidikan[[#This Row],[2023]], "-")</f>
        <v>-</v>
      </c>
      <c r="O48" s="250">
        <f>IFERROR(J48/Pendidikan[[#This Row],[2024]], "-")</f>
        <v>-0.69494430162810628</v>
      </c>
    </row>
    <row r="49" spans="1:15">
      <c r="A49" s="299" t="s">
        <v>32</v>
      </c>
      <c r="B49" s="284" t="s">
        <v>53</v>
      </c>
      <c r="C49" s="284">
        <v>423</v>
      </c>
      <c r="D49" s="252">
        <v>1300</v>
      </c>
      <c r="E49" s="252">
        <v>150</v>
      </c>
      <c r="G49" s="305" t="s">
        <v>51</v>
      </c>
      <c r="H49" s="305" t="str">
        <f>IF(OR(Pendidikan[[#This Row],[2023]]="n.a",Pendidikan[[#This Row],[2022]]="n.a"), "-", Pendidikan[[#This Row],[2023]]-Pendidikan[[#This Row],[2022]])</f>
        <v>-</v>
      </c>
      <c r="I49" s="305">
        <f>IF(OR(Pendidikan[[#This Row],[2024]]="n.a",Pendidikan[[#This Row],[2023]]="n.a"), "-", Pendidikan[[#This Row],[2024]]-Pendidikan[[#This Row],[2023]])</f>
        <v>877</v>
      </c>
      <c r="J49" s="305">
        <f>IF(OR(Pendidikan[[#This Row],[2025]]="n.a",Pendidikan[[#This Row],[2024]]="n.a"), "-", Pendidikan[[#This Row],[2025]]-Pendidikan[[#This Row],[2024]])</f>
        <v>-1150</v>
      </c>
      <c r="L49" s="250" t="s">
        <v>51</v>
      </c>
      <c r="M49" s="250" t="str">
        <f>IFERROR(H49/Pendidikan[[#This Row],[2022]], "-")</f>
        <v>-</v>
      </c>
      <c r="N49" s="250">
        <f>IFERROR(I49/Pendidikan[[#This Row],[2023]], "-")</f>
        <v>2.0732860520094563</v>
      </c>
      <c r="O49" s="250">
        <f>IFERROR(J49/Pendidikan[[#This Row],[2024]], "-")</f>
        <v>-0.88461538461538458</v>
      </c>
    </row>
    <row r="50" spans="1:15">
      <c r="A50" s="298" t="s">
        <v>35</v>
      </c>
      <c r="B50" s="284" t="s">
        <v>53</v>
      </c>
      <c r="C50" s="284">
        <v>0</v>
      </c>
      <c r="D50" s="252">
        <v>0</v>
      </c>
      <c r="E50" s="252">
        <v>60</v>
      </c>
      <c r="G50" s="305" t="s">
        <v>51</v>
      </c>
      <c r="H50" s="305" t="str">
        <f>IF(OR(Pendidikan[[#This Row],[2023]]="n.a",Pendidikan[[#This Row],[2022]]="n.a"), "-", Pendidikan[[#This Row],[2023]]-Pendidikan[[#This Row],[2022]])</f>
        <v>-</v>
      </c>
      <c r="I50" s="305">
        <f>IF(OR(Pendidikan[[#This Row],[2024]]="n.a",Pendidikan[[#This Row],[2023]]="n.a"), "-", Pendidikan[[#This Row],[2024]]-Pendidikan[[#This Row],[2023]])</f>
        <v>0</v>
      </c>
      <c r="J50" s="305">
        <f>IF(OR(Pendidikan[[#This Row],[2025]]="n.a",Pendidikan[[#This Row],[2024]]="n.a"), "-", Pendidikan[[#This Row],[2025]]-Pendidikan[[#This Row],[2024]])</f>
        <v>60</v>
      </c>
      <c r="L50" s="250" t="s">
        <v>51</v>
      </c>
      <c r="M50" s="250" t="str">
        <f>IFERROR(H50/Pendidikan[[#This Row],[2022]], "-")</f>
        <v>-</v>
      </c>
      <c r="N50" s="250" t="str">
        <f>IFERROR(I50/Pendidikan[[#This Row],[2023]], "-")</f>
        <v>-</v>
      </c>
      <c r="O50" s="250" t="str">
        <f>IFERROR(J50/Pendidikan[[#This Row],[2024]], "-")</f>
        <v>-</v>
      </c>
    </row>
    <row r="51" spans="1:15">
      <c r="A51" s="299" t="s">
        <v>33</v>
      </c>
      <c r="B51" s="284" t="s">
        <v>53</v>
      </c>
      <c r="C51" s="284">
        <v>0</v>
      </c>
      <c r="D51" s="252">
        <v>102.6</v>
      </c>
      <c r="E51" s="252">
        <v>171</v>
      </c>
      <c r="G51" s="305" t="s">
        <v>51</v>
      </c>
      <c r="H51" s="305" t="str">
        <f>IF(OR(Pendidikan[[#This Row],[2023]]="n.a",Pendidikan[[#This Row],[2022]]="n.a"), "-", Pendidikan[[#This Row],[2023]]-Pendidikan[[#This Row],[2022]])</f>
        <v>-</v>
      </c>
      <c r="I51" s="305">
        <f>IF(OR(Pendidikan[[#This Row],[2024]]="n.a",Pendidikan[[#This Row],[2023]]="n.a"), "-", Pendidikan[[#This Row],[2024]]-Pendidikan[[#This Row],[2023]])</f>
        <v>102.6</v>
      </c>
      <c r="J51" s="305">
        <f>IF(OR(Pendidikan[[#This Row],[2025]]="n.a",Pendidikan[[#This Row],[2024]]="n.a"), "-", Pendidikan[[#This Row],[2025]]-Pendidikan[[#This Row],[2024]])</f>
        <v>68.400000000000006</v>
      </c>
      <c r="L51" s="250" t="s">
        <v>51</v>
      </c>
      <c r="M51" s="250" t="str">
        <f>IFERROR(H51/Pendidikan[[#This Row],[2022]], "-")</f>
        <v>-</v>
      </c>
      <c r="N51" s="250" t="str">
        <f>IFERROR(I51/Pendidikan[[#This Row],[2023]], "-")</f>
        <v>-</v>
      </c>
      <c r="O51" s="250">
        <f>IFERROR(J51/Pendidikan[[#This Row],[2024]], "-")</f>
        <v>0.66666666666666674</v>
      </c>
    </row>
    <row r="52" spans="1:15">
      <c r="A52" s="298" t="s">
        <v>34</v>
      </c>
      <c r="B52" s="284" t="s">
        <v>53</v>
      </c>
      <c r="C52" s="284">
        <v>0</v>
      </c>
      <c r="D52" s="252">
        <v>0</v>
      </c>
      <c r="E52" s="252">
        <v>25.068750000000001</v>
      </c>
      <c r="G52" s="305" t="s">
        <v>51</v>
      </c>
      <c r="H52" s="305" t="str">
        <f>IF(OR(Pendidikan[[#This Row],[2023]]="n.a",Pendidikan[[#This Row],[2022]]="n.a"), "-", Pendidikan[[#This Row],[2023]]-Pendidikan[[#This Row],[2022]])</f>
        <v>-</v>
      </c>
      <c r="I52" s="305">
        <f>IF(OR(Pendidikan[[#This Row],[2024]]="n.a",Pendidikan[[#This Row],[2023]]="n.a"), "-", Pendidikan[[#This Row],[2024]]-Pendidikan[[#This Row],[2023]])</f>
        <v>0</v>
      </c>
      <c r="J52" s="305">
        <f>IF(OR(Pendidikan[[#This Row],[2025]]="n.a",Pendidikan[[#This Row],[2024]]="n.a"), "-", Pendidikan[[#This Row],[2025]]-Pendidikan[[#This Row],[2024]])</f>
        <v>25.068750000000001</v>
      </c>
      <c r="L52" s="250" t="s">
        <v>51</v>
      </c>
      <c r="M52" s="250" t="str">
        <f>IFERROR(H52/Pendidikan[[#This Row],[2022]], "-")</f>
        <v>-</v>
      </c>
      <c r="N52" s="250" t="str">
        <f>IFERROR(I52/Pendidikan[[#This Row],[2023]], "-")</f>
        <v>-</v>
      </c>
      <c r="O52" s="250" t="str">
        <f>IFERROR(J52/Pendidikan[[#This Row],[2024]], "-")</f>
        <v>-</v>
      </c>
    </row>
    <row r="53" spans="1:15">
      <c r="A53" s="299" t="s">
        <v>38</v>
      </c>
      <c r="B53" s="284" t="s">
        <v>53</v>
      </c>
      <c r="C53" s="284">
        <v>0</v>
      </c>
      <c r="D53" s="252">
        <v>680</v>
      </c>
      <c r="E53" s="252">
        <v>59.789000000000001</v>
      </c>
      <c r="G53" s="305" t="s">
        <v>51</v>
      </c>
      <c r="H53" s="305" t="str">
        <f>IF(OR(Pendidikan[[#This Row],[2023]]="n.a",Pendidikan[[#This Row],[2022]]="n.a"), "-", Pendidikan[[#This Row],[2023]]-Pendidikan[[#This Row],[2022]])</f>
        <v>-</v>
      </c>
      <c r="I53" s="305">
        <f>IF(OR(Pendidikan[[#This Row],[2024]]="n.a",Pendidikan[[#This Row],[2023]]="n.a"), "-", Pendidikan[[#This Row],[2024]]-Pendidikan[[#This Row],[2023]])</f>
        <v>680</v>
      </c>
      <c r="J53" s="305">
        <f>IF(OR(Pendidikan[[#This Row],[2025]]="n.a",Pendidikan[[#This Row],[2024]]="n.a"), "-", Pendidikan[[#This Row],[2025]]-Pendidikan[[#This Row],[2024]])</f>
        <v>-620.21100000000001</v>
      </c>
      <c r="L53" s="250" t="s">
        <v>51</v>
      </c>
      <c r="M53" s="250" t="str">
        <f>IFERROR(H53/Pendidikan[[#This Row],[2022]], "-")</f>
        <v>-</v>
      </c>
      <c r="N53" s="250" t="str">
        <f>IFERROR(I53/Pendidikan[[#This Row],[2023]], "-")</f>
        <v>-</v>
      </c>
      <c r="O53" s="250">
        <f>IFERROR(J53/Pendidikan[[#This Row],[2024]], "-")</f>
        <v>-0.91207499999999997</v>
      </c>
    </row>
    <row r="54" spans="1:15">
      <c r="A54" s="298" t="s">
        <v>39</v>
      </c>
      <c r="B54" s="284" t="s">
        <v>53</v>
      </c>
      <c r="C54" s="284">
        <v>7663</v>
      </c>
      <c r="D54" s="252">
        <v>5201.8724200000006</v>
      </c>
      <c r="E54" s="252">
        <v>1884.3802599999999</v>
      </c>
      <c r="G54" s="305" t="s">
        <v>51</v>
      </c>
      <c r="H54" s="305" t="str">
        <f>IF(OR(Pendidikan[[#This Row],[2023]]="n.a",Pendidikan[[#This Row],[2022]]="n.a"), "-", Pendidikan[[#This Row],[2023]]-Pendidikan[[#This Row],[2022]])</f>
        <v>-</v>
      </c>
      <c r="I54" s="305">
        <f>IF(OR(Pendidikan[[#This Row],[2024]]="n.a",Pendidikan[[#This Row],[2023]]="n.a"), "-", Pendidikan[[#This Row],[2024]]-Pendidikan[[#This Row],[2023]])</f>
        <v>-2461.1275799999994</v>
      </c>
      <c r="J54" s="305">
        <f>IF(OR(Pendidikan[[#This Row],[2025]]="n.a",Pendidikan[[#This Row],[2024]]="n.a"), "-", Pendidikan[[#This Row],[2025]]-Pendidikan[[#This Row],[2024]])</f>
        <v>-3317.4921600000007</v>
      </c>
      <c r="L54" s="250" t="s">
        <v>51</v>
      </c>
      <c r="M54" s="250" t="str">
        <f>IFERROR(H54/Pendidikan[[#This Row],[2022]], "-")</f>
        <v>-</v>
      </c>
      <c r="N54" s="250">
        <f>IFERROR(I54/Pendidikan[[#This Row],[2023]], "-")</f>
        <v>-0.3211702440297533</v>
      </c>
      <c r="O54" s="250">
        <f>IFERROR(J54/Pendidikan[[#This Row],[2024]], "-")</f>
        <v>-0.63774962016465608</v>
      </c>
    </row>
    <row r="55" spans="1:15">
      <c r="A55" s="299" t="s">
        <v>36</v>
      </c>
      <c r="B55" s="284" t="s">
        <v>53</v>
      </c>
      <c r="C55" s="284">
        <v>735.4</v>
      </c>
      <c r="D55" s="252">
        <v>4640</v>
      </c>
      <c r="E55" s="252">
        <v>5786.6954000000005</v>
      </c>
      <c r="G55" s="305" t="s">
        <v>51</v>
      </c>
      <c r="H55" s="305" t="str">
        <f>IF(OR(Pendidikan[[#This Row],[2023]]="n.a",Pendidikan[[#This Row],[2022]]="n.a"), "-", Pendidikan[[#This Row],[2023]]-Pendidikan[[#This Row],[2022]])</f>
        <v>-</v>
      </c>
      <c r="I55" s="305">
        <f>IF(OR(Pendidikan[[#This Row],[2024]]="n.a",Pendidikan[[#This Row],[2023]]="n.a"), "-", Pendidikan[[#This Row],[2024]]-Pendidikan[[#This Row],[2023]])</f>
        <v>3904.6</v>
      </c>
      <c r="J55" s="305">
        <f>IF(OR(Pendidikan[[#This Row],[2025]]="n.a",Pendidikan[[#This Row],[2024]]="n.a"), "-", Pendidikan[[#This Row],[2025]]-Pendidikan[[#This Row],[2024]])</f>
        <v>1146.6954000000005</v>
      </c>
      <c r="L55" s="250" t="s">
        <v>51</v>
      </c>
      <c r="M55" s="250" t="str">
        <f>IFERROR(H55/Pendidikan[[#This Row],[2022]], "-")</f>
        <v>-</v>
      </c>
      <c r="N55" s="250">
        <f>IFERROR(I55/Pendidikan[[#This Row],[2023]], "-")</f>
        <v>5.3094914332336147</v>
      </c>
      <c r="O55" s="250">
        <f>IFERROR(J55/Pendidikan[[#This Row],[2024]], "-")</f>
        <v>0.24713262931034494</v>
      </c>
    </row>
    <row r="56" spans="1:15">
      <c r="A56" s="298" t="s">
        <v>37</v>
      </c>
      <c r="B56" s="284" t="s">
        <v>53</v>
      </c>
      <c r="C56" s="284">
        <v>484.75</v>
      </c>
      <c r="D56" s="252">
        <v>5014.8226500000001</v>
      </c>
      <c r="E56" s="252">
        <v>3610.6449300000004</v>
      </c>
      <c r="G56" s="305" t="s">
        <v>51</v>
      </c>
      <c r="H56" s="305" t="str">
        <f>IF(OR(Pendidikan[[#This Row],[2023]]="n.a",Pendidikan[[#This Row],[2022]]="n.a"), "-", Pendidikan[[#This Row],[2023]]-Pendidikan[[#This Row],[2022]])</f>
        <v>-</v>
      </c>
      <c r="I56" s="305">
        <f>IF(OR(Pendidikan[[#This Row],[2024]]="n.a",Pendidikan[[#This Row],[2023]]="n.a"), "-", Pendidikan[[#This Row],[2024]]-Pendidikan[[#This Row],[2023]])</f>
        <v>4530.0726500000001</v>
      </c>
      <c r="J56" s="305">
        <f>IF(OR(Pendidikan[[#This Row],[2025]]="n.a",Pendidikan[[#This Row],[2024]]="n.a"), "-", Pendidikan[[#This Row],[2025]]-Pendidikan[[#This Row],[2024]])</f>
        <v>-1404.1777199999997</v>
      </c>
      <c r="L56" s="250" t="s">
        <v>51</v>
      </c>
      <c r="M56" s="250" t="str">
        <f>IFERROR(H56/Pendidikan[[#This Row],[2022]], "-")</f>
        <v>-</v>
      </c>
      <c r="N56" s="250">
        <f>IFERROR(I56/Pendidikan[[#This Row],[2023]], "-")</f>
        <v>9.3451730789066527</v>
      </c>
      <c r="O56" s="250">
        <f>IFERROR(J56/Pendidikan[[#This Row],[2024]], "-")</f>
        <v>-0.28000545941539917</v>
      </c>
    </row>
    <row r="57" spans="1:15">
      <c r="A57" s="299" t="s">
        <v>41</v>
      </c>
      <c r="B57" s="284" t="s">
        <v>53</v>
      </c>
      <c r="C57" s="284">
        <v>0</v>
      </c>
      <c r="D57" s="252">
        <v>0</v>
      </c>
      <c r="E57" s="252">
        <v>150</v>
      </c>
      <c r="G57" s="305" t="s">
        <v>51</v>
      </c>
      <c r="H57" s="305" t="str">
        <f>IF(OR(Pendidikan[[#This Row],[2023]]="n.a",Pendidikan[[#This Row],[2022]]="n.a"), "-", Pendidikan[[#This Row],[2023]]-Pendidikan[[#This Row],[2022]])</f>
        <v>-</v>
      </c>
      <c r="I57" s="305">
        <f>IF(OR(Pendidikan[[#This Row],[2024]]="n.a",Pendidikan[[#This Row],[2023]]="n.a"), "-", Pendidikan[[#This Row],[2024]]-Pendidikan[[#This Row],[2023]])</f>
        <v>0</v>
      </c>
      <c r="J57" s="305">
        <f>IF(OR(Pendidikan[[#This Row],[2025]]="n.a",Pendidikan[[#This Row],[2024]]="n.a"), "-", Pendidikan[[#This Row],[2025]]-Pendidikan[[#This Row],[2024]])</f>
        <v>150</v>
      </c>
      <c r="L57" s="250" t="s">
        <v>51</v>
      </c>
      <c r="M57" s="250" t="str">
        <f>IFERROR(H57/Pendidikan[[#This Row],[2022]], "-")</f>
        <v>-</v>
      </c>
      <c r="N57" s="250" t="str">
        <f>IFERROR(I57/Pendidikan[[#This Row],[2023]], "-")</f>
        <v>-</v>
      </c>
      <c r="O57" s="250" t="str">
        <f>IFERROR(J57/Pendidikan[[#This Row],[2024]], "-")</f>
        <v>-</v>
      </c>
    </row>
    <row r="58" spans="1:15">
      <c r="A58" s="298" t="s">
        <v>70</v>
      </c>
      <c r="B58" s="284" t="s">
        <v>53</v>
      </c>
      <c r="C58" s="284">
        <v>0</v>
      </c>
      <c r="D58" s="252">
        <v>0</v>
      </c>
      <c r="E58" s="252">
        <v>0</v>
      </c>
      <c r="G58" s="305" t="s">
        <v>51</v>
      </c>
      <c r="H58" s="305" t="str">
        <f>IF(OR(Pendidikan[[#This Row],[2023]]="n.a",Pendidikan[[#This Row],[2022]]="n.a"), "-", Pendidikan[[#This Row],[2023]]-Pendidikan[[#This Row],[2022]])</f>
        <v>-</v>
      </c>
      <c r="I58" s="305">
        <f>IF(OR(Pendidikan[[#This Row],[2024]]="n.a",Pendidikan[[#This Row],[2023]]="n.a"), "-", Pendidikan[[#This Row],[2024]]-Pendidikan[[#This Row],[2023]])</f>
        <v>0</v>
      </c>
      <c r="J58" s="305">
        <f>IF(OR(Pendidikan[[#This Row],[2025]]="n.a",Pendidikan[[#This Row],[2024]]="n.a"), "-", Pendidikan[[#This Row],[2025]]-Pendidikan[[#This Row],[2024]])</f>
        <v>0</v>
      </c>
      <c r="L58" s="250" t="s">
        <v>51</v>
      </c>
      <c r="M58" s="250" t="str">
        <f>IFERROR(H58/Pendidikan[[#This Row],[2022]], "-")</f>
        <v>-</v>
      </c>
      <c r="N58" s="250" t="str">
        <f>IFERROR(I58/Pendidikan[[#This Row],[2023]], "-")</f>
        <v>-</v>
      </c>
      <c r="O58" s="250" t="str">
        <f>IFERROR(J58/Pendidikan[[#This Row],[2024]], "-")</f>
        <v>-</v>
      </c>
    </row>
    <row r="59" spans="1:15">
      <c r="A59" s="299" t="s">
        <v>71</v>
      </c>
      <c r="B59" s="284" t="s">
        <v>53</v>
      </c>
      <c r="C59" s="284">
        <v>0</v>
      </c>
      <c r="D59" s="252">
        <v>18</v>
      </c>
      <c r="E59" s="252">
        <v>0</v>
      </c>
      <c r="G59" s="305" t="s">
        <v>51</v>
      </c>
      <c r="H59" s="305" t="str">
        <f>IF(OR(Pendidikan[[#This Row],[2023]]="n.a",Pendidikan[[#This Row],[2022]]="n.a"), "-", Pendidikan[[#This Row],[2023]]-Pendidikan[[#This Row],[2022]])</f>
        <v>-</v>
      </c>
      <c r="I59" s="305">
        <f>IF(OR(Pendidikan[[#This Row],[2024]]="n.a",Pendidikan[[#This Row],[2023]]="n.a"), "-", Pendidikan[[#This Row],[2024]]-Pendidikan[[#This Row],[2023]])</f>
        <v>18</v>
      </c>
      <c r="J59" s="305">
        <f>IF(OR(Pendidikan[[#This Row],[2025]]="n.a",Pendidikan[[#This Row],[2024]]="n.a"), "-", Pendidikan[[#This Row],[2025]]-Pendidikan[[#This Row],[2024]])</f>
        <v>-18</v>
      </c>
      <c r="L59" s="250" t="s">
        <v>51</v>
      </c>
      <c r="M59" s="250" t="str">
        <f>IFERROR(H59/Pendidikan[[#This Row],[2022]], "-")</f>
        <v>-</v>
      </c>
      <c r="N59" s="250" t="str">
        <f>IFERROR(I59/Pendidikan[[#This Row],[2023]], "-")</f>
        <v>-</v>
      </c>
      <c r="O59" s="250">
        <f>IFERROR(J59/Pendidikan[[#This Row],[2024]], "-")</f>
        <v>-1</v>
      </c>
    </row>
    <row r="61" spans="1:15">
      <c r="B61" s="337" t="s">
        <v>77</v>
      </c>
      <c r="C61" s="337"/>
      <c r="D61" s="337"/>
      <c r="E61" s="337"/>
      <c r="G61" s="338" t="s">
        <v>44</v>
      </c>
      <c r="H61" s="339"/>
      <c r="I61" s="339"/>
      <c r="J61" s="340"/>
      <c r="L61" s="338" t="s">
        <v>73</v>
      </c>
      <c r="M61" s="339"/>
      <c r="N61" s="339"/>
      <c r="O61" s="340"/>
    </row>
    <row r="62" spans="1:15">
      <c r="A62" s="296" t="s">
        <v>74</v>
      </c>
      <c r="B62" s="287" t="s">
        <v>46</v>
      </c>
      <c r="C62" s="287" t="s">
        <v>47</v>
      </c>
      <c r="D62" s="287" t="s">
        <v>48</v>
      </c>
      <c r="E62" s="287" t="s">
        <v>49</v>
      </c>
      <c r="G62" s="300">
        <v>2022</v>
      </c>
      <c r="H62" s="300">
        <v>2023</v>
      </c>
      <c r="I62" s="300">
        <v>2024</v>
      </c>
      <c r="J62" s="300">
        <v>2025</v>
      </c>
      <c r="L62" s="300">
        <v>2022</v>
      </c>
      <c r="M62" s="300">
        <v>2023</v>
      </c>
      <c r="N62" s="300">
        <v>2024</v>
      </c>
      <c r="O62" s="300">
        <v>2025</v>
      </c>
    </row>
    <row r="63" spans="1:15">
      <c r="A63" s="297" t="s">
        <v>50</v>
      </c>
      <c r="B63" s="311" t="s">
        <v>53</v>
      </c>
      <c r="C63" s="311" t="s">
        <v>53</v>
      </c>
      <c r="D63" s="282">
        <v>21992.690869999999</v>
      </c>
      <c r="E63" s="282">
        <v>10355</v>
      </c>
      <c r="G63" s="305" t="s">
        <v>51</v>
      </c>
      <c r="H63" s="305" t="str">
        <f>IF(OR(KemajuanDesa[[#This Row],[2023]]="n.a",KemajuanDesa[[#This Row],[2022]]="n.a"), "-", KemajuanDesa[[#This Row],[2023]]-KemajuanDesa[[#This Row],[2022]])</f>
        <v>-</v>
      </c>
      <c r="I63" s="305" t="str">
        <f>IF(OR(KemajuanDesa[[#This Row],[2024]]="n.a",KemajuanDesa[[#This Row],[2023]]="n.a"), "-", KemajuanDesa[[#This Row],[2024]]-KemajuanDesa[[#This Row],[2023]])</f>
        <v>-</v>
      </c>
      <c r="J63" s="305">
        <f>IF(OR(KemajuanDesa[[#This Row],[2025]]="n.a",KemajuanDesa[[#This Row],[2024]]="n.a"), "-", KemajuanDesa[[#This Row],[2025]]-KemajuanDesa[[#This Row],[2024]])</f>
        <v>-11637.690869999999</v>
      </c>
      <c r="L63" s="250" t="s">
        <v>51</v>
      </c>
      <c r="M63" s="250" t="str">
        <f>IFERROR(H63/KemajuanDesa[[#This Row],[2022]], "-")</f>
        <v>-</v>
      </c>
      <c r="N63" s="250" t="str">
        <f>IFERROR(I63/KemajuanDesa[[#This Row],[2023]], "-")</f>
        <v>-</v>
      </c>
      <c r="O63" s="250">
        <f>IFERROR(J63/KemajuanDesa[[#This Row],[2024]], "-")</f>
        <v>-0.52916175372950169</v>
      </c>
    </row>
    <row r="64" spans="1:15">
      <c r="A64" s="298" t="s">
        <v>27</v>
      </c>
      <c r="B64" s="257" t="s">
        <v>53</v>
      </c>
      <c r="C64" s="257" t="s">
        <v>53</v>
      </c>
      <c r="D64" s="285">
        <v>108.08</v>
      </c>
      <c r="E64" s="285">
        <v>30</v>
      </c>
      <c r="G64" s="305" t="s">
        <v>51</v>
      </c>
      <c r="H64" s="305" t="str">
        <f>IF(OR(KemajuanDesa[[#This Row],[2023]]="n.a",KemajuanDesa[[#This Row],[2022]]="n.a"), "-", KemajuanDesa[[#This Row],[2023]]-KemajuanDesa[[#This Row],[2022]])</f>
        <v>-</v>
      </c>
      <c r="I64" s="305" t="str">
        <f>IF(OR(KemajuanDesa[[#This Row],[2024]]="n.a",KemajuanDesa[[#This Row],[2023]]="n.a"), "-", KemajuanDesa[[#This Row],[2024]]-KemajuanDesa[[#This Row],[2023]])</f>
        <v>-</v>
      </c>
      <c r="J64" s="305">
        <f>IF(OR(KemajuanDesa[[#This Row],[2025]]="n.a",KemajuanDesa[[#This Row],[2024]]="n.a"), "-", KemajuanDesa[[#This Row],[2025]]-KemajuanDesa[[#This Row],[2024]])</f>
        <v>-78.08</v>
      </c>
      <c r="L64" s="250" t="s">
        <v>51</v>
      </c>
      <c r="M64" s="250" t="str">
        <f>IFERROR(H64/KemajuanDesa[[#This Row],[2022]], "-")</f>
        <v>-</v>
      </c>
      <c r="N64" s="250" t="str">
        <f>IFERROR(I64/KemajuanDesa[[#This Row],[2023]], "-")</f>
        <v>-</v>
      </c>
      <c r="O64" s="250">
        <f>IFERROR(J64/KemajuanDesa[[#This Row],[2024]], "-")</f>
        <v>-0.72242783123612142</v>
      </c>
    </row>
    <row r="65" spans="1:15">
      <c r="A65" s="299" t="s">
        <v>28</v>
      </c>
      <c r="B65" s="257" t="s">
        <v>53</v>
      </c>
      <c r="C65" s="257" t="s">
        <v>53</v>
      </c>
      <c r="D65" s="285">
        <v>613.38499999999999</v>
      </c>
      <c r="E65" s="285">
        <v>210</v>
      </c>
      <c r="G65" s="305" t="s">
        <v>51</v>
      </c>
      <c r="H65" s="305" t="str">
        <f>IF(OR(KemajuanDesa[[#This Row],[2023]]="n.a",KemajuanDesa[[#This Row],[2022]]="n.a"), "-", KemajuanDesa[[#This Row],[2023]]-KemajuanDesa[[#This Row],[2022]])</f>
        <v>-</v>
      </c>
      <c r="I65" s="305" t="str">
        <f>IF(OR(KemajuanDesa[[#This Row],[2024]]="n.a",KemajuanDesa[[#This Row],[2023]]="n.a"), "-", KemajuanDesa[[#This Row],[2024]]-KemajuanDesa[[#This Row],[2023]])</f>
        <v>-</v>
      </c>
      <c r="J65" s="305">
        <f>IF(OR(KemajuanDesa[[#This Row],[2025]]="n.a",KemajuanDesa[[#This Row],[2024]]="n.a"), "-", KemajuanDesa[[#This Row],[2025]]-KemajuanDesa[[#This Row],[2024]])</f>
        <v>-403.38499999999999</v>
      </c>
      <c r="L65" s="250" t="s">
        <v>51</v>
      </c>
      <c r="M65" s="250" t="str">
        <f>IFERROR(H65/KemajuanDesa[[#This Row],[2022]], "-")</f>
        <v>-</v>
      </c>
      <c r="N65" s="250" t="str">
        <f>IFERROR(I65/KemajuanDesa[[#This Row],[2023]], "-")</f>
        <v>-</v>
      </c>
      <c r="O65" s="250">
        <f>IFERROR(J65/KemajuanDesa[[#This Row],[2024]], "-")</f>
        <v>-0.65763753596843744</v>
      </c>
    </row>
    <row r="66" spans="1:15">
      <c r="A66" s="298" t="s">
        <v>29</v>
      </c>
      <c r="B66" s="257" t="s">
        <v>53</v>
      </c>
      <c r="C66" s="257" t="s">
        <v>53</v>
      </c>
      <c r="D66" s="285">
        <v>5978.74</v>
      </c>
      <c r="E66" s="285">
        <v>4440</v>
      </c>
      <c r="G66" s="305" t="s">
        <v>51</v>
      </c>
      <c r="H66" s="305" t="str">
        <f>IF(OR(KemajuanDesa[[#This Row],[2023]]="n.a",KemajuanDesa[[#This Row],[2022]]="n.a"), "-", KemajuanDesa[[#This Row],[2023]]-KemajuanDesa[[#This Row],[2022]])</f>
        <v>-</v>
      </c>
      <c r="I66" s="305" t="str">
        <f>IF(OR(KemajuanDesa[[#This Row],[2024]]="n.a",KemajuanDesa[[#This Row],[2023]]="n.a"), "-", KemajuanDesa[[#This Row],[2024]]-KemajuanDesa[[#This Row],[2023]])</f>
        <v>-</v>
      </c>
      <c r="J66" s="305">
        <f>IF(OR(KemajuanDesa[[#This Row],[2025]]="n.a",KemajuanDesa[[#This Row],[2024]]="n.a"), "-", KemajuanDesa[[#This Row],[2025]]-KemajuanDesa[[#This Row],[2024]])</f>
        <v>-1538.7399999999998</v>
      </c>
      <c r="L66" s="250" t="s">
        <v>51</v>
      </c>
      <c r="M66" s="250" t="str">
        <f>IFERROR(H66/KemajuanDesa[[#This Row],[2022]], "-")</f>
        <v>-</v>
      </c>
      <c r="N66" s="250" t="str">
        <f>IFERROR(I66/KemajuanDesa[[#This Row],[2023]], "-")</f>
        <v>-</v>
      </c>
      <c r="O66" s="250">
        <f>IFERROR(J66/KemajuanDesa[[#This Row],[2024]], "-")</f>
        <v>-0.25736860943944706</v>
      </c>
    </row>
    <row r="67" spans="1:15">
      <c r="A67" s="299" t="s">
        <v>30</v>
      </c>
      <c r="B67" s="257" t="s">
        <v>53</v>
      </c>
      <c r="C67" s="257" t="s">
        <v>53</v>
      </c>
      <c r="D67" s="285">
        <v>0</v>
      </c>
      <c r="E67" s="285">
        <v>90</v>
      </c>
      <c r="G67" s="305" t="s">
        <v>51</v>
      </c>
      <c r="H67" s="305" t="str">
        <f>IF(OR(KemajuanDesa[[#This Row],[2023]]="n.a",KemajuanDesa[[#This Row],[2022]]="n.a"), "-", KemajuanDesa[[#This Row],[2023]]-KemajuanDesa[[#This Row],[2022]])</f>
        <v>-</v>
      </c>
      <c r="I67" s="305" t="str">
        <f>IF(OR(KemajuanDesa[[#This Row],[2024]]="n.a",KemajuanDesa[[#This Row],[2023]]="n.a"), "-", KemajuanDesa[[#This Row],[2024]]-KemajuanDesa[[#This Row],[2023]])</f>
        <v>-</v>
      </c>
      <c r="J67" s="305">
        <f>IF(OR(KemajuanDesa[[#This Row],[2025]]="n.a",KemajuanDesa[[#This Row],[2024]]="n.a"), "-", KemajuanDesa[[#This Row],[2025]]-KemajuanDesa[[#This Row],[2024]])</f>
        <v>90</v>
      </c>
      <c r="L67" s="250" t="s">
        <v>51</v>
      </c>
      <c r="M67" s="250" t="str">
        <f>IFERROR(H67/KemajuanDesa[[#This Row],[2022]], "-")</f>
        <v>-</v>
      </c>
      <c r="N67" s="250" t="str">
        <f>IFERROR(I67/KemajuanDesa[[#This Row],[2023]], "-")</f>
        <v>-</v>
      </c>
      <c r="O67" s="250" t="str">
        <f>IFERROR(J67/KemajuanDesa[[#This Row],[2024]], "-")</f>
        <v>-</v>
      </c>
    </row>
    <row r="68" spans="1:15">
      <c r="A68" s="298" t="s">
        <v>31</v>
      </c>
      <c r="B68" s="257" t="s">
        <v>53</v>
      </c>
      <c r="C68" s="257" t="s">
        <v>53</v>
      </c>
      <c r="D68" s="285">
        <v>26.5</v>
      </c>
      <c r="E68" s="285">
        <v>270</v>
      </c>
      <c r="G68" s="305" t="s">
        <v>51</v>
      </c>
      <c r="H68" s="305" t="str">
        <f>IF(OR(KemajuanDesa[[#This Row],[2023]]="n.a",KemajuanDesa[[#This Row],[2022]]="n.a"), "-", KemajuanDesa[[#This Row],[2023]]-KemajuanDesa[[#This Row],[2022]])</f>
        <v>-</v>
      </c>
      <c r="I68" s="305" t="str">
        <f>IF(OR(KemajuanDesa[[#This Row],[2024]]="n.a",KemajuanDesa[[#This Row],[2023]]="n.a"), "-", KemajuanDesa[[#This Row],[2024]]-KemajuanDesa[[#This Row],[2023]])</f>
        <v>-</v>
      </c>
      <c r="J68" s="305">
        <f>IF(OR(KemajuanDesa[[#This Row],[2025]]="n.a",KemajuanDesa[[#This Row],[2024]]="n.a"), "-", KemajuanDesa[[#This Row],[2025]]-KemajuanDesa[[#This Row],[2024]])</f>
        <v>243.5</v>
      </c>
      <c r="L68" s="250" t="s">
        <v>51</v>
      </c>
      <c r="M68" s="250" t="str">
        <f>IFERROR(H68/KemajuanDesa[[#This Row],[2022]], "-")</f>
        <v>-</v>
      </c>
      <c r="N68" s="250" t="str">
        <f>IFERROR(I68/KemajuanDesa[[#This Row],[2023]], "-")</f>
        <v>-</v>
      </c>
      <c r="O68" s="250">
        <f>IFERROR(J68/KemajuanDesa[[#This Row],[2024]], "-")</f>
        <v>9.1886792452830193</v>
      </c>
    </row>
    <row r="69" spans="1:15">
      <c r="A69" s="299" t="s">
        <v>32</v>
      </c>
      <c r="B69" s="257" t="s">
        <v>53</v>
      </c>
      <c r="C69" s="257" t="s">
        <v>53</v>
      </c>
      <c r="D69" s="285">
        <v>177</v>
      </c>
      <c r="E69" s="285">
        <v>95</v>
      </c>
      <c r="G69" s="305" t="s">
        <v>51</v>
      </c>
      <c r="H69" s="305" t="str">
        <f>IF(OR(KemajuanDesa[[#This Row],[2023]]="n.a",KemajuanDesa[[#This Row],[2022]]="n.a"), "-", KemajuanDesa[[#This Row],[2023]]-KemajuanDesa[[#This Row],[2022]])</f>
        <v>-</v>
      </c>
      <c r="I69" s="305" t="str">
        <f>IF(OR(KemajuanDesa[[#This Row],[2024]]="n.a",KemajuanDesa[[#This Row],[2023]]="n.a"), "-", KemajuanDesa[[#This Row],[2024]]-KemajuanDesa[[#This Row],[2023]])</f>
        <v>-</v>
      </c>
      <c r="J69" s="305">
        <f>IF(OR(KemajuanDesa[[#This Row],[2025]]="n.a",KemajuanDesa[[#This Row],[2024]]="n.a"), "-", KemajuanDesa[[#This Row],[2025]]-KemajuanDesa[[#This Row],[2024]])</f>
        <v>-82</v>
      </c>
      <c r="L69" s="250" t="s">
        <v>51</v>
      </c>
      <c r="M69" s="250" t="str">
        <f>IFERROR(H69/KemajuanDesa[[#This Row],[2022]], "-")</f>
        <v>-</v>
      </c>
      <c r="N69" s="250" t="str">
        <f>IFERROR(I69/KemajuanDesa[[#This Row],[2023]], "-")</f>
        <v>-</v>
      </c>
      <c r="O69" s="250">
        <f>IFERROR(J69/KemajuanDesa[[#This Row],[2024]], "-")</f>
        <v>-0.4632768361581921</v>
      </c>
    </row>
    <row r="70" spans="1:15">
      <c r="A70" s="298" t="s">
        <v>35</v>
      </c>
      <c r="B70" s="258" t="s">
        <v>53</v>
      </c>
      <c r="C70" s="258" t="s">
        <v>53</v>
      </c>
      <c r="D70" s="256">
        <v>1</v>
      </c>
      <c r="E70" s="285">
        <v>0</v>
      </c>
      <c r="G70" s="305" t="s">
        <v>51</v>
      </c>
      <c r="H70" s="305" t="str">
        <f>IF(OR(KemajuanDesa[[#This Row],[2023]]="n.a",KemajuanDesa[[#This Row],[2022]]="n.a"), "-", KemajuanDesa[[#This Row],[2023]]-KemajuanDesa[[#This Row],[2022]])</f>
        <v>-</v>
      </c>
      <c r="I70" s="305" t="str">
        <f>IF(OR(KemajuanDesa[[#This Row],[2024]]="n.a",KemajuanDesa[[#This Row],[2023]]="n.a"), "-", KemajuanDesa[[#This Row],[2024]]-KemajuanDesa[[#This Row],[2023]])</f>
        <v>-</v>
      </c>
      <c r="J70" s="305">
        <f>IF(OR(KemajuanDesa[[#This Row],[2025]]="n.a",KemajuanDesa[[#This Row],[2024]]="n.a"), "-", KemajuanDesa[[#This Row],[2025]]-KemajuanDesa[[#This Row],[2024]])</f>
        <v>-1</v>
      </c>
      <c r="L70" s="250" t="s">
        <v>51</v>
      </c>
      <c r="M70" s="250" t="str">
        <f>IFERROR(H70/KemajuanDesa[[#This Row],[2022]], "-")</f>
        <v>-</v>
      </c>
      <c r="N70" s="250" t="str">
        <f>IFERROR(I70/KemajuanDesa[[#This Row],[2023]], "-")</f>
        <v>-</v>
      </c>
      <c r="O70" s="250">
        <f>IFERROR(J70/KemajuanDesa[[#This Row],[2024]], "-")</f>
        <v>-1</v>
      </c>
    </row>
    <row r="71" spans="1:15">
      <c r="A71" s="299" t="s">
        <v>33</v>
      </c>
      <c r="B71" s="257" t="s">
        <v>53</v>
      </c>
      <c r="C71" s="257" t="s">
        <v>53</v>
      </c>
      <c r="D71" s="285">
        <v>167.69900000000001</v>
      </c>
      <c r="E71" s="285">
        <v>520</v>
      </c>
      <c r="G71" s="305" t="s">
        <v>51</v>
      </c>
      <c r="H71" s="305" t="str">
        <f>IF(OR(KemajuanDesa[[#This Row],[2023]]="n.a",KemajuanDesa[[#This Row],[2022]]="n.a"), "-", KemajuanDesa[[#This Row],[2023]]-KemajuanDesa[[#This Row],[2022]])</f>
        <v>-</v>
      </c>
      <c r="I71" s="305" t="str">
        <f>IF(OR(KemajuanDesa[[#This Row],[2024]]="n.a",KemajuanDesa[[#This Row],[2023]]="n.a"), "-", KemajuanDesa[[#This Row],[2024]]-KemajuanDesa[[#This Row],[2023]])</f>
        <v>-</v>
      </c>
      <c r="J71" s="305">
        <f>IF(OR(KemajuanDesa[[#This Row],[2025]]="n.a",KemajuanDesa[[#This Row],[2024]]="n.a"), "-", KemajuanDesa[[#This Row],[2025]]-KemajuanDesa[[#This Row],[2024]])</f>
        <v>352.30099999999999</v>
      </c>
      <c r="L71" s="250" t="s">
        <v>51</v>
      </c>
      <c r="M71" s="250" t="str">
        <f>IFERROR(H71/KemajuanDesa[[#This Row],[2022]], "-")</f>
        <v>-</v>
      </c>
      <c r="N71" s="250" t="str">
        <f>IFERROR(I71/KemajuanDesa[[#This Row],[2023]], "-")</f>
        <v>-</v>
      </c>
      <c r="O71" s="250">
        <f>IFERROR(J71/KemajuanDesa[[#This Row],[2024]], "-")</f>
        <v>2.100793683921788</v>
      </c>
    </row>
    <row r="72" spans="1:15">
      <c r="A72" s="298" t="s">
        <v>34</v>
      </c>
      <c r="B72" s="258" t="s">
        <v>53</v>
      </c>
      <c r="C72" s="258" t="s">
        <v>53</v>
      </c>
      <c r="D72" s="256">
        <v>0.5</v>
      </c>
      <c r="E72" s="285">
        <v>760</v>
      </c>
      <c r="G72" s="305" t="s">
        <v>51</v>
      </c>
      <c r="H72" s="305" t="str">
        <f>IF(OR(KemajuanDesa[[#This Row],[2023]]="n.a",KemajuanDesa[[#This Row],[2022]]="n.a"), "-", KemajuanDesa[[#This Row],[2023]]-KemajuanDesa[[#This Row],[2022]])</f>
        <v>-</v>
      </c>
      <c r="I72" s="305" t="str">
        <f>IF(OR(KemajuanDesa[[#This Row],[2024]]="n.a",KemajuanDesa[[#This Row],[2023]]="n.a"), "-", KemajuanDesa[[#This Row],[2024]]-KemajuanDesa[[#This Row],[2023]])</f>
        <v>-</v>
      </c>
      <c r="J72" s="305">
        <f>IF(OR(KemajuanDesa[[#This Row],[2025]]="n.a",KemajuanDesa[[#This Row],[2024]]="n.a"), "-", KemajuanDesa[[#This Row],[2025]]-KemajuanDesa[[#This Row],[2024]])</f>
        <v>759.5</v>
      </c>
      <c r="L72" s="250" t="s">
        <v>51</v>
      </c>
      <c r="M72" s="250" t="str">
        <f>IFERROR(H72/KemajuanDesa[[#This Row],[2022]], "-")</f>
        <v>-</v>
      </c>
      <c r="N72" s="250" t="str">
        <f>IFERROR(I72/KemajuanDesa[[#This Row],[2023]], "-")</f>
        <v>-</v>
      </c>
      <c r="O72" s="250">
        <f>IFERROR(J72/KemajuanDesa[[#This Row],[2024]], "-")</f>
        <v>1519</v>
      </c>
    </row>
    <row r="73" spans="1:15">
      <c r="A73" s="299" t="s">
        <v>38</v>
      </c>
      <c r="B73" s="257" t="s">
        <v>53</v>
      </c>
      <c r="C73" s="257" t="s">
        <v>53</v>
      </c>
      <c r="D73" s="285">
        <v>0</v>
      </c>
      <c r="E73" s="285">
        <v>0</v>
      </c>
      <c r="G73" s="305" t="s">
        <v>51</v>
      </c>
      <c r="H73" s="305" t="str">
        <f>IF(OR(KemajuanDesa[[#This Row],[2023]]="n.a",KemajuanDesa[[#This Row],[2022]]="n.a"), "-", KemajuanDesa[[#This Row],[2023]]-KemajuanDesa[[#This Row],[2022]])</f>
        <v>-</v>
      </c>
      <c r="I73" s="305" t="str">
        <f>IF(OR(KemajuanDesa[[#This Row],[2024]]="n.a",KemajuanDesa[[#This Row],[2023]]="n.a"), "-", KemajuanDesa[[#This Row],[2024]]-KemajuanDesa[[#This Row],[2023]])</f>
        <v>-</v>
      </c>
      <c r="J73" s="305">
        <f>IF(OR(KemajuanDesa[[#This Row],[2025]]="n.a",KemajuanDesa[[#This Row],[2024]]="n.a"), "-", KemajuanDesa[[#This Row],[2025]]-KemajuanDesa[[#This Row],[2024]])</f>
        <v>0</v>
      </c>
      <c r="L73" s="250" t="s">
        <v>51</v>
      </c>
      <c r="M73" s="250" t="str">
        <f>IFERROR(H73/KemajuanDesa[[#This Row],[2022]], "-")</f>
        <v>-</v>
      </c>
      <c r="N73" s="250" t="str">
        <f>IFERROR(I73/KemajuanDesa[[#This Row],[2023]], "-")</f>
        <v>-</v>
      </c>
      <c r="O73" s="250" t="str">
        <f>IFERROR(J73/KemajuanDesa[[#This Row],[2024]], "-")</f>
        <v>-</v>
      </c>
    </row>
    <row r="74" spans="1:15">
      <c r="A74" s="298" t="s">
        <v>39</v>
      </c>
      <c r="B74" s="258" t="s">
        <v>53</v>
      </c>
      <c r="C74" s="258" t="s">
        <v>53</v>
      </c>
      <c r="D74" s="256">
        <v>14869.791870000001</v>
      </c>
      <c r="E74" s="285">
        <v>2300</v>
      </c>
      <c r="G74" s="305" t="s">
        <v>51</v>
      </c>
      <c r="H74" s="305" t="str">
        <f>IF(OR(KemajuanDesa[[#This Row],[2023]]="n.a",KemajuanDesa[[#This Row],[2022]]="n.a"), "-", KemajuanDesa[[#This Row],[2023]]-KemajuanDesa[[#This Row],[2022]])</f>
        <v>-</v>
      </c>
      <c r="I74" s="305" t="str">
        <f>IF(OR(KemajuanDesa[[#This Row],[2024]]="n.a",KemajuanDesa[[#This Row],[2023]]="n.a"), "-", KemajuanDesa[[#This Row],[2024]]-KemajuanDesa[[#This Row],[2023]])</f>
        <v>-</v>
      </c>
      <c r="J74" s="305">
        <f>IF(OR(KemajuanDesa[[#This Row],[2025]]="n.a",KemajuanDesa[[#This Row],[2024]]="n.a"), "-", KemajuanDesa[[#This Row],[2025]]-KemajuanDesa[[#This Row],[2024]])</f>
        <v>-12569.791870000001</v>
      </c>
      <c r="L74" s="250" t="s">
        <v>51</v>
      </c>
      <c r="M74" s="250" t="str">
        <f>IFERROR(H74/KemajuanDesa[[#This Row],[2022]], "-")</f>
        <v>-</v>
      </c>
      <c r="N74" s="250" t="str">
        <f>IFERROR(I74/KemajuanDesa[[#This Row],[2023]], "-")</f>
        <v>-</v>
      </c>
      <c r="O74" s="250">
        <f>IFERROR(J74/KemajuanDesa[[#This Row],[2024]], "-")</f>
        <v>-0.84532399510982525</v>
      </c>
    </row>
    <row r="75" spans="1:15">
      <c r="A75" s="299" t="s">
        <v>36</v>
      </c>
      <c r="B75" s="258" t="s">
        <v>53</v>
      </c>
      <c r="C75" s="258" t="s">
        <v>53</v>
      </c>
      <c r="D75" s="256">
        <v>0</v>
      </c>
      <c r="E75" s="285">
        <v>680</v>
      </c>
      <c r="G75" s="305" t="s">
        <v>51</v>
      </c>
      <c r="H75" s="305" t="str">
        <f>IF(OR(KemajuanDesa[[#This Row],[2023]]="n.a",KemajuanDesa[[#This Row],[2022]]="n.a"), "-", KemajuanDesa[[#This Row],[2023]]-KemajuanDesa[[#This Row],[2022]])</f>
        <v>-</v>
      </c>
      <c r="I75" s="305" t="str">
        <f>IF(OR(KemajuanDesa[[#This Row],[2024]]="n.a",KemajuanDesa[[#This Row],[2023]]="n.a"), "-", KemajuanDesa[[#This Row],[2024]]-KemajuanDesa[[#This Row],[2023]])</f>
        <v>-</v>
      </c>
      <c r="J75" s="305">
        <f>IF(OR(KemajuanDesa[[#This Row],[2025]]="n.a",KemajuanDesa[[#This Row],[2024]]="n.a"), "-", KemajuanDesa[[#This Row],[2025]]-KemajuanDesa[[#This Row],[2024]])</f>
        <v>680</v>
      </c>
      <c r="L75" s="250" t="s">
        <v>51</v>
      </c>
      <c r="M75" s="250" t="str">
        <f>IFERROR(H75/KemajuanDesa[[#This Row],[2022]], "-")</f>
        <v>-</v>
      </c>
      <c r="N75" s="250" t="str">
        <f>IFERROR(I75/KemajuanDesa[[#This Row],[2023]], "-")</f>
        <v>-</v>
      </c>
      <c r="O75" s="250" t="str">
        <f>IFERROR(J75/KemajuanDesa[[#This Row],[2024]], "-")</f>
        <v>-</v>
      </c>
    </row>
    <row r="76" spans="1:15">
      <c r="A76" s="298" t="s">
        <v>37</v>
      </c>
      <c r="B76" s="258" t="s">
        <v>53</v>
      </c>
      <c r="C76" s="258" t="s">
        <v>53</v>
      </c>
      <c r="D76" s="256">
        <v>49.994999999999997</v>
      </c>
      <c r="E76" s="285">
        <v>960</v>
      </c>
      <c r="G76" s="305" t="s">
        <v>51</v>
      </c>
      <c r="H76" s="305" t="str">
        <f>IF(OR(KemajuanDesa[[#This Row],[2023]]="n.a",KemajuanDesa[[#This Row],[2022]]="n.a"), "-", KemajuanDesa[[#This Row],[2023]]-KemajuanDesa[[#This Row],[2022]])</f>
        <v>-</v>
      </c>
      <c r="I76" s="305" t="str">
        <f>IF(OR(KemajuanDesa[[#This Row],[2024]]="n.a",KemajuanDesa[[#This Row],[2023]]="n.a"), "-", KemajuanDesa[[#This Row],[2024]]-KemajuanDesa[[#This Row],[2023]])</f>
        <v>-</v>
      </c>
      <c r="J76" s="305">
        <f>IF(OR(KemajuanDesa[[#This Row],[2025]]="n.a",KemajuanDesa[[#This Row],[2024]]="n.a"), "-", KemajuanDesa[[#This Row],[2025]]-KemajuanDesa[[#This Row],[2024]])</f>
        <v>910.005</v>
      </c>
      <c r="L76" s="250" t="s">
        <v>51</v>
      </c>
      <c r="M76" s="250" t="str">
        <f>IFERROR(H76/KemajuanDesa[[#This Row],[2022]], "-")</f>
        <v>-</v>
      </c>
      <c r="N76" s="250" t="str">
        <f>IFERROR(I76/KemajuanDesa[[#This Row],[2023]], "-")</f>
        <v>-</v>
      </c>
      <c r="O76" s="250">
        <f>IFERROR(J76/KemajuanDesa[[#This Row],[2024]], "-")</f>
        <v>18.201920192019202</v>
      </c>
    </row>
    <row r="77" spans="1:15">
      <c r="A77" s="299" t="s">
        <v>41</v>
      </c>
      <c r="B77" s="258" t="s">
        <v>53</v>
      </c>
      <c r="C77" s="258" t="s">
        <v>53</v>
      </c>
      <c r="D77" s="256">
        <v>0</v>
      </c>
      <c r="E77" s="285">
        <v>0</v>
      </c>
      <c r="G77" s="305" t="s">
        <v>51</v>
      </c>
      <c r="H77" s="305" t="str">
        <f>IF(OR(KemajuanDesa[[#This Row],[2023]]="n.a",KemajuanDesa[[#This Row],[2022]]="n.a"), "-", KemajuanDesa[[#This Row],[2023]]-KemajuanDesa[[#This Row],[2022]])</f>
        <v>-</v>
      </c>
      <c r="I77" s="305" t="str">
        <f>IF(OR(KemajuanDesa[[#This Row],[2024]]="n.a",KemajuanDesa[[#This Row],[2023]]="n.a"), "-", KemajuanDesa[[#This Row],[2024]]-KemajuanDesa[[#This Row],[2023]])</f>
        <v>-</v>
      </c>
      <c r="J77" s="305">
        <f>IF(OR(KemajuanDesa[[#This Row],[2025]]="n.a",KemajuanDesa[[#This Row],[2024]]="n.a"), "-", KemajuanDesa[[#This Row],[2025]]-KemajuanDesa[[#This Row],[2024]])</f>
        <v>0</v>
      </c>
      <c r="L77" s="250" t="s">
        <v>51</v>
      </c>
      <c r="M77" s="250" t="str">
        <f>IFERROR(H77/KemajuanDesa[[#This Row],[2022]], "-")</f>
        <v>-</v>
      </c>
      <c r="N77" s="250" t="str">
        <f>IFERROR(I77/KemajuanDesa[[#This Row],[2023]], "-")</f>
        <v>-</v>
      </c>
      <c r="O77" s="250" t="str">
        <f>IFERROR(J77/KemajuanDesa[[#This Row],[2024]], "-")</f>
        <v>-</v>
      </c>
    </row>
    <row r="78" spans="1:15">
      <c r="A78" s="298" t="s">
        <v>70</v>
      </c>
      <c r="B78" s="284" t="s">
        <v>53</v>
      </c>
      <c r="C78" s="284" t="s">
        <v>53</v>
      </c>
      <c r="D78" s="252">
        <v>0</v>
      </c>
      <c r="E78" s="285">
        <v>0</v>
      </c>
      <c r="G78" s="305" t="s">
        <v>51</v>
      </c>
      <c r="H78" s="305" t="str">
        <f>IF(OR(KemajuanDesa[[#This Row],[2023]]="n.a",KemajuanDesa[[#This Row],[2022]]="n.a"), "-", KemajuanDesa[[#This Row],[2023]]-KemajuanDesa[[#This Row],[2022]])</f>
        <v>-</v>
      </c>
      <c r="I78" s="305" t="str">
        <f>IF(OR(KemajuanDesa[[#This Row],[2024]]="n.a",KemajuanDesa[[#This Row],[2023]]="n.a"), "-", KemajuanDesa[[#This Row],[2024]]-KemajuanDesa[[#This Row],[2023]])</f>
        <v>-</v>
      </c>
      <c r="J78" s="305">
        <f>IF(OR(KemajuanDesa[[#This Row],[2025]]="n.a",KemajuanDesa[[#This Row],[2024]]="n.a"), "-", KemajuanDesa[[#This Row],[2025]]-KemajuanDesa[[#This Row],[2024]])</f>
        <v>0</v>
      </c>
      <c r="L78" s="250" t="s">
        <v>51</v>
      </c>
      <c r="M78" s="250" t="str">
        <f>IFERROR(H78/KemajuanDesa[[#This Row],[2022]], "-")</f>
        <v>-</v>
      </c>
      <c r="N78" s="250" t="str">
        <f>IFERROR(I78/KemajuanDesa[[#This Row],[2023]], "-")</f>
        <v>-</v>
      </c>
      <c r="O78" s="250" t="str">
        <f>IFERROR(J78/KemajuanDesa[[#This Row],[2024]], "-")</f>
        <v>-</v>
      </c>
    </row>
    <row r="79" spans="1:15">
      <c r="A79" s="299" t="s">
        <v>71</v>
      </c>
      <c r="B79" s="284" t="s">
        <v>53</v>
      </c>
      <c r="C79" s="284" t="s">
        <v>53</v>
      </c>
      <c r="D79" s="252">
        <v>0</v>
      </c>
      <c r="E79" s="285">
        <v>0</v>
      </c>
      <c r="G79" s="305" t="s">
        <v>51</v>
      </c>
      <c r="H79" s="305" t="str">
        <f>IF(OR(KemajuanDesa[[#This Row],[2023]]="n.a",KemajuanDesa[[#This Row],[2022]]="n.a"), "-", KemajuanDesa[[#This Row],[2023]]-KemajuanDesa[[#This Row],[2022]])</f>
        <v>-</v>
      </c>
      <c r="I79" s="305" t="str">
        <f>IF(OR(KemajuanDesa[[#This Row],[2024]]="n.a",KemajuanDesa[[#This Row],[2023]]="n.a"), "-", KemajuanDesa[[#This Row],[2024]]-KemajuanDesa[[#This Row],[2023]])</f>
        <v>-</v>
      </c>
      <c r="J79" s="305">
        <f>IF(OR(KemajuanDesa[[#This Row],[2025]]="n.a",KemajuanDesa[[#This Row],[2024]]="n.a"), "-", KemajuanDesa[[#This Row],[2025]]-KemajuanDesa[[#This Row],[2024]])</f>
        <v>0</v>
      </c>
      <c r="L79" s="250" t="s">
        <v>51</v>
      </c>
      <c r="M79" s="250" t="str">
        <f>IFERROR(H79/KemajuanDesa[[#This Row],[2022]], "-")</f>
        <v>-</v>
      </c>
      <c r="N79" s="250" t="str">
        <f>IFERROR(I79/KemajuanDesa[[#This Row],[2023]], "-")</f>
        <v>-</v>
      </c>
      <c r="O79" s="250" t="str">
        <f>IFERROR(J79/KemajuanDesa[[#This Row],[2024]], "-")</f>
        <v>-</v>
      </c>
    </row>
  </sheetData>
  <mergeCells count="12">
    <mergeCell ref="B1:E1"/>
    <mergeCell ref="B21:E21"/>
    <mergeCell ref="B41:E41"/>
    <mergeCell ref="B61:E61"/>
    <mergeCell ref="L1:O1"/>
    <mergeCell ref="G1:J1"/>
    <mergeCell ref="G61:J61"/>
    <mergeCell ref="L61:O61"/>
    <mergeCell ref="L41:O41"/>
    <mergeCell ref="G41:J41"/>
    <mergeCell ref="L21:O21"/>
    <mergeCell ref="G21:J21"/>
  </mergeCells>
  <pageMargins left="0.7" right="0.7" top="0.75" bottom="0.75" header="0.3" footer="0.3"/>
  <tableParts count="4">
    <tablePart r:id="rId1"/>
    <tablePart r:id="rId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AAB3A-21ED-469D-B1D2-9361771831A7}">
  <sheetPr codeName="Sheet38"/>
  <dimension ref="A1:D169"/>
  <sheetViews>
    <sheetView workbookViewId="0"/>
  </sheetViews>
  <sheetFormatPr defaultRowHeight="14.5"/>
  <cols>
    <col min="1" max="1" width="16" bestFit="1" customWidth="1"/>
    <col min="2" max="2" width="4.81640625" bestFit="1" customWidth="1"/>
    <col min="3" max="3" width="9.81640625" bestFit="1" customWidth="1"/>
    <col min="4" max="4" width="8.1796875" bestFit="1" customWidth="1"/>
  </cols>
  <sheetData>
    <row r="1" spans="1:4">
      <c r="A1" s="327" t="s">
        <v>18</v>
      </c>
      <c r="B1" s="327" t="s">
        <v>1</v>
      </c>
      <c r="C1" s="327" t="s">
        <v>3</v>
      </c>
      <c r="D1" s="327" t="s">
        <v>5</v>
      </c>
    </row>
    <row r="2" spans="1:4">
      <c r="A2" t="s">
        <v>27</v>
      </c>
      <c r="B2">
        <v>2022</v>
      </c>
      <c r="C2">
        <v>0</v>
      </c>
      <c r="D2" t="s">
        <v>78</v>
      </c>
    </row>
    <row r="3" spans="1:4">
      <c r="A3" t="s">
        <v>27</v>
      </c>
      <c r="B3">
        <v>2023</v>
      </c>
      <c r="C3">
        <v>0</v>
      </c>
      <c r="D3" t="s">
        <v>78</v>
      </c>
    </row>
    <row r="4" spans="1:4">
      <c r="A4" t="s">
        <v>27</v>
      </c>
      <c r="B4">
        <v>2024</v>
      </c>
      <c r="C4">
        <v>12510</v>
      </c>
      <c r="D4" t="s">
        <v>78</v>
      </c>
    </row>
    <row r="5" spans="1:4">
      <c r="A5" t="s">
        <v>27</v>
      </c>
      <c r="B5">
        <v>2025</v>
      </c>
      <c r="C5">
        <v>12510</v>
      </c>
      <c r="D5" t="s">
        <v>78</v>
      </c>
    </row>
    <row r="6" spans="1:4">
      <c r="A6" t="s">
        <v>28</v>
      </c>
      <c r="B6">
        <v>2022</v>
      </c>
      <c r="C6">
        <v>0</v>
      </c>
      <c r="D6" t="s">
        <v>78</v>
      </c>
    </row>
    <row r="7" spans="1:4">
      <c r="A7" t="s">
        <v>28</v>
      </c>
      <c r="B7">
        <v>2023</v>
      </c>
      <c r="C7">
        <v>0</v>
      </c>
      <c r="D7" t="s">
        <v>78</v>
      </c>
    </row>
    <row r="8" spans="1:4">
      <c r="A8" t="s">
        <v>28</v>
      </c>
      <c r="B8">
        <v>2024</v>
      </c>
      <c r="C8">
        <v>100</v>
      </c>
      <c r="D8" t="s">
        <v>78</v>
      </c>
    </row>
    <row r="9" spans="1:4">
      <c r="A9" t="s">
        <v>28</v>
      </c>
      <c r="B9">
        <v>2025</v>
      </c>
      <c r="C9">
        <v>100</v>
      </c>
      <c r="D9" t="s">
        <v>78</v>
      </c>
    </row>
    <row r="10" spans="1:4">
      <c r="A10" t="s">
        <v>29</v>
      </c>
      <c r="B10">
        <v>2022</v>
      </c>
      <c r="C10">
        <v>18700</v>
      </c>
      <c r="D10" t="s">
        <v>78</v>
      </c>
    </row>
    <row r="11" spans="1:4">
      <c r="A11" t="s">
        <v>29</v>
      </c>
      <c r="B11">
        <v>2023</v>
      </c>
      <c r="C11">
        <v>0</v>
      </c>
      <c r="D11" t="s">
        <v>78</v>
      </c>
    </row>
    <row r="12" spans="1:4">
      <c r="A12" t="s">
        <v>29</v>
      </c>
      <c r="B12">
        <v>2024</v>
      </c>
      <c r="C12">
        <v>12680</v>
      </c>
      <c r="D12" t="s">
        <v>78</v>
      </c>
    </row>
    <row r="13" spans="1:4">
      <c r="A13" t="s">
        <v>29</v>
      </c>
      <c r="B13">
        <v>2025</v>
      </c>
      <c r="C13">
        <v>12680</v>
      </c>
      <c r="D13" t="s">
        <v>78</v>
      </c>
    </row>
    <row r="14" spans="1:4">
      <c r="A14" t="s">
        <v>30</v>
      </c>
      <c r="B14">
        <v>2022</v>
      </c>
      <c r="C14">
        <v>0</v>
      </c>
      <c r="D14" t="s">
        <v>78</v>
      </c>
    </row>
    <row r="15" spans="1:4">
      <c r="A15" t="s">
        <v>30</v>
      </c>
      <c r="B15">
        <v>2023</v>
      </c>
      <c r="C15">
        <v>0</v>
      </c>
      <c r="D15" t="s">
        <v>78</v>
      </c>
    </row>
    <row r="16" spans="1:4">
      <c r="A16" t="s">
        <v>30</v>
      </c>
      <c r="B16">
        <v>2024</v>
      </c>
      <c r="C16">
        <v>0</v>
      </c>
      <c r="D16" t="s">
        <v>78</v>
      </c>
    </row>
    <row r="17" spans="1:4">
      <c r="A17" t="s">
        <v>30</v>
      </c>
      <c r="B17">
        <v>2025</v>
      </c>
      <c r="C17">
        <v>0</v>
      </c>
      <c r="D17" t="s">
        <v>78</v>
      </c>
    </row>
    <row r="18" spans="1:4">
      <c r="A18" t="s">
        <v>31</v>
      </c>
      <c r="B18">
        <v>2022</v>
      </c>
      <c r="C18">
        <v>0</v>
      </c>
      <c r="D18" t="s">
        <v>78</v>
      </c>
    </row>
    <row r="19" spans="1:4">
      <c r="A19" t="s">
        <v>31</v>
      </c>
      <c r="B19">
        <v>2023</v>
      </c>
      <c r="C19">
        <v>0</v>
      </c>
      <c r="D19" t="s">
        <v>78</v>
      </c>
    </row>
    <row r="20" spans="1:4">
      <c r="A20" t="s">
        <v>31</v>
      </c>
      <c r="B20">
        <v>2024</v>
      </c>
      <c r="C20">
        <v>1350</v>
      </c>
      <c r="D20" t="s">
        <v>78</v>
      </c>
    </row>
    <row r="21" spans="1:4">
      <c r="A21" t="s">
        <v>31</v>
      </c>
      <c r="B21">
        <v>2025</v>
      </c>
      <c r="C21">
        <v>850</v>
      </c>
      <c r="D21" t="s">
        <v>78</v>
      </c>
    </row>
    <row r="22" spans="1:4">
      <c r="A22" t="s">
        <v>32</v>
      </c>
      <c r="B22">
        <v>2022</v>
      </c>
      <c r="C22">
        <v>0</v>
      </c>
      <c r="D22" t="s">
        <v>78</v>
      </c>
    </row>
    <row r="23" spans="1:4">
      <c r="A23" t="s">
        <v>32</v>
      </c>
      <c r="B23">
        <v>2023</v>
      </c>
      <c r="C23">
        <v>0</v>
      </c>
      <c r="D23" t="s">
        <v>78</v>
      </c>
    </row>
    <row r="24" spans="1:4">
      <c r="A24" t="s">
        <v>32</v>
      </c>
      <c r="B24">
        <v>2024</v>
      </c>
      <c r="C24">
        <v>0</v>
      </c>
      <c r="D24" t="s">
        <v>78</v>
      </c>
    </row>
    <row r="25" spans="1:4">
      <c r="A25" t="s">
        <v>32</v>
      </c>
      <c r="B25">
        <v>2025</v>
      </c>
      <c r="C25">
        <v>0</v>
      </c>
      <c r="D25" t="s">
        <v>78</v>
      </c>
    </row>
    <row r="26" spans="1:4">
      <c r="A26" t="s">
        <v>35</v>
      </c>
      <c r="B26">
        <v>2022</v>
      </c>
      <c r="C26">
        <v>0</v>
      </c>
      <c r="D26" t="s">
        <v>78</v>
      </c>
    </row>
    <row r="27" spans="1:4">
      <c r="A27" t="s">
        <v>35</v>
      </c>
      <c r="B27">
        <v>2023</v>
      </c>
      <c r="C27">
        <v>0</v>
      </c>
      <c r="D27" t="s">
        <v>78</v>
      </c>
    </row>
    <row r="28" spans="1:4">
      <c r="A28" t="s">
        <v>35</v>
      </c>
      <c r="B28">
        <v>2024</v>
      </c>
      <c r="C28">
        <v>0</v>
      </c>
      <c r="D28" t="s">
        <v>78</v>
      </c>
    </row>
    <row r="29" spans="1:4">
      <c r="A29" t="s">
        <v>35</v>
      </c>
      <c r="B29">
        <v>2025</v>
      </c>
      <c r="C29">
        <v>0</v>
      </c>
      <c r="D29" t="s">
        <v>78</v>
      </c>
    </row>
    <row r="30" spans="1:4">
      <c r="A30" t="s">
        <v>33</v>
      </c>
      <c r="B30">
        <v>2022</v>
      </c>
      <c r="C30">
        <v>2789.7514999999999</v>
      </c>
      <c r="D30" t="s">
        <v>78</v>
      </c>
    </row>
    <row r="31" spans="1:4">
      <c r="A31" t="s">
        <v>33</v>
      </c>
      <c r="B31">
        <v>2023</v>
      </c>
      <c r="C31">
        <v>0</v>
      </c>
      <c r="D31" t="s">
        <v>78</v>
      </c>
    </row>
    <row r="32" spans="1:4">
      <c r="A32" t="s">
        <v>33</v>
      </c>
      <c r="B32">
        <v>2024</v>
      </c>
      <c r="C32">
        <v>400</v>
      </c>
      <c r="D32" t="s">
        <v>78</v>
      </c>
    </row>
    <row r="33" spans="1:4">
      <c r="A33" t="s">
        <v>33</v>
      </c>
      <c r="B33">
        <v>2025</v>
      </c>
      <c r="C33">
        <v>400</v>
      </c>
      <c r="D33" t="s">
        <v>78</v>
      </c>
    </row>
    <row r="34" spans="1:4">
      <c r="A34" t="s">
        <v>34</v>
      </c>
      <c r="B34">
        <v>2022</v>
      </c>
      <c r="C34">
        <v>0</v>
      </c>
      <c r="D34" t="s">
        <v>78</v>
      </c>
    </row>
    <row r="35" spans="1:4">
      <c r="A35" t="s">
        <v>34</v>
      </c>
      <c r="B35">
        <v>2023</v>
      </c>
      <c r="C35">
        <v>0</v>
      </c>
      <c r="D35" t="s">
        <v>78</v>
      </c>
    </row>
    <row r="36" spans="1:4">
      <c r="A36" t="s">
        <v>34</v>
      </c>
      <c r="B36">
        <v>2024</v>
      </c>
      <c r="C36">
        <v>0</v>
      </c>
      <c r="D36" t="s">
        <v>78</v>
      </c>
    </row>
    <row r="37" spans="1:4">
      <c r="A37" t="s">
        <v>34</v>
      </c>
      <c r="B37">
        <v>2025</v>
      </c>
      <c r="C37">
        <v>0</v>
      </c>
      <c r="D37" t="s">
        <v>78</v>
      </c>
    </row>
    <row r="38" spans="1:4">
      <c r="A38" t="s">
        <v>38</v>
      </c>
      <c r="B38">
        <v>2022</v>
      </c>
      <c r="C38">
        <v>0</v>
      </c>
      <c r="D38" t="s">
        <v>78</v>
      </c>
    </row>
    <row r="39" spans="1:4">
      <c r="A39" t="s">
        <v>38</v>
      </c>
      <c r="B39">
        <v>2023</v>
      </c>
      <c r="C39">
        <v>0</v>
      </c>
      <c r="D39" t="s">
        <v>78</v>
      </c>
    </row>
    <row r="40" spans="1:4">
      <c r="A40" t="s">
        <v>38</v>
      </c>
      <c r="B40">
        <v>2024</v>
      </c>
      <c r="C40">
        <v>0</v>
      </c>
      <c r="D40" t="s">
        <v>78</v>
      </c>
    </row>
    <row r="41" spans="1:4">
      <c r="A41" t="s">
        <v>38</v>
      </c>
      <c r="B41">
        <v>2025</v>
      </c>
      <c r="C41">
        <v>0</v>
      </c>
      <c r="D41" t="s">
        <v>78</v>
      </c>
    </row>
    <row r="42" spans="1:4">
      <c r="A42" t="s">
        <v>39</v>
      </c>
      <c r="B42">
        <v>2022</v>
      </c>
      <c r="C42">
        <v>9826</v>
      </c>
      <c r="D42" t="s">
        <v>78</v>
      </c>
    </row>
    <row r="43" spans="1:4">
      <c r="A43" t="s">
        <v>39</v>
      </c>
      <c r="B43">
        <v>2023</v>
      </c>
      <c r="C43">
        <v>0</v>
      </c>
      <c r="D43" t="s">
        <v>78</v>
      </c>
    </row>
    <row r="44" spans="1:4">
      <c r="A44" t="s">
        <v>39</v>
      </c>
      <c r="B44">
        <v>2024</v>
      </c>
      <c r="C44">
        <v>16130</v>
      </c>
      <c r="D44" t="s">
        <v>78</v>
      </c>
    </row>
    <row r="45" spans="1:4">
      <c r="A45" t="s">
        <v>39</v>
      </c>
      <c r="B45">
        <v>2025</v>
      </c>
      <c r="C45">
        <v>16130</v>
      </c>
      <c r="D45" t="s">
        <v>78</v>
      </c>
    </row>
    <row r="46" spans="1:4">
      <c r="A46" t="s">
        <v>36</v>
      </c>
      <c r="B46">
        <v>2022</v>
      </c>
      <c r="C46">
        <v>0</v>
      </c>
      <c r="D46" t="s">
        <v>78</v>
      </c>
    </row>
    <row r="47" spans="1:4">
      <c r="A47" t="s">
        <v>36</v>
      </c>
      <c r="B47">
        <v>2023</v>
      </c>
      <c r="C47">
        <v>0</v>
      </c>
      <c r="D47" t="s">
        <v>78</v>
      </c>
    </row>
    <row r="48" spans="1:4">
      <c r="A48" t="s">
        <v>36</v>
      </c>
      <c r="B48">
        <v>2024</v>
      </c>
      <c r="C48">
        <v>0</v>
      </c>
      <c r="D48" t="s">
        <v>78</v>
      </c>
    </row>
    <row r="49" spans="1:4">
      <c r="A49" t="s">
        <v>36</v>
      </c>
      <c r="B49">
        <v>2025</v>
      </c>
      <c r="C49">
        <v>0</v>
      </c>
      <c r="D49" t="s">
        <v>78</v>
      </c>
    </row>
    <row r="50" spans="1:4">
      <c r="A50" t="s">
        <v>37</v>
      </c>
      <c r="B50">
        <v>2022</v>
      </c>
      <c r="C50">
        <v>0</v>
      </c>
      <c r="D50" t="s">
        <v>78</v>
      </c>
    </row>
    <row r="51" spans="1:4">
      <c r="A51" t="s">
        <v>37</v>
      </c>
      <c r="B51">
        <v>2023</v>
      </c>
      <c r="C51">
        <v>0</v>
      </c>
      <c r="D51" t="s">
        <v>78</v>
      </c>
    </row>
    <row r="52" spans="1:4">
      <c r="A52" t="s">
        <v>37</v>
      </c>
      <c r="B52">
        <v>2024</v>
      </c>
      <c r="C52">
        <v>0</v>
      </c>
      <c r="D52" t="s">
        <v>78</v>
      </c>
    </row>
    <row r="53" spans="1:4">
      <c r="A53" t="s">
        <v>37</v>
      </c>
      <c r="B53">
        <v>2025</v>
      </c>
      <c r="C53">
        <v>0</v>
      </c>
      <c r="D53" t="s">
        <v>78</v>
      </c>
    </row>
    <row r="54" spans="1:4">
      <c r="A54" t="s">
        <v>41</v>
      </c>
      <c r="B54">
        <v>2022</v>
      </c>
      <c r="C54">
        <v>0</v>
      </c>
      <c r="D54" t="s">
        <v>78</v>
      </c>
    </row>
    <row r="55" spans="1:4">
      <c r="A55" t="s">
        <v>41</v>
      </c>
      <c r="B55">
        <v>2023</v>
      </c>
      <c r="C55">
        <v>0</v>
      </c>
      <c r="D55" t="s">
        <v>78</v>
      </c>
    </row>
    <row r="56" spans="1:4">
      <c r="A56" t="s">
        <v>41</v>
      </c>
      <c r="B56">
        <v>2024</v>
      </c>
      <c r="C56">
        <v>0</v>
      </c>
      <c r="D56" t="s">
        <v>78</v>
      </c>
    </row>
    <row r="57" spans="1:4">
      <c r="A57" t="s">
        <v>41</v>
      </c>
      <c r="B57">
        <v>2025</v>
      </c>
      <c r="C57">
        <v>0</v>
      </c>
      <c r="D57" t="s">
        <v>78</v>
      </c>
    </row>
    <row r="58" spans="1:4">
      <c r="A58" t="s">
        <v>27</v>
      </c>
      <c r="B58">
        <v>2022</v>
      </c>
      <c r="C58">
        <v>0</v>
      </c>
      <c r="D58" t="s">
        <v>79</v>
      </c>
    </row>
    <row r="59" spans="1:4">
      <c r="A59" t="s">
        <v>27</v>
      </c>
      <c r="B59">
        <v>2023</v>
      </c>
      <c r="C59">
        <v>0</v>
      </c>
      <c r="D59" t="s">
        <v>79</v>
      </c>
    </row>
    <row r="60" spans="1:4">
      <c r="A60" t="s">
        <v>27</v>
      </c>
      <c r="B60">
        <v>2024</v>
      </c>
      <c r="C60">
        <v>0</v>
      </c>
      <c r="D60" t="s">
        <v>79</v>
      </c>
    </row>
    <row r="61" spans="1:4">
      <c r="A61" t="s">
        <v>27</v>
      </c>
      <c r="B61">
        <v>2025</v>
      </c>
      <c r="C61">
        <v>0</v>
      </c>
      <c r="D61" t="s">
        <v>79</v>
      </c>
    </row>
    <row r="62" spans="1:4">
      <c r="A62" t="s">
        <v>28</v>
      </c>
      <c r="B62">
        <v>2022</v>
      </c>
      <c r="C62">
        <v>880</v>
      </c>
      <c r="D62" t="s">
        <v>79</v>
      </c>
    </row>
    <row r="63" spans="1:4">
      <c r="A63" t="s">
        <v>28</v>
      </c>
      <c r="B63">
        <v>2023</v>
      </c>
      <c r="C63">
        <v>0</v>
      </c>
      <c r="D63" t="s">
        <v>79</v>
      </c>
    </row>
    <row r="64" spans="1:4">
      <c r="A64" t="s">
        <v>28</v>
      </c>
      <c r="B64">
        <v>2024</v>
      </c>
      <c r="C64">
        <v>0</v>
      </c>
      <c r="D64" t="s">
        <v>79</v>
      </c>
    </row>
    <row r="65" spans="1:4">
      <c r="A65" t="s">
        <v>28</v>
      </c>
      <c r="B65">
        <v>2025</v>
      </c>
      <c r="C65">
        <v>0</v>
      </c>
      <c r="D65" t="s">
        <v>79</v>
      </c>
    </row>
    <row r="66" spans="1:4">
      <c r="A66" t="s">
        <v>29</v>
      </c>
      <c r="B66">
        <v>2022</v>
      </c>
      <c r="C66">
        <v>1350</v>
      </c>
      <c r="D66" t="s">
        <v>79</v>
      </c>
    </row>
    <row r="67" spans="1:4">
      <c r="A67" t="s">
        <v>29</v>
      </c>
      <c r="B67">
        <v>2023</v>
      </c>
      <c r="C67">
        <v>0</v>
      </c>
      <c r="D67" t="s">
        <v>79</v>
      </c>
    </row>
    <row r="68" spans="1:4">
      <c r="A68" t="s">
        <v>29</v>
      </c>
      <c r="B68">
        <v>2024</v>
      </c>
      <c r="C68">
        <v>1000</v>
      </c>
      <c r="D68" t="s">
        <v>79</v>
      </c>
    </row>
    <row r="69" spans="1:4">
      <c r="A69" t="s">
        <v>29</v>
      </c>
      <c r="B69">
        <v>2025</v>
      </c>
      <c r="C69">
        <v>1000</v>
      </c>
      <c r="D69" t="s">
        <v>79</v>
      </c>
    </row>
    <row r="70" spans="1:4">
      <c r="A70" t="s">
        <v>30</v>
      </c>
      <c r="B70">
        <v>2022</v>
      </c>
      <c r="C70">
        <v>0</v>
      </c>
      <c r="D70" t="s">
        <v>79</v>
      </c>
    </row>
    <row r="71" spans="1:4">
      <c r="A71" t="s">
        <v>30</v>
      </c>
      <c r="B71">
        <v>2023</v>
      </c>
      <c r="C71">
        <v>0</v>
      </c>
      <c r="D71" t="s">
        <v>79</v>
      </c>
    </row>
    <row r="72" spans="1:4">
      <c r="A72" t="s">
        <v>30</v>
      </c>
      <c r="B72">
        <v>2024</v>
      </c>
      <c r="C72">
        <v>0</v>
      </c>
      <c r="D72" t="s">
        <v>79</v>
      </c>
    </row>
    <row r="73" spans="1:4">
      <c r="A73" t="s">
        <v>30</v>
      </c>
      <c r="B73">
        <v>2025</v>
      </c>
      <c r="C73">
        <v>0</v>
      </c>
      <c r="D73" t="s">
        <v>79</v>
      </c>
    </row>
    <row r="74" spans="1:4">
      <c r="A74" t="s">
        <v>31</v>
      </c>
      <c r="B74">
        <v>2022</v>
      </c>
      <c r="C74">
        <v>350</v>
      </c>
      <c r="D74" t="s">
        <v>79</v>
      </c>
    </row>
    <row r="75" spans="1:4">
      <c r="A75" t="s">
        <v>31</v>
      </c>
      <c r="B75">
        <v>2023</v>
      </c>
      <c r="C75">
        <v>0</v>
      </c>
      <c r="D75" t="s">
        <v>79</v>
      </c>
    </row>
    <row r="76" spans="1:4">
      <c r="A76" t="s">
        <v>31</v>
      </c>
      <c r="B76">
        <v>2024</v>
      </c>
      <c r="C76">
        <v>500</v>
      </c>
      <c r="D76" t="s">
        <v>79</v>
      </c>
    </row>
    <row r="77" spans="1:4">
      <c r="A77" t="s">
        <v>31</v>
      </c>
      <c r="B77">
        <v>2025</v>
      </c>
      <c r="C77">
        <v>0</v>
      </c>
      <c r="D77" t="s">
        <v>79</v>
      </c>
    </row>
    <row r="78" spans="1:4">
      <c r="A78" t="s">
        <v>32</v>
      </c>
      <c r="B78">
        <v>2022</v>
      </c>
      <c r="C78">
        <v>1480</v>
      </c>
      <c r="D78" t="s">
        <v>79</v>
      </c>
    </row>
    <row r="79" spans="1:4">
      <c r="A79" t="s">
        <v>32</v>
      </c>
      <c r="B79">
        <v>2023</v>
      </c>
      <c r="C79">
        <v>0</v>
      </c>
      <c r="D79" t="s">
        <v>79</v>
      </c>
    </row>
    <row r="80" spans="1:4">
      <c r="A80" t="s">
        <v>32</v>
      </c>
      <c r="B80">
        <v>2024</v>
      </c>
      <c r="C80">
        <v>0</v>
      </c>
      <c r="D80" t="s">
        <v>79</v>
      </c>
    </row>
    <row r="81" spans="1:4">
      <c r="A81" t="s">
        <v>32</v>
      </c>
      <c r="B81">
        <v>2025</v>
      </c>
      <c r="C81">
        <v>0</v>
      </c>
      <c r="D81" t="s">
        <v>79</v>
      </c>
    </row>
    <row r="82" spans="1:4">
      <c r="A82" t="s">
        <v>35</v>
      </c>
      <c r="B82">
        <v>2022</v>
      </c>
      <c r="C82">
        <v>0</v>
      </c>
      <c r="D82" t="s">
        <v>79</v>
      </c>
    </row>
    <row r="83" spans="1:4">
      <c r="A83" t="s">
        <v>35</v>
      </c>
      <c r="B83">
        <v>2023</v>
      </c>
      <c r="C83">
        <v>0</v>
      </c>
      <c r="D83" t="s">
        <v>79</v>
      </c>
    </row>
    <row r="84" spans="1:4">
      <c r="A84" t="s">
        <v>35</v>
      </c>
      <c r="B84">
        <v>2024</v>
      </c>
      <c r="C84">
        <v>0</v>
      </c>
      <c r="D84" t="s">
        <v>79</v>
      </c>
    </row>
    <row r="85" spans="1:4">
      <c r="A85" t="s">
        <v>35</v>
      </c>
      <c r="B85">
        <v>2025</v>
      </c>
      <c r="C85">
        <v>0</v>
      </c>
      <c r="D85" t="s">
        <v>79</v>
      </c>
    </row>
    <row r="86" spans="1:4">
      <c r="A86" t="s">
        <v>33</v>
      </c>
      <c r="B86">
        <v>2022</v>
      </c>
      <c r="C86">
        <v>270</v>
      </c>
      <c r="D86" t="s">
        <v>79</v>
      </c>
    </row>
    <row r="87" spans="1:4">
      <c r="A87" t="s">
        <v>33</v>
      </c>
      <c r="B87">
        <v>2023</v>
      </c>
      <c r="C87">
        <v>0</v>
      </c>
      <c r="D87" t="s">
        <v>79</v>
      </c>
    </row>
    <row r="88" spans="1:4">
      <c r="A88" t="s">
        <v>33</v>
      </c>
      <c r="B88">
        <v>2024</v>
      </c>
      <c r="C88">
        <v>0</v>
      </c>
      <c r="D88" t="s">
        <v>79</v>
      </c>
    </row>
    <row r="89" spans="1:4">
      <c r="A89" t="s">
        <v>33</v>
      </c>
      <c r="B89">
        <v>2025</v>
      </c>
      <c r="C89">
        <v>0</v>
      </c>
      <c r="D89" t="s">
        <v>79</v>
      </c>
    </row>
    <row r="90" spans="1:4">
      <c r="A90" t="s">
        <v>34</v>
      </c>
      <c r="B90">
        <v>2022</v>
      </c>
      <c r="C90">
        <v>0</v>
      </c>
      <c r="D90" t="s">
        <v>79</v>
      </c>
    </row>
    <row r="91" spans="1:4">
      <c r="A91" t="s">
        <v>34</v>
      </c>
      <c r="B91">
        <v>2023</v>
      </c>
      <c r="C91">
        <v>0</v>
      </c>
      <c r="D91" t="s">
        <v>79</v>
      </c>
    </row>
    <row r="92" spans="1:4">
      <c r="A92" t="s">
        <v>34</v>
      </c>
      <c r="B92">
        <v>2024</v>
      </c>
      <c r="C92">
        <v>0</v>
      </c>
      <c r="D92" t="s">
        <v>79</v>
      </c>
    </row>
    <row r="93" spans="1:4">
      <c r="A93" t="s">
        <v>34</v>
      </c>
      <c r="B93">
        <v>2025</v>
      </c>
      <c r="C93">
        <v>0</v>
      </c>
      <c r="D93" t="s">
        <v>79</v>
      </c>
    </row>
    <row r="94" spans="1:4">
      <c r="A94" t="s">
        <v>38</v>
      </c>
      <c r="B94">
        <v>2022</v>
      </c>
      <c r="C94">
        <v>0</v>
      </c>
      <c r="D94" t="s">
        <v>79</v>
      </c>
    </row>
    <row r="95" spans="1:4">
      <c r="A95" t="s">
        <v>38</v>
      </c>
      <c r="B95">
        <v>2023</v>
      </c>
      <c r="C95">
        <v>0</v>
      </c>
      <c r="D95" t="s">
        <v>79</v>
      </c>
    </row>
    <row r="96" spans="1:4">
      <c r="A96" t="s">
        <v>38</v>
      </c>
      <c r="B96">
        <v>2024</v>
      </c>
      <c r="C96">
        <v>0</v>
      </c>
      <c r="D96" t="s">
        <v>79</v>
      </c>
    </row>
    <row r="97" spans="1:4">
      <c r="A97" t="s">
        <v>38</v>
      </c>
      <c r="B97">
        <v>2025</v>
      </c>
      <c r="C97">
        <v>500</v>
      </c>
      <c r="D97" t="s">
        <v>79</v>
      </c>
    </row>
    <row r="98" spans="1:4">
      <c r="A98" t="s">
        <v>39</v>
      </c>
      <c r="B98">
        <v>2022</v>
      </c>
      <c r="C98">
        <v>2669</v>
      </c>
      <c r="D98" t="s">
        <v>79</v>
      </c>
    </row>
    <row r="99" spans="1:4">
      <c r="A99" t="s">
        <v>39</v>
      </c>
      <c r="B99">
        <v>2023</v>
      </c>
      <c r="C99">
        <v>0</v>
      </c>
      <c r="D99" t="s">
        <v>79</v>
      </c>
    </row>
    <row r="100" spans="1:4">
      <c r="A100" t="s">
        <v>39</v>
      </c>
      <c r="B100">
        <v>2024</v>
      </c>
      <c r="C100">
        <v>0</v>
      </c>
      <c r="D100" t="s">
        <v>79</v>
      </c>
    </row>
    <row r="101" spans="1:4">
      <c r="A101" t="s">
        <v>39</v>
      </c>
      <c r="B101">
        <v>2025</v>
      </c>
      <c r="C101">
        <v>0</v>
      </c>
      <c r="D101" t="s">
        <v>79</v>
      </c>
    </row>
    <row r="102" spans="1:4">
      <c r="A102" t="s">
        <v>36</v>
      </c>
      <c r="B102">
        <v>2022</v>
      </c>
      <c r="C102">
        <v>0</v>
      </c>
      <c r="D102" t="s">
        <v>79</v>
      </c>
    </row>
    <row r="103" spans="1:4">
      <c r="A103" t="s">
        <v>36</v>
      </c>
      <c r="B103">
        <v>2023</v>
      </c>
      <c r="C103">
        <v>0</v>
      </c>
      <c r="D103" t="s">
        <v>79</v>
      </c>
    </row>
    <row r="104" spans="1:4">
      <c r="A104" t="s">
        <v>36</v>
      </c>
      <c r="B104">
        <v>2024</v>
      </c>
      <c r="C104">
        <v>0</v>
      </c>
      <c r="D104" t="s">
        <v>79</v>
      </c>
    </row>
    <row r="105" spans="1:4">
      <c r="A105" t="s">
        <v>36</v>
      </c>
      <c r="B105">
        <v>2025</v>
      </c>
      <c r="C105">
        <v>0</v>
      </c>
      <c r="D105" t="s">
        <v>79</v>
      </c>
    </row>
    <row r="106" spans="1:4">
      <c r="A106" t="s">
        <v>37</v>
      </c>
      <c r="B106">
        <v>2022</v>
      </c>
      <c r="C106">
        <v>0</v>
      </c>
      <c r="D106" t="s">
        <v>79</v>
      </c>
    </row>
    <row r="107" spans="1:4">
      <c r="A107" t="s">
        <v>37</v>
      </c>
      <c r="B107">
        <v>2023</v>
      </c>
      <c r="C107">
        <v>0</v>
      </c>
      <c r="D107" t="s">
        <v>79</v>
      </c>
    </row>
    <row r="108" spans="1:4">
      <c r="A108" t="s">
        <v>37</v>
      </c>
      <c r="B108">
        <v>2024</v>
      </c>
      <c r="C108">
        <v>0</v>
      </c>
      <c r="D108" t="s">
        <v>79</v>
      </c>
    </row>
    <row r="109" spans="1:4">
      <c r="A109" t="s">
        <v>37</v>
      </c>
      <c r="B109">
        <v>2025</v>
      </c>
      <c r="C109">
        <v>0</v>
      </c>
      <c r="D109" t="s">
        <v>79</v>
      </c>
    </row>
    <row r="110" spans="1:4">
      <c r="A110" t="s">
        <v>41</v>
      </c>
      <c r="B110">
        <v>2022</v>
      </c>
      <c r="C110">
        <v>0</v>
      </c>
      <c r="D110" t="s">
        <v>79</v>
      </c>
    </row>
    <row r="111" spans="1:4">
      <c r="A111" t="s">
        <v>41</v>
      </c>
      <c r="B111">
        <v>2023</v>
      </c>
      <c r="C111">
        <v>0</v>
      </c>
      <c r="D111" t="s">
        <v>79</v>
      </c>
    </row>
    <row r="112" spans="1:4">
      <c r="A112" t="s">
        <v>41</v>
      </c>
      <c r="B112">
        <v>2024</v>
      </c>
      <c r="C112">
        <v>0</v>
      </c>
      <c r="D112" t="s">
        <v>79</v>
      </c>
    </row>
    <row r="113" spans="1:4">
      <c r="A113" t="s">
        <v>41</v>
      </c>
      <c r="B113">
        <v>2025</v>
      </c>
      <c r="C113">
        <v>0</v>
      </c>
      <c r="D113" t="s">
        <v>79</v>
      </c>
    </row>
    <row r="114" spans="1:4">
      <c r="A114" t="s">
        <v>27</v>
      </c>
      <c r="B114">
        <v>2022</v>
      </c>
      <c r="C114">
        <v>80</v>
      </c>
      <c r="D114" t="s">
        <v>80</v>
      </c>
    </row>
    <row r="115" spans="1:4">
      <c r="A115" t="s">
        <v>27</v>
      </c>
      <c r="B115">
        <v>2023</v>
      </c>
      <c r="C115">
        <v>0</v>
      </c>
      <c r="D115" t="s">
        <v>80</v>
      </c>
    </row>
    <row r="116" spans="1:4">
      <c r="A116" t="s">
        <v>27</v>
      </c>
      <c r="B116">
        <v>2024</v>
      </c>
      <c r="C116">
        <v>0</v>
      </c>
      <c r="D116" t="s">
        <v>80</v>
      </c>
    </row>
    <row r="117" spans="1:4">
      <c r="A117" t="s">
        <v>27</v>
      </c>
      <c r="B117">
        <v>2025</v>
      </c>
      <c r="C117">
        <v>0</v>
      </c>
      <c r="D117" t="s">
        <v>80</v>
      </c>
    </row>
    <row r="118" spans="1:4">
      <c r="A118" t="s">
        <v>28</v>
      </c>
      <c r="B118">
        <v>2022</v>
      </c>
      <c r="C118">
        <v>0</v>
      </c>
      <c r="D118" t="s">
        <v>80</v>
      </c>
    </row>
    <row r="119" spans="1:4">
      <c r="A119" t="s">
        <v>28</v>
      </c>
      <c r="B119">
        <v>2023</v>
      </c>
      <c r="C119">
        <v>0</v>
      </c>
      <c r="D119" t="s">
        <v>80</v>
      </c>
    </row>
    <row r="120" spans="1:4">
      <c r="A120" t="s">
        <v>28</v>
      </c>
      <c r="B120">
        <v>2024</v>
      </c>
      <c r="C120">
        <v>1000</v>
      </c>
      <c r="D120" t="s">
        <v>80</v>
      </c>
    </row>
    <row r="121" spans="1:4">
      <c r="A121" t="s">
        <v>28</v>
      </c>
      <c r="B121">
        <v>2025</v>
      </c>
      <c r="C121">
        <v>1000</v>
      </c>
      <c r="D121" t="s">
        <v>80</v>
      </c>
    </row>
    <row r="122" spans="1:4">
      <c r="A122" t="s">
        <v>29</v>
      </c>
      <c r="B122">
        <v>2022</v>
      </c>
      <c r="C122">
        <v>600</v>
      </c>
      <c r="D122" t="s">
        <v>80</v>
      </c>
    </row>
    <row r="123" spans="1:4">
      <c r="A123" t="s">
        <v>29</v>
      </c>
      <c r="B123">
        <v>2023</v>
      </c>
      <c r="C123">
        <v>0</v>
      </c>
      <c r="D123" t="s">
        <v>80</v>
      </c>
    </row>
    <row r="124" spans="1:4">
      <c r="A124" t="s">
        <v>29</v>
      </c>
      <c r="B124">
        <v>2024</v>
      </c>
      <c r="C124">
        <v>200</v>
      </c>
      <c r="D124" t="s">
        <v>80</v>
      </c>
    </row>
    <row r="125" spans="1:4">
      <c r="A125" t="s">
        <v>29</v>
      </c>
      <c r="B125">
        <v>2025</v>
      </c>
      <c r="C125">
        <v>200</v>
      </c>
      <c r="D125" t="s">
        <v>80</v>
      </c>
    </row>
    <row r="126" spans="1:4">
      <c r="A126" t="s">
        <v>30</v>
      </c>
      <c r="B126">
        <v>2022</v>
      </c>
      <c r="C126">
        <v>0</v>
      </c>
      <c r="D126" t="s">
        <v>80</v>
      </c>
    </row>
    <row r="127" spans="1:4">
      <c r="A127" t="s">
        <v>30</v>
      </c>
      <c r="B127">
        <v>2023</v>
      </c>
      <c r="C127">
        <v>0</v>
      </c>
      <c r="D127" t="s">
        <v>80</v>
      </c>
    </row>
    <row r="128" spans="1:4">
      <c r="A128" t="s">
        <v>30</v>
      </c>
      <c r="B128">
        <v>2024</v>
      </c>
      <c r="C128">
        <v>0</v>
      </c>
      <c r="D128" t="s">
        <v>80</v>
      </c>
    </row>
    <row r="129" spans="1:4">
      <c r="A129" t="s">
        <v>30</v>
      </c>
      <c r="B129">
        <v>2025</v>
      </c>
      <c r="C129">
        <v>0</v>
      </c>
      <c r="D129" t="s">
        <v>80</v>
      </c>
    </row>
    <row r="130" spans="1:4">
      <c r="A130" t="s">
        <v>31</v>
      </c>
      <c r="B130">
        <v>2022</v>
      </c>
      <c r="C130">
        <v>0</v>
      </c>
      <c r="D130" t="s">
        <v>80</v>
      </c>
    </row>
    <row r="131" spans="1:4">
      <c r="A131" t="s">
        <v>31</v>
      </c>
      <c r="B131">
        <v>2023</v>
      </c>
      <c r="C131">
        <v>0</v>
      </c>
      <c r="D131" t="s">
        <v>80</v>
      </c>
    </row>
    <row r="132" spans="1:4">
      <c r="A132" t="s">
        <v>31</v>
      </c>
      <c r="B132">
        <v>2024</v>
      </c>
      <c r="C132">
        <v>0</v>
      </c>
      <c r="D132" t="s">
        <v>80</v>
      </c>
    </row>
    <row r="133" spans="1:4">
      <c r="A133" t="s">
        <v>31</v>
      </c>
      <c r="B133">
        <v>2025</v>
      </c>
      <c r="C133">
        <v>0</v>
      </c>
      <c r="D133" t="s">
        <v>80</v>
      </c>
    </row>
    <row r="134" spans="1:4">
      <c r="A134" t="s">
        <v>32</v>
      </c>
      <c r="B134">
        <v>2022</v>
      </c>
      <c r="C134">
        <v>130</v>
      </c>
      <c r="D134" t="s">
        <v>80</v>
      </c>
    </row>
    <row r="135" spans="1:4">
      <c r="A135" t="s">
        <v>32</v>
      </c>
      <c r="B135">
        <v>2023</v>
      </c>
      <c r="C135">
        <v>0</v>
      </c>
      <c r="D135" t="s">
        <v>80</v>
      </c>
    </row>
    <row r="136" spans="1:4">
      <c r="A136" t="s">
        <v>32</v>
      </c>
      <c r="B136">
        <v>2024</v>
      </c>
      <c r="C136">
        <v>0</v>
      </c>
      <c r="D136" t="s">
        <v>80</v>
      </c>
    </row>
    <row r="137" spans="1:4">
      <c r="A137" t="s">
        <v>32</v>
      </c>
      <c r="B137">
        <v>2025</v>
      </c>
      <c r="C137">
        <v>0</v>
      </c>
      <c r="D137" t="s">
        <v>80</v>
      </c>
    </row>
    <row r="138" spans="1:4">
      <c r="A138" t="s">
        <v>35</v>
      </c>
      <c r="B138">
        <v>2022</v>
      </c>
      <c r="C138">
        <v>0</v>
      </c>
      <c r="D138" t="s">
        <v>80</v>
      </c>
    </row>
    <row r="139" spans="1:4">
      <c r="A139" t="s">
        <v>35</v>
      </c>
      <c r="B139">
        <v>2023</v>
      </c>
      <c r="C139">
        <v>0</v>
      </c>
      <c r="D139" t="s">
        <v>80</v>
      </c>
    </row>
    <row r="140" spans="1:4">
      <c r="A140" t="s">
        <v>35</v>
      </c>
      <c r="B140">
        <v>2024</v>
      </c>
      <c r="C140">
        <v>0</v>
      </c>
      <c r="D140" t="s">
        <v>80</v>
      </c>
    </row>
    <row r="141" spans="1:4">
      <c r="A141" t="s">
        <v>35</v>
      </c>
      <c r="B141">
        <v>2025</v>
      </c>
      <c r="C141">
        <v>0</v>
      </c>
      <c r="D141" t="s">
        <v>80</v>
      </c>
    </row>
    <row r="142" spans="1:4">
      <c r="A142" t="s">
        <v>33</v>
      </c>
      <c r="B142">
        <v>2022</v>
      </c>
      <c r="C142">
        <v>0</v>
      </c>
      <c r="D142" t="s">
        <v>80</v>
      </c>
    </row>
    <row r="143" spans="1:4">
      <c r="A143" t="s">
        <v>33</v>
      </c>
      <c r="B143">
        <v>2023</v>
      </c>
      <c r="C143">
        <v>0</v>
      </c>
      <c r="D143" t="s">
        <v>80</v>
      </c>
    </row>
    <row r="144" spans="1:4">
      <c r="A144" t="s">
        <v>33</v>
      </c>
      <c r="B144">
        <v>2024</v>
      </c>
      <c r="C144">
        <v>0</v>
      </c>
      <c r="D144" t="s">
        <v>80</v>
      </c>
    </row>
    <row r="145" spans="1:4">
      <c r="A145" t="s">
        <v>33</v>
      </c>
      <c r="B145">
        <v>2025</v>
      </c>
      <c r="C145">
        <v>0</v>
      </c>
      <c r="D145" t="s">
        <v>80</v>
      </c>
    </row>
    <row r="146" spans="1:4">
      <c r="A146" t="s">
        <v>34</v>
      </c>
      <c r="B146">
        <v>2022</v>
      </c>
      <c r="C146">
        <v>0</v>
      </c>
      <c r="D146" t="s">
        <v>80</v>
      </c>
    </row>
    <row r="147" spans="1:4">
      <c r="A147" t="s">
        <v>34</v>
      </c>
      <c r="B147">
        <v>2023</v>
      </c>
      <c r="C147">
        <v>0</v>
      </c>
      <c r="D147" t="s">
        <v>80</v>
      </c>
    </row>
    <row r="148" spans="1:4">
      <c r="A148" t="s">
        <v>34</v>
      </c>
      <c r="B148">
        <v>2024</v>
      </c>
      <c r="C148">
        <v>0</v>
      </c>
      <c r="D148" t="s">
        <v>80</v>
      </c>
    </row>
    <row r="149" spans="1:4">
      <c r="A149" t="s">
        <v>34</v>
      </c>
      <c r="B149">
        <v>2025</v>
      </c>
      <c r="C149">
        <v>0</v>
      </c>
      <c r="D149" t="s">
        <v>80</v>
      </c>
    </row>
    <row r="150" spans="1:4">
      <c r="A150" t="s">
        <v>38</v>
      </c>
      <c r="B150">
        <v>2022</v>
      </c>
      <c r="C150">
        <v>0</v>
      </c>
      <c r="D150" t="s">
        <v>80</v>
      </c>
    </row>
    <row r="151" spans="1:4">
      <c r="A151" t="s">
        <v>38</v>
      </c>
      <c r="B151">
        <v>2023</v>
      </c>
      <c r="C151">
        <v>0</v>
      </c>
      <c r="D151" t="s">
        <v>80</v>
      </c>
    </row>
    <row r="152" spans="1:4">
      <c r="A152" t="s">
        <v>38</v>
      </c>
      <c r="B152">
        <v>2024</v>
      </c>
      <c r="C152">
        <v>0</v>
      </c>
      <c r="D152" t="s">
        <v>80</v>
      </c>
    </row>
    <row r="153" spans="1:4">
      <c r="A153" t="s">
        <v>38</v>
      </c>
      <c r="B153">
        <v>2025</v>
      </c>
      <c r="C153">
        <v>0</v>
      </c>
      <c r="D153" t="s">
        <v>80</v>
      </c>
    </row>
    <row r="154" spans="1:4">
      <c r="A154" t="s">
        <v>39</v>
      </c>
      <c r="B154">
        <v>2022</v>
      </c>
      <c r="C154">
        <v>790</v>
      </c>
      <c r="D154" t="s">
        <v>80</v>
      </c>
    </row>
    <row r="155" spans="1:4">
      <c r="A155" t="s">
        <v>39</v>
      </c>
      <c r="B155">
        <v>2023</v>
      </c>
      <c r="C155">
        <v>0</v>
      </c>
      <c r="D155" t="s">
        <v>80</v>
      </c>
    </row>
    <row r="156" spans="1:4">
      <c r="A156" t="s">
        <v>39</v>
      </c>
      <c r="B156">
        <v>2024</v>
      </c>
      <c r="C156">
        <v>0</v>
      </c>
      <c r="D156" t="s">
        <v>80</v>
      </c>
    </row>
    <row r="157" spans="1:4">
      <c r="A157" t="s">
        <v>39</v>
      </c>
      <c r="B157">
        <v>2025</v>
      </c>
      <c r="C157">
        <v>0</v>
      </c>
      <c r="D157" t="s">
        <v>80</v>
      </c>
    </row>
    <row r="158" spans="1:4">
      <c r="A158" t="s">
        <v>36</v>
      </c>
      <c r="B158">
        <v>2022</v>
      </c>
      <c r="C158">
        <v>0</v>
      </c>
      <c r="D158" t="s">
        <v>80</v>
      </c>
    </row>
    <row r="159" spans="1:4">
      <c r="A159" t="s">
        <v>36</v>
      </c>
      <c r="B159">
        <v>2023</v>
      </c>
      <c r="C159">
        <v>0</v>
      </c>
      <c r="D159" t="s">
        <v>80</v>
      </c>
    </row>
    <row r="160" spans="1:4">
      <c r="A160" t="s">
        <v>36</v>
      </c>
      <c r="B160">
        <v>2024</v>
      </c>
      <c r="C160">
        <v>0</v>
      </c>
      <c r="D160" t="s">
        <v>80</v>
      </c>
    </row>
    <row r="161" spans="1:4">
      <c r="A161" t="s">
        <v>36</v>
      </c>
      <c r="B161">
        <v>2025</v>
      </c>
      <c r="C161">
        <v>0</v>
      </c>
      <c r="D161" t="s">
        <v>80</v>
      </c>
    </row>
    <row r="162" spans="1:4">
      <c r="A162" t="s">
        <v>37</v>
      </c>
      <c r="B162">
        <v>2022</v>
      </c>
      <c r="C162">
        <v>0</v>
      </c>
      <c r="D162" t="s">
        <v>80</v>
      </c>
    </row>
    <row r="163" spans="1:4">
      <c r="A163" t="s">
        <v>37</v>
      </c>
      <c r="B163">
        <v>2023</v>
      </c>
      <c r="C163">
        <v>0</v>
      </c>
      <c r="D163" t="s">
        <v>80</v>
      </c>
    </row>
    <row r="164" spans="1:4">
      <c r="A164" t="s">
        <v>37</v>
      </c>
      <c r="B164">
        <v>2024</v>
      </c>
      <c r="C164">
        <v>0</v>
      </c>
      <c r="D164" t="s">
        <v>80</v>
      </c>
    </row>
    <row r="165" spans="1:4">
      <c r="A165" t="s">
        <v>37</v>
      </c>
      <c r="B165">
        <v>2025</v>
      </c>
      <c r="C165">
        <v>0</v>
      </c>
      <c r="D165" t="s">
        <v>80</v>
      </c>
    </row>
    <row r="166" spans="1:4">
      <c r="A166" t="s">
        <v>41</v>
      </c>
      <c r="B166">
        <v>2022</v>
      </c>
      <c r="C166">
        <v>0</v>
      </c>
      <c r="D166" t="s">
        <v>80</v>
      </c>
    </row>
    <row r="167" spans="1:4">
      <c r="A167" t="s">
        <v>41</v>
      </c>
      <c r="B167">
        <v>2023</v>
      </c>
      <c r="C167">
        <v>0</v>
      </c>
      <c r="D167" t="s">
        <v>80</v>
      </c>
    </row>
    <row r="168" spans="1:4">
      <c r="A168" t="s">
        <v>41</v>
      </c>
      <c r="B168">
        <v>2024</v>
      </c>
      <c r="C168">
        <v>0</v>
      </c>
      <c r="D168" t="s">
        <v>80</v>
      </c>
    </row>
    <row r="169" spans="1:4">
      <c r="A169" t="s">
        <v>41</v>
      </c>
      <c r="B169">
        <v>2025</v>
      </c>
      <c r="C169">
        <v>0</v>
      </c>
      <c r="D169" t="s">
        <v>80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BFC56-6142-42E5-8918-FE736721A21A}">
  <sheetPr codeName="Sheet23"/>
  <dimension ref="A1:O71"/>
  <sheetViews>
    <sheetView topLeftCell="A20" zoomScale="42" workbookViewId="0">
      <selection activeCell="C61" sqref="C61"/>
    </sheetView>
  </sheetViews>
  <sheetFormatPr defaultColWidth="18" defaultRowHeight="14.5"/>
  <cols>
    <col min="1" max="1" width="22.453125" style="236" bestFit="1" customWidth="1"/>
    <col min="2" max="2" width="18.26953125" style="236" bestFit="1" customWidth="1"/>
    <col min="3" max="3" width="17.81640625" style="236" bestFit="1" customWidth="1"/>
    <col min="4" max="4" width="18.1796875" style="236" bestFit="1" customWidth="1"/>
    <col min="5" max="5" width="18.81640625" style="236" bestFit="1" customWidth="1"/>
    <col min="6" max="6" width="18" style="236"/>
    <col min="7" max="7" width="11.453125" style="236" bestFit="1" customWidth="1"/>
    <col min="8" max="9" width="5.7265625" style="236" bestFit="1" customWidth="1"/>
    <col min="10" max="10" width="14.81640625" style="236" bestFit="1" customWidth="1"/>
    <col min="11" max="11" width="18" style="236"/>
    <col min="12" max="12" width="7.26953125" style="236" bestFit="1" customWidth="1"/>
    <col min="13" max="14" width="5.7265625" style="236" bestFit="1" customWidth="1"/>
    <col min="15" max="15" width="6.453125" style="236" bestFit="1" customWidth="1"/>
    <col min="16" max="16384" width="18" style="236"/>
  </cols>
  <sheetData>
    <row r="1" spans="1:15" ht="26">
      <c r="A1" s="303" t="s">
        <v>54</v>
      </c>
      <c r="B1" s="341" t="s">
        <v>81</v>
      </c>
      <c r="C1" s="341"/>
      <c r="D1" s="341"/>
      <c r="E1" s="341"/>
      <c r="G1" s="342" t="s">
        <v>44</v>
      </c>
      <c r="H1" s="343"/>
      <c r="I1" s="343"/>
      <c r="J1" s="344"/>
      <c r="L1" s="342" t="s">
        <v>82</v>
      </c>
      <c r="M1" s="343"/>
      <c r="N1" s="343"/>
      <c r="O1" s="344"/>
    </row>
    <row r="2" spans="1:15" ht="15" thickBot="1">
      <c r="A2" s="92" t="s">
        <v>74</v>
      </c>
      <c r="B2" s="230" t="s">
        <v>46</v>
      </c>
      <c r="C2" s="230" t="s">
        <v>47</v>
      </c>
      <c r="D2" s="231" t="s">
        <v>48</v>
      </c>
      <c r="E2" s="231" t="s">
        <v>49</v>
      </c>
      <c r="G2" s="246">
        <v>2022</v>
      </c>
      <c r="H2" s="246">
        <v>2023</v>
      </c>
      <c r="I2" s="246">
        <v>2024</v>
      </c>
      <c r="J2" s="246">
        <v>2025</v>
      </c>
      <c r="L2" s="246">
        <v>2022</v>
      </c>
      <c r="M2" s="246">
        <v>2023</v>
      </c>
      <c r="N2" s="246">
        <v>2024</v>
      </c>
      <c r="O2" s="246">
        <v>2025</v>
      </c>
    </row>
    <row r="3" spans="1:15">
      <c r="A3" s="302" t="s">
        <v>50</v>
      </c>
      <c r="B3" s="281">
        <f>B4+B5+B6+B7+B8+B9+B11+B13+B14</f>
        <v>31315.751499999998</v>
      </c>
      <c r="C3" s="281" t="s">
        <v>53</v>
      </c>
      <c r="D3" s="282">
        <v>43170</v>
      </c>
      <c r="E3" s="282">
        <v>42670</v>
      </c>
      <c r="G3" s="305" t="s">
        <v>51</v>
      </c>
      <c r="H3" s="305" t="str">
        <f>IF(OR(Road[[#This Row],[2023]]="n.a", Road[[#This Row],[2022]]="n.a"),"-", Road[[#This Row],[2023]]-Road[[#This Row],[2022]])</f>
        <v>-</v>
      </c>
      <c r="I3" s="305" t="str">
        <f>IF(OR(Road[[#This Row],[2024]]="n.a", Road[[#This Row],[2023]]="n.a"),"-", Road[[#This Row],[2024]]-Road[[#This Row],[2023]])</f>
        <v>-</v>
      </c>
      <c r="J3" s="305">
        <f>IF(OR(Road[[#This Row],[2025]]="n.a", Road[[#This Row],[2024]]="n.a"),"-", Road[[#This Row],[2025]]-Road[[#This Row],[2024]])</f>
        <v>-500</v>
      </c>
      <c r="L3" s="250" t="s">
        <v>51</v>
      </c>
      <c r="M3" s="250" t="str">
        <f>IF(OR(Road[[#This Row],[2022]]="n.a", Road[[#This Row],[2022]]=0, Road[[#This Row],[2023]]="n.a"), "-", H3/Road[[#This Row],[2022]])</f>
        <v>-</v>
      </c>
      <c r="N3" s="250" t="str">
        <f>IF(OR(Road[[#This Row],[2023]]="n.a", Road[[#This Row],[2023]]=0, Road[[#This Row],[2024]]="n.a"), "-", I3/Road[[#This Row],[2023]])</f>
        <v>-</v>
      </c>
      <c r="O3" s="250">
        <f>IF(OR(Road[[#This Row],[2024]]="n.a", Road[[#This Row],[2024]]=0, Road[[#This Row],[2025]]="n.a"), "-", J3/Road[[#This Row],[2024]])</f>
        <v>-1.1582117211026175E-2</v>
      </c>
    </row>
    <row r="4" spans="1:15">
      <c r="A4" s="278" t="s">
        <v>27</v>
      </c>
      <c r="B4" s="283">
        <v>0</v>
      </c>
      <c r="C4" s="284" t="s">
        <v>53</v>
      </c>
      <c r="D4" s="252">
        <v>12510</v>
      </c>
      <c r="E4" s="252">
        <v>12510</v>
      </c>
      <c r="G4" s="305" t="s">
        <v>51</v>
      </c>
      <c r="H4" s="305" t="str">
        <f>IF(OR(Road[[#This Row],[2023]]="n.a", Road[[#This Row],[2022]]="n.a"),"-", Road[[#This Row],[2023]]-Road[[#This Row],[2022]])</f>
        <v>-</v>
      </c>
      <c r="I4" s="305" t="str">
        <f>IF(OR(Road[[#This Row],[2024]]="n.a", Road[[#This Row],[2023]]="n.a"),"-", Road[[#This Row],[2024]]-Road[[#This Row],[2023]])</f>
        <v>-</v>
      </c>
      <c r="J4" s="305">
        <f>IF(OR(Road[[#This Row],[2025]]="n.a", Road[[#This Row],[2024]]="n.a"),"-", Road[[#This Row],[2025]]-Road[[#This Row],[2024]])</f>
        <v>0</v>
      </c>
      <c r="L4" s="250" t="s">
        <v>51</v>
      </c>
      <c r="M4" s="250" t="str">
        <f>IF(OR(Road[[#This Row],[2022]]="n.a", Road[[#This Row],[2022]]=0, Road[[#This Row],[2023]]="n.a"), "-", H4/Road[[#This Row],[2022]])</f>
        <v>-</v>
      </c>
      <c r="N4" s="250" t="str">
        <f>IF(OR(Road[[#This Row],[2023]]="n.a", Road[[#This Row],[2023]]=0, Road[[#This Row],[2024]]="n.a"), "-", I4/Road[[#This Row],[2023]])</f>
        <v>-</v>
      </c>
      <c r="O4" s="250">
        <f>IF(OR(Road[[#This Row],[2024]]="n.a", Road[[#This Row],[2024]]=0, Road[[#This Row],[2025]]="n.a"), "-", J4/Road[[#This Row],[2024]])</f>
        <v>0</v>
      </c>
    </row>
    <row r="5" spans="1:15">
      <c r="A5" s="278" t="s">
        <v>28</v>
      </c>
      <c r="B5" s="283">
        <v>0</v>
      </c>
      <c r="C5" s="284" t="s">
        <v>53</v>
      </c>
      <c r="D5" s="252">
        <v>100</v>
      </c>
      <c r="E5" s="252">
        <v>100</v>
      </c>
      <c r="G5" s="305" t="s">
        <v>51</v>
      </c>
      <c r="H5" s="305" t="str">
        <f>IF(OR(Road[[#This Row],[2023]]="n.a", Road[[#This Row],[2022]]="n.a"),"-", Road[[#This Row],[2023]]-Road[[#This Row],[2022]])</f>
        <v>-</v>
      </c>
      <c r="I5" s="305" t="str">
        <f>IF(OR(Road[[#This Row],[2024]]="n.a", Road[[#This Row],[2023]]="n.a"),"-", Road[[#This Row],[2024]]-Road[[#This Row],[2023]])</f>
        <v>-</v>
      </c>
      <c r="J5" s="305">
        <f>IF(OR(Road[[#This Row],[2025]]="n.a", Road[[#This Row],[2024]]="n.a"),"-", Road[[#This Row],[2025]]-Road[[#This Row],[2024]])</f>
        <v>0</v>
      </c>
      <c r="L5" s="250" t="s">
        <v>51</v>
      </c>
      <c r="M5" s="250" t="str">
        <f>IF(OR(Road[[#This Row],[2022]]="n.a", Road[[#This Row],[2022]]=0, Road[[#This Row],[2023]]="n.a"), "-", H5/Road[[#This Row],[2022]])</f>
        <v>-</v>
      </c>
      <c r="N5" s="250" t="str">
        <f>IF(OR(Road[[#This Row],[2023]]="n.a", Road[[#This Row],[2023]]=0, Road[[#This Row],[2024]]="n.a"), "-", I5/Road[[#This Row],[2023]])</f>
        <v>-</v>
      </c>
      <c r="O5" s="250">
        <f>IF(OR(Road[[#This Row],[2024]]="n.a", Road[[#This Row],[2024]]=0, Road[[#This Row],[2025]]="n.a"), "-", J5/Road[[#This Row],[2024]])</f>
        <v>0</v>
      </c>
    </row>
    <row r="6" spans="1:15">
      <c r="A6" s="278" t="s">
        <v>29</v>
      </c>
      <c r="B6" s="283">
        <v>18700</v>
      </c>
      <c r="C6" s="284" t="s">
        <v>53</v>
      </c>
      <c r="D6" s="252">
        <v>12680</v>
      </c>
      <c r="E6" s="252">
        <v>12680</v>
      </c>
      <c r="G6" s="305" t="s">
        <v>51</v>
      </c>
      <c r="H6" s="305" t="str">
        <f>IF(OR(Road[[#This Row],[2023]]="n.a", Road[[#This Row],[2022]]="n.a"),"-", Road[[#This Row],[2023]]-Road[[#This Row],[2022]])</f>
        <v>-</v>
      </c>
      <c r="I6" s="305" t="str">
        <f>IF(OR(Road[[#This Row],[2024]]="n.a", Road[[#This Row],[2023]]="n.a"),"-", Road[[#This Row],[2024]]-Road[[#This Row],[2023]])</f>
        <v>-</v>
      </c>
      <c r="J6" s="305">
        <f>IF(OR(Road[[#This Row],[2025]]="n.a", Road[[#This Row],[2024]]="n.a"),"-", Road[[#This Row],[2025]]-Road[[#This Row],[2024]])</f>
        <v>0</v>
      </c>
      <c r="L6" s="250" t="s">
        <v>51</v>
      </c>
      <c r="M6" s="250" t="str">
        <f>IF(OR(Road[[#This Row],[2022]]="n.a", Road[[#This Row],[2022]]=0, Road[[#This Row],[2023]]="n.a"), "-", H6/Road[[#This Row],[2022]])</f>
        <v>-</v>
      </c>
      <c r="N6" s="250" t="str">
        <f>IF(OR(Road[[#This Row],[2023]]="n.a", Road[[#This Row],[2023]]=0, Road[[#This Row],[2024]]="n.a"), "-", I6/Road[[#This Row],[2023]])</f>
        <v>-</v>
      </c>
      <c r="O6" s="250">
        <f>IF(OR(Road[[#This Row],[2024]]="n.a", Road[[#This Row],[2024]]=0, Road[[#This Row],[2025]]="n.a"), "-", J6/Road[[#This Row],[2024]])</f>
        <v>0</v>
      </c>
    </row>
    <row r="7" spans="1:15">
      <c r="A7" s="278" t="s">
        <v>30</v>
      </c>
      <c r="B7" s="283">
        <v>0</v>
      </c>
      <c r="C7" s="284" t="s">
        <v>53</v>
      </c>
      <c r="D7" s="252">
        <v>0</v>
      </c>
      <c r="E7" s="252">
        <v>0</v>
      </c>
      <c r="G7" s="305" t="s">
        <v>51</v>
      </c>
      <c r="H7" s="305" t="str">
        <f>IF(OR(Road[[#This Row],[2023]]="n.a", Road[[#This Row],[2022]]="n.a"),"-", Road[[#This Row],[2023]]-Road[[#This Row],[2022]])</f>
        <v>-</v>
      </c>
      <c r="I7" s="305" t="str">
        <f>IF(OR(Road[[#This Row],[2024]]="n.a", Road[[#This Row],[2023]]="n.a"),"-", Road[[#This Row],[2024]]-Road[[#This Row],[2023]])</f>
        <v>-</v>
      </c>
      <c r="J7" s="305">
        <f>IF(OR(Road[[#This Row],[2025]]="n.a", Road[[#This Row],[2024]]="n.a"),"-", Road[[#This Row],[2025]]-Road[[#This Row],[2024]])</f>
        <v>0</v>
      </c>
      <c r="L7" s="250" t="s">
        <v>51</v>
      </c>
      <c r="M7" s="250" t="str">
        <f>IF(OR(Road[[#This Row],[2022]]="n.a", Road[[#This Row],[2022]]=0, Road[[#This Row],[2023]]="n.a"), "-", H7/Road[[#This Row],[2022]])</f>
        <v>-</v>
      </c>
      <c r="N7" s="250" t="str">
        <f>IF(OR(Road[[#This Row],[2023]]="n.a", Road[[#This Row],[2023]]=0, Road[[#This Row],[2024]]="n.a"), "-", I7/Road[[#This Row],[2023]])</f>
        <v>-</v>
      </c>
      <c r="O7" s="250" t="str">
        <f>IF(OR(Road[[#This Row],[2024]]="n.a", Road[[#This Row],[2024]]=0, Road[[#This Row],[2025]]="n.a"), "-", J7/Road[[#This Row],[2024]])</f>
        <v>-</v>
      </c>
    </row>
    <row r="8" spans="1:15">
      <c r="A8" s="278" t="s">
        <v>31</v>
      </c>
      <c r="B8" s="283">
        <v>0</v>
      </c>
      <c r="C8" s="284" t="s">
        <v>53</v>
      </c>
      <c r="D8" s="252">
        <v>1350</v>
      </c>
      <c r="E8" s="252">
        <v>850</v>
      </c>
      <c r="G8" s="305" t="s">
        <v>51</v>
      </c>
      <c r="H8" s="305" t="str">
        <f>IF(OR(Road[[#This Row],[2023]]="n.a", Road[[#This Row],[2022]]="n.a"),"-", Road[[#This Row],[2023]]-Road[[#This Row],[2022]])</f>
        <v>-</v>
      </c>
      <c r="I8" s="305" t="str">
        <f>IF(OR(Road[[#This Row],[2024]]="n.a", Road[[#This Row],[2023]]="n.a"),"-", Road[[#This Row],[2024]]-Road[[#This Row],[2023]])</f>
        <v>-</v>
      </c>
      <c r="J8" s="305">
        <f>IF(OR(Road[[#This Row],[2025]]="n.a", Road[[#This Row],[2024]]="n.a"),"-", Road[[#This Row],[2025]]-Road[[#This Row],[2024]])</f>
        <v>-500</v>
      </c>
      <c r="L8" s="250" t="s">
        <v>51</v>
      </c>
      <c r="M8" s="250" t="str">
        <f>IF(OR(Road[[#This Row],[2022]]="n.a", Road[[#This Row],[2022]]=0, Road[[#This Row],[2023]]="n.a"), "-", H8/Road[[#This Row],[2022]])</f>
        <v>-</v>
      </c>
      <c r="N8" s="250" t="str">
        <f>IF(OR(Road[[#This Row],[2023]]="n.a", Road[[#This Row],[2023]]=0, Road[[#This Row],[2024]]="n.a"), "-", I8/Road[[#This Row],[2023]])</f>
        <v>-</v>
      </c>
      <c r="O8" s="250">
        <f>IF(OR(Road[[#This Row],[2024]]="n.a", Road[[#This Row],[2024]]=0, Road[[#This Row],[2025]]="n.a"), "-", J8/Road[[#This Row],[2024]])</f>
        <v>-0.37037037037037035</v>
      </c>
    </row>
    <row r="9" spans="1:15">
      <c r="A9" s="278" t="s">
        <v>32</v>
      </c>
      <c r="B9" s="283">
        <v>0</v>
      </c>
      <c r="C9" s="284" t="s">
        <v>53</v>
      </c>
      <c r="D9" s="252">
        <v>0</v>
      </c>
      <c r="E9" s="252">
        <v>0</v>
      </c>
      <c r="G9" s="305" t="s">
        <v>51</v>
      </c>
      <c r="H9" s="305" t="str">
        <f>IF(OR(Road[[#This Row],[2023]]="n.a", Road[[#This Row],[2022]]="n.a"),"-", Road[[#This Row],[2023]]-Road[[#This Row],[2022]])</f>
        <v>-</v>
      </c>
      <c r="I9" s="305" t="str">
        <f>IF(OR(Road[[#This Row],[2024]]="n.a", Road[[#This Row],[2023]]="n.a"),"-", Road[[#This Row],[2024]]-Road[[#This Row],[2023]])</f>
        <v>-</v>
      </c>
      <c r="J9" s="305">
        <f>IF(OR(Road[[#This Row],[2025]]="n.a", Road[[#This Row],[2024]]="n.a"),"-", Road[[#This Row],[2025]]-Road[[#This Row],[2024]])</f>
        <v>0</v>
      </c>
      <c r="L9" s="250" t="s">
        <v>51</v>
      </c>
      <c r="M9" s="250" t="str">
        <f>IF(OR(Road[[#This Row],[2022]]="n.a", Road[[#This Row],[2022]]=0, Road[[#This Row],[2023]]="n.a"), "-", H9/Road[[#This Row],[2022]])</f>
        <v>-</v>
      </c>
      <c r="N9" s="250" t="str">
        <f>IF(OR(Road[[#This Row],[2023]]="n.a", Road[[#This Row],[2023]]=0, Road[[#This Row],[2024]]="n.a"), "-", I9/Road[[#This Row],[2023]])</f>
        <v>-</v>
      </c>
      <c r="O9" s="250" t="str">
        <f>IF(OR(Road[[#This Row],[2024]]="n.a", Road[[#This Row],[2024]]=0, Road[[#This Row],[2025]]="n.a"), "-", J9/Road[[#This Row],[2024]])</f>
        <v>-</v>
      </c>
    </row>
    <row r="10" spans="1:15">
      <c r="A10" s="278" t="s">
        <v>35</v>
      </c>
      <c r="B10" s="283">
        <v>0</v>
      </c>
      <c r="C10" s="284" t="s">
        <v>53</v>
      </c>
      <c r="D10" s="252">
        <v>0</v>
      </c>
      <c r="E10" s="252">
        <v>0</v>
      </c>
      <c r="G10" s="305" t="s">
        <v>51</v>
      </c>
      <c r="H10" s="305" t="str">
        <f>IF(OR(Road[[#This Row],[2023]]="n.a", Road[[#This Row],[2022]]="n.a"),"-", Road[[#This Row],[2023]]-Road[[#This Row],[2022]])</f>
        <v>-</v>
      </c>
      <c r="I10" s="305" t="str">
        <f>IF(OR(Road[[#This Row],[2024]]="n.a", Road[[#This Row],[2023]]="n.a"),"-", Road[[#This Row],[2024]]-Road[[#This Row],[2023]])</f>
        <v>-</v>
      </c>
      <c r="J10" s="305">
        <f>IF(OR(Road[[#This Row],[2025]]="n.a", Road[[#This Row],[2024]]="n.a"),"-", Road[[#This Row],[2025]]-Road[[#This Row],[2024]])</f>
        <v>0</v>
      </c>
      <c r="L10" s="250" t="s">
        <v>51</v>
      </c>
      <c r="M10" s="250" t="str">
        <f>IF(OR(Road[[#This Row],[2022]]="n.a", Road[[#This Row],[2022]]=0, Road[[#This Row],[2023]]="n.a"), "-", H10/Road[[#This Row],[2022]])</f>
        <v>-</v>
      </c>
      <c r="N10" s="250" t="str">
        <f>IF(OR(Road[[#This Row],[2023]]="n.a", Road[[#This Row],[2023]]=0, Road[[#This Row],[2024]]="n.a"), "-", I10/Road[[#This Row],[2023]])</f>
        <v>-</v>
      </c>
      <c r="O10" s="250" t="str">
        <f>IF(OR(Road[[#This Row],[2024]]="n.a", Road[[#This Row],[2024]]=0, Road[[#This Row],[2025]]="n.a"), "-", J10/Road[[#This Row],[2024]])</f>
        <v>-</v>
      </c>
    </row>
    <row r="11" spans="1:15">
      <c r="A11" s="278" t="s">
        <v>33</v>
      </c>
      <c r="B11" s="283">
        <v>2789.7514999999999</v>
      </c>
      <c r="C11" s="284" t="s">
        <v>53</v>
      </c>
      <c r="D11" s="252">
        <v>400</v>
      </c>
      <c r="E11" s="252">
        <v>400</v>
      </c>
      <c r="G11" s="305" t="s">
        <v>51</v>
      </c>
      <c r="H11" s="305" t="str">
        <f>IF(OR(Road[[#This Row],[2023]]="n.a", Road[[#This Row],[2022]]="n.a"),"-", Road[[#This Row],[2023]]-Road[[#This Row],[2022]])</f>
        <v>-</v>
      </c>
      <c r="I11" s="305" t="str">
        <f>IF(OR(Road[[#This Row],[2024]]="n.a", Road[[#This Row],[2023]]="n.a"),"-", Road[[#This Row],[2024]]-Road[[#This Row],[2023]])</f>
        <v>-</v>
      </c>
      <c r="J11" s="305">
        <f>IF(OR(Road[[#This Row],[2025]]="n.a", Road[[#This Row],[2024]]="n.a"),"-", Road[[#This Row],[2025]]-Road[[#This Row],[2024]])</f>
        <v>0</v>
      </c>
      <c r="L11" s="250" t="s">
        <v>51</v>
      </c>
      <c r="M11" s="250" t="str">
        <f>IF(OR(Road[[#This Row],[2022]]="n.a", Road[[#This Row],[2022]]=0, Road[[#This Row],[2023]]="n.a"), "-", H11/Road[[#This Row],[2022]])</f>
        <v>-</v>
      </c>
      <c r="N11" s="250" t="str">
        <f>IF(OR(Road[[#This Row],[2023]]="n.a", Road[[#This Row],[2023]]=0, Road[[#This Row],[2024]]="n.a"), "-", I11/Road[[#This Row],[2023]])</f>
        <v>-</v>
      </c>
      <c r="O11" s="250">
        <f>IF(OR(Road[[#This Row],[2024]]="n.a", Road[[#This Row],[2024]]=0, Road[[#This Row],[2025]]="n.a"), "-", J11/Road[[#This Row],[2024]])</f>
        <v>0</v>
      </c>
    </row>
    <row r="12" spans="1:15">
      <c r="A12" s="278" t="s">
        <v>34</v>
      </c>
      <c r="B12" s="283">
        <v>0</v>
      </c>
      <c r="C12" s="284" t="s">
        <v>53</v>
      </c>
      <c r="D12" s="252">
        <v>0</v>
      </c>
      <c r="E12" s="252">
        <v>0</v>
      </c>
      <c r="G12" s="305" t="s">
        <v>51</v>
      </c>
      <c r="H12" s="305" t="str">
        <f>IF(OR(Road[[#This Row],[2023]]="n.a", Road[[#This Row],[2022]]="n.a"),"-", Road[[#This Row],[2023]]-Road[[#This Row],[2022]])</f>
        <v>-</v>
      </c>
      <c r="I12" s="305" t="str">
        <f>IF(OR(Road[[#This Row],[2024]]="n.a", Road[[#This Row],[2023]]="n.a"),"-", Road[[#This Row],[2024]]-Road[[#This Row],[2023]])</f>
        <v>-</v>
      </c>
      <c r="J12" s="305">
        <f>IF(OR(Road[[#This Row],[2025]]="n.a", Road[[#This Row],[2024]]="n.a"),"-", Road[[#This Row],[2025]]-Road[[#This Row],[2024]])</f>
        <v>0</v>
      </c>
      <c r="L12" s="250" t="s">
        <v>51</v>
      </c>
      <c r="M12" s="250" t="str">
        <f>IF(OR(Road[[#This Row],[2022]]="n.a", Road[[#This Row],[2022]]=0, Road[[#This Row],[2023]]="n.a"), "-", H12/Road[[#This Row],[2022]])</f>
        <v>-</v>
      </c>
      <c r="N12" s="250" t="str">
        <f>IF(OR(Road[[#This Row],[2023]]="n.a", Road[[#This Row],[2023]]=0, Road[[#This Row],[2024]]="n.a"), "-", I12/Road[[#This Row],[2023]])</f>
        <v>-</v>
      </c>
      <c r="O12" s="250" t="str">
        <f>IF(OR(Road[[#This Row],[2024]]="n.a", Road[[#This Row],[2024]]=0, Road[[#This Row],[2025]]="n.a"), "-", J12/Road[[#This Row],[2024]])</f>
        <v>-</v>
      </c>
    </row>
    <row r="13" spans="1:15">
      <c r="A13" s="278" t="s">
        <v>38</v>
      </c>
      <c r="B13" s="283">
        <v>0</v>
      </c>
      <c r="C13" s="284" t="s">
        <v>53</v>
      </c>
      <c r="D13" s="252">
        <v>0</v>
      </c>
      <c r="E13" s="252">
        <v>0</v>
      </c>
      <c r="G13" s="305" t="s">
        <v>51</v>
      </c>
      <c r="H13" s="305" t="str">
        <f>IF(OR(Road[[#This Row],[2023]]="n.a", Road[[#This Row],[2022]]="n.a"),"-", Road[[#This Row],[2023]]-Road[[#This Row],[2022]])</f>
        <v>-</v>
      </c>
      <c r="I13" s="305" t="str">
        <f>IF(OR(Road[[#This Row],[2024]]="n.a", Road[[#This Row],[2023]]="n.a"),"-", Road[[#This Row],[2024]]-Road[[#This Row],[2023]])</f>
        <v>-</v>
      </c>
      <c r="J13" s="305">
        <f>IF(OR(Road[[#This Row],[2025]]="n.a", Road[[#This Row],[2024]]="n.a"),"-", Road[[#This Row],[2025]]-Road[[#This Row],[2024]])</f>
        <v>0</v>
      </c>
      <c r="L13" s="250" t="s">
        <v>51</v>
      </c>
      <c r="M13" s="250" t="str">
        <f>IF(OR(Road[[#This Row],[2022]]="n.a", Road[[#This Row],[2022]]=0, Road[[#This Row],[2023]]="n.a"), "-", H13/Road[[#This Row],[2022]])</f>
        <v>-</v>
      </c>
      <c r="N13" s="250" t="str">
        <f>IF(OR(Road[[#This Row],[2023]]="n.a", Road[[#This Row],[2023]]=0, Road[[#This Row],[2024]]="n.a"), "-", I13/Road[[#This Row],[2023]])</f>
        <v>-</v>
      </c>
      <c r="O13" s="250" t="str">
        <f>IF(OR(Road[[#This Row],[2024]]="n.a", Road[[#This Row],[2024]]=0, Road[[#This Row],[2025]]="n.a"), "-", J13/Road[[#This Row],[2024]])</f>
        <v>-</v>
      </c>
    </row>
    <row r="14" spans="1:15">
      <c r="A14" s="278" t="s">
        <v>39</v>
      </c>
      <c r="B14" s="283">
        <v>9826</v>
      </c>
      <c r="C14" s="284" t="s">
        <v>53</v>
      </c>
      <c r="D14" s="252">
        <v>16130</v>
      </c>
      <c r="E14" s="252">
        <v>16130</v>
      </c>
      <c r="G14" s="305" t="s">
        <v>51</v>
      </c>
      <c r="H14" s="305" t="str">
        <f>IF(OR(Road[[#This Row],[2023]]="n.a", Road[[#This Row],[2022]]="n.a"),"-", Road[[#This Row],[2023]]-Road[[#This Row],[2022]])</f>
        <v>-</v>
      </c>
      <c r="I14" s="305" t="str">
        <f>IF(OR(Road[[#This Row],[2024]]="n.a", Road[[#This Row],[2023]]="n.a"),"-", Road[[#This Row],[2024]]-Road[[#This Row],[2023]])</f>
        <v>-</v>
      </c>
      <c r="J14" s="305">
        <f>IF(OR(Road[[#This Row],[2025]]="n.a", Road[[#This Row],[2024]]="n.a"),"-", Road[[#This Row],[2025]]-Road[[#This Row],[2024]])</f>
        <v>0</v>
      </c>
      <c r="L14" s="250" t="s">
        <v>51</v>
      </c>
      <c r="M14" s="250" t="str">
        <f>IF(OR(Road[[#This Row],[2022]]="n.a", Road[[#This Row],[2022]]=0, Road[[#This Row],[2023]]="n.a"), "-", H14/Road[[#This Row],[2022]])</f>
        <v>-</v>
      </c>
      <c r="N14" s="250" t="str">
        <f>IF(OR(Road[[#This Row],[2023]]="n.a", Road[[#This Row],[2023]]=0, Road[[#This Row],[2024]]="n.a"), "-", I14/Road[[#This Row],[2023]])</f>
        <v>-</v>
      </c>
      <c r="O14" s="250">
        <f>IF(OR(Road[[#This Row],[2024]]="n.a", Road[[#This Row],[2024]]=0, Road[[#This Row],[2025]]="n.a"), "-", J14/Road[[#This Row],[2024]])</f>
        <v>0</v>
      </c>
    </row>
    <row r="15" spans="1:15">
      <c r="A15" s="278" t="s">
        <v>36</v>
      </c>
      <c r="B15" s="283">
        <v>0</v>
      </c>
      <c r="C15" s="284" t="s">
        <v>53</v>
      </c>
      <c r="D15" s="252">
        <v>0</v>
      </c>
      <c r="E15" s="252">
        <v>0</v>
      </c>
      <c r="G15" s="305" t="s">
        <v>51</v>
      </c>
      <c r="H15" s="305" t="str">
        <f>IF(OR(Road[[#This Row],[2023]]="n.a", Road[[#This Row],[2022]]="n.a"),"-", Road[[#This Row],[2023]]-Road[[#This Row],[2022]])</f>
        <v>-</v>
      </c>
      <c r="I15" s="305" t="str">
        <f>IF(OR(Road[[#This Row],[2024]]="n.a", Road[[#This Row],[2023]]="n.a"),"-", Road[[#This Row],[2024]]-Road[[#This Row],[2023]])</f>
        <v>-</v>
      </c>
      <c r="J15" s="305">
        <f>IF(OR(Road[[#This Row],[2025]]="n.a", Road[[#This Row],[2024]]="n.a"),"-", Road[[#This Row],[2025]]-Road[[#This Row],[2024]])</f>
        <v>0</v>
      </c>
      <c r="L15" s="250" t="s">
        <v>51</v>
      </c>
      <c r="M15" s="250" t="str">
        <f>IF(OR(Road[[#This Row],[2022]]="n.a", Road[[#This Row],[2022]]=0, Road[[#This Row],[2023]]="n.a"), "-", H15/Road[[#This Row],[2022]])</f>
        <v>-</v>
      </c>
      <c r="N15" s="250" t="str">
        <f>IF(OR(Road[[#This Row],[2023]]="n.a", Road[[#This Row],[2023]]=0, Road[[#This Row],[2024]]="n.a"), "-", I15/Road[[#This Row],[2023]])</f>
        <v>-</v>
      </c>
      <c r="O15" s="250" t="str">
        <f>IF(OR(Road[[#This Row],[2024]]="n.a", Road[[#This Row],[2024]]=0, Road[[#This Row],[2025]]="n.a"), "-", J15/Road[[#This Row],[2024]])</f>
        <v>-</v>
      </c>
    </row>
    <row r="16" spans="1:15">
      <c r="A16" s="278" t="s">
        <v>37</v>
      </c>
      <c r="B16" s="283">
        <v>0</v>
      </c>
      <c r="C16" s="284" t="s">
        <v>53</v>
      </c>
      <c r="D16" s="252">
        <v>0</v>
      </c>
      <c r="E16" s="252">
        <v>0</v>
      </c>
      <c r="G16" s="305" t="s">
        <v>51</v>
      </c>
      <c r="H16" s="305" t="str">
        <f>IF(OR(Road[[#This Row],[2023]]="n.a", Road[[#This Row],[2022]]="n.a"),"-", Road[[#This Row],[2023]]-Road[[#This Row],[2022]])</f>
        <v>-</v>
      </c>
      <c r="I16" s="305" t="str">
        <f>IF(OR(Road[[#This Row],[2024]]="n.a", Road[[#This Row],[2023]]="n.a"),"-", Road[[#This Row],[2024]]-Road[[#This Row],[2023]])</f>
        <v>-</v>
      </c>
      <c r="J16" s="305">
        <f>IF(OR(Road[[#This Row],[2025]]="n.a", Road[[#This Row],[2024]]="n.a"),"-", Road[[#This Row],[2025]]-Road[[#This Row],[2024]])</f>
        <v>0</v>
      </c>
      <c r="L16" s="250" t="s">
        <v>51</v>
      </c>
      <c r="M16" s="250" t="str">
        <f>IF(OR(Road[[#This Row],[2022]]="n.a", Road[[#This Row],[2022]]=0, Road[[#This Row],[2023]]="n.a"), "-", H16/Road[[#This Row],[2022]])</f>
        <v>-</v>
      </c>
      <c r="N16" s="250" t="str">
        <f>IF(OR(Road[[#This Row],[2023]]="n.a", Road[[#This Row],[2023]]=0, Road[[#This Row],[2024]]="n.a"), "-", I16/Road[[#This Row],[2023]])</f>
        <v>-</v>
      </c>
      <c r="O16" s="250" t="str">
        <f>IF(OR(Road[[#This Row],[2024]]="n.a", Road[[#This Row],[2024]]=0, Road[[#This Row],[2025]]="n.a"), "-", J16/Road[[#This Row],[2024]])</f>
        <v>-</v>
      </c>
    </row>
    <row r="17" spans="1:15">
      <c r="A17" s="278" t="s">
        <v>41</v>
      </c>
      <c r="B17" s="283">
        <v>0</v>
      </c>
      <c r="C17" s="284" t="s">
        <v>53</v>
      </c>
      <c r="D17" s="252">
        <v>0</v>
      </c>
      <c r="E17" s="252">
        <v>0</v>
      </c>
      <c r="G17" s="305" t="s">
        <v>51</v>
      </c>
      <c r="H17" s="305" t="str">
        <f>IF(OR(Road[[#This Row],[2023]]="n.a", Road[[#This Row],[2022]]="n.a"),"-", Road[[#This Row],[2023]]-Road[[#This Row],[2022]])</f>
        <v>-</v>
      </c>
      <c r="I17" s="305" t="str">
        <f>IF(OR(Road[[#This Row],[2024]]="n.a", Road[[#This Row],[2023]]="n.a"),"-", Road[[#This Row],[2024]]-Road[[#This Row],[2023]])</f>
        <v>-</v>
      </c>
      <c r="J17" s="305">
        <f>IF(OR(Road[[#This Row],[2025]]="n.a", Road[[#This Row],[2024]]="n.a"),"-", Road[[#This Row],[2025]]-Road[[#This Row],[2024]])</f>
        <v>0</v>
      </c>
      <c r="L17" s="250" t="s">
        <v>51</v>
      </c>
      <c r="M17" s="250" t="str">
        <f>IF(OR(Road[[#This Row],[2022]]="n.a", Road[[#This Row],[2022]]=0, Road[[#This Row],[2023]]="n.a"), "-", H17/Road[[#This Row],[2022]])</f>
        <v>-</v>
      </c>
      <c r="N17" s="250" t="str">
        <f>IF(OR(Road[[#This Row],[2023]]="n.a", Road[[#This Row],[2023]]=0, Road[[#This Row],[2024]]="n.a"), "-", I17/Road[[#This Row],[2023]])</f>
        <v>-</v>
      </c>
      <c r="O17" s="250" t="str">
        <f>IF(OR(Road[[#This Row],[2024]]="n.a", Road[[#This Row],[2024]]=0, Road[[#This Row],[2025]]="n.a"), "-", J17/Road[[#This Row],[2024]])</f>
        <v>-</v>
      </c>
    </row>
    <row r="18" spans="1:15">
      <c r="A18" s="278"/>
      <c r="B18" s="304"/>
      <c r="C18" s="304"/>
      <c r="F18" s="304"/>
      <c r="G18" s="304"/>
      <c r="J18" s="304"/>
      <c r="K18" s="304"/>
      <c r="N18" s="304"/>
      <c r="O18" s="304"/>
    </row>
    <row r="19" spans="1:15" ht="26">
      <c r="A19" s="303" t="s">
        <v>54</v>
      </c>
      <c r="B19" s="341" t="s">
        <v>83</v>
      </c>
      <c r="C19" s="341"/>
      <c r="D19" s="341"/>
      <c r="E19" s="341"/>
      <c r="G19" s="342" t="s">
        <v>44</v>
      </c>
      <c r="H19" s="343"/>
      <c r="I19" s="343"/>
      <c r="J19" s="344"/>
      <c r="L19" s="342" t="s">
        <v>82</v>
      </c>
      <c r="M19" s="343"/>
      <c r="N19" s="343"/>
      <c r="O19" s="344"/>
    </row>
    <row r="20" spans="1:15" ht="15" thickBot="1">
      <c r="A20" s="92" t="s">
        <v>74</v>
      </c>
      <c r="B20" s="230" t="s">
        <v>46</v>
      </c>
      <c r="C20" s="230" t="s">
        <v>47</v>
      </c>
      <c r="D20" s="231" t="s">
        <v>48</v>
      </c>
      <c r="E20" s="231" t="s">
        <v>49</v>
      </c>
      <c r="G20" s="246">
        <v>2022</v>
      </c>
      <c r="H20" s="246">
        <v>2023</v>
      </c>
      <c r="I20" s="246">
        <v>2024</v>
      </c>
      <c r="J20" s="246">
        <v>2025</v>
      </c>
      <c r="L20" s="246">
        <v>2022</v>
      </c>
      <c r="M20" s="246">
        <v>2023</v>
      </c>
      <c r="N20" s="246">
        <v>2024</v>
      </c>
      <c r="O20" s="246">
        <v>2025</v>
      </c>
    </row>
    <row r="21" spans="1:15">
      <c r="A21" s="302" t="s">
        <v>50</v>
      </c>
      <c r="B21" s="281">
        <f>B22+B23+B24+B25+B26+B27+B29+B31+B32</f>
        <v>6999</v>
      </c>
      <c r="C21" s="281" t="s">
        <v>53</v>
      </c>
      <c r="D21" s="282">
        <v>1500</v>
      </c>
      <c r="E21" s="282">
        <v>1500</v>
      </c>
      <c r="G21" s="305" t="s">
        <v>51</v>
      </c>
      <c r="H21" s="305" t="str">
        <f>IF(OR(Bridge[[#This Row],[2023]]="n.a", Bridge[[#This Row],[2022]]="n.a"),"-", Bridge[[#This Row],[2023]]-Bridge[[#This Row],[2022]])</f>
        <v>-</v>
      </c>
      <c r="I21" s="305" t="str">
        <f>IF(OR(Bridge[[#This Row],[2024]]="n.a", Bridge[[#This Row],[2023]]="n.a"),"-", Bridge[[#This Row],[2024]]-Bridge[[#This Row],[2023]])</f>
        <v>-</v>
      </c>
      <c r="J21" s="305">
        <f>IF(OR(Bridge[[#This Row],[2025]]="n.a", Bridge[[#This Row],[2024]]="n.a"),"-", Bridge[[#This Row],[2025]]-Bridge[[#This Row],[2024]])</f>
        <v>0</v>
      </c>
      <c r="L21" s="250" t="s">
        <v>51</v>
      </c>
      <c r="M21" s="250" t="str">
        <f>IF(OR(Bridge[[#This Row],[2022]]="n.a", Bridge[[#This Row],[2022]]=0, Bridge[[#This Row],[2023]]="n.a"), "-", H21/Bridge[[#This Row],[2022]])</f>
        <v>-</v>
      </c>
      <c r="N21" s="250" t="str">
        <f>IF(OR(Bridge[[#This Row],[2023]]="n.a", Bridge[[#This Row],[2023]]=0, Bridge[[#This Row],[2024]]="n.a"), "-", I21/Bridge[[#This Row],[2023]])</f>
        <v>-</v>
      </c>
      <c r="O21" s="250">
        <f>IF(OR(Bridge[[#This Row],[2024]]="n.a", Bridge[[#This Row],[2024]]=0, Bridge[[#This Row],[2025]]="n.a"), "-", J21/Bridge[[#This Row],[2024]])</f>
        <v>0</v>
      </c>
    </row>
    <row r="22" spans="1:15">
      <c r="A22" s="278" t="s">
        <v>27</v>
      </c>
      <c r="B22" s="284">
        <v>0</v>
      </c>
      <c r="C22" s="284" t="s">
        <v>53</v>
      </c>
      <c r="D22" s="252">
        <v>0</v>
      </c>
      <c r="E22" s="252">
        <v>0</v>
      </c>
      <c r="G22" s="305" t="s">
        <v>51</v>
      </c>
      <c r="H22" s="305" t="str">
        <f>IF(OR(Bridge[[#This Row],[2023]]="n.a", Bridge[[#This Row],[2022]]="n.a"),"-", Bridge[[#This Row],[2023]]-Bridge[[#This Row],[2022]])</f>
        <v>-</v>
      </c>
      <c r="I22" s="305" t="str">
        <f>IF(OR(Bridge[[#This Row],[2024]]="n.a", Bridge[[#This Row],[2023]]="n.a"),"-", Bridge[[#This Row],[2024]]-Bridge[[#This Row],[2023]])</f>
        <v>-</v>
      </c>
      <c r="J22" s="305">
        <f>IF(OR(Bridge[[#This Row],[2025]]="n.a", Bridge[[#This Row],[2024]]="n.a"),"-", Bridge[[#This Row],[2025]]-Bridge[[#This Row],[2024]])</f>
        <v>0</v>
      </c>
      <c r="L22" s="250" t="s">
        <v>51</v>
      </c>
      <c r="M22" s="250" t="str">
        <f>IF(OR(Bridge[[#This Row],[2022]]="n.a", Bridge[[#This Row],[2022]]=0, Bridge[[#This Row],[2023]]="n.a"), "-", H22/Bridge[[#This Row],[2022]])</f>
        <v>-</v>
      </c>
      <c r="N22" s="250" t="str">
        <f>IF(OR(Bridge[[#This Row],[2023]]="n.a", Bridge[[#This Row],[2023]]=0, Bridge[[#This Row],[2024]]="n.a"), "-", I22/Bridge[[#This Row],[2023]])</f>
        <v>-</v>
      </c>
      <c r="O22" s="250" t="str">
        <f>IF(OR(Bridge[[#This Row],[2024]]="n.a", Bridge[[#This Row],[2024]]=0, Bridge[[#This Row],[2025]]="n.a"), "-", J22/Bridge[[#This Row],[2024]])</f>
        <v>-</v>
      </c>
    </row>
    <row r="23" spans="1:15">
      <c r="A23" s="278" t="s">
        <v>28</v>
      </c>
      <c r="B23" s="284">
        <v>880</v>
      </c>
      <c r="C23" s="284" t="s">
        <v>53</v>
      </c>
      <c r="D23" s="252">
        <v>0</v>
      </c>
      <c r="E23" s="252">
        <v>0</v>
      </c>
      <c r="G23" s="305" t="s">
        <v>51</v>
      </c>
      <c r="H23" s="305" t="str">
        <f>IF(OR(Bridge[[#This Row],[2023]]="n.a", Bridge[[#This Row],[2022]]="n.a"),"-", Bridge[[#This Row],[2023]]-Bridge[[#This Row],[2022]])</f>
        <v>-</v>
      </c>
      <c r="I23" s="305" t="str">
        <f>IF(OR(Bridge[[#This Row],[2024]]="n.a", Bridge[[#This Row],[2023]]="n.a"),"-", Bridge[[#This Row],[2024]]-Bridge[[#This Row],[2023]])</f>
        <v>-</v>
      </c>
      <c r="J23" s="305">
        <f>IF(OR(Bridge[[#This Row],[2025]]="n.a", Bridge[[#This Row],[2024]]="n.a"),"-", Bridge[[#This Row],[2025]]-Bridge[[#This Row],[2024]])</f>
        <v>0</v>
      </c>
      <c r="L23" s="250" t="s">
        <v>51</v>
      </c>
      <c r="M23" s="250" t="str">
        <f>IF(OR(Bridge[[#This Row],[2022]]="n.a", Bridge[[#This Row],[2022]]=0, Bridge[[#This Row],[2023]]="n.a"), "-", H23/Bridge[[#This Row],[2022]])</f>
        <v>-</v>
      </c>
      <c r="N23" s="250" t="str">
        <f>IF(OR(Bridge[[#This Row],[2023]]="n.a", Bridge[[#This Row],[2023]]=0, Bridge[[#This Row],[2024]]="n.a"), "-", I23/Bridge[[#This Row],[2023]])</f>
        <v>-</v>
      </c>
      <c r="O23" s="250" t="str">
        <f>IF(OR(Bridge[[#This Row],[2024]]="n.a", Bridge[[#This Row],[2024]]=0, Bridge[[#This Row],[2025]]="n.a"), "-", J23/Bridge[[#This Row],[2024]])</f>
        <v>-</v>
      </c>
    </row>
    <row r="24" spans="1:15">
      <c r="A24" s="278" t="s">
        <v>29</v>
      </c>
      <c r="B24" s="284">
        <v>1350</v>
      </c>
      <c r="C24" s="284" t="s">
        <v>53</v>
      </c>
      <c r="D24" s="252">
        <v>1000</v>
      </c>
      <c r="E24" s="252">
        <v>1000</v>
      </c>
      <c r="G24" s="305" t="s">
        <v>51</v>
      </c>
      <c r="H24" s="305" t="str">
        <f>IF(OR(Bridge[[#This Row],[2023]]="n.a", Bridge[[#This Row],[2022]]="n.a"),"-", Bridge[[#This Row],[2023]]-Bridge[[#This Row],[2022]])</f>
        <v>-</v>
      </c>
      <c r="I24" s="305" t="str">
        <f>IF(OR(Bridge[[#This Row],[2024]]="n.a", Bridge[[#This Row],[2023]]="n.a"),"-", Bridge[[#This Row],[2024]]-Bridge[[#This Row],[2023]])</f>
        <v>-</v>
      </c>
      <c r="J24" s="305">
        <f>IF(OR(Bridge[[#This Row],[2025]]="n.a", Bridge[[#This Row],[2024]]="n.a"),"-", Bridge[[#This Row],[2025]]-Bridge[[#This Row],[2024]])</f>
        <v>0</v>
      </c>
      <c r="L24" s="250" t="s">
        <v>51</v>
      </c>
      <c r="M24" s="250" t="str">
        <f>IF(OR(Bridge[[#This Row],[2022]]="n.a", Bridge[[#This Row],[2022]]=0, Bridge[[#This Row],[2023]]="n.a"), "-", H24/Bridge[[#This Row],[2022]])</f>
        <v>-</v>
      </c>
      <c r="N24" s="250" t="str">
        <f>IF(OR(Bridge[[#This Row],[2023]]="n.a", Bridge[[#This Row],[2023]]=0, Bridge[[#This Row],[2024]]="n.a"), "-", I24/Bridge[[#This Row],[2023]])</f>
        <v>-</v>
      </c>
      <c r="O24" s="250">
        <f>IF(OR(Bridge[[#This Row],[2024]]="n.a", Bridge[[#This Row],[2024]]=0, Bridge[[#This Row],[2025]]="n.a"), "-", J24/Bridge[[#This Row],[2024]])</f>
        <v>0</v>
      </c>
    </row>
    <row r="25" spans="1:15">
      <c r="A25" s="278" t="s">
        <v>30</v>
      </c>
      <c r="B25" s="284">
        <v>0</v>
      </c>
      <c r="C25" s="284" t="s">
        <v>53</v>
      </c>
      <c r="D25" s="252">
        <v>0</v>
      </c>
      <c r="E25" s="252">
        <v>0</v>
      </c>
      <c r="G25" s="305" t="s">
        <v>51</v>
      </c>
      <c r="H25" s="305" t="str">
        <f>IF(OR(Bridge[[#This Row],[2023]]="n.a", Bridge[[#This Row],[2022]]="n.a"),"-", Bridge[[#This Row],[2023]]-Bridge[[#This Row],[2022]])</f>
        <v>-</v>
      </c>
      <c r="I25" s="305" t="str">
        <f>IF(OR(Bridge[[#This Row],[2024]]="n.a", Bridge[[#This Row],[2023]]="n.a"),"-", Bridge[[#This Row],[2024]]-Bridge[[#This Row],[2023]])</f>
        <v>-</v>
      </c>
      <c r="J25" s="305">
        <f>IF(OR(Bridge[[#This Row],[2025]]="n.a", Bridge[[#This Row],[2024]]="n.a"),"-", Bridge[[#This Row],[2025]]-Bridge[[#This Row],[2024]])</f>
        <v>0</v>
      </c>
      <c r="L25" s="250" t="s">
        <v>51</v>
      </c>
      <c r="M25" s="250" t="str">
        <f>IF(OR(Bridge[[#This Row],[2022]]="n.a", Bridge[[#This Row],[2022]]=0, Bridge[[#This Row],[2023]]="n.a"), "-", H25/Bridge[[#This Row],[2022]])</f>
        <v>-</v>
      </c>
      <c r="N25" s="250" t="str">
        <f>IF(OR(Bridge[[#This Row],[2023]]="n.a", Bridge[[#This Row],[2023]]=0, Bridge[[#This Row],[2024]]="n.a"), "-", I25/Bridge[[#This Row],[2023]])</f>
        <v>-</v>
      </c>
      <c r="O25" s="250" t="str">
        <f>IF(OR(Bridge[[#This Row],[2024]]="n.a", Bridge[[#This Row],[2024]]=0, Bridge[[#This Row],[2025]]="n.a"), "-", J25/Bridge[[#This Row],[2024]])</f>
        <v>-</v>
      </c>
    </row>
    <row r="26" spans="1:15">
      <c r="A26" s="278" t="s">
        <v>31</v>
      </c>
      <c r="B26" s="284">
        <v>350</v>
      </c>
      <c r="C26" s="284" t="s">
        <v>53</v>
      </c>
      <c r="D26" s="252">
        <v>500</v>
      </c>
      <c r="E26" s="252">
        <v>0</v>
      </c>
      <c r="G26" s="305" t="s">
        <v>51</v>
      </c>
      <c r="H26" s="305" t="str">
        <f>IF(OR(Bridge[[#This Row],[2023]]="n.a", Bridge[[#This Row],[2022]]="n.a"),"-", Bridge[[#This Row],[2023]]-Bridge[[#This Row],[2022]])</f>
        <v>-</v>
      </c>
      <c r="I26" s="305" t="str">
        <f>IF(OR(Bridge[[#This Row],[2024]]="n.a", Bridge[[#This Row],[2023]]="n.a"),"-", Bridge[[#This Row],[2024]]-Bridge[[#This Row],[2023]])</f>
        <v>-</v>
      </c>
      <c r="J26" s="305">
        <f>IF(OR(Bridge[[#This Row],[2025]]="n.a", Bridge[[#This Row],[2024]]="n.a"),"-", Bridge[[#This Row],[2025]]-Bridge[[#This Row],[2024]])</f>
        <v>-500</v>
      </c>
      <c r="L26" s="250" t="s">
        <v>51</v>
      </c>
      <c r="M26" s="250" t="str">
        <f>IF(OR(Bridge[[#This Row],[2022]]="n.a", Bridge[[#This Row],[2022]]=0, Bridge[[#This Row],[2023]]="n.a"), "-", H26/Bridge[[#This Row],[2022]])</f>
        <v>-</v>
      </c>
      <c r="N26" s="250" t="str">
        <f>IF(OR(Bridge[[#This Row],[2023]]="n.a", Bridge[[#This Row],[2023]]=0, Bridge[[#This Row],[2024]]="n.a"), "-", I26/Bridge[[#This Row],[2023]])</f>
        <v>-</v>
      </c>
      <c r="O26" s="250">
        <f>IF(OR(Bridge[[#This Row],[2024]]="n.a", Bridge[[#This Row],[2024]]=0, Bridge[[#This Row],[2025]]="n.a"), "-", J26/Bridge[[#This Row],[2024]])</f>
        <v>-1</v>
      </c>
    </row>
    <row r="27" spans="1:15">
      <c r="A27" s="278" t="s">
        <v>32</v>
      </c>
      <c r="B27" s="284">
        <v>1480</v>
      </c>
      <c r="C27" s="284" t="s">
        <v>53</v>
      </c>
      <c r="D27" s="252">
        <v>0</v>
      </c>
      <c r="E27" s="252">
        <v>0</v>
      </c>
      <c r="G27" s="305" t="s">
        <v>51</v>
      </c>
      <c r="H27" s="305" t="str">
        <f>IF(OR(Bridge[[#This Row],[2023]]="n.a", Bridge[[#This Row],[2022]]="n.a"),"-", Bridge[[#This Row],[2023]]-Bridge[[#This Row],[2022]])</f>
        <v>-</v>
      </c>
      <c r="I27" s="305" t="str">
        <f>IF(OR(Bridge[[#This Row],[2024]]="n.a", Bridge[[#This Row],[2023]]="n.a"),"-", Bridge[[#This Row],[2024]]-Bridge[[#This Row],[2023]])</f>
        <v>-</v>
      </c>
      <c r="J27" s="305">
        <f>IF(OR(Bridge[[#This Row],[2025]]="n.a", Bridge[[#This Row],[2024]]="n.a"),"-", Bridge[[#This Row],[2025]]-Bridge[[#This Row],[2024]])</f>
        <v>0</v>
      </c>
      <c r="L27" s="250" t="s">
        <v>51</v>
      </c>
      <c r="M27" s="250" t="str">
        <f>IF(OR(Bridge[[#This Row],[2022]]="n.a", Bridge[[#This Row],[2022]]=0, Bridge[[#This Row],[2023]]="n.a"), "-", H27/Bridge[[#This Row],[2022]])</f>
        <v>-</v>
      </c>
      <c r="N27" s="250" t="str">
        <f>IF(OR(Bridge[[#This Row],[2023]]="n.a", Bridge[[#This Row],[2023]]=0, Bridge[[#This Row],[2024]]="n.a"), "-", I27/Bridge[[#This Row],[2023]])</f>
        <v>-</v>
      </c>
      <c r="O27" s="250" t="str">
        <f>IF(OR(Bridge[[#This Row],[2024]]="n.a", Bridge[[#This Row],[2024]]=0, Bridge[[#This Row],[2025]]="n.a"), "-", J27/Bridge[[#This Row],[2024]])</f>
        <v>-</v>
      </c>
    </row>
    <row r="28" spans="1:15">
      <c r="A28" s="278" t="s">
        <v>35</v>
      </c>
      <c r="B28" s="283">
        <v>0</v>
      </c>
      <c r="C28" s="284" t="s">
        <v>53</v>
      </c>
      <c r="D28" s="252">
        <v>0</v>
      </c>
      <c r="E28" s="252">
        <v>0</v>
      </c>
      <c r="G28" s="305" t="s">
        <v>51</v>
      </c>
      <c r="H28" s="305" t="str">
        <f>IF(OR(Bridge[[#This Row],[2023]]="n.a", Bridge[[#This Row],[2022]]="n.a"),"-", Bridge[[#This Row],[2023]]-Bridge[[#This Row],[2022]])</f>
        <v>-</v>
      </c>
      <c r="I28" s="305" t="str">
        <f>IF(OR(Bridge[[#This Row],[2024]]="n.a", Bridge[[#This Row],[2023]]="n.a"),"-", Bridge[[#This Row],[2024]]-Bridge[[#This Row],[2023]])</f>
        <v>-</v>
      </c>
      <c r="J28" s="305">
        <f>IF(OR(Bridge[[#This Row],[2025]]="n.a", Bridge[[#This Row],[2024]]="n.a"),"-", Bridge[[#This Row],[2025]]-Bridge[[#This Row],[2024]])</f>
        <v>0</v>
      </c>
      <c r="L28" s="250" t="s">
        <v>51</v>
      </c>
      <c r="M28" s="250" t="str">
        <f>IF(OR(Bridge[[#This Row],[2022]]="n.a", Bridge[[#This Row],[2022]]=0, Bridge[[#This Row],[2023]]="n.a"), "-", H28/Bridge[[#This Row],[2022]])</f>
        <v>-</v>
      </c>
      <c r="N28" s="250" t="str">
        <f>IF(OR(Bridge[[#This Row],[2023]]="n.a", Bridge[[#This Row],[2023]]=0, Bridge[[#This Row],[2024]]="n.a"), "-", I28/Bridge[[#This Row],[2023]])</f>
        <v>-</v>
      </c>
      <c r="O28" s="250" t="str">
        <f>IF(OR(Bridge[[#This Row],[2024]]="n.a", Bridge[[#This Row],[2024]]=0, Bridge[[#This Row],[2025]]="n.a"), "-", J28/Bridge[[#This Row],[2024]])</f>
        <v>-</v>
      </c>
    </row>
    <row r="29" spans="1:15">
      <c r="A29" s="278" t="s">
        <v>33</v>
      </c>
      <c r="B29" s="284">
        <v>270</v>
      </c>
      <c r="C29" s="284" t="s">
        <v>53</v>
      </c>
      <c r="D29" s="252">
        <v>0</v>
      </c>
      <c r="E29" s="252">
        <v>0</v>
      </c>
      <c r="G29" s="305" t="s">
        <v>51</v>
      </c>
      <c r="H29" s="305" t="str">
        <f>IF(OR(Bridge[[#This Row],[2023]]="n.a", Bridge[[#This Row],[2022]]="n.a"),"-", Bridge[[#This Row],[2023]]-Bridge[[#This Row],[2022]])</f>
        <v>-</v>
      </c>
      <c r="I29" s="305" t="str">
        <f>IF(OR(Bridge[[#This Row],[2024]]="n.a", Bridge[[#This Row],[2023]]="n.a"),"-", Bridge[[#This Row],[2024]]-Bridge[[#This Row],[2023]])</f>
        <v>-</v>
      </c>
      <c r="J29" s="305">
        <f>IF(OR(Bridge[[#This Row],[2025]]="n.a", Bridge[[#This Row],[2024]]="n.a"),"-", Bridge[[#This Row],[2025]]-Bridge[[#This Row],[2024]])</f>
        <v>0</v>
      </c>
      <c r="L29" s="250" t="s">
        <v>51</v>
      </c>
      <c r="M29" s="250" t="str">
        <f>IF(OR(Bridge[[#This Row],[2022]]="n.a", Bridge[[#This Row],[2022]]=0, Bridge[[#This Row],[2023]]="n.a"), "-", H29/Bridge[[#This Row],[2022]])</f>
        <v>-</v>
      </c>
      <c r="N29" s="250" t="str">
        <f>IF(OR(Bridge[[#This Row],[2023]]="n.a", Bridge[[#This Row],[2023]]=0, Bridge[[#This Row],[2024]]="n.a"), "-", I29/Bridge[[#This Row],[2023]])</f>
        <v>-</v>
      </c>
      <c r="O29" s="250" t="str">
        <f>IF(OR(Bridge[[#This Row],[2024]]="n.a", Bridge[[#This Row],[2024]]=0, Bridge[[#This Row],[2025]]="n.a"), "-", J29/Bridge[[#This Row],[2024]])</f>
        <v>-</v>
      </c>
    </row>
    <row r="30" spans="1:15">
      <c r="A30" s="278" t="s">
        <v>34</v>
      </c>
      <c r="B30" s="283">
        <v>0</v>
      </c>
      <c r="C30" s="284" t="s">
        <v>53</v>
      </c>
      <c r="D30" s="252">
        <v>0</v>
      </c>
      <c r="E30" s="252">
        <v>0</v>
      </c>
      <c r="G30" s="305" t="s">
        <v>51</v>
      </c>
      <c r="H30" s="305" t="str">
        <f>IF(OR(Bridge[[#This Row],[2023]]="n.a", Bridge[[#This Row],[2022]]="n.a"),"-", Bridge[[#This Row],[2023]]-Bridge[[#This Row],[2022]])</f>
        <v>-</v>
      </c>
      <c r="I30" s="305" t="str">
        <f>IF(OR(Bridge[[#This Row],[2024]]="n.a", Bridge[[#This Row],[2023]]="n.a"),"-", Bridge[[#This Row],[2024]]-Bridge[[#This Row],[2023]])</f>
        <v>-</v>
      </c>
      <c r="J30" s="305">
        <f>IF(OR(Bridge[[#This Row],[2025]]="n.a", Bridge[[#This Row],[2024]]="n.a"),"-", Bridge[[#This Row],[2025]]-Bridge[[#This Row],[2024]])</f>
        <v>0</v>
      </c>
      <c r="L30" s="250" t="s">
        <v>51</v>
      </c>
      <c r="M30" s="250" t="str">
        <f>IF(OR(Bridge[[#This Row],[2022]]="n.a", Bridge[[#This Row],[2022]]=0, Bridge[[#This Row],[2023]]="n.a"), "-", H30/Bridge[[#This Row],[2022]])</f>
        <v>-</v>
      </c>
      <c r="N30" s="250" t="str">
        <f>IF(OR(Bridge[[#This Row],[2023]]="n.a", Bridge[[#This Row],[2023]]=0, Bridge[[#This Row],[2024]]="n.a"), "-", I30/Bridge[[#This Row],[2023]])</f>
        <v>-</v>
      </c>
      <c r="O30" s="250" t="str">
        <f>IF(OR(Bridge[[#This Row],[2024]]="n.a", Bridge[[#This Row],[2024]]=0, Bridge[[#This Row],[2025]]="n.a"), "-", J30/Bridge[[#This Row],[2024]])</f>
        <v>-</v>
      </c>
    </row>
    <row r="31" spans="1:15">
      <c r="A31" s="278" t="s">
        <v>38</v>
      </c>
      <c r="B31" s="284">
        <v>0</v>
      </c>
      <c r="C31" s="284" t="s">
        <v>53</v>
      </c>
      <c r="D31" s="252">
        <v>0</v>
      </c>
      <c r="E31" s="252">
        <v>500</v>
      </c>
      <c r="G31" s="305" t="s">
        <v>51</v>
      </c>
      <c r="H31" s="305" t="str">
        <f>IF(OR(Bridge[[#This Row],[2023]]="n.a", Bridge[[#This Row],[2022]]="n.a"),"-", Bridge[[#This Row],[2023]]-Bridge[[#This Row],[2022]])</f>
        <v>-</v>
      </c>
      <c r="I31" s="305" t="str">
        <f>IF(OR(Bridge[[#This Row],[2024]]="n.a", Bridge[[#This Row],[2023]]="n.a"),"-", Bridge[[#This Row],[2024]]-Bridge[[#This Row],[2023]])</f>
        <v>-</v>
      </c>
      <c r="J31" s="305">
        <f>IF(OR(Bridge[[#This Row],[2025]]="n.a", Bridge[[#This Row],[2024]]="n.a"),"-", Bridge[[#This Row],[2025]]-Bridge[[#This Row],[2024]])</f>
        <v>500</v>
      </c>
      <c r="L31" s="250" t="s">
        <v>51</v>
      </c>
      <c r="M31" s="250" t="str">
        <f>IF(OR(Bridge[[#This Row],[2022]]="n.a", Bridge[[#This Row],[2022]]=0, Bridge[[#This Row],[2023]]="n.a"), "-", H31/Bridge[[#This Row],[2022]])</f>
        <v>-</v>
      </c>
      <c r="N31" s="250" t="str">
        <f>IF(OR(Bridge[[#This Row],[2023]]="n.a", Bridge[[#This Row],[2023]]=0, Bridge[[#This Row],[2024]]="n.a"), "-", I31/Bridge[[#This Row],[2023]])</f>
        <v>-</v>
      </c>
      <c r="O31" s="250" t="str">
        <f>IF(OR(Bridge[[#This Row],[2024]]="n.a", Bridge[[#This Row],[2024]]=0, Bridge[[#This Row],[2025]]="n.a"), "-", J31/Bridge[[#This Row],[2024]])</f>
        <v>-</v>
      </c>
    </row>
    <row r="32" spans="1:15">
      <c r="A32" s="278" t="s">
        <v>39</v>
      </c>
      <c r="B32" s="284">
        <v>2669</v>
      </c>
      <c r="C32" s="284" t="s">
        <v>53</v>
      </c>
      <c r="D32" s="252">
        <v>0</v>
      </c>
      <c r="E32" s="252">
        <v>0</v>
      </c>
      <c r="G32" s="305" t="s">
        <v>51</v>
      </c>
      <c r="H32" s="305" t="str">
        <f>IF(OR(Bridge[[#This Row],[2023]]="n.a", Bridge[[#This Row],[2022]]="n.a"),"-", Bridge[[#This Row],[2023]]-Bridge[[#This Row],[2022]])</f>
        <v>-</v>
      </c>
      <c r="I32" s="305" t="str">
        <f>IF(OR(Bridge[[#This Row],[2024]]="n.a", Bridge[[#This Row],[2023]]="n.a"),"-", Bridge[[#This Row],[2024]]-Bridge[[#This Row],[2023]])</f>
        <v>-</v>
      </c>
      <c r="J32" s="305">
        <f>IF(OR(Bridge[[#This Row],[2025]]="n.a", Bridge[[#This Row],[2024]]="n.a"),"-", Bridge[[#This Row],[2025]]-Bridge[[#This Row],[2024]])</f>
        <v>0</v>
      </c>
      <c r="L32" s="250" t="s">
        <v>51</v>
      </c>
      <c r="M32" s="250" t="str">
        <f>IF(OR(Bridge[[#This Row],[2022]]="n.a", Bridge[[#This Row],[2022]]=0, Bridge[[#This Row],[2023]]="n.a"), "-", H32/Bridge[[#This Row],[2022]])</f>
        <v>-</v>
      </c>
      <c r="N32" s="250" t="str">
        <f>IF(OR(Bridge[[#This Row],[2023]]="n.a", Bridge[[#This Row],[2023]]=0, Bridge[[#This Row],[2024]]="n.a"), "-", I32/Bridge[[#This Row],[2023]])</f>
        <v>-</v>
      </c>
      <c r="O32" s="250" t="str">
        <f>IF(OR(Bridge[[#This Row],[2024]]="n.a", Bridge[[#This Row],[2024]]=0, Bridge[[#This Row],[2025]]="n.a"), "-", J32/Bridge[[#This Row],[2024]])</f>
        <v>-</v>
      </c>
    </row>
    <row r="33" spans="1:15">
      <c r="A33" s="278" t="s">
        <v>36</v>
      </c>
      <c r="B33" s="283">
        <v>0</v>
      </c>
      <c r="C33" s="284" t="s">
        <v>53</v>
      </c>
      <c r="D33" s="252">
        <v>0</v>
      </c>
      <c r="E33" s="252">
        <v>0</v>
      </c>
      <c r="G33" s="305" t="s">
        <v>51</v>
      </c>
      <c r="H33" s="305" t="str">
        <f>IF(OR(Bridge[[#This Row],[2023]]="n.a", Bridge[[#This Row],[2022]]="n.a"),"-", Bridge[[#This Row],[2023]]-Bridge[[#This Row],[2022]])</f>
        <v>-</v>
      </c>
      <c r="I33" s="305" t="str">
        <f>IF(OR(Bridge[[#This Row],[2024]]="n.a", Bridge[[#This Row],[2023]]="n.a"),"-", Bridge[[#This Row],[2024]]-Bridge[[#This Row],[2023]])</f>
        <v>-</v>
      </c>
      <c r="J33" s="305">
        <f>IF(OR(Bridge[[#This Row],[2025]]="n.a", Bridge[[#This Row],[2024]]="n.a"),"-", Bridge[[#This Row],[2025]]-Bridge[[#This Row],[2024]])</f>
        <v>0</v>
      </c>
      <c r="L33" s="250" t="s">
        <v>51</v>
      </c>
      <c r="M33" s="250" t="str">
        <f>IF(OR(Bridge[[#This Row],[2022]]="n.a", Bridge[[#This Row],[2022]]=0, Bridge[[#This Row],[2023]]="n.a"), "-", H33/Bridge[[#This Row],[2022]])</f>
        <v>-</v>
      </c>
      <c r="N33" s="250" t="str">
        <f>IF(OR(Bridge[[#This Row],[2023]]="n.a", Bridge[[#This Row],[2023]]=0, Bridge[[#This Row],[2024]]="n.a"), "-", I33/Bridge[[#This Row],[2023]])</f>
        <v>-</v>
      </c>
      <c r="O33" s="250" t="str">
        <f>IF(OR(Bridge[[#This Row],[2024]]="n.a", Bridge[[#This Row],[2024]]=0, Bridge[[#This Row],[2025]]="n.a"), "-", J33/Bridge[[#This Row],[2024]])</f>
        <v>-</v>
      </c>
    </row>
    <row r="34" spans="1:15">
      <c r="A34" s="278" t="s">
        <v>37</v>
      </c>
      <c r="B34" s="283">
        <v>0</v>
      </c>
      <c r="C34" s="284" t="s">
        <v>53</v>
      </c>
      <c r="D34" s="252">
        <v>0</v>
      </c>
      <c r="E34" s="252">
        <v>0</v>
      </c>
      <c r="G34" s="305" t="s">
        <v>51</v>
      </c>
      <c r="H34" s="305" t="str">
        <f>IF(OR(Bridge[[#This Row],[2023]]="n.a", Bridge[[#This Row],[2022]]="n.a"),"-", Bridge[[#This Row],[2023]]-Bridge[[#This Row],[2022]])</f>
        <v>-</v>
      </c>
      <c r="I34" s="305" t="str">
        <f>IF(OR(Bridge[[#This Row],[2024]]="n.a", Bridge[[#This Row],[2023]]="n.a"),"-", Bridge[[#This Row],[2024]]-Bridge[[#This Row],[2023]])</f>
        <v>-</v>
      </c>
      <c r="J34" s="305">
        <f>IF(OR(Bridge[[#This Row],[2025]]="n.a", Bridge[[#This Row],[2024]]="n.a"),"-", Bridge[[#This Row],[2025]]-Bridge[[#This Row],[2024]])</f>
        <v>0</v>
      </c>
      <c r="L34" s="250" t="s">
        <v>51</v>
      </c>
      <c r="M34" s="250" t="str">
        <f>IF(OR(Bridge[[#This Row],[2022]]="n.a", Bridge[[#This Row],[2022]]=0, Bridge[[#This Row],[2023]]="n.a"), "-", H34/Bridge[[#This Row],[2022]])</f>
        <v>-</v>
      </c>
      <c r="N34" s="250" t="str">
        <f>IF(OR(Bridge[[#This Row],[2023]]="n.a", Bridge[[#This Row],[2023]]=0, Bridge[[#This Row],[2024]]="n.a"), "-", I34/Bridge[[#This Row],[2023]])</f>
        <v>-</v>
      </c>
      <c r="O34" s="250" t="str">
        <f>IF(OR(Bridge[[#This Row],[2024]]="n.a", Bridge[[#This Row],[2024]]=0, Bridge[[#This Row],[2025]]="n.a"), "-", J34/Bridge[[#This Row],[2024]])</f>
        <v>-</v>
      </c>
    </row>
    <row r="35" spans="1:15">
      <c r="A35" s="278" t="s">
        <v>41</v>
      </c>
      <c r="B35" s="283">
        <v>0</v>
      </c>
      <c r="C35" s="284" t="s">
        <v>53</v>
      </c>
      <c r="D35" s="252">
        <v>0</v>
      </c>
      <c r="E35" s="252">
        <v>0</v>
      </c>
      <c r="G35" s="305" t="s">
        <v>51</v>
      </c>
      <c r="H35" s="305" t="str">
        <f>IF(OR(Bridge[[#This Row],[2023]]="n.a", Bridge[[#This Row],[2022]]="n.a"),"-", Bridge[[#This Row],[2023]]-Bridge[[#This Row],[2022]])</f>
        <v>-</v>
      </c>
      <c r="I35" s="305" t="str">
        <f>IF(OR(Bridge[[#This Row],[2024]]="n.a", Bridge[[#This Row],[2023]]="n.a"),"-", Bridge[[#This Row],[2024]]-Bridge[[#This Row],[2023]])</f>
        <v>-</v>
      </c>
      <c r="J35" s="305">
        <f>IF(OR(Bridge[[#This Row],[2025]]="n.a", Bridge[[#This Row],[2024]]="n.a"),"-", Bridge[[#This Row],[2025]]-Bridge[[#This Row],[2024]])</f>
        <v>0</v>
      </c>
      <c r="L35" s="250" t="s">
        <v>51</v>
      </c>
      <c r="M35" s="250" t="str">
        <f>IF(OR(Bridge[[#This Row],[2022]]="n.a", Bridge[[#This Row],[2022]]=0, Bridge[[#This Row],[2023]]="n.a"), "-", H35/Bridge[[#This Row],[2022]])</f>
        <v>-</v>
      </c>
      <c r="N35" s="250" t="str">
        <f>IF(OR(Bridge[[#This Row],[2023]]="n.a", Bridge[[#This Row],[2023]]=0, Bridge[[#This Row],[2024]]="n.a"), "-", I35/Bridge[[#This Row],[2023]])</f>
        <v>-</v>
      </c>
      <c r="O35" s="250" t="str">
        <f>IF(OR(Bridge[[#This Row],[2024]]="n.a", Bridge[[#This Row],[2024]]=0, Bridge[[#This Row],[2025]]="n.a"), "-", J35/Bridge[[#This Row],[2024]])</f>
        <v>-</v>
      </c>
    </row>
    <row r="37" spans="1:15" ht="26">
      <c r="A37" s="303" t="s">
        <v>54</v>
      </c>
      <c r="B37" s="341" t="s">
        <v>84</v>
      </c>
      <c r="C37" s="341"/>
      <c r="D37" s="341"/>
      <c r="E37" s="341"/>
      <c r="G37" s="342" t="s">
        <v>44</v>
      </c>
      <c r="H37" s="343"/>
      <c r="I37" s="343"/>
      <c r="J37" s="344"/>
      <c r="L37" s="342" t="s">
        <v>82</v>
      </c>
      <c r="M37" s="343"/>
      <c r="N37" s="343"/>
      <c r="O37" s="344"/>
    </row>
    <row r="38" spans="1:15" ht="15" thickBot="1">
      <c r="A38" s="92" t="s">
        <v>74</v>
      </c>
      <c r="B38" s="230" t="s">
        <v>46</v>
      </c>
      <c r="C38" s="230" t="s">
        <v>47</v>
      </c>
      <c r="D38" s="231" t="s">
        <v>48</v>
      </c>
      <c r="E38" s="231" t="s">
        <v>49</v>
      </c>
      <c r="G38" s="246">
        <v>2022</v>
      </c>
      <c r="H38" s="246">
        <v>2023</v>
      </c>
      <c r="I38" s="246">
        <v>2024</v>
      </c>
      <c r="J38" s="246">
        <v>2025</v>
      </c>
      <c r="L38" s="246">
        <v>2022</v>
      </c>
      <c r="M38" s="246">
        <v>2023</v>
      </c>
      <c r="N38" s="246">
        <v>2024</v>
      </c>
      <c r="O38" s="246">
        <v>2025</v>
      </c>
    </row>
    <row r="39" spans="1:15">
      <c r="A39" s="302" t="s">
        <v>50</v>
      </c>
      <c r="B39" s="281">
        <f>B40+B41+B42+B43+B44+B45+B47+B49+B50</f>
        <v>1600</v>
      </c>
      <c r="C39" s="281" t="s">
        <v>53</v>
      </c>
      <c r="D39" s="282">
        <v>1200</v>
      </c>
      <c r="E39" s="282">
        <v>1200</v>
      </c>
      <c r="G39" s="305" t="s">
        <v>51</v>
      </c>
      <c r="H39" s="305" t="str">
        <f>IF(OR(Electric[[#This Row],[2023]]="n.a", Electric[[#This Row],[2022]]="n.a"),"-", Electric[[#This Row],[2023]]-Electric[[#This Row],[2022]])</f>
        <v>-</v>
      </c>
      <c r="I39" s="305" t="str">
        <f>IF(OR(Electric[[#This Row],[2024]]="n.a", Electric[[#This Row],[2023]]="n.a"),"-", Electric[[#This Row],[2024]]-Electric[[#This Row],[2023]])</f>
        <v>-</v>
      </c>
      <c r="J39" s="305">
        <f>IF(OR(Electric[[#This Row],[2025]]="n.a", Electric[[#This Row],[2024]]="n.a"),"-", Electric[[#This Row],[2025]]-Electric[[#This Row],[2024]])</f>
        <v>0</v>
      </c>
      <c r="L39" s="250" t="s">
        <v>51</v>
      </c>
      <c r="M39" s="250" t="str">
        <f>IF(OR(Electric[[#This Row],[2022]]="n.a", Electric[[#This Row],[2022]]=0, Electric[[#This Row],[2023]]="n.a"), "-", H39/Electric[[#This Row],[2022]])</f>
        <v>-</v>
      </c>
      <c r="N39" s="250" t="str">
        <f>IF(OR(Electric[[#This Row],[2023]]="n.a", Electric[[#This Row],[2023]]=0, Electric[[#This Row],[2024]]="n.a"), "-", I39/Electric[[#This Row],[2023]])</f>
        <v>-</v>
      </c>
      <c r="O39" s="250">
        <f>IF(OR(Electric[[#This Row],[2024]]="n.a", Electric[[#This Row],[2024]]=0, Electric[[#This Row],[2025]]="n.a"), "-", J39/Electric[[#This Row],[2024]])</f>
        <v>0</v>
      </c>
    </row>
    <row r="40" spans="1:15">
      <c r="A40" s="278" t="s">
        <v>27</v>
      </c>
      <c r="B40" s="284">
        <v>80</v>
      </c>
      <c r="C40" s="284" t="s">
        <v>53</v>
      </c>
      <c r="D40" s="252">
        <v>0</v>
      </c>
      <c r="E40" s="252">
        <v>0</v>
      </c>
      <c r="G40" s="305" t="s">
        <v>51</v>
      </c>
      <c r="H40" s="305" t="str">
        <f>IF(OR(Electric[[#This Row],[2023]]="n.a", Electric[[#This Row],[2022]]="n.a"),"-", Electric[[#This Row],[2023]]-Electric[[#This Row],[2022]])</f>
        <v>-</v>
      </c>
      <c r="I40" s="305" t="str">
        <f>IF(OR(Electric[[#This Row],[2024]]="n.a", Electric[[#This Row],[2023]]="n.a"),"-", Electric[[#This Row],[2024]]-Electric[[#This Row],[2023]])</f>
        <v>-</v>
      </c>
      <c r="J40" s="305">
        <f>IF(OR(Electric[[#This Row],[2025]]="n.a", Electric[[#This Row],[2024]]="n.a"),"-", Electric[[#This Row],[2025]]-Electric[[#This Row],[2024]])</f>
        <v>0</v>
      </c>
      <c r="L40" s="250" t="s">
        <v>51</v>
      </c>
      <c r="M40" s="250" t="str">
        <f>IF(OR(Electric[[#This Row],[2022]]="n.a", Electric[[#This Row],[2022]]=0, Electric[[#This Row],[2023]]="n.a"), "-", H40/Electric[[#This Row],[2022]])</f>
        <v>-</v>
      </c>
      <c r="N40" s="250" t="str">
        <f>IF(OR(Electric[[#This Row],[2023]]="n.a", Electric[[#This Row],[2023]]=0, Electric[[#This Row],[2024]]="n.a"), "-", I40/Electric[[#This Row],[2023]])</f>
        <v>-</v>
      </c>
      <c r="O40" s="250" t="str">
        <f>IF(OR(Electric[[#This Row],[2024]]="n.a", Electric[[#This Row],[2024]]=0, Electric[[#This Row],[2025]]="n.a"), "-", J40/Electric[[#This Row],[2024]])</f>
        <v>-</v>
      </c>
    </row>
    <row r="41" spans="1:15">
      <c r="A41" s="278" t="s">
        <v>28</v>
      </c>
      <c r="B41" s="284">
        <v>0</v>
      </c>
      <c r="C41" s="284" t="s">
        <v>53</v>
      </c>
      <c r="D41" s="252">
        <v>1000</v>
      </c>
      <c r="E41" s="252">
        <v>1000</v>
      </c>
      <c r="G41" s="305" t="s">
        <v>51</v>
      </c>
      <c r="H41" s="305" t="str">
        <f>IF(OR(Electric[[#This Row],[2023]]="n.a", Electric[[#This Row],[2022]]="n.a"),"-", Electric[[#This Row],[2023]]-Electric[[#This Row],[2022]])</f>
        <v>-</v>
      </c>
      <c r="I41" s="305" t="str">
        <f>IF(OR(Electric[[#This Row],[2024]]="n.a", Electric[[#This Row],[2023]]="n.a"),"-", Electric[[#This Row],[2024]]-Electric[[#This Row],[2023]])</f>
        <v>-</v>
      </c>
      <c r="J41" s="305">
        <f>IF(OR(Electric[[#This Row],[2025]]="n.a", Electric[[#This Row],[2024]]="n.a"),"-", Electric[[#This Row],[2025]]-Electric[[#This Row],[2024]])</f>
        <v>0</v>
      </c>
      <c r="L41" s="250" t="s">
        <v>51</v>
      </c>
      <c r="M41" s="250" t="str">
        <f>IF(OR(Electric[[#This Row],[2022]]="n.a", Electric[[#This Row],[2022]]=0, Electric[[#This Row],[2023]]="n.a"), "-", H41/Electric[[#This Row],[2022]])</f>
        <v>-</v>
      </c>
      <c r="N41" s="250" t="str">
        <f>IF(OR(Electric[[#This Row],[2023]]="n.a", Electric[[#This Row],[2023]]=0, Electric[[#This Row],[2024]]="n.a"), "-", I41/Electric[[#This Row],[2023]])</f>
        <v>-</v>
      </c>
      <c r="O41" s="250">
        <f>IF(OR(Electric[[#This Row],[2024]]="n.a", Electric[[#This Row],[2024]]=0, Electric[[#This Row],[2025]]="n.a"), "-", J41/Electric[[#This Row],[2024]])</f>
        <v>0</v>
      </c>
    </row>
    <row r="42" spans="1:15">
      <c r="A42" s="278" t="s">
        <v>29</v>
      </c>
      <c r="B42" s="284">
        <v>600</v>
      </c>
      <c r="C42" s="284" t="s">
        <v>53</v>
      </c>
      <c r="D42" s="252">
        <v>200</v>
      </c>
      <c r="E42" s="252">
        <v>200</v>
      </c>
      <c r="G42" s="305" t="s">
        <v>51</v>
      </c>
      <c r="H42" s="305" t="str">
        <f>IF(OR(Electric[[#This Row],[2023]]="n.a", Electric[[#This Row],[2022]]="n.a"),"-", Electric[[#This Row],[2023]]-Electric[[#This Row],[2022]])</f>
        <v>-</v>
      </c>
      <c r="I42" s="305" t="str">
        <f>IF(OR(Electric[[#This Row],[2024]]="n.a", Electric[[#This Row],[2023]]="n.a"),"-", Electric[[#This Row],[2024]]-Electric[[#This Row],[2023]])</f>
        <v>-</v>
      </c>
      <c r="J42" s="305">
        <f>IF(OR(Electric[[#This Row],[2025]]="n.a", Electric[[#This Row],[2024]]="n.a"),"-", Electric[[#This Row],[2025]]-Electric[[#This Row],[2024]])</f>
        <v>0</v>
      </c>
      <c r="L42" s="250" t="s">
        <v>51</v>
      </c>
      <c r="M42" s="250" t="str">
        <f>IF(OR(Electric[[#This Row],[2022]]="n.a", Electric[[#This Row],[2022]]=0, Electric[[#This Row],[2023]]="n.a"), "-", H42/Electric[[#This Row],[2022]])</f>
        <v>-</v>
      </c>
      <c r="N42" s="250" t="str">
        <f>IF(OR(Electric[[#This Row],[2023]]="n.a", Electric[[#This Row],[2023]]=0, Electric[[#This Row],[2024]]="n.a"), "-", I42/Electric[[#This Row],[2023]])</f>
        <v>-</v>
      </c>
      <c r="O42" s="250">
        <f>IF(OR(Electric[[#This Row],[2024]]="n.a", Electric[[#This Row],[2024]]=0, Electric[[#This Row],[2025]]="n.a"), "-", J42/Electric[[#This Row],[2024]])</f>
        <v>0</v>
      </c>
    </row>
    <row r="43" spans="1:15">
      <c r="A43" s="278" t="s">
        <v>30</v>
      </c>
      <c r="B43" s="284">
        <v>0</v>
      </c>
      <c r="C43" s="284" t="s">
        <v>53</v>
      </c>
      <c r="D43" s="252">
        <v>0</v>
      </c>
      <c r="E43" s="252">
        <v>0</v>
      </c>
      <c r="G43" s="305" t="s">
        <v>51</v>
      </c>
      <c r="H43" s="305" t="str">
        <f>IF(OR(Electric[[#This Row],[2023]]="n.a", Electric[[#This Row],[2022]]="n.a"),"-", Electric[[#This Row],[2023]]-Electric[[#This Row],[2022]])</f>
        <v>-</v>
      </c>
      <c r="I43" s="305" t="str">
        <f>IF(OR(Electric[[#This Row],[2024]]="n.a", Electric[[#This Row],[2023]]="n.a"),"-", Electric[[#This Row],[2024]]-Electric[[#This Row],[2023]])</f>
        <v>-</v>
      </c>
      <c r="J43" s="305">
        <f>IF(OR(Electric[[#This Row],[2025]]="n.a", Electric[[#This Row],[2024]]="n.a"),"-", Electric[[#This Row],[2025]]-Electric[[#This Row],[2024]])</f>
        <v>0</v>
      </c>
      <c r="L43" s="250" t="s">
        <v>51</v>
      </c>
      <c r="M43" s="250" t="str">
        <f>IF(OR(Electric[[#This Row],[2022]]="n.a", Electric[[#This Row],[2022]]=0, Electric[[#This Row],[2023]]="n.a"), "-", H43/Electric[[#This Row],[2022]])</f>
        <v>-</v>
      </c>
      <c r="N43" s="250" t="str">
        <f>IF(OR(Electric[[#This Row],[2023]]="n.a", Electric[[#This Row],[2023]]=0, Electric[[#This Row],[2024]]="n.a"), "-", I43/Electric[[#This Row],[2023]])</f>
        <v>-</v>
      </c>
      <c r="O43" s="250" t="str">
        <f>IF(OR(Electric[[#This Row],[2024]]="n.a", Electric[[#This Row],[2024]]=0, Electric[[#This Row],[2025]]="n.a"), "-", J43/Electric[[#This Row],[2024]])</f>
        <v>-</v>
      </c>
    </row>
    <row r="44" spans="1:15">
      <c r="A44" s="278" t="s">
        <v>31</v>
      </c>
      <c r="B44" s="284">
        <v>0</v>
      </c>
      <c r="C44" s="284" t="s">
        <v>53</v>
      </c>
      <c r="D44" s="252">
        <v>0</v>
      </c>
      <c r="E44" s="252">
        <v>0</v>
      </c>
      <c r="G44" s="305" t="s">
        <v>51</v>
      </c>
      <c r="H44" s="305" t="str">
        <f>IF(OR(Electric[[#This Row],[2023]]="n.a", Electric[[#This Row],[2022]]="n.a"),"-", Electric[[#This Row],[2023]]-Electric[[#This Row],[2022]])</f>
        <v>-</v>
      </c>
      <c r="I44" s="305" t="str">
        <f>IF(OR(Electric[[#This Row],[2024]]="n.a", Electric[[#This Row],[2023]]="n.a"),"-", Electric[[#This Row],[2024]]-Electric[[#This Row],[2023]])</f>
        <v>-</v>
      </c>
      <c r="J44" s="305">
        <f>IF(OR(Electric[[#This Row],[2025]]="n.a", Electric[[#This Row],[2024]]="n.a"),"-", Electric[[#This Row],[2025]]-Electric[[#This Row],[2024]])</f>
        <v>0</v>
      </c>
      <c r="L44" s="250" t="s">
        <v>51</v>
      </c>
      <c r="M44" s="250" t="str">
        <f>IF(OR(Electric[[#This Row],[2022]]="n.a", Electric[[#This Row],[2022]]=0, Electric[[#This Row],[2023]]="n.a"), "-", H44/Electric[[#This Row],[2022]])</f>
        <v>-</v>
      </c>
      <c r="N44" s="250" t="str">
        <f>IF(OR(Electric[[#This Row],[2023]]="n.a", Electric[[#This Row],[2023]]=0, Electric[[#This Row],[2024]]="n.a"), "-", I44/Electric[[#This Row],[2023]])</f>
        <v>-</v>
      </c>
      <c r="O44" s="250" t="str">
        <f>IF(OR(Electric[[#This Row],[2024]]="n.a", Electric[[#This Row],[2024]]=0, Electric[[#This Row],[2025]]="n.a"), "-", J44/Electric[[#This Row],[2024]])</f>
        <v>-</v>
      </c>
    </row>
    <row r="45" spans="1:15">
      <c r="A45" s="278" t="s">
        <v>32</v>
      </c>
      <c r="B45" s="284">
        <v>130</v>
      </c>
      <c r="C45" s="284" t="s">
        <v>53</v>
      </c>
      <c r="D45" s="252">
        <v>0</v>
      </c>
      <c r="E45" s="252">
        <v>0</v>
      </c>
      <c r="G45" s="305" t="s">
        <v>51</v>
      </c>
      <c r="H45" s="305" t="str">
        <f>IF(OR(Electric[[#This Row],[2023]]="n.a", Electric[[#This Row],[2022]]="n.a"),"-", Electric[[#This Row],[2023]]-Electric[[#This Row],[2022]])</f>
        <v>-</v>
      </c>
      <c r="I45" s="305" t="str">
        <f>IF(OR(Electric[[#This Row],[2024]]="n.a", Electric[[#This Row],[2023]]="n.a"),"-", Electric[[#This Row],[2024]]-Electric[[#This Row],[2023]])</f>
        <v>-</v>
      </c>
      <c r="J45" s="305">
        <f>IF(OR(Electric[[#This Row],[2025]]="n.a", Electric[[#This Row],[2024]]="n.a"),"-", Electric[[#This Row],[2025]]-Electric[[#This Row],[2024]])</f>
        <v>0</v>
      </c>
      <c r="L45" s="250" t="s">
        <v>51</v>
      </c>
      <c r="M45" s="250" t="str">
        <f>IF(OR(Electric[[#This Row],[2022]]="n.a", Electric[[#This Row],[2022]]=0, Electric[[#This Row],[2023]]="n.a"), "-", H45/Electric[[#This Row],[2022]])</f>
        <v>-</v>
      </c>
      <c r="N45" s="250" t="str">
        <f>IF(OR(Electric[[#This Row],[2023]]="n.a", Electric[[#This Row],[2023]]=0, Electric[[#This Row],[2024]]="n.a"), "-", I45/Electric[[#This Row],[2023]])</f>
        <v>-</v>
      </c>
      <c r="O45" s="250" t="str">
        <f>IF(OR(Electric[[#This Row],[2024]]="n.a", Electric[[#This Row],[2024]]=0, Electric[[#This Row],[2025]]="n.a"), "-", J45/Electric[[#This Row],[2024]])</f>
        <v>-</v>
      </c>
    </row>
    <row r="46" spans="1:15">
      <c r="A46" s="278" t="s">
        <v>35</v>
      </c>
      <c r="B46" s="283">
        <v>0</v>
      </c>
      <c r="C46" s="284" t="s">
        <v>53</v>
      </c>
      <c r="D46" s="252">
        <v>0</v>
      </c>
      <c r="E46" s="252">
        <v>0</v>
      </c>
      <c r="G46" s="305" t="s">
        <v>51</v>
      </c>
      <c r="H46" s="305" t="str">
        <f>IF(OR(Electric[[#This Row],[2023]]="n.a", Electric[[#This Row],[2022]]="n.a"),"-", Electric[[#This Row],[2023]]-Electric[[#This Row],[2022]])</f>
        <v>-</v>
      </c>
      <c r="I46" s="305" t="str">
        <f>IF(OR(Electric[[#This Row],[2024]]="n.a", Electric[[#This Row],[2023]]="n.a"),"-", Electric[[#This Row],[2024]]-Electric[[#This Row],[2023]])</f>
        <v>-</v>
      </c>
      <c r="J46" s="305">
        <f>IF(OR(Electric[[#This Row],[2025]]="n.a", Electric[[#This Row],[2024]]="n.a"),"-", Electric[[#This Row],[2025]]-Electric[[#This Row],[2024]])</f>
        <v>0</v>
      </c>
      <c r="L46" s="250" t="s">
        <v>51</v>
      </c>
      <c r="M46" s="250" t="str">
        <f>IF(OR(Electric[[#This Row],[2022]]="n.a", Electric[[#This Row],[2022]]=0, Electric[[#This Row],[2023]]="n.a"), "-", H46/Electric[[#This Row],[2022]])</f>
        <v>-</v>
      </c>
      <c r="N46" s="250" t="str">
        <f>IF(OR(Electric[[#This Row],[2023]]="n.a", Electric[[#This Row],[2023]]=0, Electric[[#This Row],[2024]]="n.a"), "-", I46/Electric[[#This Row],[2023]])</f>
        <v>-</v>
      </c>
      <c r="O46" s="250" t="str">
        <f>IF(OR(Electric[[#This Row],[2024]]="n.a", Electric[[#This Row],[2024]]=0, Electric[[#This Row],[2025]]="n.a"), "-", J46/Electric[[#This Row],[2024]])</f>
        <v>-</v>
      </c>
    </row>
    <row r="47" spans="1:15">
      <c r="A47" s="278" t="s">
        <v>33</v>
      </c>
      <c r="B47" s="284">
        <v>0</v>
      </c>
      <c r="C47" s="284" t="s">
        <v>53</v>
      </c>
      <c r="D47" s="252">
        <v>0</v>
      </c>
      <c r="E47" s="252">
        <v>0</v>
      </c>
      <c r="G47" s="305" t="s">
        <v>51</v>
      </c>
      <c r="H47" s="305" t="str">
        <f>IF(OR(Electric[[#This Row],[2023]]="n.a", Electric[[#This Row],[2022]]="n.a"),"-", Electric[[#This Row],[2023]]-Electric[[#This Row],[2022]])</f>
        <v>-</v>
      </c>
      <c r="I47" s="305" t="str">
        <f>IF(OR(Electric[[#This Row],[2024]]="n.a", Electric[[#This Row],[2023]]="n.a"),"-", Electric[[#This Row],[2024]]-Electric[[#This Row],[2023]])</f>
        <v>-</v>
      </c>
      <c r="J47" s="305">
        <f>IF(OR(Electric[[#This Row],[2025]]="n.a", Electric[[#This Row],[2024]]="n.a"),"-", Electric[[#This Row],[2025]]-Electric[[#This Row],[2024]])</f>
        <v>0</v>
      </c>
      <c r="L47" s="250" t="s">
        <v>51</v>
      </c>
      <c r="M47" s="250" t="str">
        <f>IF(OR(Electric[[#This Row],[2022]]="n.a", Electric[[#This Row],[2022]]=0, Electric[[#This Row],[2023]]="n.a"), "-", H47/Electric[[#This Row],[2022]])</f>
        <v>-</v>
      </c>
      <c r="N47" s="250" t="str">
        <f>IF(OR(Electric[[#This Row],[2023]]="n.a", Electric[[#This Row],[2023]]=0, Electric[[#This Row],[2024]]="n.a"), "-", I47/Electric[[#This Row],[2023]])</f>
        <v>-</v>
      </c>
      <c r="O47" s="250" t="str">
        <f>IF(OR(Electric[[#This Row],[2024]]="n.a", Electric[[#This Row],[2024]]=0, Electric[[#This Row],[2025]]="n.a"), "-", J47/Electric[[#This Row],[2024]])</f>
        <v>-</v>
      </c>
    </row>
    <row r="48" spans="1:15">
      <c r="A48" s="278" t="s">
        <v>34</v>
      </c>
      <c r="B48" s="283">
        <v>0</v>
      </c>
      <c r="C48" s="284" t="s">
        <v>53</v>
      </c>
      <c r="D48" s="252">
        <v>0</v>
      </c>
      <c r="E48" s="252">
        <v>0</v>
      </c>
      <c r="G48" s="305" t="s">
        <v>51</v>
      </c>
      <c r="H48" s="305" t="str">
        <f>IF(OR(Electric[[#This Row],[2023]]="n.a", Electric[[#This Row],[2022]]="n.a"),"-", Electric[[#This Row],[2023]]-Electric[[#This Row],[2022]])</f>
        <v>-</v>
      </c>
      <c r="I48" s="305" t="str">
        <f>IF(OR(Electric[[#This Row],[2024]]="n.a", Electric[[#This Row],[2023]]="n.a"),"-", Electric[[#This Row],[2024]]-Electric[[#This Row],[2023]])</f>
        <v>-</v>
      </c>
      <c r="J48" s="305">
        <f>IF(OR(Electric[[#This Row],[2025]]="n.a", Electric[[#This Row],[2024]]="n.a"),"-", Electric[[#This Row],[2025]]-Electric[[#This Row],[2024]])</f>
        <v>0</v>
      </c>
      <c r="L48" s="250" t="s">
        <v>51</v>
      </c>
      <c r="M48" s="250" t="str">
        <f>IF(OR(Electric[[#This Row],[2022]]="n.a", Electric[[#This Row],[2022]]=0, Electric[[#This Row],[2023]]="n.a"), "-", H48/Electric[[#This Row],[2022]])</f>
        <v>-</v>
      </c>
      <c r="N48" s="250" t="str">
        <f>IF(OR(Electric[[#This Row],[2023]]="n.a", Electric[[#This Row],[2023]]=0, Electric[[#This Row],[2024]]="n.a"), "-", I48/Electric[[#This Row],[2023]])</f>
        <v>-</v>
      </c>
      <c r="O48" s="250" t="str">
        <f>IF(OR(Electric[[#This Row],[2024]]="n.a", Electric[[#This Row],[2024]]=0, Electric[[#This Row],[2025]]="n.a"), "-", J48/Electric[[#This Row],[2024]])</f>
        <v>-</v>
      </c>
    </row>
    <row r="49" spans="1:15">
      <c r="A49" s="278" t="s">
        <v>38</v>
      </c>
      <c r="B49" s="284">
        <v>0</v>
      </c>
      <c r="C49" s="284" t="s">
        <v>53</v>
      </c>
      <c r="D49" s="252">
        <v>0</v>
      </c>
      <c r="E49" s="252">
        <v>0</v>
      </c>
      <c r="G49" s="305" t="s">
        <v>51</v>
      </c>
      <c r="H49" s="305" t="str">
        <f>IF(OR(Electric[[#This Row],[2023]]="n.a", Electric[[#This Row],[2022]]="n.a"),"-", Electric[[#This Row],[2023]]-Electric[[#This Row],[2022]])</f>
        <v>-</v>
      </c>
      <c r="I49" s="305" t="str">
        <f>IF(OR(Electric[[#This Row],[2024]]="n.a", Electric[[#This Row],[2023]]="n.a"),"-", Electric[[#This Row],[2024]]-Electric[[#This Row],[2023]])</f>
        <v>-</v>
      </c>
      <c r="J49" s="305">
        <f>IF(OR(Electric[[#This Row],[2025]]="n.a", Electric[[#This Row],[2024]]="n.a"),"-", Electric[[#This Row],[2025]]-Electric[[#This Row],[2024]])</f>
        <v>0</v>
      </c>
      <c r="L49" s="250" t="s">
        <v>51</v>
      </c>
      <c r="M49" s="250" t="str">
        <f>IF(OR(Electric[[#This Row],[2022]]="n.a", Electric[[#This Row],[2022]]=0, Electric[[#This Row],[2023]]="n.a"), "-", H49/Electric[[#This Row],[2022]])</f>
        <v>-</v>
      </c>
      <c r="N49" s="250" t="str">
        <f>IF(OR(Electric[[#This Row],[2023]]="n.a", Electric[[#This Row],[2023]]=0, Electric[[#This Row],[2024]]="n.a"), "-", I49/Electric[[#This Row],[2023]])</f>
        <v>-</v>
      </c>
      <c r="O49" s="250" t="str">
        <f>IF(OR(Electric[[#This Row],[2024]]="n.a", Electric[[#This Row],[2024]]=0, Electric[[#This Row],[2025]]="n.a"), "-", J49/Electric[[#This Row],[2024]])</f>
        <v>-</v>
      </c>
    </row>
    <row r="50" spans="1:15">
      <c r="A50" s="278" t="s">
        <v>39</v>
      </c>
      <c r="B50" s="284">
        <v>790</v>
      </c>
      <c r="C50" s="284" t="s">
        <v>53</v>
      </c>
      <c r="D50" s="252">
        <v>0</v>
      </c>
      <c r="E50" s="252">
        <v>0</v>
      </c>
      <c r="G50" s="305" t="s">
        <v>51</v>
      </c>
      <c r="H50" s="305" t="str">
        <f>IF(OR(Electric[[#This Row],[2023]]="n.a", Electric[[#This Row],[2022]]="n.a"),"-", Electric[[#This Row],[2023]]-Electric[[#This Row],[2022]])</f>
        <v>-</v>
      </c>
      <c r="I50" s="305" t="str">
        <f>IF(OR(Electric[[#This Row],[2024]]="n.a", Electric[[#This Row],[2023]]="n.a"),"-", Electric[[#This Row],[2024]]-Electric[[#This Row],[2023]])</f>
        <v>-</v>
      </c>
      <c r="J50" s="305">
        <f>IF(OR(Electric[[#This Row],[2025]]="n.a", Electric[[#This Row],[2024]]="n.a"),"-", Electric[[#This Row],[2025]]-Electric[[#This Row],[2024]])</f>
        <v>0</v>
      </c>
      <c r="L50" s="250" t="s">
        <v>51</v>
      </c>
      <c r="M50" s="250" t="str">
        <f>IF(OR(Electric[[#This Row],[2022]]="n.a", Electric[[#This Row],[2022]]=0, Electric[[#This Row],[2023]]="n.a"), "-", H50/Electric[[#This Row],[2022]])</f>
        <v>-</v>
      </c>
      <c r="N50" s="250" t="str">
        <f>IF(OR(Electric[[#This Row],[2023]]="n.a", Electric[[#This Row],[2023]]=0, Electric[[#This Row],[2024]]="n.a"), "-", I50/Electric[[#This Row],[2023]])</f>
        <v>-</v>
      </c>
      <c r="O50" s="250" t="str">
        <f>IF(OR(Electric[[#This Row],[2024]]="n.a", Electric[[#This Row],[2024]]=0, Electric[[#This Row],[2025]]="n.a"), "-", J50/Electric[[#This Row],[2024]])</f>
        <v>-</v>
      </c>
    </row>
    <row r="51" spans="1:15">
      <c r="A51" s="278" t="s">
        <v>36</v>
      </c>
      <c r="B51" s="283">
        <v>0</v>
      </c>
      <c r="C51" s="284" t="s">
        <v>53</v>
      </c>
      <c r="D51" s="252">
        <v>0</v>
      </c>
      <c r="E51" s="252">
        <v>0</v>
      </c>
      <c r="G51" s="305" t="s">
        <v>51</v>
      </c>
      <c r="H51" s="305" t="str">
        <f>IF(OR(Electric[[#This Row],[2023]]="n.a", Electric[[#This Row],[2022]]="n.a"),"-", Electric[[#This Row],[2023]]-Electric[[#This Row],[2022]])</f>
        <v>-</v>
      </c>
      <c r="I51" s="305" t="str">
        <f>IF(OR(Electric[[#This Row],[2024]]="n.a", Electric[[#This Row],[2023]]="n.a"),"-", Electric[[#This Row],[2024]]-Electric[[#This Row],[2023]])</f>
        <v>-</v>
      </c>
      <c r="J51" s="305">
        <f>IF(OR(Electric[[#This Row],[2025]]="n.a", Electric[[#This Row],[2024]]="n.a"),"-", Electric[[#This Row],[2025]]-Electric[[#This Row],[2024]])</f>
        <v>0</v>
      </c>
      <c r="L51" s="250" t="s">
        <v>51</v>
      </c>
      <c r="M51" s="250" t="str">
        <f>IF(OR(Electric[[#This Row],[2022]]="n.a", Electric[[#This Row],[2022]]=0, Electric[[#This Row],[2023]]="n.a"), "-", H51/Electric[[#This Row],[2022]])</f>
        <v>-</v>
      </c>
      <c r="N51" s="250" t="str">
        <f>IF(OR(Electric[[#This Row],[2023]]="n.a", Electric[[#This Row],[2023]]=0, Electric[[#This Row],[2024]]="n.a"), "-", I51/Electric[[#This Row],[2023]])</f>
        <v>-</v>
      </c>
      <c r="O51" s="250" t="str">
        <f>IF(OR(Electric[[#This Row],[2024]]="n.a", Electric[[#This Row],[2024]]=0, Electric[[#This Row],[2025]]="n.a"), "-", J51/Electric[[#This Row],[2024]])</f>
        <v>-</v>
      </c>
    </row>
    <row r="52" spans="1:15">
      <c r="A52" s="278" t="s">
        <v>37</v>
      </c>
      <c r="B52" s="283">
        <v>0</v>
      </c>
      <c r="C52" s="284" t="s">
        <v>53</v>
      </c>
      <c r="D52" s="252">
        <v>0</v>
      </c>
      <c r="E52" s="252">
        <v>0</v>
      </c>
      <c r="G52" s="305" t="s">
        <v>51</v>
      </c>
      <c r="H52" s="305" t="str">
        <f>IF(OR(Electric[[#This Row],[2023]]="n.a", Electric[[#This Row],[2022]]="n.a"),"-", Electric[[#This Row],[2023]]-Electric[[#This Row],[2022]])</f>
        <v>-</v>
      </c>
      <c r="I52" s="305" t="str">
        <f>IF(OR(Electric[[#This Row],[2024]]="n.a", Electric[[#This Row],[2023]]="n.a"),"-", Electric[[#This Row],[2024]]-Electric[[#This Row],[2023]])</f>
        <v>-</v>
      </c>
      <c r="J52" s="305">
        <f>IF(OR(Electric[[#This Row],[2025]]="n.a", Electric[[#This Row],[2024]]="n.a"),"-", Electric[[#This Row],[2025]]-Electric[[#This Row],[2024]])</f>
        <v>0</v>
      </c>
      <c r="L52" s="250" t="s">
        <v>51</v>
      </c>
      <c r="M52" s="250" t="str">
        <f>IF(OR(Electric[[#This Row],[2022]]="n.a", Electric[[#This Row],[2022]]=0, Electric[[#This Row],[2023]]="n.a"), "-", H52/Electric[[#This Row],[2022]])</f>
        <v>-</v>
      </c>
      <c r="N52" s="250" t="str">
        <f>IF(OR(Electric[[#This Row],[2023]]="n.a", Electric[[#This Row],[2023]]=0, Electric[[#This Row],[2024]]="n.a"), "-", I52/Electric[[#This Row],[2023]])</f>
        <v>-</v>
      </c>
      <c r="O52" s="250" t="str">
        <f>IF(OR(Electric[[#This Row],[2024]]="n.a", Electric[[#This Row],[2024]]=0, Electric[[#This Row],[2025]]="n.a"), "-", J52/Electric[[#This Row],[2024]])</f>
        <v>-</v>
      </c>
    </row>
    <row r="53" spans="1:15">
      <c r="A53" s="278" t="s">
        <v>41</v>
      </c>
      <c r="B53" s="283">
        <v>0</v>
      </c>
      <c r="C53" s="284" t="s">
        <v>53</v>
      </c>
      <c r="D53" s="252">
        <v>0</v>
      </c>
      <c r="E53" s="252">
        <v>0</v>
      </c>
      <c r="G53" s="305" t="s">
        <v>51</v>
      </c>
      <c r="H53" s="305" t="str">
        <f>IF(OR(Electric[[#This Row],[2023]]="n.a", Electric[[#This Row],[2022]]="n.a"),"-", Electric[[#This Row],[2023]]-Electric[[#This Row],[2022]])</f>
        <v>-</v>
      </c>
      <c r="I53" s="305" t="str">
        <f>IF(OR(Electric[[#This Row],[2024]]="n.a", Electric[[#This Row],[2023]]="n.a"),"-", Electric[[#This Row],[2024]]-Electric[[#This Row],[2023]])</f>
        <v>-</v>
      </c>
      <c r="J53" s="305">
        <f>IF(OR(Electric[[#This Row],[2025]]="n.a", Electric[[#This Row],[2024]]="n.a"),"-", Electric[[#This Row],[2025]]-Electric[[#This Row],[2024]])</f>
        <v>0</v>
      </c>
      <c r="L53" s="250" t="s">
        <v>51</v>
      </c>
      <c r="M53" s="250" t="str">
        <f>IF(OR(Electric[[#This Row],[2022]]="n.a", Electric[[#This Row],[2022]]=0, Electric[[#This Row],[2023]]="n.a"), "-", H53/Electric[[#This Row],[2022]])</f>
        <v>-</v>
      </c>
      <c r="N53" s="250" t="str">
        <f>IF(OR(Electric[[#This Row],[2023]]="n.a", Electric[[#This Row],[2023]]=0, Electric[[#This Row],[2024]]="n.a"), "-", I53/Electric[[#This Row],[2023]])</f>
        <v>-</v>
      </c>
      <c r="O53" s="250" t="str">
        <f>IF(OR(Electric[[#This Row],[2024]]="n.a", Electric[[#This Row],[2024]]=0, Electric[[#This Row],[2025]]="n.a"), "-", J53/Electric[[#This Row],[2024]])</f>
        <v>-</v>
      </c>
    </row>
    <row r="54" spans="1:15">
      <c r="B54" s="259"/>
      <c r="C54" s="259"/>
      <c r="D54" s="259"/>
      <c r="E54" s="259"/>
      <c r="L54" s="287"/>
      <c r="M54" s="287"/>
      <c r="N54" s="287"/>
      <c r="O54" s="287"/>
    </row>
    <row r="55" spans="1:15" ht="26">
      <c r="A55" s="303" t="s">
        <v>54</v>
      </c>
      <c r="B55" s="341" t="s">
        <v>85</v>
      </c>
      <c r="C55" s="341"/>
      <c r="D55" s="341"/>
      <c r="E55" s="341"/>
      <c r="G55" s="342" t="s">
        <v>44</v>
      </c>
      <c r="H55" s="343"/>
      <c r="I55" s="343"/>
      <c r="J55" s="344"/>
      <c r="L55" s="342" t="s">
        <v>82</v>
      </c>
      <c r="M55" s="343"/>
      <c r="N55" s="343"/>
      <c r="O55" s="344"/>
    </row>
    <row r="56" spans="1:15" ht="15" thickBot="1">
      <c r="A56" s="92" t="s">
        <v>74</v>
      </c>
      <c r="B56" s="230" t="s">
        <v>46</v>
      </c>
      <c r="C56" s="230" t="s">
        <v>47</v>
      </c>
      <c r="D56" s="231" t="s">
        <v>48</v>
      </c>
      <c r="E56" s="231" t="s">
        <v>49</v>
      </c>
      <c r="G56" s="246">
        <v>2022</v>
      </c>
      <c r="H56" s="246">
        <v>2023</v>
      </c>
      <c r="I56" s="246">
        <v>2024</v>
      </c>
      <c r="J56" s="246">
        <v>2025</v>
      </c>
      <c r="L56" s="246">
        <v>2022</v>
      </c>
      <c r="M56" s="246">
        <v>2023</v>
      </c>
      <c r="N56" s="246">
        <v>2024</v>
      </c>
      <c r="O56" s="246">
        <v>2025</v>
      </c>
    </row>
    <row r="57" spans="1:15">
      <c r="A57" s="302" t="s">
        <v>50</v>
      </c>
      <c r="B57" s="281">
        <f>B58+B59+B60+B61+B62+B63+B65+B67+B68</f>
        <v>192780</v>
      </c>
      <c r="C57" s="281" t="s">
        <v>53</v>
      </c>
      <c r="D57" s="282">
        <v>40500</v>
      </c>
      <c r="E57" s="282">
        <v>108509</v>
      </c>
      <c r="G57" s="305" t="s">
        <v>51</v>
      </c>
      <c r="H57" s="305" t="str">
        <f>IF(OR(Slope[[#This Row],[2023]]="n.a", Slope[[#This Row],[2022]]="n.a"),"-", Slope[[#This Row],[2023]]-Slope[[#This Row],[2022]])</f>
        <v>-</v>
      </c>
      <c r="I57" s="305" t="str">
        <f>IF(OR(Slope[[#This Row],[2024]]="n.a", Slope[[#This Row],[2023]]="n.a"),"-", Slope[[#This Row],[2024]]-Slope[[#This Row],[2023]])</f>
        <v>-</v>
      </c>
      <c r="J57" s="305">
        <f>IF(OR(Slope[[#This Row],[2025]]="n.a", Slope[[#This Row],[2024]]="n.a"),"-", Slope[[#This Row],[2025]]-Slope[[#This Row],[2024]])</f>
        <v>68009</v>
      </c>
      <c r="L57" s="250" t="s">
        <v>51</v>
      </c>
      <c r="M57" s="250" t="str">
        <f>IF(OR(Slope[[#This Row],[2022]]="n.a", Slope[[#This Row],[2022]]=0, Slope[[#This Row],[2023]]="n.a"), "-", H57/Slope[[#This Row],[2022]])</f>
        <v>-</v>
      </c>
      <c r="N57" s="250" t="str">
        <f>IF(OR(Slope[[#This Row],[2023]]="n.a", Slope[[#This Row],[2023]]=0, Slope[[#This Row],[2024]]="n.a"), "-", I57/Slope[[#This Row],[2023]])</f>
        <v>-</v>
      </c>
      <c r="O57" s="250">
        <f>IF(OR(Slope[[#This Row],[2024]]="n.a", Slope[[#This Row],[2024]]=0, Slope[[#This Row],[2025]]="n.a"), "-", J57/Slope[[#This Row],[2024]])</f>
        <v>1.6792345679012346</v>
      </c>
    </row>
    <row r="58" spans="1:15">
      <c r="A58" s="278" t="s">
        <v>27</v>
      </c>
      <c r="B58" s="284">
        <v>3370</v>
      </c>
      <c r="C58" s="284" t="s">
        <v>53</v>
      </c>
      <c r="D58" s="252">
        <v>0</v>
      </c>
      <c r="E58" s="252">
        <v>1000</v>
      </c>
      <c r="G58" s="305" t="s">
        <v>51</v>
      </c>
      <c r="H58" s="305" t="str">
        <f>IF(OR(Slope[[#This Row],[2023]]="n.a", Slope[[#This Row],[2022]]="n.a"),"-", Slope[[#This Row],[2023]]-Slope[[#This Row],[2022]])</f>
        <v>-</v>
      </c>
      <c r="I58" s="305" t="str">
        <f>IF(OR(Slope[[#This Row],[2024]]="n.a", Slope[[#This Row],[2023]]="n.a"),"-", Slope[[#This Row],[2024]]-Slope[[#This Row],[2023]])</f>
        <v>-</v>
      </c>
      <c r="J58" s="305">
        <f>IF(OR(Slope[[#This Row],[2025]]="n.a", Slope[[#This Row],[2024]]="n.a"),"-", Slope[[#This Row],[2025]]-Slope[[#This Row],[2024]])</f>
        <v>1000</v>
      </c>
      <c r="L58" s="250" t="s">
        <v>51</v>
      </c>
      <c r="M58" s="250" t="str">
        <f>IF(OR(Slope[[#This Row],[2022]]="n.a", Slope[[#This Row],[2022]]=0, Slope[[#This Row],[2023]]="n.a"), "-", H58/Slope[[#This Row],[2022]])</f>
        <v>-</v>
      </c>
      <c r="N58" s="250" t="str">
        <f>IF(OR(Slope[[#This Row],[2023]]="n.a", Slope[[#This Row],[2023]]=0, Slope[[#This Row],[2024]]="n.a"), "-", I58/Slope[[#This Row],[2023]])</f>
        <v>-</v>
      </c>
      <c r="O58" s="250" t="str">
        <f>IF(OR(Slope[[#This Row],[2024]]="n.a", Slope[[#This Row],[2024]]=0, Slope[[#This Row],[2025]]="n.a"), "-", J58/Slope[[#This Row],[2024]])</f>
        <v>-</v>
      </c>
    </row>
    <row r="59" spans="1:15">
      <c r="A59" s="278" t="s">
        <v>28</v>
      </c>
      <c r="B59" s="284">
        <v>0</v>
      </c>
      <c r="C59" s="284" t="s">
        <v>53</v>
      </c>
      <c r="D59" s="252">
        <v>0</v>
      </c>
      <c r="E59" s="252">
        <v>4500</v>
      </c>
      <c r="G59" s="305" t="s">
        <v>51</v>
      </c>
      <c r="H59" s="305" t="str">
        <f>IF(OR(Slope[[#This Row],[2023]]="n.a", Slope[[#This Row],[2022]]="n.a"),"-", Slope[[#This Row],[2023]]-Slope[[#This Row],[2022]])</f>
        <v>-</v>
      </c>
      <c r="I59" s="305" t="str">
        <f>IF(OR(Slope[[#This Row],[2024]]="n.a", Slope[[#This Row],[2023]]="n.a"),"-", Slope[[#This Row],[2024]]-Slope[[#This Row],[2023]])</f>
        <v>-</v>
      </c>
      <c r="J59" s="305">
        <f>IF(OR(Slope[[#This Row],[2025]]="n.a", Slope[[#This Row],[2024]]="n.a"),"-", Slope[[#This Row],[2025]]-Slope[[#This Row],[2024]])</f>
        <v>4500</v>
      </c>
      <c r="L59" s="250" t="s">
        <v>51</v>
      </c>
      <c r="M59" s="250" t="str">
        <f>IF(OR(Slope[[#This Row],[2022]]="n.a", Slope[[#This Row],[2022]]=0, Slope[[#This Row],[2023]]="n.a"), "-", H59/Slope[[#This Row],[2022]])</f>
        <v>-</v>
      </c>
      <c r="N59" s="250" t="str">
        <f>IF(OR(Slope[[#This Row],[2023]]="n.a", Slope[[#This Row],[2023]]=0, Slope[[#This Row],[2024]]="n.a"), "-", I59/Slope[[#This Row],[2023]])</f>
        <v>-</v>
      </c>
      <c r="O59" s="250" t="str">
        <f>IF(OR(Slope[[#This Row],[2024]]="n.a", Slope[[#This Row],[2024]]=0, Slope[[#This Row],[2025]]="n.a"), "-", J59/Slope[[#This Row],[2024]])</f>
        <v>-</v>
      </c>
    </row>
    <row r="60" spans="1:15">
      <c r="A60" s="278" t="s">
        <v>29</v>
      </c>
      <c r="B60" s="284">
        <v>490</v>
      </c>
      <c r="C60" s="284" t="s">
        <v>53</v>
      </c>
      <c r="D60" s="252">
        <v>5500</v>
      </c>
      <c r="E60" s="252">
        <v>37000</v>
      </c>
      <c r="G60" s="305" t="s">
        <v>51</v>
      </c>
      <c r="H60" s="305" t="str">
        <f>IF(OR(Slope[[#This Row],[2023]]="n.a", Slope[[#This Row],[2022]]="n.a"),"-", Slope[[#This Row],[2023]]-Slope[[#This Row],[2022]])</f>
        <v>-</v>
      </c>
      <c r="I60" s="305" t="str">
        <f>IF(OR(Slope[[#This Row],[2024]]="n.a", Slope[[#This Row],[2023]]="n.a"),"-", Slope[[#This Row],[2024]]-Slope[[#This Row],[2023]])</f>
        <v>-</v>
      </c>
      <c r="J60" s="305">
        <f>IF(OR(Slope[[#This Row],[2025]]="n.a", Slope[[#This Row],[2024]]="n.a"),"-", Slope[[#This Row],[2025]]-Slope[[#This Row],[2024]])</f>
        <v>31500</v>
      </c>
      <c r="L60" s="250" t="s">
        <v>51</v>
      </c>
      <c r="M60" s="250" t="str">
        <f>IF(OR(Slope[[#This Row],[2022]]="n.a", Slope[[#This Row],[2022]]=0, Slope[[#This Row],[2023]]="n.a"), "-", H60/Slope[[#This Row],[2022]])</f>
        <v>-</v>
      </c>
      <c r="N60" s="250" t="str">
        <f>IF(OR(Slope[[#This Row],[2023]]="n.a", Slope[[#This Row],[2023]]=0, Slope[[#This Row],[2024]]="n.a"), "-", I60/Slope[[#This Row],[2023]])</f>
        <v>-</v>
      </c>
      <c r="O60" s="250">
        <f>IF(OR(Slope[[#This Row],[2024]]="n.a", Slope[[#This Row],[2024]]=0, Slope[[#This Row],[2025]]="n.a"), "-", J60/Slope[[#This Row],[2024]])</f>
        <v>5.7272727272727275</v>
      </c>
    </row>
    <row r="61" spans="1:15">
      <c r="A61" s="278" t="s">
        <v>30</v>
      </c>
      <c r="B61" s="284">
        <v>1500</v>
      </c>
      <c r="C61" s="284" t="s">
        <v>53</v>
      </c>
      <c r="D61" s="252">
        <v>0</v>
      </c>
      <c r="E61" s="252">
        <v>0</v>
      </c>
      <c r="G61" s="305" t="s">
        <v>51</v>
      </c>
      <c r="H61" s="305" t="str">
        <f>IF(OR(Slope[[#This Row],[2023]]="n.a", Slope[[#This Row],[2022]]="n.a"),"-", Slope[[#This Row],[2023]]-Slope[[#This Row],[2022]])</f>
        <v>-</v>
      </c>
      <c r="I61" s="305" t="str">
        <f>IF(OR(Slope[[#This Row],[2024]]="n.a", Slope[[#This Row],[2023]]="n.a"),"-", Slope[[#This Row],[2024]]-Slope[[#This Row],[2023]])</f>
        <v>-</v>
      </c>
      <c r="J61" s="305">
        <f>IF(OR(Slope[[#This Row],[2025]]="n.a", Slope[[#This Row],[2024]]="n.a"),"-", Slope[[#This Row],[2025]]-Slope[[#This Row],[2024]])</f>
        <v>0</v>
      </c>
      <c r="L61" s="250" t="s">
        <v>51</v>
      </c>
      <c r="M61" s="250" t="str">
        <f>IF(OR(Slope[[#This Row],[2022]]="n.a", Slope[[#This Row],[2022]]=0, Slope[[#This Row],[2023]]="n.a"), "-", H61/Slope[[#This Row],[2022]])</f>
        <v>-</v>
      </c>
      <c r="N61" s="250" t="str">
        <f>IF(OR(Slope[[#This Row],[2023]]="n.a", Slope[[#This Row],[2023]]=0, Slope[[#This Row],[2024]]="n.a"), "-", I61/Slope[[#This Row],[2023]])</f>
        <v>-</v>
      </c>
      <c r="O61" s="250" t="str">
        <f>IF(OR(Slope[[#This Row],[2024]]="n.a", Slope[[#This Row],[2024]]=0, Slope[[#This Row],[2025]]="n.a"), "-", J61/Slope[[#This Row],[2024]])</f>
        <v>-</v>
      </c>
    </row>
    <row r="62" spans="1:15">
      <c r="A62" s="278" t="s">
        <v>31</v>
      </c>
      <c r="B62" s="284">
        <v>17590</v>
      </c>
      <c r="C62" s="284" t="s">
        <v>53</v>
      </c>
      <c r="D62" s="252">
        <v>0</v>
      </c>
      <c r="E62" s="252">
        <v>0</v>
      </c>
      <c r="G62" s="305" t="s">
        <v>51</v>
      </c>
      <c r="H62" s="305" t="str">
        <f>IF(OR(Slope[[#This Row],[2023]]="n.a", Slope[[#This Row],[2022]]="n.a"),"-", Slope[[#This Row],[2023]]-Slope[[#This Row],[2022]])</f>
        <v>-</v>
      </c>
      <c r="I62" s="305" t="str">
        <f>IF(OR(Slope[[#This Row],[2024]]="n.a", Slope[[#This Row],[2023]]="n.a"),"-", Slope[[#This Row],[2024]]-Slope[[#This Row],[2023]])</f>
        <v>-</v>
      </c>
      <c r="J62" s="305">
        <f>IF(OR(Slope[[#This Row],[2025]]="n.a", Slope[[#This Row],[2024]]="n.a"),"-", Slope[[#This Row],[2025]]-Slope[[#This Row],[2024]])</f>
        <v>0</v>
      </c>
      <c r="L62" s="250" t="s">
        <v>51</v>
      </c>
      <c r="M62" s="250" t="str">
        <f>IF(OR(Slope[[#This Row],[2022]]="n.a", Slope[[#This Row],[2022]]=0, Slope[[#This Row],[2023]]="n.a"), "-", H62/Slope[[#This Row],[2022]])</f>
        <v>-</v>
      </c>
      <c r="N62" s="250" t="str">
        <f>IF(OR(Slope[[#This Row],[2023]]="n.a", Slope[[#This Row],[2023]]=0, Slope[[#This Row],[2024]]="n.a"), "-", I62/Slope[[#This Row],[2023]])</f>
        <v>-</v>
      </c>
      <c r="O62" s="250" t="str">
        <f>IF(OR(Slope[[#This Row],[2024]]="n.a", Slope[[#This Row],[2024]]=0, Slope[[#This Row],[2025]]="n.a"), "-", J62/Slope[[#This Row],[2024]])</f>
        <v>-</v>
      </c>
    </row>
    <row r="63" spans="1:15">
      <c r="A63" s="278" t="s">
        <v>32</v>
      </c>
      <c r="B63" s="284">
        <v>138480</v>
      </c>
      <c r="C63" s="284" t="s">
        <v>53</v>
      </c>
      <c r="D63" s="252">
        <v>0</v>
      </c>
      <c r="E63" s="252">
        <v>1000</v>
      </c>
      <c r="G63" s="305" t="s">
        <v>51</v>
      </c>
      <c r="H63" s="305" t="str">
        <f>IF(OR(Slope[[#This Row],[2023]]="n.a", Slope[[#This Row],[2022]]="n.a"),"-", Slope[[#This Row],[2023]]-Slope[[#This Row],[2022]])</f>
        <v>-</v>
      </c>
      <c r="I63" s="305" t="str">
        <f>IF(OR(Slope[[#This Row],[2024]]="n.a", Slope[[#This Row],[2023]]="n.a"),"-", Slope[[#This Row],[2024]]-Slope[[#This Row],[2023]])</f>
        <v>-</v>
      </c>
      <c r="J63" s="305">
        <f>IF(OR(Slope[[#This Row],[2025]]="n.a", Slope[[#This Row],[2024]]="n.a"),"-", Slope[[#This Row],[2025]]-Slope[[#This Row],[2024]])</f>
        <v>1000</v>
      </c>
      <c r="L63" s="250" t="s">
        <v>51</v>
      </c>
      <c r="M63" s="250" t="str">
        <f>IF(OR(Slope[[#This Row],[2022]]="n.a", Slope[[#This Row],[2022]]=0, Slope[[#This Row],[2023]]="n.a"), "-", H63/Slope[[#This Row],[2022]])</f>
        <v>-</v>
      </c>
      <c r="N63" s="250" t="str">
        <f>IF(OR(Slope[[#This Row],[2023]]="n.a", Slope[[#This Row],[2023]]=0, Slope[[#This Row],[2024]]="n.a"), "-", I63/Slope[[#This Row],[2023]])</f>
        <v>-</v>
      </c>
      <c r="O63" s="250" t="str">
        <f>IF(OR(Slope[[#This Row],[2024]]="n.a", Slope[[#This Row],[2024]]=0, Slope[[#This Row],[2025]]="n.a"), "-", J63/Slope[[#This Row],[2024]])</f>
        <v>-</v>
      </c>
    </row>
    <row r="64" spans="1:15">
      <c r="A64" s="278" t="s">
        <v>35</v>
      </c>
      <c r="B64" s="283">
        <v>0</v>
      </c>
      <c r="C64" s="284" t="s">
        <v>53</v>
      </c>
      <c r="D64" s="252">
        <v>0</v>
      </c>
      <c r="E64" s="252">
        <v>1309</v>
      </c>
      <c r="G64" s="305" t="s">
        <v>51</v>
      </c>
      <c r="H64" s="305" t="str">
        <f>IF(OR(Slope[[#This Row],[2023]]="n.a", Slope[[#This Row],[2022]]="n.a"),"-", Slope[[#This Row],[2023]]-Slope[[#This Row],[2022]])</f>
        <v>-</v>
      </c>
      <c r="I64" s="305" t="str">
        <f>IF(OR(Slope[[#This Row],[2024]]="n.a", Slope[[#This Row],[2023]]="n.a"),"-", Slope[[#This Row],[2024]]-Slope[[#This Row],[2023]])</f>
        <v>-</v>
      </c>
      <c r="J64" s="305">
        <f>IF(OR(Slope[[#This Row],[2025]]="n.a", Slope[[#This Row],[2024]]="n.a"),"-", Slope[[#This Row],[2025]]-Slope[[#This Row],[2024]])</f>
        <v>1309</v>
      </c>
      <c r="L64" s="250" t="s">
        <v>51</v>
      </c>
      <c r="M64" s="250" t="str">
        <f>IF(OR(Slope[[#This Row],[2022]]="n.a", Slope[[#This Row],[2022]]=0, Slope[[#This Row],[2023]]="n.a"), "-", H64/Slope[[#This Row],[2022]])</f>
        <v>-</v>
      </c>
      <c r="N64" s="250" t="str">
        <f>IF(OR(Slope[[#This Row],[2023]]="n.a", Slope[[#This Row],[2023]]=0, Slope[[#This Row],[2024]]="n.a"), "-", I64/Slope[[#This Row],[2023]])</f>
        <v>-</v>
      </c>
      <c r="O64" s="250" t="str">
        <f>IF(OR(Slope[[#This Row],[2024]]="n.a", Slope[[#This Row],[2024]]=0, Slope[[#This Row],[2025]]="n.a"), "-", J64/Slope[[#This Row],[2024]])</f>
        <v>-</v>
      </c>
    </row>
    <row r="65" spans="1:15">
      <c r="A65" s="278" t="s">
        <v>33</v>
      </c>
      <c r="B65" s="284">
        <v>9100</v>
      </c>
      <c r="C65" s="284" t="s">
        <v>53</v>
      </c>
      <c r="D65" s="252">
        <v>29000</v>
      </c>
      <c r="E65" s="252">
        <v>1000</v>
      </c>
      <c r="G65" s="305" t="s">
        <v>51</v>
      </c>
      <c r="H65" s="305" t="str">
        <f>IF(OR(Slope[[#This Row],[2023]]="n.a", Slope[[#This Row],[2022]]="n.a"),"-", Slope[[#This Row],[2023]]-Slope[[#This Row],[2022]])</f>
        <v>-</v>
      </c>
      <c r="I65" s="305" t="str">
        <f>IF(OR(Slope[[#This Row],[2024]]="n.a", Slope[[#This Row],[2023]]="n.a"),"-", Slope[[#This Row],[2024]]-Slope[[#This Row],[2023]])</f>
        <v>-</v>
      </c>
      <c r="J65" s="305">
        <f>IF(OR(Slope[[#This Row],[2025]]="n.a", Slope[[#This Row],[2024]]="n.a"),"-", Slope[[#This Row],[2025]]-Slope[[#This Row],[2024]])</f>
        <v>-28000</v>
      </c>
      <c r="L65" s="250" t="s">
        <v>51</v>
      </c>
      <c r="M65" s="250" t="str">
        <f>IF(OR(Slope[[#This Row],[2022]]="n.a", Slope[[#This Row],[2022]]=0, Slope[[#This Row],[2023]]="n.a"), "-", H65/Slope[[#This Row],[2022]])</f>
        <v>-</v>
      </c>
      <c r="N65" s="250" t="str">
        <f>IF(OR(Slope[[#This Row],[2023]]="n.a", Slope[[#This Row],[2023]]=0, Slope[[#This Row],[2024]]="n.a"), "-", I65/Slope[[#This Row],[2023]])</f>
        <v>-</v>
      </c>
      <c r="O65" s="250">
        <f>IF(OR(Slope[[#This Row],[2024]]="n.a", Slope[[#This Row],[2024]]=0, Slope[[#This Row],[2025]]="n.a"), "-", J65/Slope[[#This Row],[2024]])</f>
        <v>-0.96551724137931039</v>
      </c>
    </row>
    <row r="66" spans="1:15">
      <c r="A66" s="278" t="s">
        <v>34</v>
      </c>
      <c r="B66" s="283">
        <v>0</v>
      </c>
      <c r="C66" s="284" t="s">
        <v>53</v>
      </c>
      <c r="D66" s="252">
        <v>0</v>
      </c>
      <c r="E66" s="252">
        <v>15900</v>
      </c>
      <c r="G66" s="305" t="s">
        <v>51</v>
      </c>
      <c r="H66" s="305" t="str">
        <f>IF(OR(Slope[[#This Row],[2023]]="n.a", Slope[[#This Row],[2022]]="n.a"),"-", Slope[[#This Row],[2023]]-Slope[[#This Row],[2022]])</f>
        <v>-</v>
      </c>
      <c r="I66" s="305" t="str">
        <f>IF(OR(Slope[[#This Row],[2024]]="n.a", Slope[[#This Row],[2023]]="n.a"),"-", Slope[[#This Row],[2024]]-Slope[[#This Row],[2023]])</f>
        <v>-</v>
      </c>
      <c r="J66" s="305">
        <f>IF(OR(Slope[[#This Row],[2025]]="n.a", Slope[[#This Row],[2024]]="n.a"),"-", Slope[[#This Row],[2025]]-Slope[[#This Row],[2024]])</f>
        <v>15900</v>
      </c>
      <c r="L66" s="250" t="s">
        <v>51</v>
      </c>
      <c r="M66" s="250" t="str">
        <f>IF(OR(Slope[[#This Row],[2022]]="n.a", Slope[[#This Row],[2022]]=0, Slope[[#This Row],[2023]]="n.a"), "-", H66/Slope[[#This Row],[2022]])</f>
        <v>-</v>
      </c>
      <c r="N66" s="250" t="str">
        <f>IF(OR(Slope[[#This Row],[2023]]="n.a", Slope[[#This Row],[2023]]=0, Slope[[#This Row],[2024]]="n.a"), "-", I66/Slope[[#This Row],[2023]])</f>
        <v>-</v>
      </c>
      <c r="O66" s="250" t="str">
        <f>IF(OR(Slope[[#This Row],[2024]]="n.a", Slope[[#This Row],[2024]]=0, Slope[[#This Row],[2025]]="n.a"), "-", J66/Slope[[#This Row],[2024]])</f>
        <v>-</v>
      </c>
    </row>
    <row r="67" spans="1:15">
      <c r="A67" s="278" t="s">
        <v>38</v>
      </c>
      <c r="B67" s="284">
        <v>19250</v>
      </c>
      <c r="C67" s="284" t="s">
        <v>53</v>
      </c>
      <c r="D67" s="252">
        <v>0</v>
      </c>
      <c r="E67" s="252">
        <v>6800</v>
      </c>
      <c r="G67" s="305" t="s">
        <v>51</v>
      </c>
      <c r="H67" s="305" t="str">
        <f>IF(OR(Slope[[#This Row],[2023]]="n.a", Slope[[#This Row],[2022]]="n.a"),"-", Slope[[#This Row],[2023]]-Slope[[#This Row],[2022]])</f>
        <v>-</v>
      </c>
      <c r="I67" s="305" t="str">
        <f>IF(OR(Slope[[#This Row],[2024]]="n.a", Slope[[#This Row],[2023]]="n.a"),"-", Slope[[#This Row],[2024]]-Slope[[#This Row],[2023]])</f>
        <v>-</v>
      </c>
      <c r="J67" s="305">
        <f>IF(OR(Slope[[#This Row],[2025]]="n.a", Slope[[#This Row],[2024]]="n.a"),"-", Slope[[#This Row],[2025]]-Slope[[#This Row],[2024]])</f>
        <v>6800</v>
      </c>
      <c r="L67" s="250" t="s">
        <v>51</v>
      </c>
      <c r="M67" s="250" t="str">
        <f>IF(OR(Slope[[#This Row],[2022]]="n.a", Slope[[#This Row],[2022]]=0, Slope[[#This Row],[2023]]="n.a"), "-", H67/Slope[[#This Row],[2022]])</f>
        <v>-</v>
      </c>
      <c r="N67" s="250" t="str">
        <f>IF(OR(Slope[[#This Row],[2023]]="n.a", Slope[[#This Row],[2023]]=0, Slope[[#This Row],[2024]]="n.a"), "-", I67/Slope[[#This Row],[2023]])</f>
        <v>-</v>
      </c>
      <c r="O67" s="250" t="str">
        <f>IF(OR(Slope[[#This Row],[2024]]="n.a", Slope[[#This Row],[2024]]=0, Slope[[#This Row],[2025]]="n.a"), "-", J67/Slope[[#This Row],[2024]])</f>
        <v>-</v>
      </c>
    </row>
    <row r="68" spans="1:15">
      <c r="A68" s="278" t="s">
        <v>39</v>
      </c>
      <c r="B68" s="284">
        <v>3000</v>
      </c>
      <c r="C68" s="284" t="s">
        <v>53</v>
      </c>
      <c r="D68" s="252">
        <v>6000</v>
      </c>
      <c r="E68" s="252">
        <v>40000</v>
      </c>
      <c r="G68" s="305" t="s">
        <v>51</v>
      </c>
      <c r="H68" s="305" t="str">
        <f>IF(OR(Slope[[#This Row],[2023]]="n.a", Slope[[#This Row],[2022]]="n.a"),"-", Slope[[#This Row],[2023]]-Slope[[#This Row],[2022]])</f>
        <v>-</v>
      </c>
      <c r="I68" s="305" t="str">
        <f>IF(OR(Slope[[#This Row],[2024]]="n.a", Slope[[#This Row],[2023]]="n.a"),"-", Slope[[#This Row],[2024]]-Slope[[#This Row],[2023]])</f>
        <v>-</v>
      </c>
      <c r="J68" s="305">
        <f>IF(OR(Slope[[#This Row],[2025]]="n.a", Slope[[#This Row],[2024]]="n.a"),"-", Slope[[#This Row],[2025]]-Slope[[#This Row],[2024]])</f>
        <v>34000</v>
      </c>
      <c r="L68" s="250" t="s">
        <v>51</v>
      </c>
      <c r="M68" s="250" t="str">
        <f>IF(OR(Slope[[#This Row],[2022]]="n.a", Slope[[#This Row],[2022]]=0, Slope[[#This Row],[2023]]="n.a"), "-", H68/Slope[[#This Row],[2022]])</f>
        <v>-</v>
      </c>
      <c r="N68" s="250" t="str">
        <f>IF(OR(Slope[[#This Row],[2023]]="n.a", Slope[[#This Row],[2023]]=0, Slope[[#This Row],[2024]]="n.a"), "-", I68/Slope[[#This Row],[2023]])</f>
        <v>-</v>
      </c>
      <c r="O68" s="250">
        <f>IF(OR(Slope[[#This Row],[2024]]="n.a", Slope[[#This Row],[2024]]=0, Slope[[#This Row],[2025]]="n.a"), "-", J68/Slope[[#This Row],[2024]])</f>
        <v>5.666666666666667</v>
      </c>
    </row>
    <row r="69" spans="1:15">
      <c r="A69" s="278" t="s">
        <v>36</v>
      </c>
      <c r="B69" s="283">
        <v>0</v>
      </c>
      <c r="C69" s="284" t="s">
        <v>53</v>
      </c>
      <c r="D69" s="252">
        <v>0</v>
      </c>
      <c r="E69" s="252">
        <v>0</v>
      </c>
      <c r="G69" s="305" t="s">
        <v>51</v>
      </c>
      <c r="H69" s="305" t="str">
        <f>IF(OR(Slope[[#This Row],[2023]]="n.a", Slope[[#This Row],[2022]]="n.a"),"-", Slope[[#This Row],[2023]]-Slope[[#This Row],[2022]])</f>
        <v>-</v>
      </c>
      <c r="I69" s="305" t="str">
        <f>IF(OR(Slope[[#This Row],[2024]]="n.a", Slope[[#This Row],[2023]]="n.a"),"-", Slope[[#This Row],[2024]]-Slope[[#This Row],[2023]])</f>
        <v>-</v>
      </c>
      <c r="J69" s="305">
        <f>IF(OR(Slope[[#This Row],[2025]]="n.a", Slope[[#This Row],[2024]]="n.a"),"-", Slope[[#This Row],[2025]]-Slope[[#This Row],[2024]])</f>
        <v>0</v>
      </c>
      <c r="L69" s="250" t="s">
        <v>51</v>
      </c>
      <c r="M69" s="250" t="str">
        <f>IF(OR(Slope[[#This Row],[2022]]="n.a", Slope[[#This Row],[2022]]=0, Slope[[#This Row],[2023]]="n.a"), "-", H69/Slope[[#This Row],[2022]])</f>
        <v>-</v>
      </c>
      <c r="N69" s="250" t="str">
        <f>IF(OR(Slope[[#This Row],[2023]]="n.a", Slope[[#This Row],[2023]]=0, Slope[[#This Row],[2024]]="n.a"), "-", I69/Slope[[#This Row],[2023]])</f>
        <v>-</v>
      </c>
      <c r="O69" s="250" t="str">
        <f>IF(OR(Slope[[#This Row],[2024]]="n.a", Slope[[#This Row],[2024]]=0, Slope[[#This Row],[2025]]="n.a"), "-", J69/Slope[[#This Row],[2024]])</f>
        <v>-</v>
      </c>
    </row>
    <row r="70" spans="1:15">
      <c r="A70" s="278" t="s">
        <v>37</v>
      </c>
      <c r="B70" s="283">
        <v>0</v>
      </c>
      <c r="C70" s="284" t="s">
        <v>53</v>
      </c>
      <c r="D70" s="252">
        <v>0</v>
      </c>
      <c r="E70" s="252">
        <v>0</v>
      </c>
      <c r="G70" s="305" t="s">
        <v>51</v>
      </c>
      <c r="H70" s="305" t="str">
        <f>IF(OR(Slope[[#This Row],[2023]]="n.a", Slope[[#This Row],[2022]]="n.a"),"-", Slope[[#This Row],[2023]]-Slope[[#This Row],[2022]])</f>
        <v>-</v>
      </c>
      <c r="I70" s="305" t="str">
        <f>IF(OR(Slope[[#This Row],[2024]]="n.a", Slope[[#This Row],[2023]]="n.a"),"-", Slope[[#This Row],[2024]]-Slope[[#This Row],[2023]])</f>
        <v>-</v>
      </c>
      <c r="J70" s="305">
        <f>IF(OR(Slope[[#This Row],[2025]]="n.a", Slope[[#This Row],[2024]]="n.a"),"-", Slope[[#This Row],[2025]]-Slope[[#This Row],[2024]])</f>
        <v>0</v>
      </c>
      <c r="L70" s="250" t="s">
        <v>51</v>
      </c>
      <c r="M70" s="250" t="str">
        <f>IF(OR(Slope[[#This Row],[2022]]="n.a", Slope[[#This Row],[2022]]=0, Slope[[#This Row],[2023]]="n.a"), "-", H70/Slope[[#This Row],[2022]])</f>
        <v>-</v>
      </c>
      <c r="N70" s="250" t="str">
        <f>IF(OR(Slope[[#This Row],[2023]]="n.a", Slope[[#This Row],[2023]]=0, Slope[[#This Row],[2024]]="n.a"), "-", I70/Slope[[#This Row],[2023]])</f>
        <v>-</v>
      </c>
      <c r="O70" s="250" t="str">
        <f>IF(OR(Slope[[#This Row],[2024]]="n.a", Slope[[#This Row],[2024]]=0, Slope[[#This Row],[2025]]="n.a"), "-", J70/Slope[[#This Row],[2024]])</f>
        <v>-</v>
      </c>
    </row>
    <row r="71" spans="1:15">
      <c r="A71" s="278" t="s">
        <v>41</v>
      </c>
      <c r="B71" s="283">
        <v>0</v>
      </c>
      <c r="C71" s="284" t="s">
        <v>53</v>
      </c>
      <c r="D71" s="252">
        <v>0</v>
      </c>
      <c r="E71" s="252">
        <v>0</v>
      </c>
      <c r="G71" s="305" t="s">
        <v>51</v>
      </c>
      <c r="H71" s="305" t="str">
        <f>IF(OR(Slope[[#This Row],[2023]]="n.a", Slope[[#This Row],[2022]]="n.a"),"-", Slope[[#This Row],[2023]]-Slope[[#This Row],[2022]])</f>
        <v>-</v>
      </c>
      <c r="I71" s="305" t="str">
        <f>IF(OR(Slope[[#This Row],[2024]]="n.a", Slope[[#This Row],[2023]]="n.a"),"-", Slope[[#This Row],[2024]]-Slope[[#This Row],[2023]])</f>
        <v>-</v>
      </c>
      <c r="J71" s="305">
        <f>IF(OR(Slope[[#This Row],[2025]]="n.a", Slope[[#This Row],[2024]]="n.a"),"-", Slope[[#This Row],[2025]]-Slope[[#This Row],[2024]])</f>
        <v>0</v>
      </c>
      <c r="L71" s="250" t="s">
        <v>51</v>
      </c>
      <c r="M71" s="250" t="str">
        <f>IF(OR(Slope[[#This Row],[2022]]="n.a", Slope[[#This Row],[2022]]=0, Slope[[#This Row],[2023]]="n.a"), "-", H71/Slope[[#This Row],[2022]])</f>
        <v>-</v>
      </c>
      <c r="N71" s="250" t="str">
        <f>IF(OR(Slope[[#This Row],[2023]]="n.a", Slope[[#This Row],[2023]]=0, Slope[[#This Row],[2024]]="n.a"), "-", I71/Slope[[#This Row],[2023]])</f>
        <v>-</v>
      </c>
      <c r="O71" s="250" t="str">
        <f>IF(OR(Slope[[#This Row],[2024]]="n.a", Slope[[#This Row],[2024]]=0, Slope[[#This Row],[2025]]="n.a"), "-", J71/Slope[[#This Row],[2024]])</f>
        <v>-</v>
      </c>
    </row>
  </sheetData>
  <mergeCells count="12">
    <mergeCell ref="G37:J37"/>
    <mergeCell ref="L37:O37"/>
    <mergeCell ref="L55:O55"/>
    <mergeCell ref="G55:J55"/>
    <mergeCell ref="B55:E55"/>
    <mergeCell ref="B37:E37"/>
    <mergeCell ref="B19:E19"/>
    <mergeCell ref="B1:E1"/>
    <mergeCell ref="G1:J1"/>
    <mergeCell ref="L1:O1"/>
    <mergeCell ref="L19:O19"/>
    <mergeCell ref="G19:J19"/>
  </mergeCells>
  <pageMargins left="0.7" right="0.7" top="0.75" bottom="0.75" header="0.3" footer="0.3"/>
  <tableParts count="4">
    <tablePart r:id="rId1"/>
    <tablePart r:id="rId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0780C-C8DE-40BE-9110-2F13AF18EA17}">
  <sheetPr codeName="Sheet24"/>
  <dimension ref="A1:O39"/>
  <sheetViews>
    <sheetView zoomScale="43" workbookViewId="0">
      <selection activeCell="C28" sqref="C28"/>
    </sheetView>
  </sheetViews>
  <sheetFormatPr defaultColWidth="8.7265625" defaultRowHeight="14.5"/>
  <cols>
    <col min="1" max="1" width="11.81640625" style="236" customWidth="1"/>
    <col min="2" max="3" width="14.453125" style="236" bestFit="1" customWidth="1"/>
    <col min="4" max="4" width="14.7265625" style="236" bestFit="1" customWidth="1"/>
    <col min="5" max="5" width="15.7265625" style="236" bestFit="1" customWidth="1"/>
    <col min="6" max="6" width="8.54296875" style="236" bestFit="1" customWidth="1"/>
    <col min="7" max="7" width="7.54296875" style="236" bestFit="1" customWidth="1"/>
    <col min="8" max="8" width="14" style="236" bestFit="1" customWidth="1"/>
    <col min="9" max="10" width="12.81640625" style="236" bestFit="1" customWidth="1"/>
    <col min="11" max="16384" width="8.7265625" style="236"/>
  </cols>
  <sheetData>
    <row r="1" spans="1:15" ht="39" customHeight="1">
      <c r="A1" s="303" t="s">
        <v>86</v>
      </c>
      <c r="B1" s="341" t="s">
        <v>87</v>
      </c>
      <c r="C1" s="341"/>
      <c r="D1" s="341"/>
      <c r="E1" s="341"/>
      <c r="F1" s="168"/>
      <c r="G1" s="345" t="s">
        <v>44</v>
      </c>
      <c r="H1" s="345"/>
      <c r="I1" s="345"/>
      <c r="J1" s="345"/>
      <c r="L1" s="345" t="s">
        <v>73</v>
      </c>
      <c r="M1" s="345"/>
      <c r="N1" s="345"/>
      <c r="O1" s="345"/>
    </row>
    <row r="2" spans="1:15" ht="15" thickBot="1">
      <c r="A2" s="92" t="s">
        <v>74</v>
      </c>
      <c r="B2" s="230" t="s">
        <v>46</v>
      </c>
      <c r="C2" s="230" t="s">
        <v>47</v>
      </c>
      <c r="D2" s="231" t="s">
        <v>48</v>
      </c>
      <c r="E2" s="231" t="s">
        <v>49</v>
      </c>
      <c r="G2" s="230">
        <v>2022</v>
      </c>
      <c r="H2" s="230">
        <v>2023</v>
      </c>
      <c r="I2" s="231">
        <v>2024</v>
      </c>
      <c r="J2" s="231">
        <v>2025</v>
      </c>
      <c r="L2" s="230">
        <v>2022</v>
      </c>
      <c r="M2" s="230">
        <v>2023</v>
      </c>
      <c r="N2" s="231">
        <v>2024</v>
      </c>
      <c r="O2" s="231">
        <v>2025</v>
      </c>
    </row>
    <row r="3" spans="1:15">
      <c r="A3" s="302" t="s">
        <v>50</v>
      </c>
      <c r="B3" s="281">
        <v>149164.15497</v>
      </c>
      <c r="C3" s="281">
        <v>110499.68509000001</v>
      </c>
      <c r="D3" s="282">
        <v>78865.466230000005</v>
      </c>
      <c r="E3" s="282">
        <v>62107.318620000005</v>
      </c>
      <c r="G3" s="236" t="s">
        <v>51</v>
      </c>
      <c r="H3" s="286">
        <f>FloodEmergency[[#This Row],[2023]]-FloodEmergency[[#This Row],[2022]]</f>
        <v>-38664.46987999999</v>
      </c>
      <c r="I3" s="286">
        <f>FloodEmergency[[#This Row],[2024]]-FloodEmergency[[#This Row],[2023]]</f>
        <v>-31634.218860000008</v>
      </c>
      <c r="J3" s="286">
        <f>FloodEmergency[[#This Row],[2025]]-FloodEmergency[[#This Row],[2024]]</f>
        <v>-16758.14761</v>
      </c>
      <c r="L3" s="236" t="s">
        <v>51</v>
      </c>
      <c r="M3" s="287">
        <f>H3/FloodEmergency[[#This Row],[2022]]</f>
        <v>-0.25920751461888558</v>
      </c>
      <c r="N3" s="287">
        <f>I3/FloodEmergency[[#This Row],[2023]]</f>
        <v>-0.2862833394885651</v>
      </c>
      <c r="O3" s="287">
        <f>J3/FloodEmergency[[#This Row],[2024]]</f>
        <v>-0.2124903130747649</v>
      </c>
    </row>
    <row r="4" spans="1:15">
      <c r="A4" s="278" t="s">
        <v>27</v>
      </c>
      <c r="B4" s="283">
        <v>8630</v>
      </c>
      <c r="C4" s="283">
        <v>6495.9757199999995</v>
      </c>
      <c r="D4" s="285">
        <v>7279.3339800000003</v>
      </c>
      <c r="E4" s="285">
        <v>6975.5780000000004</v>
      </c>
      <c r="G4" s="236" t="s">
        <v>51</v>
      </c>
      <c r="H4" s="286">
        <f>FloodEmergency[[#This Row],[2023]]-FloodEmergency[[#This Row],[2022]]</f>
        <v>-2134.0242800000005</v>
      </c>
      <c r="I4" s="286">
        <f>FloodEmergency[[#This Row],[2024]]-FloodEmergency[[#This Row],[2023]]</f>
        <v>783.35826000000088</v>
      </c>
      <c r="J4" s="286">
        <f>FloodEmergency[[#This Row],[2025]]-FloodEmergency[[#This Row],[2024]]</f>
        <v>-303.75597999999991</v>
      </c>
      <c r="L4" s="236" t="s">
        <v>51</v>
      </c>
      <c r="M4" s="287">
        <f>H4/FloodEmergency[[#This Row],[2022]]</f>
        <v>-0.24727975434530713</v>
      </c>
      <c r="N4" s="287">
        <f>I4/FloodEmergency[[#This Row],[2023]]</f>
        <v>0.12059131588010322</v>
      </c>
      <c r="O4" s="287">
        <f>J4/FloodEmergency[[#This Row],[2024]]</f>
        <v>-4.1728540115698869E-2</v>
      </c>
    </row>
    <row r="5" spans="1:15">
      <c r="A5" s="278" t="s">
        <v>28</v>
      </c>
      <c r="B5" s="283">
        <v>7915.69488</v>
      </c>
      <c r="C5" s="283">
        <v>5658.53</v>
      </c>
      <c r="D5" s="285">
        <v>5949.0832900000005</v>
      </c>
      <c r="E5" s="285">
        <v>4148.7960000000003</v>
      </c>
      <c r="G5" s="236" t="s">
        <v>51</v>
      </c>
      <c r="H5" s="286">
        <f>FloodEmergency[[#This Row],[2023]]-FloodEmergency[[#This Row],[2022]]</f>
        <v>-2257.1648800000003</v>
      </c>
      <c r="I5" s="286">
        <f>FloodEmergency[[#This Row],[2024]]-FloodEmergency[[#This Row],[2023]]</f>
        <v>290.55329000000074</v>
      </c>
      <c r="J5" s="286">
        <f>FloodEmergency[[#This Row],[2025]]-FloodEmergency[[#This Row],[2024]]</f>
        <v>-1800.2872900000002</v>
      </c>
      <c r="L5" s="236" t="s">
        <v>51</v>
      </c>
      <c r="M5" s="287">
        <f>H5/FloodEmergency[[#This Row],[2022]]</f>
        <v>-0.28515056659182397</v>
      </c>
      <c r="N5" s="287">
        <f>I5/FloodEmergency[[#This Row],[2023]]</f>
        <v>5.1347839456537432E-2</v>
      </c>
      <c r="O5" s="287">
        <f>J5/FloodEmergency[[#This Row],[2024]]</f>
        <v>-0.30261591614058575</v>
      </c>
    </row>
    <row r="6" spans="1:15">
      <c r="A6" s="278" t="s">
        <v>29</v>
      </c>
      <c r="B6" s="283">
        <v>18599.89689</v>
      </c>
      <c r="C6" s="283">
        <v>9999.9915799999999</v>
      </c>
      <c r="D6" s="285">
        <v>8397.2999699999982</v>
      </c>
      <c r="E6" s="285">
        <v>1802.7</v>
      </c>
      <c r="G6" s="236" t="s">
        <v>51</v>
      </c>
      <c r="H6" s="286">
        <f>FloodEmergency[[#This Row],[2023]]-FloodEmergency[[#This Row],[2022]]</f>
        <v>-8599.9053100000001</v>
      </c>
      <c r="I6" s="286">
        <f>FloodEmergency[[#This Row],[2024]]-FloodEmergency[[#This Row],[2023]]</f>
        <v>-1602.6916100000017</v>
      </c>
      <c r="J6" s="286">
        <f>FloodEmergency[[#This Row],[2025]]-FloodEmergency[[#This Row],[2024]]</f>
        <v>-6594.5999699999984</v>
      </c>
      <c r="L6" s="236" t="s">
        <v>51</v>
      </c>
      <c r="M6" s="287">
        <f>H6/FloodEmergency[[#This Row],[2022]]</f>
        <v>-0.4623630636696503</v>
      </c>
      <c r="N6" s="287">
        <f>I6/FloodEmergency[[#This Row],[2023]]</f>
        <v>-0.16026929594674735</v>
      </c>
      <c r="O6" s="287">
        <f>J6/FloodEmergency[[#This Row],[2024]]</f>
        <v>-0.78532385332901233</v>
      </c>
    </row>
    <row r="7" spans="1:15">
      <c r="A7" s="278" t="s">
        <v>30</v>
      </c>
      <c r="B7" s="283">
        <v>5150.5429000000004</v>
      </c>
      <c r="C7" s="283">
        <v>5000</v>
      </c>
      <c r="D7" s="285">
        <v>2248.7260000000001</v>
      </c>
      <c r="E7" s="285">
        <v>6310.9790000000003</v>
      </c>
      <c r="G7" s="236" t="s">
        <v>51</v>
      </c>
      <c r="H7" s="286">
        <f>FloodEmergency[[#This Row],[2023]]-FloodEmergency[[#This Row],[2022]]</f>
        <v>-150.54290000000037</v>
      </c>
      <c r="I7" s="286">
        <f>FloodEmergency[[#This Row],[2024]]-FloodEmergency[[#This Row],[2023]]</f>
        <v>-2751.2739999999999</v>
      </c>
      <c r="J7" s="286">
        <f>FloodEmergency[[#This Row],[2025]]-FloodEmergency[[#This Row],[2024]]</f>
        <v>4062.2530000000002</v>
      </c>
      <c r="L7" s="236" t="s">
        <v>51</v>
      </c>
      <c r="M7" s="287">
        <f>H7/FloodEmergency[[#This Row],[2022]]</f>
        <v>-2.9228549868014955E-2</v>
      </c>
      <c r="N7" s="287">
        <f>I7/FloodEmergency[[#This Row],[2023]]</f>
        <v>-0.55025479999999993</v>
      </c>
      <c r="O7" s="287">
        <f>J7/FloodEmergency[[#This Row],[2024]]</f>
        <v>1.8064686404657571</v>
      </c>
    </row>
    <row r="8" spans="1:15" ht="25">
      <c r="A8" s="278" t="s">
        <v>31</v>
      </c>
      <c r="B8" s="283">
        <v>6178.8513499999999</v>
      </c>
      <c r="C8" s="283">
        <v>4999.9714999999997</v>
      </c>
      <c r="D8" s="285">
        <v>6820</v>
      </c>
      <c r="E8" s="285">
        <v>4770</v>
      </c>
      <c r="G8" s="236" t="s">
        <v>51</v>
      </c>
      <c r="H8" s="286">
        <f>FloodEmergency[[#This Row],[2023]]-FloodEmergency[[#This Row],[2022]]</f>
        <v>-1178.8798500000003</v>
      </c>
      <c r="I8" s="286">
        <f>FloodEmergency[[#This Row],[2024]]-FloodEmergency[[#This Row],[2023]]</f>
        <v>1820.0285000000003</v>
      </c>
      <c r="J8" s="286">
        <f>FloodEmergency[[#This Row],[2025]]-FloodEmergency[[#This Row],[2024]]</f>
        <v>-2050</v>
      </c>
      <c r="L8" s="236" t="s">
        <v>51</v>
      </c>
      <c r="M8" s="287">
        <f>H8/FloodEmergency[[#This Row],[2022]]</f>
        <v>-0.19079271910304174</v>
      </c>
      <c r="N8" s="287">
        <f>I8/FloodEmergency[[#This Row],[2023]]</f>
        <v>0.36400777484431673</v>
      </c>
      <c r="O8" s="287">
        <f>J8/FloodEmergency[[#This Row],[2024]]</f>
        <v>-0.30058651026392963</v>
      </c>
    </row>
    <row r="9" spans="1:15">
      <c r="A9" s="278" t="s">
        <v>32</v>
      </c>
      <c r="B9" s="283">
        <v>5917.6666999999998</v>
      </c>
      <c r="C9" s="283">
        <v>9000</v>
      </c>
      <c r="D9" s="285">
        <v>8297.8209999999999</v>
      </c>
      <c r="E9" s="285">
        <v>5979.9962000000005</v>
      </c>
      <c r="G9" s="236" t="s">
        <v>51</v>
      </c>
      <c r="H9" s="286">
        <f>FloodEmergency[[#This Row],[2023]]-FloodEmergency[[#This Row],[2022]]</f>
        <v>3082.3333000000002</v>
      </c>
      <c r="I9" s="286">
        <f>FloodEmergency[[#This Row],[2024]]-FloodEmergency[[#This Row],[2023]]</f>
        <v>-702.17900000000009</v>
      </c>
      <c r="J9" s="286">
        <f>FloodEmergency[[#This Row],[2025]]-FloodEmergency[[#This Row],[2024]]</f>
        <v>-2317.8247999999994</v>
      </c>
      <c r="L9" s="236" t="s">
        <v>51</v>
      </c>
      <c r="M9" s="287">
        <f>H9/FloodEmergency[[#This Row],[2022]]</f>
        <v>0.52086970359449281</v>
      </c>
      <c r="N9" s="287">
        <f>I9/FloodEmergency[[#This Row],[2023]]</f>
        <v>-7.8019888888888903E-2</v>
      </c>
      <c r="O9" s="287">
        <f>J9/FloodEmergency[[#This Row],[2024]]</f>
        <v>-0.27932933236327939</v>
      </c>
    </row>
    <row r="10" spans="1:15">
      <c r="A10" s="278" t="s">
        <v>35</v>
      </c>
      <c r="B10" s="283">
        <v>3999.7329</v>
      </c>
      <c r="C10" s="283">
        <v>4999.9880999999996</v>
      </c>
      <c r="D10" s="285">
        <v>2949.99188</v>
      </c>
      <c r="E10" s="285">
        <v>648.9674</v>
      </c>
      <c r="G10" s="236" t="s">
        <v>51</v>
      </c>
      <c r="H10" s="286">
        <f>FloodEmergency[[#This Row],[2023]]-FloodEmergency[[#This Row],[2022]]</f>
        <v>1000.2551999999996</v>
      </c>
      <c r="I10" s="286">
        <f>FloodEmergency[[#This Row],[2024]]-FloodEmergency[[#This Row],[2023]]</f>
        <v>-2049.9962199999995</v>
      </c>
      <c r="J10" s="286">
        <f>FloodEmergency[[#This Row],[2025]]-FloodEmergency[[#This Row],[2024]]</f>
        <v>-2301.02448</v>
      </c>
      <c r="L10" s="236" t="s">
        <v>51</v>
      </c>
      <c r="M10" s="287">
        <f>H10/FloodEmergency[[#This Row],[2022]]</f>
        <v>0.25008049912532898</v>
      </c>
      <c r="N10" s="287">
        <f>I10/FloodEmergency[[#This Row],[2023]]</f>
        <v>-0.41000021980052309</v>
      </c>
      <c r="O10" s="287">
        <f>J10/FloodEmergency[[#This Row],[2024]]</f>
        <v>-0.78001044531688679</v>
      </c>
    </row>
    <row r="11" spans="1:15">
      <c r="A11" s="278" t="s">
        <v>33</v>
      </c>
      <c r="B11" s="283">
        <v>6199.0948099999996</v>
      </c>
      <c r="C11" s="283">
        <v>18358.082750000001</v>
      </c>
      <c r="D11" s="285">
        <v>4927.7839999999997</v>
      </c>
      <c r="E11" s="285">
        <v>4886.8540000000003</v>
      </c>
      <c r="G11" s="236" t="s">
        <v>51</v>
      </c>
      <c r="H11" s="286">
        <f>FloodEmergency[[#This Row],[2023]]-FloodEmergency[[#This Row],[2022]]</f>
        <v>12158.987940000003</v>
      </c>
      <c r="I11" s="286">
        <f>FloodEmergency[[#This Row],[2024]]-FloodEmergency[[#This Row],[2023]]</f>
        <v>-13430.298750000002</v>
      </c>
      <c r="J11" s="286">
        <f>FloodEmergency[[#This Row],[2025]]-FloodEmergency[[#This Row],[2024]]</f>
        <v>-40.929999999999382</v>
      </c>
      <c r="L11" s="236" t="s">
        <v>51</v>
      </c>
      <c r="M11" s="287">
        <f>H11/FloodEmergency[[#This Row],[2022]]</f>
        <v>1.961413450296948</v>
      </c>
      <c r="N11" s="287">
        <f>I11/FloodEmergency[[#This Row],[2023]]</f>
        <v>-0.73157414817731992</v>
      </c>
      <c r="O11" s="287">
        <f>J11/FloodEmergency[[#This Row],[2024]]</f>
        <v>-8.3059647094920128E-3</v>
      </c>
    </row>
    <row r="12" spans="1:15">
      <c r="A12" s="278" t="s">
        <v>34</v>
      </c>
      <c r="B12" s="283">
        <v>999.86740000000009</v>
      </c>
      <c r="C12" s="283">
        <v>2999.8266600000002</v>
      </c>
      <c r="D12" s="285">
        <v>1947.56925</v>
      </c>
      <c r="E12" s="285">
        <v>2499.9945200000002</v>
      </c>
      <c r="G12" s="236" t="s">
        <v>51</v>
      </c>
      <c r="H12" s="286">
        <f>FloodEmergency[[#This Row],[2023]]-FloodEmergency[[#This Row],[2022]]</f>
        <v>1999.9592600000001</v>
      </c>
      <c r="I12" s="286">
        <f>FloodEmergency[[#This Row],[2024]]-FloodEmergency[[#This Row],[2023]]</f>
        <v>-1052.2574100000002</v>
      </c>
      <c r="J12" s="286">
        <f>FloodEmergency[[#This Row],[2025]]-FloodEmergency[[#This Row],[2024]]</f>
        <v>552.42527000000018</v>
      </c>
      <c r="L12" s="236" t="s">
        <v>51</v>
      </c>
      <c r="M12" s="287">
        <f>H12/FloodEmergency[[#This Row],[2022]]</f>
        <v>2.0002244897673429</v>
      </c>
      <c r="N12" s="287">
        <f>I12/FloodEmergency[[#This Row],[2023]]</f>
        <v>-0.35077273764878136</v>
      </c>
      <c r="O12" s="287">
        <f>J12/FloodEmergency[[#This Row],[2024]]</f>
        <v>0.28364858913232494</v>
      </c>
    </row>
    <row r="13" spans="1:15">
      <c r="A13" s="278" t="s">
        <v>38</v>
      </c>
      <c r="B13" s="283">
        <v>49581.681790000002</v>
      </c>
      <c r="C13" s="283">
        <v>7957.0007999999998</v>
      </c>
      <c r="D13" s="285">
        <v>8107.8723500000006</v>
      </c>
      <c r="E13" s="285">
        <v>3198.25</v>
      </c>
      <c r="G13" s="236" t="s">
        <v>51</v>
      </c>
      <c r="H13" s="286">
        <f>FloodEmergency[[#This Row],[2023]]-FloodEmergency[[#This Row],[2022]]</f>
        <v>-41624.680990000001</v>
      </c>
      <c r="I13" s="286">
        <f>FloodEmergency[[#This Row],[2024]]-FloodEmergency[[#This Row],[2023]]</f>
        <v>150.87155000000075</v>
      </c>
      <c r="J13" s="286">
        <f>FloodEmergency[[#This Row],[2025]]-FloodEmergency[[#This Row],[2024]]</f>
        <v>-4909.6223500000006</v>
      </c>
      <c r="L13" s="236" t="s">
        <v>51</v>
      </c>
      <c r="M13" s="287">
        <f>H13/FloodEmergency[[#This Row],[2022]]</f>
        <v>-0.83951732751419439</v>
      </c>
      <c r="N13" s="287">
        <f>I13/FloodEmergency[[#This Row],[2023]]</f>
        <v>1.8960856457372829E-2</v>
      </c>
      <c r="O13" s="287">
        <f>J13/FloodEmergency[[#This Row],[2024]]</f>
        <v>-0.60553769695202464</v>
      </c>
    </row>
    <row r="14" spans="1:15">
      <c r="A14" s="278" t="s">
        <v>39</v>
      </c>
      <c r="B14" s="283">
        <v>12999.09188</v>
      </c>
      <c r="C14" s="283">
        <v>6998.7299000000003</v>
      </c>
      <c r="D14" s="285">
        <v>3807.0282999999999</v>
      </c>
      <c r="E14" s="285">
        <v>5440</v>
      </c>
      <c r="G14" s="236" t="s">
        <v>51</v>
      </c>
      <c r="H14" s="286">
        <f>FloodEmergency[[#This Row],[2023]]-FloodEmergency[[#This Row],[2022]]</f>
        <v>-6000.3619799999997</v>
      </c>
      <c r="I14" s="286">
        <f>FloodEmergency[[#This Row],[2024]]-FloodEmergency[[#This Row],[2023]]</f>
        <v>-3191.7016000000003</v>
      </c>
      <c r="J14" s="286">
        <f>FloodEmergency[[#This Row],[2025]]-FloodEmergency[[#This Row],[2024]]</f>
        <v>1632.9717000000001</v>
      </c>
      <c r="L14" s="236" t="s">
        <v>51</v>
      </c>
      <c r="M14" s="287">
        <f>H14/FloodEmergency[[#This Row],[2022]]</f>
        <v>-0.46159855129818494</v>
      </c>
      <c r="N14" s="287">
        <f>I14/FloodEmergency[[#This Row],[2023]]</f>
        <v>-0.45604011665030825</v>
      </c>
      <c r="O14" s="287">
        <f>J14/FloodEmergency[[#This Row],[2024]]</f>
        <v>0.42893605492767156</v>
      </c>
    </row>
    <row r="15" spans="1:15">
      <c r="A15" s="278" t="s">
        <v>36</v>
      </c>
      <c r="B15" s="283">
        <v>8407.5200999999997</v>
      </c>
      <c r="C15" s="283">
        <v>6999.9160000000002</v>
      </c>
      <c r="D15" s="285">
        <v>3499.9696099999996</v>
      </c>
      <c r="E15" s="285">
        <v>6899.9795999999997</v>
      </c>
      <c r="G15" s="236" t="s">
        <v>51</v>
      </c>
      <c r="H15" s="286">
        <f>FloodEmergency[[#This Row],[2023]]-FloodEmergency[[#This Row],[2022]]</f>
        <v>-1407.6040999999996</v>
      </c>
      <c r="I15" s="286">
        <f>FloodEmergency[[#This Row],[2024]]-FloodEmergency[[#This Row],[2023]]</f>
        <v>-3499.9463900000005</v>
      </c>
      <c r="J15" s="286">
        <f>FloodEmergency[[#This Row],[2025]]-FloodEmergency[[#This Row],[2024]]</f>
        <v>3400.00999</v>
      </c>
      <c r="L15" s="236" t="s">
        <v>51</v>
      </c>
      <c r="M15" s="287">
        <f>H15/FloodEmergency[[#This Row],[2022]]</f>
        <v>-0.16742203209243586</v>
      </c>
      <c r="N15" s="287">
        <f>I15/FloodEmergency[[#This Row],[2023]]</f>
        <v>-0.49999834140866839</v>
      </c>
      <c r="O15" s="287">
        <f>J15/FloodEmergency[[#This Row],[2024]]</f>
        <v>0.97143986058781817</v>
      </c>
    </row>
    <row r="16" spans="1:15">
      <c r="A16" s="278" t="s">
        <v>37</v>
      </c>
      <c r="B16" s="283">
        <v>12499.75308</v>
      </c>
      <c r="C16" s="283">
        <v>16532.69558</v>
      </c>
      <c r="D16" s="285">
        <v>12299.973</v>
      </c>
      <c r="E16" s="285">
        <v>7317.2638999999999</v>
      </c>
      <c r="G16" s="236" t="s">
        <v>51</v>
      </c>
      <c r="H16" s="286">
        <f>FloodEmergency[[#This Row],[2023]]-FloodEmergency[[#This Row],[2022]]</f>
        <v>4032.9424999999992</v>
      </c>
      <c r="I16" s="286">
        <f>FloodEmergency[[#This Row],[2024]]-FloodEmergency[[#This Row],[2023]]</f>
        <v>-4232.7225799999997</v>
      </c>
      <c r="J16" s="286">
        <f>FloodEmergency[[#This Row],[2025]]-FloodEmergency[[#This Row],[2024]]</f>
        <v>-4982.7091</v>
      </c>
      <c r="L16" s="236" t="s">
        <v>51</v>
      </c>
      <c r="M16" s="287">
        <f>H16/FloodEmergency[[#This Row],[2022]]</f>
        <v>0.32264177333653371</v>
      </c>
      <c r="N16" s="287">
        <f>I16/FloodEmergency[[#This Row],[2023]]</f>
        <v>-0.25602132208376388</v>
      </c>
      <c r="O16" s="287">
        <f>J16/FloodEmergency[[#This Row],[2024]]</f>
        <v>-0.40509919005513262</v>
      </c>
    </row>
    <row r="17" spans="1:15" ht="25">
      <c r="A17" s="278" t="s">
        <v>41</v>
      </c>
      <c r="B17" s="283">
        <v>1544.93029</v>
      </c>
      <c r="C17" s="283">
        <v>2199.4065000000001</v>
      </c>
      <c r="D17" s="285">
        <v>1349.4186000000002</v>
      </c>
      <c r="E17" s="285">
        <v>499.8</v>
      </c>
      <c r="G17" s="236" t="s">
        <v>51</v>
      </c>
      <c r="H17" s="286">
        <f>FloodEmergency[[#This Row],[2023]]-FloodEmergency[[#This Row],[2022]]</f>
        <v>654.47621000000004</v>
      </c>
      <c r="I17" s="286">
        <f>FloodEmergency[[#This Row],[2024]]-FloodEmergency[[#This Row],[2023]]</f>
        <v>-849.98789999999985</v>
      </c>
      <c r="J17" s="286">
        <f>FloodEmergency[[#This Row],[2025]]-FloodEmergency[[#This Row],[2024]]</f>
        <v>-849.61860000000024</v>
      </c>
      <c r="L17" s="236" t="s">
        <v>51</v>
      </c>
      <c r="M17" s="287">
        <f>H17/FloodEmergency[[#This Row],[2022]]</f>
        <v>0.42362831141073687</v>
      </c>
      <c r="N17" s="287">
        <f>I17/FloodEmergency[[#This Row],[2023]]</f>
        <v>-0.38646239337748606</v>
      </c>
      <c r="O17" s="287">
        <f>J17/FloodEmergency[[#This Row],[2024]]</f>
        <v>-0.62961826671130816</v>
      </c>
    </row>
    <row r="18" spans="1:15">
      <c r="A18" s="278" t="s">
        <v>70</v>
      </c>
      <c r="B18" s="283">
        <v>499.92</v>
      </c>
      <c r="C18" s="283">
        <v>1999.72</v>
      </c>
      <c r="D18" s="285">
        <v>499.70499999999998</v>
      </c>
      <c r="E18" s="285">
        <v>280</v>
      </c>
      <c r="G18" s="236" t="s">
        <v>51</v>
      </c>
      <c r="H18" s="286">
        <f>FloodEmergency[[#This Row],[2023]]-FloodEmergency[[#This Row],[2022]]</f>
        <v>1499.8</v>
      </c>
      <c r="I18" s="286">
        <f>FloodEmergency[[#This Row],[2024]]-FloodEmergency[[#This Row],[2023]]</f>
        <v>-1500.0150000000001</v>
      </c>
      <c r="J18" s="286">
        <f>FloodEmergency[[#This Row],[2025]]-FloodEmergency[[#This Row],[2024]]</f>
        <v>-219.70499999999998</v>
      </c>
      <c r="L18" s="236" t="s">
        <v>51</v>
      </c>
      <c r="M18" s="287">
        <f>H18/FloodEmergency[[#This Row],[2022]]</f>
        <v>3.0000800128020479</v>
      </c>
      <c r="N18" s="287">
        <f>I18/FloodEmergency[[#This Row],[2023]]</f>
        <v>-0.75011251575220539</v>
      </c>
      <c r="O18" s="287">
        <f>J18/FloodEmergency[[#This Row],[2024]]</f>
        <v>-0.43966940494891982</v>
      </c>
    </row>
    <row r="19" spans="1:15" ht="25">
      <c r="A19" s="278" t="s">
        <v>71</v>
      </c>
      <c r="B19" s="283">
        <v>39.909999999999997</v>
      </c>
      <c r="C19" s="283">
        <v>299.85000000000002</v>
      </c>
      <c r="D19" s="285">
        <v>483.89</v>
      </c>
      <c r="E19" s="285">
        <v>448.16</v>
      </c>
      <c r="G19" s="236" t="s">
        <v>51</v>
      </c>
      <c r="H19" s="286">
        <f>FloodEmergency[[#This Row],[2023]]-FloodEmergency[[#This Row],[2022]]</f>
        <v>259.94000000000005</v>
      </c>
      <c r="I19" s="286">
        <f>FloodEmergency[[#This Row],[2024]]-FloodEmergency[[#This Row],[2023]]</f>
        <v>184.03999999999996</v>
      </c>
      <c r="J19" s="286">
        <f>FloodEmergency[[#This Row],[2025]]-FloodEmergency[[#This Row],[2024]]</f>
        <v>-35.729999999999961</v>
      </c>
      <c r="L19" s="236" t="s">
        <v>51</v>
      </c>
      <c r="M19" s="287">
        <f>H19/FloodEmergency[[#This Row],[2022]]</f>
        <v>6.5131545978451539</v>
      </c>
      <c r="N19" s="287">
        <f>I19/FloodEmergency[[#This Row],[2023]]</f>
        <v>0.61377355344338824</v>
      </c>
      <c r="O19" s="287">
        <f>J19/FloodEmergency[[#This Row],[2024]]</f>
        <v>-7.3839095662237203E-2</v>
      </c>
    </row>
    <row r="21" spans="1:15" ht="39">
      <c r="A21" s="303" t="s">
        <v>86</v>
      </c>
      <c r="B21" s="341" t="s">
        <v>88</v>
      </c>
      <c r="C21" s="341"/>
      <c r="D21" s="341"/>
      <c r="E21" s="341"/>
      <c r="F21" s="168"/>
      <c r="G21" s="345" t="s">
        <v>44</v>
      </c>
      <c r="H21" s="345"/>
      <c r="I21" s="345"/>
      <c r="J21" s="345"/>
      <c r="L21" s="345" t="s">
        <v>73</v>
      </c>
      <c r="M21" s="345"/>
      <c r="N21" s="345"/>
      <c r="O21" s="345"/>
    </row>
    <row r="22" spans="1:15" ht="15" thickBot="1">
      <c r="A22" s="92" t="s">
        <v>74</v>
      </c>
      <c r="B22" s="230" t="s">
        <v>46</v>
      </c>
      <c r="C22" s="230" t="s">
        <v>47</v>
      </c>
      <c r="D22" s="231" t="s">
        <v>48</v>
      </c>
      <c r="E22" s="231" t="s">
        <v>49</v>
      </c>
      <c r="G22" s="230">
        <v>2022</v>
      </c>
      <c r="H22" s="230">
        <v>2023</v>
      </c>
      <c r="I22" s="231">
        <v>2024</v>
      </c>
      <c r="J22" s="231">
        <v>2025</v>
      </c>
      <c r="L22" s="230">
        <v>2022</v>
      </c>
      <c r="M22" s="230">
        <v>2023</v>
      </c>
      <c r="N22" s="231">
        <v>2024</v>
      </c>
      <c r="O22" s="231">
        <v>2025</v>
      </c>
    </row>
    <row r="23" spans="1:15">
      <c r="A23" s="302" t="s">
        <v>50</v>
      </c>
      <c r="B23" s="281">
        <v>254908.51321000003</v>
      </c>
      <c r="C23" s="281">
        <v>80566.005050000007</v>
      </c>
      <c r="D23" s="282">
        <v>86889.002170000007</v>
      </c>
      <c r="E23" s="282">
        <v>139782.50913000002</v>
      </c>
      <c r="G23" s="236" t="s">
        <v>51</v>
      </c>
      <c r="H23" s="286">
        <f>FloodConservation[[#This Row],[2023]]-FloodConservation[[#This Row],[2022]]</f>
        <v>-174342.50816000003</v>
      </c>
      <c r="I23" s="286">
        <f>FloodConservation[[#This Row],[2024]]-FloodConservation[[#This Row],[2023]]</f>
        <v>6322.99712</v>
      </c>
      <c r="J23" s="286">
        <f>FloodConservation[[#This Row],[2025]]-FloodConservation[[#This Row],[2024]]</f>
        <v>52893.506960000013</v>
      </c>
      <c r="L23" s="236" t="s">
        <v>51</v>
      </c>
      <c r="M23" s="287">
        <f>IFERROR(H23/FloodConservation[[#This Row],[2022]],"-")</f>
        <v>-0.68394148929962295</v>
      </c>
      <c r="N23" s="287">
        <f>IFERROR(I23/FloodConservation[[#This Row],[2023]],"-")</f>
        <v>7.8482197498509321E-2</v>
      </c>
      <c r="O23" s="287">
        <f>IFERROR(J23/FloodConservation[[#This Row],[2024]],"-")</f>
        <v>0.60874800767665449</v>
      </c>
    </row>
    <row r="24" spans="1:15">
      <c r="A24" s="278" t="s">
        <v>27</v>
      </c>
      <c r="B24" s="284">
        <v>26158.571219999998</v>
      </c>
      <c r="C24" s="284">
        <v>5900.4738499999994</v>
      </c>
      <c r="D24" s="285">
        <v>8849.5773600000011</v>
      </c>
      <c r="E24" s="285">
        <v>8679.9987400000009</v>
      </c>
      <c r="G24" s="236" t="s">
        <v>51</v>
      </c>
      <c r="H24" s="286">
        <f>FloodConservation[[#This Row],[2023]]-FloodConservation[[#This Row],[2022]]</f>
        <v>-20258.09737</v>
      </c>
      <c r="I24" s="286">
        <f>FloodConservation[[#This Row],[2024]]-FloodConservation[[#This Row],[2023]]</f>
        <v>2949.1035100000017</v>
      </c>
      <c r="J24" s="286">
        <f>FloodConservation[[#This Row],[2025]]-FloodConservation[[#This Row],[2024]]</f>
        <v>-169.57862000000023</v>
      </c>
      <c r="L24" s="236" t="s">
        <v>51</v>
      </c>
      <c r="M24" s="287">
        <f>IFERROR(H24/FloodConservation[[#This Row],[2022]],"-")</f>
        <v>-0.77443439856192575</v>
      </c>
      <c r="N24" s="287">
        <f>IFERROR(I24/FloodConservation[[#This Row],[2023]],"-")</f>
        <v>0.49980791119004825</v>
      </c>
      <c r="O24" s="287">
        <f>IFERROR(J24/FloodConservation[[#This Row],[2024]],"-")</f>
        <v>-1.9162341104163216E-2</v>
      </c>
    </row>
    <row r="25" spans="1:15">
      <c r="A25" s="278" t="s">
        <v>28</v>
      </c>
      <c r="B25" s="284">
        <v>15513.89611</v>
      </c>
      <c r="C25" s="284">
        <v>14187.8891</v>
      </c>
      <c r="D25" s="285">
        <v>6493.4737999999998</v>
      </c>
      <c r="E25" s="285">
        <v>10024.6232</v>
      </c>
      <c r="G25" s="236" t="s">
        <v>51</v>
      </c>
      <c r="H25" s="286">
        <f>FloodConservation[[#This Row],[2023]]-FloodConservation[[#This Row],[2022]]</f>
        <v>-1326.0070099999994</v>
      </c>
      <c r="I25" s="286">
        <f>FloodConservation[[#This Row],[2024]]-FloodConservation[[#This Row],[2023]]</f>
        <v>-7694.4153000000006</v>
      </c>
      <c r="J25" s="286">
        <f>FloodConservation[[#This Row],[2025]]-FloodConservation[[#This Row],[2024]]</f>
        <v>3531.1494000000002</v>
      </c>
      <c r="L25" s="236" t="s">
        <v>51</v>
      </c>
      <c r="M25" s="287">
        <f>IFERROR(H25/FloodConservation[[#This Row],[2022]],"-")</f>
        <v>-8.5472211532039155E-2</v>
      </c>
      <c r="N25" s="287">
        <f>IFERROR(I25/FloodConservation[[#This Row],[2023]],"-")</f>
        <v>-0.54232276879017893</v>
      </c>
      <c r="O25" s="287">
        <f>IFERROR(J25/FloodConservation[[#This Row],[2024]],"-")</f>
        <v>0.54379974552295884</v>
      </c>
    </row>
    <row r="26" spans="1:15">
      <c r="A26" s="278" t="s">
        <v>29</v>
      </c>
      <c r="B26" s="284">
        <v>22214.363450000001</v>
      </c>
      <c r="C26" s="284">
        <v>992.25467999999989</v>
      </c>
      <c r="D26" s="285">
        <v>6259.9726000000001</v>
      </c>
      <c r="E26" s="285">
        <v>9345.9196999999986</v>
      </c>
      <c r="G26" s="236" t="s">
        <v>51</v>
      </c>
      <c r="H26" s="286">
        <f>FloodConservation[[#This Row],[2023]]-FloodConservation[[#This Row],[2022]]</f>
        <v>-21222.108770000003</v>
      </c>
      <c r="I26" s="286">
        <f>FloodConservation[[#This Row],[2024]]-FloodConservation[[#This Row],[2023]]</f>
        <v>5267.71792</v>
      </c>
      <c r="J26" s="286">
        <f>FloodConservation[[#This Row],[2025]]-FloodConservation[[#This Row],[2024]]</f>
        <v>3085.9470999999985</v>
      </c>
      <c r="L26" s="236" t="s">
        <v>51</v>
      </c>
      <c r="M26" s="287">
        <f>IFERROR(H26/FloodConservation[[#This Row],[2022]],"-")</f>
        <v>-0.955332743059086</v>
      </c>
      <c r="N26" s="287">
        <f>IFERROR(I26/FloodConservation[[#This Row],[2023]],"-")</f>
        <v>5.3088365579691708</v>
      </c>
      <c r="O26" s="287">
        <f>IFERROR(J26/FloodConservation[[#This Row],[2024]],"-")</f>
        <v>0.49296495323318162</v>
      </c>
    </row>
    <row r="27" spans="1:15">
      <c r="A27" s="278" t="s">
        <v>30</v>
      </c>
      <c r="B27" s="284">
        <v>10000</v>
      </c>
      <c r="C27" s="284">
        <v>0</v>
      </c>
      <c r="D27" s="285">
        <v>5000</v>
      </c>
      <c r="E27" s="285">
        <v>6499.8379999999997</v>
      </c>
      <c r="G27" s="236" t="s">
        <v>51</v>
      </c>
      <c r="H27" s="286">
        <f>FloodConservation[[#This Row],[2023]]-FloodConservation[[#This Row],[2022]]</f>
        <v>-10000</v>
      </c>
      <c r="I27" s="286">
        <f>FloodConservation[[#This Row],[2024]]-FloodConservation[[#This Row],[2023]]</f>
        <v>5000</v>
      </c>
      <c r="J27" s="286">
        <f>FloodConservation[[#This Row],[2025]]-FloodConservation[[#This Row],[2024]]</f>
        <v>1499.8379999999997</v>
      </c>
      <c r="L27" s="236" t="s">
        <v>51</v>
      </c>
      <c r="M27" s="287">
        <f>IFERROR(H27/FloodConservation[[#This Row],[2022]],"-")</f>
        <v>-1</v>
      </c>
      <c r="N27" s="287" t="str">
        <f>IFERROR(I27/FloodConservation[[#This Row],[2023]],"-")</f>
        <v>-</v>
      </c>
      <c r="O27" s="287">
        <f>IFERROR(J27/FloodConservation[[#This Row],[2024]],"-")</f>
        <v>0.29996759999999995</v>
      </c>
    </row>
    <row r="28" spans="1:15" ht="25">
      <c r="A28" s="278" t="s">
        <v>31</v>
      </c>
      <c r="B28" s="284">
        <v>11419.9897</v>
      </c>
      <c r="C28" s="284">
        <v>2579.9396499999998</v>
      </c>
      <c r="D28" s="285">
        <v>5150</v>
      </c>
      <c r="E28" s="285">
        <v>6300</v>
      </c>
      <c r="G28" s="236" t="s">
        <v>51</v>
      </c>
      <c r="H28" s="286">
        <f>FloodConservation[[#This Row],[2023]]-FloodConservation[[#This Row],[2022]]</f>
        <v>-8840.0500499999998</v>
      </c>
      <c r="I28" s="286">
        <f>FloodConservation[[#This Row],[2024]]-FloodConservation[[#This Row],[2023]]</f>
        <v>2570.0603500000002</v>
      </c>
      <c r="J28" s="286">
        <f>FloodConservation[[#This Row],[2025]]-FloodConservation[[#This Row],[2024]]</f>
        <v>1150</v>
      </c>
      <c r="L28" s="236" t="s">
        <v>51</v>
      </c>
      <c r="M28" s="287">
        <f>IFERROR(H28/FloodConservation[[#This Row],[2022]],"-")</f>
        <v>-0.77408564125062207</v>
      </c>
      <c r="N28" s="287">
        <f>IFERROR(I28/FloodConservation[[#This Row],[2023]],"-")</f>
        <v>0.99617072438109178</v>
      </c>
      <c r="O28" s="287">
        <f>IFERROR(J28/FloodConservation[[#This Row],[2024]],"-")</f>
        <v>0.22330097087378642</v>
      </c>
    </row>
    <row r="29" spans="1:15">
      <c r="A29" s="278" t="s">
        <v>32</v>
      </c>
      <c r="B29" s="284">
        <v>30057.145250000001</v>
      </c>
      <c r="C29" s="284">
        <v>4808.1369599999998</v>
      </c>
      <c r="D29" s="285">
        <v>6445.13699</v>
      </c>
      <c r="E29" s="285">
        <v>11820.547289999999</v>
      </c>
      <c r="G29" s="236" t="s">
        <v>51</v>
      </c>
      <c r="H29" s="286">
        <f>FloodConservation[[#This Row],[2023]]-FloodConservation[[#This Row],[2022]]</f>
        <v>-25249.008290000002</v>
      </c>
      <c r="I29" s="286">
        <f>FloodConservation[[#This Row],[2024]]-FloodConservation[[#This Row],[2023]]</f>
        <v>1637.0000300000002</v>
      </c>
      <c r="J29" s="286">
        <f>FloodConservation[[#This Row],[2025]]-FloodConservation[[#This Row],[2024]]</f>
        <v>5375.4102999999986</v>
      </c>
      <c r="L29" s="236" t="s">
        <v>51</v>
      </c>
      <c r="M29" s="287">
        <f>IFERROR(H29/FloodConservation[[#This Row],[2022]],"-")</f>
        <v>-0.84003347889467317</v>
      </c>
      <c r="N29" s="287">
        <f>IFERROR(I29/FloodConservation[[#This Row],[2023]],"-")</f>
        <v>0.34046451746665723</v>
      </c>
      <c r="O29" s="287">
        <f>IFERROR(J29/FloodConservation[[#This Row],[2024]],"-")</f>
        <v>0.83402576366340331</v>
      </c>
    </row>
    <row r="30" spans="1:15">
      <c r="A30" s="278" t="s">
        <v>35</v>
      </c>
      <c r="B30" s="284">
        <v>8499.8950000000004</v>
      </c>
      <c r="C30" s="284">
        <v>3130.5452200000004</v>
      </c>
      <c r="D30" s="285">
        <v>4710</v>
      </c>
      <c r="E30" s="285">
        <v>6723.9996600000004</v>
      </c>
      <c r="G30" s="236" t="s">
        <v>51</v>
      </c>
      <c r="H30" s="286">
        <f>FloodConservation[[#This Row],[2023]]-FloodConservation[[#This Row],[2022]]</f>
        <v>-5369.3497800000005</v>
      </c>
      <c r="I30" s="286">
        <f>FloodConservation[[#This Row],[2024]]-FloodConservation[[#This Row],[2023]]</f>
        <v>1579.4547799999996</v>
      </c>
      <c r="J30" s="286">
        <f>FloodConservation[[#This Row],[2025]]-FloodConservation[[#This Row],[2024]]</f>
        <v>2013.9996600000004</v>
      </c>
      <c r="L30" s="236" t="s">
        <v>51</v>
      </c>
      <c r="M30" s="287">
        <f>IFERROR(H30/FloodConservation[[#This Row],[2022]],"-")</f>
        <v>-0.63169601271545117</v>
      </c>
      <c r="N30" s="287">
        <f>IFERROR(I30/FloodConservation[[#This Row],[2023]],"-")</f>
        <v>0.5045302555955411</v>
      </c>
      <c r="O30" s="287">
        <f>IFERROR(J30/FloodConservation[[#This Row],[2024]],"-")</f>
        <v>0.42760077707006378</v>
      </c>
    </row>
    <row r="31" spans="1:15">
      <c r="A31" s="278" t="s">
        <v>33</v>
      </c>
      <c r="B31" s="284">
        <v>12000</v>
      </c>
      <c r="C31" s="284">
        <v>7999.9999999999991</v>
      </c>
      <c r="D31" s="285">
        <v>8799.9804299999996</v>
      </c>
      <c r="E31" s="285">
        <v>8399.7800000000007</v>
      </c>
      <c r="G31" s="236" t="s">
        <v>51</v>
      </c>
      <c r="H31" s="286">
        <f>FloodConservation[[#This Row],[2023]]-FloodConservation[[#This Row],[2022]]</f>
        <v>-4000.0000000000009</v>
      </c>
      <c r="I31" s="286">
        <f>FloodConservation[[#This Row],[2024]]-FloodConservation[[#This Row],[2023]]</f>
        <v>799.98043000000052</v>
      </c>
      <c r="J31" s="286">
        <f>FloodConservation[[#This Row],[2025]]-FloodConservation[[#This Row],[2024]]</f>
        <v>-400.20042999999896</v>
      </c>
      <c r="L31" s="236" t="s">
        <v>51</v>
      </c>
      <c r="M31" s="287">
        <f>IFERROR(H31/FloodConservation[[#This Row],[2022]],"-")</f>
        <v>-0.33333333333333343</v>
      </c>
      <c r="N31" s="287">
        <f>IFERROR(I31/FloodConservation[[#This Row],[2023]],"-")</f>
        <v>9.9997553750000079E-2</v>
      </c>
      <c r="O31" s="287">
        <f>IFERROR(J31/FloodConservation[[#This Row],[2024]],"-")</f>
        <v>-4.5477422726495652E-2</v>
      </c>
    </row>
    <row r="32" spans="1:15">
      <c r="A32" s="278" t="s">
        <v>34</v>
      </c>
      <c r="B32" s="284">
        <v>2584.9946500000005</v>
      </c>
      <c r="C32" s="284">
        <v>1664.56412</v>
      </c>
      <c r="D32" s="285">
        <v>2039.98648</v>
      </c>
      <c r="E32" s="285">
        <v>3809.9696200000003</v>
      </c>
      <c r="G32" s="236" t="s">
        <v>51</v>
      </c>
      <c r="H32" s="286">
        <f>FloodConservation[[#This Row],[2023]]-FloodConservation[[#This Row],[2022]]</f>
        <v>-920.43053000000054</v>
      </c>
      <c r="I32" s="286">
        <f>FloodConservation[[#This Row],[2024]]-FloodConservation[[#This Row],[2023]]</f>
        <v>375.42236000000003</v>
      </c>
      <c r="J32" s="286">
        <f>FloodConservation[[#This Row],[2025]]-FloodConservation[[#This Row],[2024]]</f>
        <v>1769.9831400000003</v>
      </c>
      <c r="L32" s="236" t="s">
        <v>51</v>
      </c>
      <c r="M32" s="287">
        <f>IFERROR(H32/FloodConservation[[#This Row],[2022]],"-")</f>
        <v>-0.35606670597944967</v>
      </c>
      <c r="N32" s="287">
        <f>IFERROR(I32/FloodConservation[[#This Row],[2023]],"-")</f>
        <v>0.22553793842438466</v>
      </c>
      <c r="O32" s="287">
        <f>IFERROR(J32/FloodConservation[[#This Row],[2024]],"-")</f>
        <v>0.86764454438933347</v>
      </c>
    </row>
    <row r="33" spans="1:15">
      <c r="A33" s="278" t="s">
        <v>38</v>
      </c>
      <c r="B33" s="284">
        <v>19946.542710000002</v>
      </c>
      <c r="C33" s="284">
        <v>0</v>
      </c>
      <c r="D33" s="285">
        <v>4999.9390000000003</v>
      </c>
      <c r="E33" s="285">
        <v>16027.25</v>
      </c>
      <c r="G33" s="236" t="s">
        <v>51</v>
      </c>
      <c r="H33" s="286">
        <f>FloodConservation[[#This Row],[2023]]-FloodConservation[[#This Row],[2022]]</f>
        <v>-19946.542710000002</v>
      </c>
      <c r="I33" s="286">
        <f>FloodConservation[[#This Row],[2024]]-FloodConservation[[#This Row],[2023]]</f>
        <v>4999.9390000000003</v>
      </c>
      <c r="J33" s="286">
        <f>FloodConservation[[#This Row],[2025]]-FloodConservation[[#This Row],[2024]]</f>
        <v>11027.311</v>
      </c>
      <c r="L33" s="236" t="s">
        <v>51</v>
      </c>
      <c r="M33" s="287">
        <f>IFERROR(H33/FloodConservation[[#This Row],[2022]],"-")</f>
        <v>-1</v>
      </c>
      <c r="N33" s="287" t="str">
        <f>IFERROR(I33/FloodConservation[[#This Row],[2023]],"-")</f>
        <v>-</v>
      </c>
      <c r="O33" s="287">
        <f>IFERROR(J33/FloodConservation[[#This Row],[2024]],"-")</f>
        <v>2.205489106967105</v>
      </c>
    </row>
    <row r="34" spans="1:15">
      <c r="A34" s="278" t="s">
        <v>39</v>
      </c>
      <c r="B34" s="284">
        <v>11857.793180000001</v>
      </c>
      <c r="C34" s="284">
        <v>6697.9995999999983</v>
      </c>
      <c r="D34" s="285">
        <v>3846.09998</v>
      </c>
      <c r="E34" s="285">
        <v>6095</v>
      </c>
      <c r="G34" s="236" t="s">
        <v>51</v>
      </c>
      <c r="H34" s="286">
        <f>FloodConservation[[#This Row],[2023]]-FloodConservation[[#This Row],[2022]]</f>
        <v>-5159.7935800000023</v>
      </c>
      <c r="I34" s="286">
        <f>FloodConservation[[#This Row],[2024]]-FloodConservation[[#This Row],[2023]]</f>
        <v>-2851.8996199999983</v>
      </c>
      <c r="J34" s="286">
        <f>FloodConservation[[#This Row],[2025]]-FloodConservation[[#This Row],[2024]]</f>
        <v>2248.90002</v>
      </c>
      <c r="L34" s="236" t="s">
        <v>51</v>
      </c>
      <c r="M34" s="287">
        <f>IFERROR(H34/FloodConservation[[#This Row],[2022]],"-")</f>
        <v>-0.4351394480975424</v>
      </c>
      <c r="N34" s="287">
        <f>IFERROR(I34/FloodConservation[[#This Row],[2023]],"-")</f>
        <v>-0.42578378475866124</v>
      </c>
      <c r="O34" s="287">
        <f>IFERROR(J34/FloodConservation[[#This Row],[2024]],"-")</f>
        <v>0.58472219435127637</v>
      </c>
    </row>
    <row r="35" spans="1:15">
      <c r="A35" s="278" t="s">
        <v>36</v>
      </c>
      <c r="B35" s="284">
        <v>22368.657600000002</v>
      </c>
      <c r="C35" s="284">
        <v>5099.95964</v>
      </c>
      <c r="D35" s="285">
        <v>8773.9070299999985</v>
      </c>
      <c r="E35" s="285">
        <v>10615.74077</v>
      </c>
      <c r="G35" s="236" t="s">
        <v>51</v>
      </c>
      <c r="H35" s="286">
        <f>FloodConservation[[#This Row],[2023]]-FloodConservation[[#This Row],[2022]]</f>
        <v>-17268.697960000001</v>
      </c>
      <c r="I35" s="286">
        <f>FloodConservation[[#This Row],[2024]]-FloodConservation[[#This Row],[2023]]</f>
        <v>3673.9473899999984</v>
      </c>
      <c r="J35" s="286">
        <f>FloodConservation[[#This Row],[2025]]-FloodConservation[[#This Row],[2024]]</f>
        <v>1841.8337400000019</v>
      </c>
      <c r="L35" s="236" t="s">
        <v>51</v>
      </c>
      <c r="M35" s="287">
        <f>IFERROR(H35/FloodConservation[[#This Row],[2022]],"-")</f>
        <v>-0.77200421539824537</v>
      </c>
      <c r="N35" s="287">
        <f>IFERROR(I35/FloodConservation[[#This Row],[2023]],"-")</f>
        <v>0.7203875421257252</v>
      </c>
      <c r="O35" s="287">
        <f>IFERROR(J35/FloodConservation[[#This Row],[2024]],"-")</f>
        <v>0.20992172970403611</v>
      </c>
    </row>
    <row r="36" spans="1:15">
      <c r="A36" s="278" t="s">
        <v>37</v>
      </c>
      <c r="B36" s="284">
        <v>18749.997170000002</v>
      </c>
      <c r="C36" s="284">
        <v>5099.95964</v>
      </c>
      <c r="D36" s="285">
        <v>6915</v>
      </c>
      <c r="E36" s="285">
        <v>13137</v>
      </c>
      <c r="G36" s="236" t="s">
        <v>51</v>
      </c>
      <c r="H36" s="286">
        <f>FloodConservation[[#This Row],[2023]]-FloodConservation[[#This Row],[2022]]</f>
        <v>-13650.037530000001</v>
      </c>
      <c r="I36" s="286">
        <f>FloodConservation[[#This Row],[2024]]-FloodConservation[[#This Row],[2023]]</f>
        <v>1815.04036</v>
      </c>
      <c r="J36" s="286">
        <f>FloodConservation[[#This Row],[2025]]-FloodConservation[[#This Row],[2024]]</f>
        <v>6222</v>
      </c>
      <c r="L36" s="236" t="s">
        <v>51</v>
      </c>
      <c r="M36" s="287">
        <f>IFERROR(H36/FloodConservation[[#This Row],[2022]],"-")</f>
        <v>-0.72800211147978533</v>
      </c>
      <c r="N36" s="287">
        <f>IFERROR(I36/FloodConservation[[#This Row],[2023]],"-")</f>
        <v>0.35589308310683021</v>
      </c>
      <c r="O36" s="287">
        <f>IFERROR(J36/FloodConservation[[#This Row],[2024]],"-")</f>
        <v>0.89978308026030374</v>
      </c>
    </row>
    <row r="37" spans="1:15" ht="25">
      <c r="A37" s="278" t="s">
        <v>41</v>
      </c>
      <c r="B37" s="284">
        <v>40186.716770000006</v>
      </c>
      <c r="C37" s="284">
        <v>5099.95964</v>
      </c>
      <c r="D37" s="285">
        <v>6610.80242</v>
      </c>
      <c r="E37" s="285">
        <v>19497.815600000002</v>
      </c>
      <c r="G37" s="236" t="s">
        <v>51</v>
      </c>
      <c r="H37" s="286">
        <f>FloodConservation[[#This Row],[2023]]-FloodConservation[[#This Row],[2022]]</f>
        <v>-35086.757130000005</v>
      </c>
      <c r="I37" s="286">
        <f>FloodConservation[[#This Row],[2024]]-FloodConservation[[#This Row],[2023]]</f>
        <v>1510.8427799999999</v>
      </c>
      <c r="J37" s="286">
        <f>FloodConservation[[#This Row],[2025]]-FloodConservation[[#This Row],[2024]]</f>
        <v>12887.013180000002</v>
      </c>
      <c r="L37" s="236" t="s">
        <v>51</v>
      </c>
      <c r="M37" s="287">
        <f>IFERROR(H37/FloodConservation[[#This Row],[2022]],"-")</f>
        <v>-0.87309339876684833</v>
      </c>
      <c r="N37" s="287">
        <f>IFERROR(I37/FloodConservation[[#This Row],[2023]],"-")</f>
        <v>0.29624602676267453</v>
      </c>
      <c r="O37" s="287">
        <f>IFERROR(J37/FloodConservation[[#This Row],[2024]],"-")</f>
        <v>1.9493871335516335</v>
      </c>
    </row>
    <row r="38" spans="1:15">
      <c r="A38" s="278" t="s">
        <v>70</v>
      </c>
      <c r="B38" s="284">
        <v>3099.9504000000002</v>
      </c>
      <c r="C38" s="284">
        <v>5099.95964</v>
      </c>
      <c r="D38" s="285">
        <v>1799.9390000000001</v>
      </c>
      <c r="E38" s="285">
        <v>1974</v>
      </c>
      <c r="G38" s="236" t="s">
        <v>51</v>
      </c>
      <c r="H38" s="286">
        <f>FloodConservation[[#This Row],[2023]]-FloodConservation[[#This Row],[2022]]</f>
        <v>2000.0092399999999</v>
      </c>
      <c r="I38" s="286">
        <f>FloodConservation[[#This Row],[2024]]-FloodConservation[[#This Row],[2023]]</f>
        <v>-3300.0206399999997</v>
      </c>
      <c r="J38" s="286">
        <f>FloodConservation[[#This Row],[2025]]-FloodConservation[[#This Row],[2024]]</f>
        <v>174.06099999999992</v>
      </c>
      <c r="L38" s="236" t="s">
        <v>51</v>
      </c>
      <c r="M38" s="287">
        <f>IFERROR(H38/FloodConservation[[#This Row],[2022]],"-")</f>
        <v>0.64517459376124209</v>
      </c>
      <c r="N38" s="287">
        <f>IFERROR(I38/FloodConservation[[#This Row],[2023]],"-")</f>
        <v>-0.6470679913066919</v>
      </c>
      <c r="O38" s="287">
        <f>IFERROR(J38/FloodConservation[[#This Row],[2024]],"-")</f>
        <v>9.6703832740998391E-2</v>
      </c>
    </row>
    <row r="39" spans="1:15" ht="25">
      <c r="A39" s="278" t="s">
        <v>71</v>
      </c>
      <c r="B39" s="284">
        <v>250</v>
      </c>
      <c r="C39" s="284">
        <v>5099.95964</v>
      </c>
      <c r="D39" s="285">
        <v>195.18707999999998</v>
      </c>
      <c r="E39" s="285">
        <v>831.02654999999993</v>
      </c>
      <c r="G39" s="236" t="s">
        <v>51</v>
      </c>
      <c r="H39" s="286">
        <f>FloodConservation[[#This Row],[2023]]-FloodConservation[[#This Row],[2022]]</f>
        <v>4849.95964</v>
      </c>
      <c r="I39" s="286">
        <f>FloodConservation[[#This Row],[2024]]-FloodConservation[[#This Row],[2023]]</f>
        <v>-4904.7725600000003</v>
      </c>
      <c r="J39" s="286">
        <f>FloodConservation[[#This Row],[2025]]-FloodConservation[[#This Row],[2024]]</f>
        <v>635.83946999999989</v>
      </c>
      <c r="L39" s="236" t="s">
        <v>51</v>
      </c>
      <c r="M39" s="287">
        <f>IFERROR(H39/FloodConservation[[#This Row],[2022]],"-")</f>
        <v>19.399838559999999</v>
      </c>
      <c r="N39" s="287">
        <f>IFERROR(I39/FloodConservation[[#This Row],[2023]],"-")</f>
        <v>-0.96172772065309919</v>
      </c>
      <c r="O39" s="287">
        <f>IFERROR(J39/FloodConservation[[#This Row],[2024]],"-")</f>
        <v>3.2575899490888434</v>
      </c>
    </row>
  </sheetData>
  <mergeCells count="6">
    <mergeCell ref="L21:O21"/>
    <mergeCell ref="B1:E1"/>
    <mergeCell ref="B21:E21"/>
    <mergeCell ref="G1:J1"/>
    <mergeCell ref="G21:J21"/>
    <mergeCell ref="L1:O1"/>
  </mergeCells>
  <pageMargins left="0.7" right="0.7" top="0.75" bottom="0.75" header="0.3" footer="0.3"/>
  <tableParts count="2">
    <tablePart r:id="rId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17FDB-1B5D-4351-A576-E8EE0B949DE8}">
  <sheetPr codeName="Sheet39"/>
  <dimension ref="A1:D257"/>
  <sheetViews>
    <sheetView workbookViewId="0">
      <selection sqref="A1:D257"/>
    </sheetView>
  </sheetViews>
  <sheetFormatPr defaultRowHeight="14.5"/>
  <cols>
    <col min="1" max="1" width="16" bestFit="1" customWidth="1"/>
    <col min="2" max="2" width="6.81640625" bestFit="1" customWidth="1"/>
    <col min="3" max="3" width="10.81640625" bestFit="1" customWidth="1"/>
    <col min="4" max="4" width="10.453125" bestFit="1" customWidth="1"/>
    <col min="5" max="5" width="16" bestFit="1" customWidth="1"/>
  </cols>
  <sheetData>
    <row r="1" spans="1:4">
      <c r="A1" t="s">
        <v>18</v>
      </c>
      <c r="B1" t="s">
        <v>1</v>
      </c>
      <c r="C1" t="s">
        <v>3</v>
      </c>
      <c r="D1" t="s">
        <v>5</v>
      </c>
    </row>
    <row r="2" spans="1:4">
      <c r="A2" t="s">
        <v>27</v>
      </c>
      <c r="B2">
        <v>2022</v>
      </c>
      <c r="C2">
        <v>3450</v>
      </c>
      <c r="D2" t="s">
        <v>89</v>
      </c>
    </row>
    <row r="3" spans="1:4">
      <c r="A3" t="s">
        <v>27</v>
      </c>
      <c r="B3">
        <v>2023</v>
      </c>
      <c r="C3">
        <v>57086</v>
      </c>
      <c r="D3" t="s">
        <v>89</v>
      </c>
    </row>
    <row r="4" spans="1:4">
      <c r="A4" t="s">
        <v>27</v>
      </c>
      <c r="B4">
        <v>2024</v>
      </c>
      <c r="C4">
        <v>12510</v>
      </c>
      <c r="D4" t="s">
        <v>89</v>
      </c>
    </row>
    <row r="5" spans="1:4">
      <c r="A5" t="s">
        <v>27</v>
      </c>
      <c r="B5">
        <v>2025</v>
      </c>
      <c r="C5">
        <v>13510</v>
      </c>
      <c r="D5" t="s">
        <v>89</v>
      </c>
    </row>
    <row r="6" spans="1:4">
      <c r="A6" t="s">
        <v>28</v>
      </c>
      <c r="B6">
        <v>2022</v>
      </c>
      <c r="C6">
        <v>880</v>
      </c>
      <c r="D6" t="s">
        <v>89</v>
      </c>
    </row>
    <row r="7" spans="1:4">
      <c r="A7" t="s">
        <v>28</v>
      </c>
      <c r="B7">
        <v>2023</v>
      </c>
      <c r="C7">
        <v>900</v>
      </c>
      <c r="D7" t="s">
        <v>89</v>
      </c>
    </row>
    <row r="8" spans="1:4">
      <c r="A8" t="s">
        <v>28</v>
      </c>
      <c r="B8">
        <v>2024</v>
      </c>
      <c r="C8">
        <v>1100</v>
      </c>
      <c r="D8" t="s">
        <v>89</v>
      </c>
    </row>
    <row r="9" spans="1:4">
      <c r="A9" t="s">
        <v>28</v>
      </c>
      <c r="B9">
        <v>2025</v>
      </c>
      <c r="C9">
        <v>5600</v>
      </c>
      <c r="D9" t="s">
        <v>89</v>
      </c>
    </row>
    <row r="10" spans="1:4">
      <c r="A10" t="s">
        <v>29</v>
      </c>
      <c r="B10">
        <v>2022</v>
      </c>
      <c r="C10">
        <v>21140</v>
      </c>
      <c r="D10" t="s">
        <v>89</v>
      </c>
    </row>
    <row r="11" spans="1:4">
      <c r="A11" t="s">
        <v>29</v>
      </c>
      <c r="B11">
        <v>2023</v>
      </c>
      <c r="C11">
        <v>37398</v>
      </c>
      <c r="D11" t="s">
        <v>89</v>
      </c>
    </row>
    <row r="12" spans="1:4">
      <c r="A12" t="s">
        <v>29</v>
      </c>
      <c r="B12">
        <v>2024</v>
      </c>
      <c r="C12">
        <v>19380</v>
      </c>
      <c r="D12" t="s">
        <v>89</v>
      </c>
    </row>
    <row r="13" spans="1:4">
      <c r="A13" t="s">
        <v>29</v>
      </c>
      <c r="B13">
        <v>2025</v>
      </c>
      <c r="C13">
        <v>50880</v>
      </c>
      <c r="D13" t="s">
        <v>89</v>
      </c>
    </row>
    <row r="14" spans="1:4">
      <c r="A14" t="s">
        <v>30</v>
      </c>
      <c r="B14">
        <v>2022</v>
      </c>
      <c r="C14">
        <v>1500</v>
      </c>
      <c r="D14" t="s">
        <v>89</v>
      </c>
    </row>
    <row r="15" spans="1:4">
      <c r="A15" t="s">
        <v>30</v>
      </c>
      <c r="B15">
        <v>2023</v>
      </c>
      <c r="C15">
        <v>0</v>
      </c>
      <c r="D15" t="s">
        <v>89</v>
      </c>
    </row>
    <row r="16" spans="1:4">
      <c r="A16" t="s">
        <v>30</v>
      </c>
      <c r="B16">
        <v>2024</v>
      </c>
      <c r="C16">
        <v>0</v>
      </c>
      <c r="D16" t="s">
        <v>89</v>
      </c>
    </row>
    <row r="17" spans="1:4">
      <c r="A17" t="s">
        <v>30</v>
      </c>
      <c r="B17">
        <v>2025</v>
      </c>
      <c r="C17">
        <v>0</v>
      </c>
      <c r="D17" t="s">
        <v>89</v>
      </c>
    </row>
    <row r="18" spans="1:4">
      <c r="A18" t="s">
        <v>31</v>
      </c>
      <c r="B18">
        <v>2022</v>
      </c>
      <c r="C18">
        <v>17940</v>
      </c>
      <c r="D18" t="s">
        <v>89</v>
      </c>
    </row>
    <row r="19" spans="1:4">
      <c r="A19" t="s">
        <v>31</v>
      </c>
      <c r="B19">
        <v>2023</v>
      </c>
      <c r="C19">
        <v>0</v>
      </c>
      <c r="D19" t="s">
        <v>89</v>
      </c>
    </row>
    <row r="20" spans="1:4">
      <c r="A20" t="s">
        <v>31</v>
      </c>
      <c r="B20">
        <v>2024</v>
      </c>
      <c r="C20">
        <v>1850</v>
      </c>
      <c r="D20" t="s">
        <v>89</v>
      </c>
    </row>
    <row r="21" spans="1:4">
      <c r="A21" t="s">
        <v>31</v>
      </c>
      <c r="B21">
        <v>2025</v>
      </c>
      <c r="C21">
        <v>850</v>
      </c>
      <c r="D21" t="s">
        <v>89</v>
      </c>
    </row>
    <row r="22" spans="1:4">
      <c r="A22" t="s">
        <v>32</v>
      </c>
      <c r="B22">
        <v>2022</v>
      </c>
      <c r="C22">
        <v>140090</v>
      </c>
      <c r="D22" t="s">
        <v>89</v>
      </c>
    </row>
    <row r="23" spans="1:4">
      <c r="A23" t="s">
        <v>32</v>
      </c>
      <c r="B23">
        <v>2023</v>
      </c>
      <c r="C23">
        <v>49193</v>
      </c>
      <c r="D23" t="s">
        <v>89</v>
      </c>
    </row>
    <row r="24" spans="1:4">
      <c r="A24" t="s">
        <v>32</v>
      </c>
      <c r="B24">
        <v>2024</v>
      </c>
      <c r="C24">
        <v>0</v>
      </c>
      <c r="D24" t="s">
        <v>89</v>
      </c>
    </row>
    <row r="25" spans="1:4">
      <c r="A25" t="s">
        <v>32</v>
      </c>
      <c r="B25">
        <v>2025</v>
      </c>
      <c r="C25">
        <v>1000</v>
      </c>
      <c r="D25" t="s">
        <v>89</v>
      </c>
    </row>
    <row r="26" spans="1:4">
      <c r="A26" t="s">
        <v>35</v>
      </c>
      <c r="B26">
        <v>2022</v>
      </c>
      <c r="C26">
        <v>0</v>
      </c>
      <c r="D26" t="s">
        <v>89</v>
      </c>
    </row>
    <row r="27" spans="1:4">
      <c r="A27" t="s">
        <v>35</v>
      </c>
      <c r="B27">
        <v>2023</v>
      </c>
      <c r="C27">
        <v>0</v>
      </c>
      <c r="D27" t="s">
        <v>89</v>
      </c>
    </row>
    <row r="28" spans="1:4">
      <c r="A28" t="s">
        <v>35</v>
      </c>
      <c r="B28">
        <v>2024</v>
      </c>
      <c r="C28">
        <v>0</v>
      </c>
      <c r="D28" t="s">
        <v>89</v>
      </c>
    </row>
    <row r="29" spans="1:4">
      <c r="A29" t="s">
        <v>35</v>
      </c>
      <c r="B29">
        <v>2025</v>
      </c>
      <c r="C29">
        <v>1309</v>
      </c>
      <c r="D29" t="s">
        <v>89</v>
      </c>
    </row>
    <row r="30" spans="1:4">
      <c r="A30" t="s">
        <v>33</v>
      </c>
      <c r="B30">
        <v>2022</v>
      </c>
      <c r="C30">
        <v>12159.7515</v>
      </c>
      <c r="D30" t="s">
        <v>89</v>
      </c>
    </row>
    <row r="31" spans="1:4">
      <c r="A31" t="s">
        <v>33</v>
      </c>
      <c r="B31">
        <v>2023</v>
      </c>
      <c r="C31">
        <v>19010</v>
      </c>
      <c r="D31" t="s">
        <v>89</v>
      </c>
    </row>
    <row r="32" spans="1:4">
      <c r="A32" t="s">
        <v>33</v>
      </c>
      <c r="B32">
        <v>2024</v>
      </c>
      <c r="C32">
        <v>29400</v>
      </c>
      <c r="D32" t="s">
        <v>89</v>
      </c>
    </row>
    <row r="33" spans="1:4">
      <c r="A33" t="s">
        <v>33</v>
      </c>
      <c r="B33">
        <v>2025</v>
      </c>
      <c r="C33">
        <v>1400</v>
      </c>
      <c r="D33" t="s">
        <v>89</v>
      </c>
    </row>
    <row r="34" spans="1:4">
      <c r="A34" t="s">
        <v>34</v>
      </c>
      <c r="B34">
        <v>2022</v>
      </c>
      <c r="C34">
        <v>0</v>
      </c>
      <c r="D34" t="s">
        <v>89</v>
      </c>
    </row>
    <row r="35" spans="1:4">
      <c r="A35" t="s">
        <v>34</v>
      </c>
      <c r="B35">
        <v>2023</v>
      </c>
      <c r="C35">
        <v>0</v>
      </c>
      <c r="D35" t="s">
        <v>89</v>
      </c>
    </row>
    <row r="36" spans="1:4">
      <c r="A36" t="s">
        <v>34</v>
      </c>
      <c r="B36">
        <v>2024</v>
      </c>
      <c r="C36">
        <v>0</v>
      </c>
      <c r="D36" t="s">
        <v>89</v>
      </c>
    </row>
    <row r="37" spans="1:4">
      <c r="A37" t="s">
        <v>34</v>
      </c>
      <c r="B37">
        <v>2025</v>
      </c>
      <c r="C37">
        <v>15900</v>
      </c>
      <c r="D37" t="s">
        <v>89</v>
      </c>
    </row>
    <row r="38" spans="1:4">
      <c r="A38" t="s">
        <v>38</v>
      </c>
      <c r="B38">
        <v>2022</v>
      </c>
      <c r="C38">
        <v>19250</v>
      </c>
      <c r="D38" t="s">
        <v>89</v>
      </c>
    </row>
    <row r="39" spans="1:4">
      <c r="A39" t="s">
        <v>38</v>
      </c>
      <c r="B39">
        <v>2023</v>
      </c>
      <c r="C39">
        <v>0</v>
      </c>
      <c r="D39" t="s">
        <v>89</v>
      </c>
    </row>
    <row r="40" spans="1:4">
      <c r="A40" t="s">
        <v>38</v>
      </c>
      <c r="B40">
        <v>2024</v>
      </c>
      <c r="C40">
        <v>0</v>
      </c>
      <c r="D40" t="s">
        <v>89</v>
      </c>
    </row>
    <row r="41" spans="1:4">
      <c r="A41" t="s">
        <v>38</v>
      </c>
      <c r="B41">
        <v>2025</v>
      </c>
      <c r="C41">
        <v>7300</v>
      </c>
      <c r="D41" t="s">
        <v>89</v>
      </c>
    </row>
    <row r="42" spans="1:4">
      <c r="A42" t="s">
        <v>39</v>
      </c>
      <c r="B42">
        <v>2022</v>
      </c>
      <c r="C42">
        <v>16285</v>
      </c>
      <c r="D42" t="s">
        <v>89</v>
      </c>
    </row>
    <row r="43" spans="1:4">
      <c r="A43" t="s">
        <v>39</v>
      </c>
      <c r="B43">
        <v>2023</v>
      </c>
      <c r="C43">
        <v>11351.7</v>
      </c>
      <c r="D43" t="s">
        <v>89</v>
      </c>
    </row>
    <row r="44" spans="1:4">
      <c r="A44" t="s">
        <v>39</v>
      </c>
      <c r="B44">
        <v>2024</v>
      </c>
      <c r="C44">
        <v>22130</v>
      </c>
      <c r="D44" t="s">
        <v>89</v>
      </c>
    </row>
    <row r="45" spans="1:4">
      <c r="A45" t="s">
        <v>39</v>
      </c>
      <c r="B45">
        <v>2025</v>
      </c>
      <c r="C45">
        <v>56130</v>
      </c>
      <c r="D45" t="s">
        <v>89</v>
      </c>
    </row>
    <row r="46" spans="1:4">
      <c r="A46" t="s">
        <v>36</v>
      </c>
      <c r="B46">
        <v>2022</v>
      </c>
      <c r="C46">
        <v>0</v>
      </c>
      <c r="D46" t="s">
        <v>89</v>
      </c>
    </row>
    <row r="47" spans="1:4">
      <c r="A47" t="s">
        <v>36</v>
      </c>
      <c r="B47">
        <v>2023</v>
      </c>
      <c r="C47">
        <v>0</v>
      </c>
      <c r="D47" t="s">
        <v>89</v>
      </c>
    </row>
    <row r="48" spans="1:4">
      <c r="A48" t="s">
        <v>36</v>
      </c>
      <c r="B48">
        <v>2024</v>
      </c>
      <c r="C48">
        <v>0</v>
      </c>
      <c r="D48" t="s">
        <v>89</v>
      </c>
    </row>
    <row r="49" spans="1:4">
      <c r="A49" t="s">
        <v>36</v>
      </c>
      <c r="B49">
        <v>2025</v>
      </c>
      <c r="C49">
        <v>0</v>
      </c>
      <c r="D49" t="s">
        <v>89</v>
      </c>
    </row>
    <row r="50" spans="1:4">
      <c r="A50" t="s">
        <v>37</v>
      </c>
      <c r="B50">
        <v>2022</v>
      </c>
      <c r="C50">
        <v>0</v>
      </c>
      <c r="D50" t="s">
        <v>89</v>
      </c>
    </row>
    <row r="51" spans="1:4">
      <c r="A51" t="s">
        <v>37</v>
      </c>
      <c r="B51">
        <v>2023</v>
      </c>
      <c r="C51">
        <v>0</v>
      </c>
      <c r="D51" t="s">
        <v>89</v>
      </c>
    </row>
    <row r="52" spans="1:4">
      <c r="A52" t="s">
        <v>37</v>
      </c>
      <c r="B52">
        <v>2024</v>
      </c>
      <c r="C52">
        <v>0</v>
      </c>
      <c r="D52" t="s">
        <v>89</v>
      </c>
    </row>
    <row r="53" spans="1:4">
      <c r="A53" t="s">
        <v>37</v>
      </c>
      <c r="B53">
        <v>2025</v>
      </c>
      <c r="C53">
        <v>0</v>
      </c>
      <c r="D53" t="s">
        <v>89</v>
      </c>
    </row>
    <row r="54" spans="1:4">
      <c r="A54" t="s">
        <v>41</v>
      </c>
      <c r="B54">
        <v>2022</v>
      </c>
      <c r="C54">
        <v>0</v>
      </c>
      <c r="D54" t="s">
        <v>89</v>
      </c>
    </row>
    <row r="55" spans="1:4">
      <c r="A55" t="s">
        <v>41</v>
      </c>
      <c r="B55">
        <v>2023</v>
      </c>
      <c r="C55">
        <v>0</v>
      </c>
      <c r="D55" t="s">
        <v>89</v>
      </c>
    </row>
    <row r="56" spans="1:4">
      <c r="A56" t="s">
        <v>41</v>
      </c>
      <c r="B56">
        <v>2024</v>
      </c>
      <c r="C56">
        <v>0</v>
      </c>
      <c r="D56" t="s">
        <v>89</v>
      </c>
    </row>
    <row r="57" spans="1:4">
      <c r="A57" t="s">
        <v>41</v>
      </c>
      <c r="B57">
        <v>2025</v>
      </c>
      <c r="C57">
        <v>0</v>
      </c>
      <c r="D57" t="s">
        <v>89</v>
      </c>
    </row>
    <row r="58" spans="1:4">
      <c r="A58" t="s">
        <v>70</v>
      </c>
      <c r="B58">
        <v>2022</v>
      </c>
      <c r="C58">
        <v>0</v>
      </c>
      <c r="D58" t="s">
        <v>89</v>
      </c>
    </row>
    <row r="59" spans="1:4">
      <c r="A59" t="s">
        <v>70</v>
      </c>
      <c r="B59">
        <v>2023</v>
      </c>
      <c r="C59">
        <v>0</v>
      </c>
      <c r="D59" t="s">
        <v>89</v>
      </c>
    </row>
    <row r="60" spans="1:4">
      <c r="A60" t="s">
        <v>70</v>
      </c>
      <c r="B60">
        <v>2024</v>
      </c>
      <c r="C60">
        <v>0</v>
      </c>
      <c r="D60" t="s">
        <v>89</v>
      </c>
    </row>
    <row r="61" spans="1:4">
      <c r="A61" t="s">
        <v>70</v>
      </c>
      <c r="B61">
        <v>2025</v>
      </c>
      <c r="C61">
        <v>0</v>
      </c>
      <c r="D61" t="s">
        <v>89</v>
      </c>
    </row>
    <row r="62" spans="1:4">
      <c r="A62" t="s">
        <v>71</v>
      </c>
      <c r="B62">
        <v>2022</v>
      </c>
      <c r="C62">
        <v>0</v>
      </c>
      <c r="D62" t="s">
        <v>89</v>
      </c>
    </row>
    <row r="63" spans="1:4">
      <c r="A63" t="s">
        <v>71</v>
      </c>
      <c r="B63">
        <v>2023</v>
      </c>
      <c r="C63">
        <v>0</v>
      </c>
      <c r="D63" t="s">
        <v>89</v>
      </c>
    </row>
    <row r="64" spans="1:4">
      <c r="A64" t="s">
        <v>71</v>
      </c>
      <c r="B64">
        <v>2024</v>
      </c>
      <c r="C64">
        <v>0</v>
      </c>
      <c r="D64" t="s">
        <v>89</v>
      </c>
    </row>
    <row r="65" spans="1:4">
      <c r="A65" t="s">
        <v>71</v>
      </c>
      <c r="B65">
        <v>2025</v>
      </c>
      <c r="C65">
        <v>0</v>
      </c>
      <c r="D65" t="s">
        <v>89</v>
      </c>
    </row>
    <row r="66" spans="1:4">
      <c r="A66" t="s">
        <v>27</v>
      </c>
      <c r="B66">
        <v>2022</v>
      </c>
      <c r="C66">
        <v>0</v>
      </c>
      <c r="D66" t="s">
        <v>90</v>
      </c>
    </row>
    <row r="67" spans="1:4">
      <c r="A67" t="s">
        <v>27</v>
      </c>
      <c r="B67">
        <v>2023</v>
      </c>
      <c r="C67">
        <v>2363</v>
      </c>
      <c r="D67" t="s">
        <v>90</v>
      </c>
    </row>
    <row r="68" spans="1:4">
      <c r="A68" t="s">
        <v>27</v>
      </c>
      <c r="B68">
        <v>2024</v>
      </c>
      <c r="C68">
        <v>1001.4554000000001</v>
      </c>
      <c r="D68" t="s">
        <v>90</v>
      </c>
    </row>
    <row r="69" spans="1:4">
      <c r="A69" t="s">
        <v>27</v>
      </c>
      <c r="B69">
        <v>2025</v>
      </c>
      <c r="C69">
        <v>647</v>
      </c>
      <c r="D69" t="s">
        <v>90</v>
      </c>
    </row>
    <row r="70" spans="1:4">
      <c r="A70" t="s">
        <v>28</v>
      </c>
      <c r="B70">
        <v>2022</v>
      </c>
      <c r="C70">
        <v>0</v>
      </c>
      <c r="D70" t="s">
        <v>90</v>
      </c>
    </row>
    <row r="71" spans="1:4">
      <c r="A71" t="s">
        <v>28</v>
      </c>
      <c r="B71">
        <v>2023</v>
      </c>
      <c r="C71">
        <v>0</v>
      </c>
      <c r="D71" t="s">
        <v>90</v>
      </c>
    </row>
    <row r="72" spans="1:4">
      <c r="A72" t="s">
        <v>28</v>
      </c>
      <c r="B72">
        <v>2024</v>
      </c>
      <c r="C72">
        <v>896.96159999999998</v>
      </c>
      <c r="D72" t="s">
        <v>90</v>
      </c>
    </row>
    <row r="73" spans="1:4">
      <c r="A73" t="s">
        <v>28</v>
      </c>
      <c r="B73">
        <v>2025</v>
      </c>
      <c r="C73">
        <v>130</v>
      </c>
      <c r="D73" t="s">
        <v>90</v>
      </c>
    </row>
    <row r="74" spans="1:4">
      <c r="A74" t="s">
        <v>29</v>
      </c>
      <c r="B74">
        <v>2022</v>
      </c>
      <c r="C74">
        <v>0</v>
      </c>
      <c r="D74" t="s">
        <v>90</v>
      </c>
    </row>
    <row r="75" spans="1:4">
      <c r="A75" t="s">
        <v>29</v>
      </c>
      <c r="B75">
        <v>2023</v>
      </c>
      <c r="C75">
        <v>3068.415</v>
      </c>
      <c r="D75" t="s">
        <v>90</v>
      </c>
    </row>
    <row r="76" spans="1:4">
      <c r="A76" t="s">
        <v>29</v>
      </c>
      <c r="B76">
        <v>2024</v>
      </c>
      <c r="C76">
        <v>8072.7763000000004</v>
      </c>
      <c r="D76" t="s">
        <v>90</v>
      </c>
    </row>
    <row r="77" spans="1:4">
      <c r="A77" t="s">
        <v>29</v>
      </c>
      <c r="B77">
        <v>2025</v>
      </c>
      <c r="C77">
        <v>671.31219999999996</v>
      </c>
      <c r="D77" t="s">
        <v>90</v>
      </c>
    </row>
    <row r="78" spans="1:4">
      <c r="A78" t="s">
        <v>30</v>
      </c>
      <c r="B78">
        <v>2022</v>
      </c>
      <c r="C78">
        <v>0</v>
      </c>
      <c r="D78" t="s">
        <v>90</v>
      </c>
    </row>
    <row r="79" spans="1:4">
      <c r="A79" t="s">
        <v>30</v>
      </c>
      <c r="B79">
        <v>2023</v>
      </c>
      <c r="C79">
        <v>0</v>
      </c>
      <c r="D79" t="s">
        <v>90</v>
      </c>
    </row>
    <row r="80" spans="1:4">
      <c r="A80" t="s">
        <v>30</v>
      </c>
      <c r="B80">
        <v>2024</v>
      </c>
      <c r="C80">
        <v>0</v>
      </c>
      <c r="D80" t="s">
        <v>90</v>
      </c>
    </row>
    <row r="81" spans="1:4">
      <c r="A81" t="s">
        <v>30</v>
      </c>
      <c r="B81">
        <v>2025</v>
      </c>
      <c r="C81">
        <v>0</v>
      </c>
      <c r="D81" t="s">
        <v>90</v>
      </c>
    </row>
    <row r="82" spans="1:4">
      <c r="A82" t="s">
        <v>31</v>
      </c>
      <c r="B82">
        <v>2022</v>
      </c>
      <c r="C82">
        <v>0</v>
      </c>
      <c r="D82" t="s">
        <v>90</v>
      </c>
    </row>
    <row r="83" spans="1:4">
      <c r="A83" t="s">
        <v>31</v>
      </c>
      <c r="B83">
        <v>2023</v>
      </c>
      <c r="C83">
        <v>0</v>
      </c>
      <c r="D83" t="s">
        <v>90</v>
      </c>
    </row>
    <row r="84" spans="1:4">
      <c r="A84" t="s">
        <v>31</v>
      </c>
      <c r="B84">
        <v>2024</v>
      </c>
      <c r="C84">
        <v>2334</v>
      </c>
      <c r="D84" t="s">
        <v>90</v>
      </c>
    </row>
    <row r="85" spans="1:4">
      <c r="A85" t="s">
        <v>31</v>
      </c>
      <c r="B85">
        <v>2025</v>
      </c>
      <c r="C85">
        <v>712</v>
      </c>
      <c r="D85" t="s">
        <v>90</v>
      </c>
    </row>
    <row r="86" spans="1:4">
      <c r="A86" t="s">
        <v>32</v>
      </c>
      <c r="B86">
        <v>2022</v>
      </c>
      <c r="C86">
        <v>0</v>
      </c>
      <c r="D86" t="s">
        <v>90</v>
      </c>
    </row>
    <row r="87" spans="1:4">
      <c r="A87" t="s">
        <v>32</v>
      </c>
      <c r="B87">
        <v>2023</v>
      </c>
      <c r="C87">
        <v>423</v>
      </c>
      <c r="D87" t="s">
        <v>90</v>
      </c>
    </row>
    <row r="88" spans="1:4">
      <c r="A88" t="s">
        <v>32</v>
      </c>
      <c r="B88">
        <v>2024</v>
      </c>
      <c r="C88">
        <v>1300</v>
      </c>
      <c r="D88" t="s">
        <v>90</v>
      </c>
    </row>
    <row r="89" spans="1:4">
      <c r="A89" t="s">
        <v>32</v>
      </c>
      <c r="B89">
        <v>2025</v>
      </c>
      <c r="C89">
        <v>150</v>
      </c>
      <c r="D89" t="s">
        <v>90</v>
      </c>
    </row>
    <row r="90" spans="1:4">
      <c r="A90" t="s">
        <v>35</v>
      </c>
      <c r="B90">
        <v>2022</v>
      </c>
      <c r="C90">
        <v>0</v>
      </c>
      <c r="D90" t="s">
        <v>90</v>
      </c>
    </row>
    <row r="91" spans="1:4">
      <c r="A91" t="s">
        <v>35</v>
      </c>
      <c r="B91">
        <v>2023</v>
      </c>
      <c r="C91">
        <v>0</v>
      </c>
      <c r="D91" t="s">
        <v>90</v>
      </c>
    </row>
    <row r="92" spans="1:4">
      <c r="A92" t="s">
        <v>35</v>
      </c>
      <c r="B92">
        <v>2024</v>
      </c>
      <c r="C92">
        <v>0</v>
      </c>
      <c r="D92" t="s">
        <v>90</v>
      </c>
    </row>
    <row r="93" spans="1:4">
      <c r="A93" t="s">
        <v>35</v>
      </c>
      <c r="B93">
        <v>2025</v>
      </c>
      <c r="C93">
        <v>60</v>
      </c>
      <c r="D93" t="s">
        <v>90</v>
      </c>
    </row>
    <row r="94" spans="1:4">
      <c r="A94" t="s">
        <v>33</v>
      </c>
      <c r="B94">
        <v>2022</v>
      </c>
      <c r="C94">
        <v>0</v>
      </c>
      <c r="D94" t="s">
        <v>90</v>
      </c>
    </row>
    <row r="95" spans="1:4">
      <c r="A95" t="s">
        <v>33</v>
      </c>
      <c r="B95">
        <v>2023</v>
      </c>
      <c r="C95">
        <v>0</v>
      </c>
      <c r="D95" t="s">
        <v>90</v>
      </c>
    </row>
    <row r="96" spans="1:4">
      <c r="A96" t="s">
        <v>33</v>
      </c>
      <c r="B96">
        <v>2024</v>
      </c>
      <c r="C96">
        <v>102.6</v>
      </c>
      <c r="D96" t="s">
        <v>90</v>
      </c>
    </row>
    <row r="97" spans="1:4">
      <c r="A97" t="s">
        <v>33</v>
      </c>
      <c r="B97">
        <v>2025</v>
      </c>
      <c r="C97">
        <v>171</v>
      </c>
      <c r="D97" t="s">
        <v>90</v>
      </c>
    </row>
    <row r="98" spans="1:4">
      <c r="A98" t="s">
        <v>34</v>
      </c>
      <c r="B98">
        <v>2022</v>
      </c>
      <c r="C98">
        <v>0</v>
      </c>
      <c r="D98" t="s">
        <v>90</v>
      </c>
    </row>
    <row r="99" spans="1:4">
      <c r="A99" t="s">
        <v>34</v>
      </c>
      <c r="B99">
        <v>2023</v>
      </c>
      <c r="C99">
        <v>0</v>
      </c>
      <c r="D99" t="s">
        <v>90</v>
      </c>
    </row>
    <row r="100" spans="1:4">
      <c r="A100" t="s">
        <v>34</v>
      </c>
      <c r="B100">
        <v>2024</v>
      </c>
      <c r="C100">
        <v>0</v>
      </c>
      <c r="D100" t="s">
        <v>90</v>
      </c>
    </row>
    <row r="101" spans="1:4">
      <c r="A101" t="s">
        <v>34</v>
      </c>
      <c r="B101">
        <v>2025</v>
      </c>
      <c r="C101">
        <v>25.0688</v>
      </c>
      <c r="D101" t="s">
        <v>90</v>
      </c>
    </row>
    <row r="102" spans="1:4">
      <c r="A102" t="s">
        <v>38</v>
      </c>
      <c r="B102">
        <v>2022</v>
      </c>
      <c r="C102">
        <v>0</v>
      </c>
      <c r="D102" t="s">
        <v>90</v>
      </c>
    </row>
    <row r="103" spans="1:4">
      <c r="A103" t="s">
        <v>38</v>
      </c>
      <c r="B103">
        <v>2023</v>
      </c>
      <c r="C103">
        <v>0</v>
      </c>
      <c r="D103" t="s">
        <v>90</v>
      </c>
    </row>
    <row r="104" spans="1:4">
      <c r="A104" t="s">
        <v>38</v>
      </c>
      <c r="B104">
        <v>2024</v>
      </c>
      <c r="C104">
        <v>680</v>
      </c>
      <c r="D104" t="s">
        <v>90</v>
      </c>
    </row>
    <row r="105" spans="1:4">
      <c r="A105" t="s">
        <v>38</v>
      </c>
      <c r="B105">
        <v>2025</v>
      </c>
      <c r="C105">
        <v>59.789000000000001</v>
      </c>
      <c r="D105" t="s">
        <v>90</v>
      </c>
    </row>
    <row r="106" spans="1:4">
      <c r="A106" t="s">
        <v>39</v>
      </c>
      <c r="B106">
        <v>2022</v>
      </c>
      <c r="C106">
        <v>0</v>
      </c>
      <c r="D106" t="s">
        <v>90</v>
      </c>
    </row>
    <row r="107" spans="1:4">
      <c r="A107" t="s">
        <v>39</v>
      </c>
      <c r="B107">
        <v>2023</v>
      </c>
      <c r="C107">
        <v>7663</v>
      </c>
      <c r="D107" t="s">
        <v>90</v>
      </c>
    </row>
    <row r="108" spans="1:4">
      <c r="A108" t="s">
        <v>39</v>
      </c>
      <c r="B108">
        <v>2024</v>
      </c>
      <c r="C108">
        <v>5201.8724000000002</v>
      </c>
      <c r="D108" t="s">
        <v>90</v>
      </c>
    </row>
    <row r="109" spans="1:4">
      <c r="A109" t="s">
        <v>39</v>
      </c>
      <c r="B109">
        <v>2025</v>
      </c>
      <c r="C109">
        <v>1884.3803</v>
      </c>
      <c r="D109" t="s">
        <v>90</v>
      </c>
    </row>
    <row r="110" spans="1:4">
      <c r="A110" t="s">
        <v>36</v>
      </c>
      <c r="B110">
        <v>2022</v>
      </c>
      <c r="C110">
        <v>0</v>
      </c>
      <c r="D110" t="s">
        <v>90</v>
      </c>
    </row>
    <row r="111" spans="1:4">
      <c r="A111" t="s">
        <v>36</v>
      </c>
      <c r="B111">
        <v>2023</v>
      </c>
      <c r="C111">
        <v>735.4</v>
      </c>
      <c r="D111" t="s">
        <v>90</v>
      </c>
    </row>
    <row r="112" spans="1:4">
      <c r="A112" t="s">
        <v>36</v>
      </c>
      <c r="B112">
        <v>2024</v>
      </c>
      <c r="C112">
        <v>4640</v>
      </c>
      <c r="D112" t="s">
        <v>90</v>
      </c>
    </row>
    <row r="113" spans="1:4">
      <c r="A113" t="s">
        <v>36</v>
      </c>
      <c r="B113">
        <v>2025</v>
      </c>
      <c r="C113">
        <v>5786.6953999999996</v>
      </c>
      <c r="D113" t="s">
        <v>90</v>
      </c>
    </row>
    <row r="114" spans="1:4">
      <c r="A114" t="s">
        <v>37</v>
      </c>
      <c r="B114">
        <v>2022</v>
      </c>
      <c r="C114">
        <v>0</v>
      </c>
      <c r="D114" t="s">
        <v>90</v>
      </c>
    </row>
    <row r="115" spans="1:4">
      <c r="A115" t="s">
        <v>37</v>
      </c>
      <c r="B115">
        <v>2023</v>
      </c>
      <c r="C115">
        <v>484.75</v>
      </c>
      <c r="D115" t="s">
        <v>90</v>
      </c>
    </row>
    <row r="116" spans="1:4">
      <c r="A116" t="s">
        <v>37</v>
      </c>
      <c r="B116">
        <v>2024</v>
      </c>
      <c r="C116">
        <v>5014.8226999999997</v>
      </c>
      <c r="D116" t="s">
        <v>90</v>
      </c>
    </row>
    <row r="117" spans="1:4">
      <c r="A117" t="s">
        <v>37</v>
      </c>
      <c r="B117">
        <v>2025</v>
      </c>
      <c r="C117">
        <v>3610.6448999999998</v>
      </c>
      <c r="D117" t="s">
        <v>90</v>
      </c>
    </row>
    <row r="118" spans="1:4">
      <c r="A118" t="s">
        <v>41</v>
      </c>
      <c r="B118">
        <v>2022</v>
      </c>
      <c r="C118">
        <v>0</v>
      </c>
      <c r="D118" t="s">
        <v>90</v>
      </c>
    </row>
    <row r="119" spans="1:4">
      <c r="A119" t="s">
        <v>41</v>
      </c>
      <c r="B119">
        <v>2023</v>
      </c>
      <c r="C119">
        <v>0</v>
      </c>
      <c r="D119" t="s">
        <v>90</v>
      </c>
    </row>
    <row r="120" spans="1:4">
      <c r="A120" t="s">
        <v>41</v>
      </c>
      <c r="B120">
        <v>2024</v>
      </c>
      <c r="C120">
        <v>0</v>
      </c>
      <c r="D120" t="s">
        <v>90</v>
      </c>
    </row>
    <row r="121" spans="1:4">
      <c r="A121" t="s">
        <v>41</v>
      </c>
      <c r="B121">
        <v>2025</v>
      </c>
      <c r="C121">
        <v>150</v>
      </c>
      <c r="D121" t="s">
        <v>90</v>
      </c>
    </row>
    <row r="122" spans="1:4">
      <c r="A122" t="s">
        <v>70</v>
      </c>
      <c r="B122">
        <v>2022</v>
      </c>
      <c r="C122">
        <v>0</v>
      </c>
      <c r="D122" t="s">
        <v>90</v>
      </c>
    </row>
    <row r="123" spans="1:4">
      <c r="A123" t="s">
        <v>70</v>
      </c>
      <c r="B123">
        <v>2023</v>
      </c>
      <c r="C123">
        <v>0</v>
      </c>
      <c r="D123" t="s">
        <v>90</v>
      </c>
    </row>
    <row r="124" spans="1:4">
      <c r="A124" t="s">
        <v>70</v>
      </c>
      <c r="B124">
        <v>2024</v>
      </c>
      <c r="C124">
        <v>0</v>
      </c>
      <c r="D124" t="s">
        <v>90</v>
      </c>
    </row>
    <row r="125" spans="1:4">
      <c r="A125" t="s">
        <v>70</v>
      </c>
      <c r="B125">
        <v>2025</v>
      </c>
      <c r="C125">
        <v>0</v>
      </c>
      <c r="D125" t="s">
        <v>90</v>
      </c>
    </row>
    <row r="126" spans="1:4">
      <c r="A126" t="s">
        <v>71</v>
      </c>
      <c r="B126">
        <v>2022</v>
      </c>
      <c r="C126">
        <v>0</v>
      </c>
      <c r="D126" t="s">
        <v>90</v>
      </c>
    </row>
    <row r="127" spans="1:4">
      <c r="A127" t="s">
        <v>71</v>
      </c>
      <c r="B127">
        <v>2023</v>
      </c>
      <c r="C127">
        <v>0</v>
      </c>
      <c r="D127" t="s">
        <v>90</v>
      </c>
    </row>
    <row r="128" spans="1:4">
      <c r="A128" t="s">
        <v>71</v>
      </c>
      <c r="B128">
        <v>2024</v>
      </c>
      <c r="C128">
        <v>18</v>
      </c>
      <c r="D128" t="s">
        <v>90</v>
      </c>
    </row>
    <row r="129" spans="1:4">
      <c r="A129" t="s">
        <v>71</v>
      </c>
      <c r="B129">
        <v>2025</v>
      </c>
      <c r="C129">
        <v>0</v>
      </c>
      <c r="D129" t="s">
        <v>90</v>
      </c>
    </row>
    <row r="130" spans="1:4">
      <c r="A130" t="s">
        <v>27</v>
      </c>
      <c r="B130">
        <v>2022</v>
      </c>
      <c r="C130">
        <v>0</v>
      </c>
      <c r="D130" t="s">
        <v>91</v>
      </c>
    </row>
    <row r="131" spans="1:4">
      <c r="A131" t="s">
        <v>27</v>
      </c>
      <c r="B131">
        <v>2023</v>
      </c>
      <c r="C131">
        <v>0</v>
      </c>
      <c r="D131" t="s">
        <v>91</v>
      </c>
    </row>
    <row r="132" spans="1:4">
      <c r="A132" t="s">
        <v>27</v>
      </c>
      <c r="B132">
        <v>2024</v>
      </c>
      <c r="C132">
        <v>108.08</v>
      </c>
      <c r="D132" t="s">
        <v>91</v>
      </c>
    </row>
    <row r="133" spans="1:4">
      <c r="A133" t="s">
        <v>27</v>
      </c>
      <c r="B133">
        <v>2025</v>
      </c>
      <c r="C133">
        <v>30</v>
      </c>
      <c r="D133" t="s">
        <v>91</v>
      </c>
    </row>
    <row r="134" spans="1:4">
      <c r="A134" t="s">
        <v>28</v>
      </c>
      <c r="B134">
        <v>2022</v>
      </c>
      <c r="C134">
        <v>0</v>
      </c>
      <c r="D134" t="s">
        <v>91</v>
      </c>
    </row>
    <row r="135" spans="1:4">
      <c r="A135" t="s">
        <v>28</v>
      </c>
      <c r="B135">
        <v>2023</v>
      </c>
      <c r="C135">
        <v>0</v>
      </c>
      <c r="D135" t="s">
        <v>91</v>
      </c>
    </row>
    <row r="136" spans="1:4">
      <c r="A136" t="s">
        <v>28</v>
      </c>
      <c r="B136">
        <v>2024</v>
      </c>
      <c r="C136">
        <v>613.38499999999999</v>
      </c>
      <c r="D136" t="s">
        <v>91</v>
      </c>
    </row>
    <row r="137" spans="1:4">
      <c r="A137" t="s">
        <v>28</v>
      </c>
      <c r="B137">
        <v>2025</v>
      </c>
      <c r="C137">
        <v>210</v>
      </c>
      <c r="D137" t="s">
        <v>91</v>
      </c>
    </row>
    <row r="138" spans="1:4">
      <c r="A138" t="s">
        <v>29</v>
      </c>
      <c r="B138">
        <v>2022</v>
      </c>
      <c r="C138">
        <v>0</v>
      </c>
      <c r="D138" t="s">
        <v>91</v>
      </c>
    </row>
    <row r="139" spans="1:4">
      <c r="A139" t="s">
        <v>29</v>
      </c>
      <c r="B139">
        <v>2023</v>
      </c>
      <c r="C139">
        <v>0</v>
      </c>
      <c r="D139" t="s">
        <v>91</v>
      </c>
    </row>
    <row r="140" spans="1:4">
      <c r="A140" t="s">
        <v>29</v>
      </c>
      <c r="B140">
        <v>2024</v>
      </c>
      <c r="C140">
        <v>5978.74</v>
      </c>
      <c r="D140" t="s">
        <v>91</v>
      </c>
    </row>
    <row r="141" spans="1:4">
      <c r="A141" t="s">
        <v>29</v>
      </c>
      <c r="B141">
        <v>2025</v>
      </c>
      <c r="C141">
        <v>4440</v>
      </c>
      <c r="D141" t="s">
        <v>91</v>
      </c>
    </row>
    <row r="142" spans="1:4">
      <c r="A142" t="s">
        <v>30</v>
      </c>
      <c r="B142">
        <v>2022</v>
      </c>
      <c r="C142">
        <v>0</v>
      </c>
      <c r="D142" t="s">
        <v>91</v>
      </c>
    </row>
    <row r="143" spans="1:4">
      <c r="A143" t="s">
        <v>30</v>
      </c>
      <c r="B143">
        <v>2023</v>
      </c>
      <c r="C143">
        <v>0</v>
      </c>
      <c r="D143" t="s">
        <v>91</v>
      </c>
    </row>
    <row r="144" spans="1:4">
      <c r="A144" t="s">
        <v>30</v>
      </c>
      <c r="B144">
        <v>2024</v>
      </c>
      <c r="C144">
        <v>0</v>
      </c>
      <c r="D144" t="s">
        <v>91</v>
      </c>
    </row>
    <row r="145" spans="1:4">
      <c r="A145" t="s">
        <v>30</v>
      </c>
      <c r="B145">
        <v>2025</v>
      </c>
      <c r="C145">
        <v>90</v>
      </c>
      <c r="D145" t="s">
        <v>91</v>
      </c>
    </row>
    <row r="146" spans="1:4">
      <c r="A146" t="s">
        <v>31</v>
      </c>
      <c r="B146">
        <v>2022</v>
      </c>
      <c r="C146">
        <v>0</v>
      </c>
      <c r="D146" t="s">
        <v>91</v>
      </c>
    </row>
    <row r="147" spans="1:4">
      <c r="A147" t="s">
        <v>31</v>
      </c>
      <c r="B147">
        <v>2023</v>
      </c>
      <c r="C147">
        <v>0</v>
      </c>
      <c r="D147" t="s">
        <v>91</v>
      </c>
    </row>
    <row r="148" spans="1:4">
      <c r="A148" t="s">
        <v>31</v>
      </c>
      <c r="B148">
        <v>2024</v>
      </c>
      <c r="C148">
        <v>26.5</v>
      </c>
      <c r="D148" t="s">
        <v>91</v>
      </c>
    </row>
    <row r="149" spans="1:4">
      <c r="A149" t="s">
        <v>31</v>
      </c>
      <c r="B149">
        <v>2025</v>
      </c>
      <c r="C149">
        <v>270</v>
      </c>
      <c r="D149" t="s">
        <v>91</v>
      </c>
    </row>
    <row r="150" spans="1:4">
      <c r="A150" t="s">
        <v>32</v>
      </c>
      <c r="B150">
        <v>2022</v>
      </c>
      <c r="C150">
        <v>0</v>
      </c>
      <c r="D150" t="s">
        <v>91</v>
      </c>
    </row>
    <row r="151" spans="1:4">
      <c r="A151" t="s">
        <v>32</v>
      </c>
      <c r="B151">
        <v>2023</v>
      </c>
      <c r="C151">
        <v>0</v>
      </c>
      <c r="D151" t="s">
        <v>91</v>
      </c>
    </row>
    <row r="152" spans="1:4">
      <c r="A152" t="s">
        <v>32</v>
      </c>
      <c r="B152">
        <v>2024</v>
      </c>
      <c r="C152">
        <v>177</v>
      </c>
      <c r="D152" t="s">
        <v>91</v>
      </c>
    </row>
    <row r="153" spans="1:4">
      <c r="A153" t="s">
        <v>32</v>
      </c>
      <c r="B153">
        <v>2025</v>
      </c>
      <c r="C153">
        <v>95</v>
      </c>
      <c r="D153" t="s">
        <v>91</v>
      </c>
    </row>
    <row r="154" spans="1:4">
      <c r="A154" t="s">
        <v>35</v>
      </c>
      <c r="B154">
        <v>2022</v>
      </c>
      <c r="C154">
        <v>0</v>
      </c>
      <c r="D154" t="s">
        <v>91</v>
      </c>
    </row>
    <row r="155" spans="1:4">
      <c r="A155" t="s">
        <v>35</v>
      </c>
      <c r="B155">
        <v>2023</v>
      </c>
      <c r="C155">
        <v>0</v>
      </c>
      <c r="D155" t="s">
        <v>91</v>
      </c>
    </row>
    <row r="156" spans="1:4">
      <c r="A156" t="s">
        <v>35</v>
      </c>
      <c r="B156">
        <v>2024</v>
      </c>
      <c r="C156">
        <v>1</v>
      </c>
      <c r="D156" t="s">
        <v>91</v>
      </c>
    </row>
    <row r="157" spans="1:4">
      <c r="A157" t="s">
        <v>35</v>
      </c>
      <c r="B157">
        <v>2025</v>
      </c>
      <c r="C157">
        <v>0</v>
      </c>
      <c r="D157" t="s">
        <v>91</v>
      </c>
    </row>
    <row r="158" spans="1:4">
      <c r="A158" t="s">
        <v>33</v>
      </c>
      <c r="B158">
        <v>2022</v>
      </c>
      <c r="C158">
        <v>0</v>
      </c>
      <c r="D158" t="s">
        <v>91</v>
      </c>
    </row>
    <row r="159" spans="1:4">
      <c r="A159" t="s">
        <v>33</v>
      </c>
      <c r="B159">
        <v>2023</v>
      </c>
      <c r="C159">
        <v>0</v>
      </c>
      <c r="D159" t="s">
        <v>91</v>
      </c>
    </row>
    <row r="160" spans="1:4">
      <c r="A160" t="s">
        <v>33</v>
      </c>
      <c r="B160">
        <v>2024</v>
      </c>
      <c r="C160">
        <v>167.69900000000001</v>
      </c>
      <c r="D160" t="s">
        <v>91</v>
      </c>
    </row>
    <row r="161" spans="1:4">
      <c r="A161" t="s">
        <v>33</v>
      </c>
      <c r="B161">
        <v>2025</v>
      </c>
      <c r="C161">
        <v>520</v>
      </c>
      <c r="D161" t="s">
        <v>91</v>
      </c>
    </row>
    <row r="162" spans="1:4">
      <c r="A162" t="s">
        <v>34</v>
      </c>
      <c r="B162">
        <v>2022</v>
      </c>
      <c r="C162">
        <v>0</v>
      </c>
      <c r="D162" t="s">
        <v>91</v>
      </c>
    </row>
    <row r="163" spans="1:4">
      <c r="A163" t="s">
        <v>34</v>
      </c>
      <c r="B163">
        <v>2023</v>
      </c>
      <c r="C163">
        <v>0</v>
      </c>
      <c r="D163" t="s">
        <v>91</v>
      </c>
    </row>
    <row r="164" spans="1:4">
      <c r="A164" t="s">
        <v>34</v>
      </c>
      <c r="B164">
        <v>2024</v>
      </c>
      <c r="C164">
        <v>0.5</v>
      </c>
      <c r="D164" t="s">
        <v>91</v>
      </c>
    </row>
    <row r="165" spans="1:4">
      <c r="A165" t="s">
        <v>34</v>
      </c>
      <c r="B165">
        <v>2025</v>
      </c>
      <c r="C165">
        <v>760</v>
      </c>
      <c r="D165" t="s">
        <v>91</v>
      </c>
    </row>
    <row r="166" spans="1:4">
      <c r="A166" t="s">
        <v>38</v>
      </c>
      <c r="B166">
        <v>2022</v>
      </c>
      <c r="C166">
        <v>0</v>
      </c>
      <c r="D166" t="s">
        <v>91</v>
      </c>
    </row>
    <row r="167" spans="1:4">
      <c r="A167" t="s">
        <v>38</v>
      </c>
      <c r="B167">
        <v>2023</v>
      </c>
      <c r="C167">
        <v>0</v>
      </c>
      <c r="D167" t="s">
        <v>91</v>
      </c>
    </row>
    <row r="168" spans="1:4">
      <c r="A168" t="s">
        <v>38</v>
      </c>
      <c r="B168">
        <v>2024</v>
      </c>
      <c r="C168">
        <v>0</v>
      </c>
      <c r="D168" t="s">
        <v>91</v>
      </c>
    </row>
    <row r="169" spans="1:4">
      <c r="A169" t="s">
        <v>38</v>
      </c>
      <c r="B169">
        <v>2025</v>
      </c>
      <c r="C169">
        <v>0</v>
      </c>
      <c r="D169" t="s">
        <v>91</v>
      </c>
    </row>
    <row r="170" spans="1:4">
      <c r="A170" t="s">
        <v>39</v>
      </c>
      <c r="B170">
        <v>2022</v>
      </c>
      <c r="C170">
        <v>0</v>
      </c>
      <c r="D170" t="s">
        <v>91</v>
      </c>
    </row>
    <row r="171" spans="1:4">
      <c r="A171" t="s">
        <v>39</v>
      </c>
      <c r="B171">
        <v>2023</v>
      </c>
      <c r="C171">
        <v>0</v>
      </c>
      <c r="D171" t="s">
        <v>91</v>
      </c>
    </row>
    <row r="172" spans="1:4">
      <c r="A172" t="s">
        <v>39</v>
      </c>
      <c r="B172">
        <v>2024</v>
      </c>
      <c r="C172">
        <v>14869.7919</v>
      </c>
      <c r="D172" t="s">
        <v>91</v>
      </c>
    </row>
    <row r="173" spans="1:4">
      <c r="A173" t="s">
        <v>39</v>
      </c>
      <c r="B173">
        <v>2025</v>
      </c>
      <c r="C173">
        <v>2300</v>
      </c>
      <c r="D173" t="s">
        <v>91</v>
      </c>
    </row>
    <row r="174" spans="1:4">
      <c r="A174" t="s">
        <v>36</v>
      </c>
      <c r="B174">
        <v>2022</v>
      </c>
      <c r="C174">
        <v>0</v>
      </c>
      <c r="D174" t="s">
        <v>91</v>
      </c>
    </row>
    <row r="175" spans="1:4">
      <c r="A175" t="s">
        <v>36</v>
      </c>
      <c r="B175">
        <v>2023</v>
      </c>
      <c r="C175">
        <v>0</v>
      </c>
      <c r="D175" t="s">
        <v>91</v>
      </c>
    </row>
    <row r="176" spans="1:4">
      <c r="A176" t="s">
        <v>36</v>
      </c>
      <c r="B176">
        <v>2024</v>
      </c>
      <c r="C176">
        <v>0</v>
      </c>
      <c r="D176" t="s">
        <v>91</v>
      </c>
    </row>
    <row r="177" spans="1:4">
      <c r="A177" t="s">
        <v>36</v>
      </c>
      <c r="B177">
        <v>2025</v>
      </c>
      <c r="C177">
        <v>680</v>
      </c>
      <c r="D177" t="s">
        <v>91</v>
      </c>
    </row>
    <row r="178" spans="1:4">
      <c r="A178" t="s">
        <v>37</v>
      </c>
      <c r="B178">
        <v>2022</v>
      </c>
      <c r="C178">
        <v>0</v>
      </c>
      <c r="D178" t="s">
        <v>91</v>
      </c>
    </row>
    <row r="179" spans="1:4">
      <c r="A179" t="s">
        <v>37</v>
      </c>
      <c r="B179">
        <v>2023</v>
      </c>
      <c r="C179">
        <v>0</v>
      </c>
      <c r="D179" t="s">
        <v>91</v>
      </c>
    </row>
    <row r="180" spans="1:4">
      <c r="A180" t="s">
        <v>37</v>
      </c>
      <c r="B180">
        <v>2024</v>
      </c>
      <c r="C180">
        <v>49.994999999999997</v>
      </c>
      <c r="D180" t="s">
        <v>91</v>
      </c>
    </row>
    <row r="181" spans="1:4">
      <c r="A181" t="s">
        <v>37</v>
      </c>
      <c r="B181">
        <v>2025</v>
      </c>
      <c r="C181">
        <v>960</v>
      </c>
      <c r="D181" t="s">
        <v>91</v>
      </c>
    </row>
    <row r="182" spans="1:4">
      <c r="A182" t="s">
        <v>41</v>
      </c>
      <c r="B182">
        <v>2022</v>
      </c>
      <c r="C182">
        <v>0</v>
      </c>
      <c r="D182" t="s">
        <v>91</v>
      </c>
    </row>
    <row r="183" spans="1:4">
      <c r="A183" t="s">
        <v>41</v>
      </c>
      <c r="B183">
        <v>2023</v>
      </c>
      <c r="C183">
        <v>0</v>
      </c>
      <c r="D183" t="s">
        <v>91</v>
      </c>
    </row>
    <row r="184" spans="1:4">
      <c r="A184" t="s">
        <v>41</v>
      </c>
      <c r="B184">
        <v>2024</v>
      </c>
      <c r="C184">
        <v>0</v>
      </c>
      <c r="D184" t="s">
        <v>91</v>
      </c>
    </row>
    <row r="185" spans="1:4">
      <c r="A185" t="s">
        <v>41</v>
      </c>
      <c r="B185">
        <v>2025</v>
      </c>
      <c r="C185">
        <v>0</v>
      </c>
      <c r="D185" t="s">
        <v>91</v>
      </c>
    </row>
    <row r="186" spans="1:4">
      <c r="A186" t="s">
        <v>70</v>
      </c>
      <c r="B186">
        <v>2022</v>
      </c>
      <c r="C186">
        <v>0</v>
      </c>
      <c r="D186" t="s">
        <v>91</v>
      </c>
    </row>
    <row r="187" spans="1:4">
      <c r="A187" t="s">
        <v>70</v>
      </c>
      <c r="B187">
        <v>2023</v>
      </c>
      <c r="C187">
        <v>0</v>
      </c>
      <c r="D187" t="s">
        <v>91</v>
      </c>
    </row>
    <row r="188" spans="1:4">
      <c r="A188" t="s">
        <v>70</v>
      </c>
      <c r="B188">
        <v>2024</v>
      </c>
      <c r="C188">
        <v>0</v>
      </c>
      <c r="D188" t="s">
        <v>91</v>
      </c>
    </row>
    <row r="189" spans="1:4">
      <c r="A189" t="s">
        <v>70</v>
      </c>
      <c r="B189">
        <v>2025</v>
      </c>
      <c r="C189">
        <v>0</v>
      </c>
      <c r="D189" t="s">
        <v>91</v>
      </c>
    </row>
    <row r="190" spans="1:4">
      <c r="A190" t="s">
        <v>71</v>
      </c>
      <c r="B190">
        <v>2022</v>
      </c>
      <c r="C190">
        <v>0</v>
      </c>
      <c r="D190" t="s">
        <v>91</v>
      </c>
    </row>
    <row r="191" spans="1:4">
      <c r="A191" t="s">
        <v>71</v>
      </c>
      <c r="B191">
        <v>2023</v>
      </c>
      <c r="C191">
        <v>0</v>
      </c>
      <c r="D191" t="s">
        <v>91</v>
      </c>
    </row>
    <row r="192" spans="1:4">
      <c r="A192" t="s">
        <v>71</v>
      </c>
      <c r="B192">
        <v>2024</v>
      </c>
      <c r="C192">
        <v>0</v>
      </c>
      <c r="D192" t="s">
        <v>91</v>
      </c>
    </row>
    <row r="193" spans="1:4">
      <c r="A193" t="s">
        <v>71</v>
      </c>
      <c r="B193">
        <v>2025</v>
      </c>
      <c r="C193">
        <v>0</v>
      </c>
      <c r="D193" t="s">
        <v>91</v>
      </c>
    </row>
    <row r="194" spans="1:4">
      <c r="A194" t="s">
        <v>27</v>
      </c>
      <c r="B194">
        <v>2022</v>
      </c>
      <c r="C194">
        <v>34788.571199999998</v>
      </c>
      <c r="D194" t="s">
        <v>92</v>
      </c>
    </row>
    <row r="195" spans="1:4">
      <c r="A195" t="s">
        <v>27</v>
      </c>
      <c r="B195">
        <v>2023</v>
      </c>
      <c r="C195">
        <v>12396.4496</v>
      </c>
      <c r="D195" t="s">
        <v>92</v>
      </c>
    </row>
    <row r="196" spans="1:4">
      <c r="A196" t="s">
        <v>27</v>
      </c>
      <c r="B196">
        <v>2024</v>
      </c>
      <c r="C196">
        <v>16128.9113</v>
      </c>
      <c r="D196" t="s">
        <v>92</v>
      </c>
    </row>
    <row r="197" spans="1:4">
      <c r="A197" t="s">
        <v>27</v>
      </c>
      <c r="B197">
        <v>2025</v>
      </c>
      <c r="C197">
        <v>15655.5767</v>
      </c>
      <c r="D197" t="s">
        <v>92</v>
      </c>
    </row>
    <row r="198" spans="1:4">
      <c r="A198" t="s">
        <v>28</v>
      </c>
      <c r="B198">
        <v>2022</v>
      </c>
      <c r="C198">
        <v>23429.591</v>
      </c>
      <c r="D198" t="s">
        <v>92</v>
      </c>
    </row>
    <row r="199" spans="1:4">
      <c r="A199" t="s">
        <v>28</v>
      </c>
      <c r="B199">
        <v>2023</v>
      </c>
      <c r="C199">
        <v>19846.419099999999</v>
      </c>
      <c r="D199" t="s">
        <v>92</v>
      </c>
    </row>
    <row r="200" spans="1:4">
      <c r="A200" t="s">
        <v>28</v>
      </c>
      <c r="B200">
        <v>2024</v>
      </c>
      <c r="C200">
        <v>12442.5571</v>
      </c>
      <c r="D200" t="s">
        <v>92</v>
      </c>
    </row>
    <row r="201" spans="1:4">
      <c r="A201" t="s">
        <v>28</v>
      </c>
      <c r="B201">
        <v>2025</v>
      </c>
      <c r="C201">
        <v>14173.4192</v>
      </c>
      <c r="D201" t="s">
        <v>92</v>
      </c>
    </row>
    <row r="202" spans="1:4">
      <c r="A202" t="s">
        <v>29</v>
      </c>
      <c r="B202">
        <v>2022</v>
      </c>
      <c r="C202">
        <v>40814.260300000002</v>
      </c>
      <c r="D202" t="s">
        <v>92</v>
      </c>
    </row>
    <row r="203" spans="1:4">
      <c r="A203" t="s">
        <v>29</v>
      </c>
      <c r="B203">
        <v>2023</v>
      </c>
      <c r="C203">
        <v>10992.246300000001</v>
      </c>
      <c r="D203" t="s">
        <v>92</v>
      </c>
    </row>
    <row r="204" spans="1:4">
      <c r="A204" t="s">
        <v>29</v>
      </c>
      <c r="B204">
        <v>2024</v>
      </c>
      <c r="C204">
        <v>14657.2726</v>
      </c>
      <c r="D204" t="s">
        <v>92</v>
      </c>
    </row>
    <row r="205" spans="1:4">
      <c r="A205" t="s">
        <v>29</v>
      </c>
      <c r="B205">
        <v>2025</v>
      </c>
      <c r="C205">
        <v>11148.619699999999</v>
      </c>
      <c r="D205" t="s">
        <v>92</v>
      </c>
    </row>
    <row r="206" spans="1:4">
      <c r="A206" t="s">
        <v>30</v>
      </c>
      <c r="B206">
        <v>2022</v>
      </c>
      <c r="C206">
        <v>15150.5429</v>
      </c>
      <c r="D206" t="s">
        <v>92</v>
      </c>
    </row>
    <row r="207" spans="1:4">
      <c r="A207" t="s">
        <v>30</v>
      </c>
      <c r="B207">
        <v>2023</v>
      </c>
      <c r="C207">
        <v>5000</v>
      </c>
      <c r="D207" t="s">
        <v>92</v>
      </c>
    </row>
    <row r="208" spans="1:4">
      <c r="A208" t="s">
        <v>30</v>
      </c>
      <c r="B208">
        <v>2024</v>
      </c>
      <c r="C208">
        <v>7248.7259999999997</v>
      </c>
      <c r="D208" t="s">
        <v>92</v>
      </c>
    </row>
    <row r="209" spans="1:4">
      <c r="A209" t="s">
        <v>30</v>
      </c>
      <c r="B209">
        <v>2025</v>
      </c>
      <c r="C209">
        <v>12810.816999999999</v>
      </c>
      <c r="D209" t="s">
        <v>92</v>
      </c>
    </row>
    <row r="210" spans="1:4">
      <c r="A210" t="s">
        <v>31</v>
      </c>
      <c r="B210">
        <v>2022</v>
      </c>
      <c r="C210">
        <v>17598.841</v>
      </c>
      <c r="D210" t="s">
        <v>92</v>
      </c>
    </row>
    <row r="211" spans="1:4">
      <c r="A211" t="s">
        <v>31</v>
      </c>
      <c r="B211">
        <v>2023</v>
      </c>
      <c r="C211">
        <v>7579.9111000000003</v>
      </c>
      <c r="D211" t="s">
        <v>92</v>
      </c>
    </row>
    <row r="212" spans="1:4">
      <c r="A212" t="s">
        <v>31</v>
      </c>
      <c r="B212">
        <v>2024</v>
      </c>
      <c r="C212">
        <v>11970</v>
      </c>
      <c r="D212" t="s">
        <v>92</v>
      </c>
    </row>
    <row r="213" spans="1:4">
      <c r="A213" t="s">
        <v>31</v>
      </c>
      <c r="B213">
        <v>2025</v>
      </c>
      <c r="C213">
        <v>11070</v>
      </c>
      <c r="D213" t="s">
        <v>92</v>
      </c>
    </row>
    <row r="214" spans="1:4">
      <c r="A214" t="s">
        <v>32</v>
      </c>
      <c r="B214">
        <v>2022</v>
      </c>
      <c r="C214">
        <v>35974.811999999998</v>
      </c>
      <c r="D214" t="s">
        <v>92</v>
      </c>
    </row>
    <row r="215" spans="1:4">
      <c r="A215" t="s">
        <v>32</v>
      </c>
      <c r="B215">
        <v>2023</v>
      </c>
      <c r="C215">
        <v>13808.137000000001</v>
      </c>
      <c r="D215" t="s">
        <v>92</v>
      </c>
    </row>
    <row r="216" spans="1:4">
      <c r="A216" t="s">
        <v>32</v>
      </c>
      <c r="B216">
        <v>2024</v>
      </c>
      <c r="C216">
        <v>14742.958000000001</v>
      </c>
      <c r="D216" t="s">
        <v>92</v>
      </c>
    </row>
    <row r="217" spans="1:4">
      <c r="A217" t="s">
        <v>32</v>
      </c>
      <c r="B217">
        <v>2025</v>
      </c>
      <c r="C217">
        <v>17800.5435</v>
      </c>
      <c r="D217" t="s">
        <v>92</v>
      </c>
    </row>
    <row r="218" spans="1:4">
      <c r="A218" t="s">
        <v>35</v>
      </c>
      <c r="B218">
        <v>2022</v>
      </c>
      <c r="C218">
        <v>12499.627899999999</v>
      </c>
      <c r="D218" t="s">
        <v>92</v>
      </c>
    </row>
    <row r="219" spans="1:4">
      <c r="A219" t="s">
        <v>35</v>
      </c>
      <c r="B219">
        <v>2023</v>
      </c>
      <c r="C219">
        <v>8130.5333000000001</v>
      </c>
      <c r="D219" t="s">
        <v>92</v>
      </c>
    </row>
    <row r="220" spans="1:4">
      <c r="A220" t="s">
        <v>35</v>
      </c>
      <c r="B220">
        <v>2024</v>
      </c>
      <c r="C220">
        <v>7659.9919</v>
      </c>
      <c r="D220" t="s">
        <v>92</v>
      </c>
    </row>
    <row r="221" spans="1:4">
      <c r="A221" t="s">
        <v>35</v>
      </c>
      <c r="B221">
        <v>2025</v>
      </c>
      <c r="C221">
        <v>7372.9670999999998</v>
      </c>
      <c r="D221" t="s">
        <v>92</v>
      </c>
    </row>
    <row r="222" spans="1:4">
      <c r="A222" t="s">
        <v>33</v>
      </c>
      <c r="B222">
        <v>2022</v>
      </c>
      <c r="C222">
        <v>18199.094799999999</v>
      </c>
      <c r="D222" t="s">
        <v>92</v>
      </c>
    </row>
    <row r="223" spans="1:4">
      <c r="A223" t="s">
        <v>33</v>
      </c>
      <c r="B223">
        <v>2023</v>
      </c>
      <c r="C223">
        <v>26358.0828</v>
      </c>
      <c r="D223" t="s">
        <v>92</v>
      </c>
    </row>
    <row r="224" spans="1:4">
      <c r="A224" t="s">
        <v>33</v>
      </c>
      <c r="B224">
        <v>2024</v>
      </c>
      <c r="C224">
        <v>13727.7644</v>
      </c>
      <c r="D224" t="s">
        <v>92</v>
      </c>
    </row>
    <row r="225" spans="1:4">
      <c r="A225" t="s">
        <v>33</v>
      </c>
      <c r="B225">
        <v>2025</v>
      </c>
      <c r="C225">
        <v>13286.634</v>
      </c>
      <c r="D225" t="s">
        <v>92</v>
      </c>
    </row>
    <row r="226" spans="1:4">
      <c r="A226" t="s">
        <v>34</v>
      </c>
      <c r="B226">
        <v>2022</v>
      </c>
      <c r="C226">
        <v>3584.8620999999998</v>
      </c>
      <c r="D226" t="s">
        <v>92</v>
      </c>
    </row>
    <row r="227" spans="1:4">
      <c r="A227" t="s">
        <v>34</v>
      </c>
      <c r="B227">
        <v>2023</v>
      </c>
      <c r="C227">
        <v>4664.3908000000001</v>
      </c>
      <c r="D227" t="s">
        <v>92</v>
      </c>
    </row>
    <row r="228" spans="1:4">
      <c r="A228" t="s">
        <v>34</v>
      </c>
      <c r="B228">
        <v>2024</v>
      </c>
      <c r="C228">
        <v>3987.5556999999999</v>
      </c>
      <c r="D228" t="s">
        <v>92</v>
      </c>
    </row>
    <row r="229" spans="1:4">
      <c r="A229" t="s">
        <v>34</v>
      </c>
      <c r="B229">
        <v>2025</v>
      </c>
      <c r="C229">
        <v>6309.9641000000001</v>
      </c>
      <c r="D229" t="s">
        <v>92</v>
      </c>
    </row>
    <row r="230" spans="1:4">
      <c r="A230" t="s">
        <v>38</v>
      </c>
      <c r="B230">
        <v>2022</v>
      </c>
      <c r="C230">
        <v>69528.224499999997</v>
      </c>
      <c r="D230" t="s">
        <v>92</v>
      </c>
    </row>
    <row r="231" spans="1:4">
      <c r="A231" t="s">
        <v>38</v>
      </c>
      <c r="B231">
        <v>2023</v>
      </c>
      <c r="C231">
        <v>7957.0007999999998</v>
      </c>
      <c r="D231" t="s">
        <v>92</v>
      </c>
    </row>
    <row r="232" spans="1:4">
      <c r="A232" t="s">
        <v>38</v>
      </c>
      <c r="B232">
        <v>2024</v>
      </c>
      <c r="C232">
        <v>13107.811299999999</v>
      </c>
      <c r="D232" t="s">
        <v>92</v>
      </c>
    </row>
    <row r="233" spans="1:4">
      <c r="A233" t="s">
        <v>38</v>
      </c>
      <c r="B233">
        <v>2025</v>
      </c>
      <c r="C233">
        <v>19225.5</v>
      </c>
      <c r="D233" t="s">
        <v>92</v>
      </c>
    </row>
    <row r="234" spans="1:4">
      <c r="A234" t="s">
        <v>39</v>
      </c>
      <c r="B234">
        <v>2022</v>
      </c>
      <c r="C234">
        <v>24856.8851</v>
      </c>
      <c r="D234" t="s">
        <v>92</v>
      </c>
    </row>
    <row r="235" spans="1:4">
      <c r="A235" t="s">
        <v>39</v>
      </c>
      <c r="B235">
        <v>2023</v>
      </c>
      <c r="C235">
        <v>13696.729499999999</v>
      </c>
      <c r="D235" t="s">
        <v>92</v>
      </c>
    </row>
    <row r="236" spans="1:4">
      <c r="A236" t="s">
        <v>39</v>
      </c>
      <c r="B236">
        <v>2024</v>
      </c>
      <c r="C236">
        <v>7653.1283000000003</v>
      </c>
      <c r="D236" t="s">
        <v>92</v>
      </c>
    </row>
    <row r="237" spans="1:4">
      <c r="A237" t="s">
        <v>39</v>
      </c>
      <c r="B237">
        <v>2025</v>
      </c>
      <c r="C237">
        <v>11535</v>
      </c>
      <c r="D237" t="s">
        <v>92</v>
      </c>
    </row>
    <row r="238" spans="1:4">
      <c r="A238" t="s">
        <v>36</v>
      </c>
      <c r="B238">
        <v>2022</v>
      </c>
      <c r="C238">
        <v>30776.1777</v>
      </c>
      <c r="D238" t="s">
        <v>92</v>
      </c>
    </row>
    <row r="239" spans="1:4">
      <c r="A239" t="s">
        <v>36</v>
      </c>
      <c r="B239">
        <v>2023</v>
      </c>
      <c r="C239">
        <v>12099.875599999999</v>
      </c>
      <c r="D239" t="s">
        <v>92</v>
      </c>
    </row>
    <row r="240" spans="1:4">
      <c r="A240" t="s">
        <v>36</v>
      </c>
      <c r="B240">
        <v>2024</v>
      </c>
      <c r="C240">
        <v>12273.8766</v>
      </c>
      <c r="D240" t="s">
        <v>92</v>
      </c>
    </row>
    <row r="241" spans="1:4">
      <c r="A241" t="s">
        <v>36</v>
      </c>
      <c r="B241">
        <v>2025</v>
      </c>
      <c r="C241">
        <v>17515.720399999998</v>
      </c>
      <c r="D241" t="s">
        <v>92</v>
      </c>
    </row>
    <row r="242" spans="1:4">
      <c r="A242" t="s">
        <v>37</v>
      </c>
      <c r="B242">
        <v>2022</v>
      </c>
      <c r="C242">
        <v>31249.7503</v>
      </c>
      <c r="D242" t="s">
        <v>92</v>
      </c>
    </row>
    <row r="243" spans="1:4">
      <c r="A243" t="s">
        <v>37</v>
      </c>
      <c r="B243">
        <v>2023</v>
      </c>
      <c r="C243">
        <v>28730.695400000001</v>
      </c>
      <c r="D243" t="s">
        <v>92</v>
      </c>
    </row>
    <row r="244" spans="1:4">
      <c r="A244" t="s">
        <v>37</v>
      </c>
      <c r="B244">
        <v>2024</v>
      </c>
      <c r="C244">
        <v>19214.973000000002</v>
      </c>
      <c r="D244" t="s">
        <v>92</v>
      </c>
    </row>
    <row r="245" spans="1:4">
      <c r="A245" t="s">
        <v>37</v>
      </c>
      <c r="B245">
        <v>2025</v>
      </c>
      <c r="C245">
        <v>20454.263900000002</v>
      </c>
      <c r="D245" t="s">
        <v>92</v>
      </c>
    </row>
    <row r="246" spans="1:4">
      <c r="A246" t="s">
        <v>41</v>
      </c>
      <c r="B246">
        <v>2022</v>
      </c>
      <c r="C246">
        <v>41731.647100000002</v>
      </c>
      <c r="D246" t="s">
        <v>92</v>
      </c>
    </row>
    <row r="247" spans="1:4">
      <c r="A247" t="s">
        <v>41</v>
      </c>
      <c r="B247">
        <v>2023</v>
      </c>
      <c r="C247">
        <v>15562.070299999999</v>
      </c>
      <c r="D247" t="s">
        <v>92</v>
      </c>
    </row>
    <row r="248" spans="1:4">
      <c r="A248" t="s">
        <v>41</v>
      </c>
      <c r="B248">
        <v>2024</v>
      </c>
      <c r="C248">
        <v>7960.2209999999995</v>
      </c>
      <c r="D248" t="s">
        <v>92</v>
      </c>
    </row>
    <row r="249" spans="1:4">
      <c r="A249" t="s">
        <v>41</v>
      </c>
      <c r="B249">
        <v>2025</v>
      </c>
      <c r="C249">
        <v>19997.615600000001</v>
      </c>
      <c r="D249" t="s">
        <v>92</v>
      </c>
    </row>
    <row r="250" spans="1:4">
      <c r="A250" t="s">
        <v>70</v>
      </c>
      <c r="B250">
        <v>2022</v>
      </c>
      <c r="C250">
        <v>3599.8703999999998</v>
      </c>
      <c r="D250" t="s">
        <v>92</v>
      </c>
    </row>
    <row r="251" spans="1:4">
      <c r="A251" t="s">
        <v>70</v>
      </c>
      <c r="B251">
        <v>2023</v>
      </c>
      <c r="C251">
        <v>3443.3285999999998</v>
      </c>
      <c r="D251" t="s">
        <v>92</v>
      </c>
    </row>
    <row r="252" spans="1:4">
      <c r="A252" t="s">
        <v>70</v>
      </c>
      <c r="B252">
        <v>2024</v>
      </c>
      <c r="C252">
        <v>2299.6439999999998</v>
      </c>
      <c r="D252" t="s">
        <v>92</v>
      </c>
    </row>
    <row r="253" spans="1:4">
      <c r="A253" t="s">
        <v>70</v>
      </c>
      <c r="B253">
        <v>2025</v>
      </c>
      <c r="C253">
        <v>2254</v>
      </c>
      <c r="D253" t="s">
        <v>92</v>
      </c>
    </row>
    <row r="254" spans="1:4">
      <c r="A254" t="s">
        <v>71</v>
      </c>
      <c r="B254">
        <v>2022</v>
      </c>
      <c r="C254">
        <v>289.91000000000003</v>
      </c>
      <c r="D254" t="s">
        <v>92</v>
      </c>
    </row>
    <row r="255" spans="1:4">
      <c r="A255" t="s">
        <v>71</v>
      </c>
      <c r="B255">
        <v>2023</v>
      </c>
      <c r="C255">
        <v>799.82</v>
      </c>
      <c r="D255" t="s">
        <v>92</v>
      </c>
    </row>
    <row r="256" spans="1:4">
      <c r="A256" t="s">
        <v>71</v>
      </c>
      <c r="B256">
        <v>2024</v>
      </c>
      <c r="C256">
        <v>679.07709999999997</v>
      </c>
      <c r="D256" t="s">
        <v>92</v>
      </c>
    </row>
    <row r="257" spans="1:4">
      <c r="A257" t="s">
        <v>71</v>
      </c>
      <c r="B257">
        <v>2025</v>
      </c>
      <c r="C257">
        <v>1279.1865</v>
      </c>
      <c r="D257" t="s">
        <v>92</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D0E25-0732-4DD5-B647-A63D6D25D66C}">
  <sheetPr codeName="Sheet40"/>
  <dimension ref="A1:D169"/>
  <sheetViews>
    <sheetView topLeftCell="A2" workbookViewId="0">
      <selection sqref="A1:D257"/>
    </sheetView>
  </sheetViews>
  <sheetFormatPr defaultRowHeight="14.5"/>
  <cols>
    <col min="1" max="1" width="16" bestFit="1" customWidth="1"/>
    <col min="2" max="2" width="6.81640625" bestFit="1" customWidth="1"/>
    <col min="3" max="3" width="9.81640625" bestFit="1" customWidth="1"/>
    <col min="4" max="4" width="10.453125" bestFit="1" customWidth="1"/>
  </cols>
  <sheetData>
    <row r="1" spans="1:4">
      <c r="A1" t="s">
        <v>18</v>
      </c>
      <c r="B1" t="s">
        <v>1</v>
      </c>
      <c r="C1" t="s">
        <v>3</v>
      </c>
      <c r="D1" t="s">
        <v>5</v>
      </c>
    </row>
    <row r="2" spans="1:4">
      <c r="A2" t="s">
        <v>27</v>
      </c>
      <c r="B2">
        <v>2022</v>
      </c>
      <c r="C2">
        <v>0</v>
      </c>
      <c r="D2" t="s">
        <v>78</v>
      </c>
    </row>
    <row r="3" spans="1:4">
      <c r="A3" t="s">
        <v>27</v>
      </c>
      <c r="B3">
        <v>2023</v>
      </c>
      <c r="C3">
        <v>0</v>
      </c>
      <c r="D3" t="s">
        <v>78</v>
      </c>
    </row>
    <row r="4" spans="1:4">
      <c r="A4" t="s">
        <v>27</v>
      </c>
      <c r="B4">
        <v>2024</v>
      </c>
      <c r="C4">
        <v>12510</v>
      </c>
      <c r="D4" t="s">
        <v>78</v>
      </c>
    </row>
    <row r="5" spans="1:4">
      <c r="A5" t="s">
        <v>27</v>
      </c>
      <c r="B5">
        <v>2025</v>
      </c>
      <c r="C5">
        <v>12510</v>
      </c>
      <c r="D5" t="s">
        <v>78</v>
      </c>
    </row>
    <row r="6" spans="1:4">
      <c r="A6" t="s">
        <v>28</v>
      </c>
      <c r="B6">
        <v>2022</v>
      </c>
      <c r="C6">
        <v>0</v>
      </c>
      <c r="D6" t="s">
        <v>78</v>
      </c>
    </row>
    <row r="7" spans="1:4">
      <c r="A7" t="s">
        <v>28</v>
      </c>
      <c r="B7">
        <v>2023</v>
      </c>
      <c r="C7">
        <v>0</v>
      </c>
      <c r="D7" t="s">
        <v>78</v>
      </c>
    </row>
    <row r="8" spans="1:4">
      <c r="A8" t="s">
        <v>28</v>
      </c>
      <c r="B8">
        <v>2024</v>
      </c>
      <c r="C8">
        <v>100</v>
      </c>
      <c r="D8" t="s">
        <v>78</v>
      </c>
    </row>
    <row r="9" spans="1:4">
      <c r="A9" t="s">
        <v>28</v>
      </c>
      <c r="B9">
        <v>2025</v>
      </c>
      <c r="C9">
        <v>100</v>
      </c>
      <c r="D9" t="s">
        <v>78</v>
      </c>
    </row>
    <row r="10" spans="1:4">
      <c r="A10" t="s">
        <v>29</v>
      </c>
      <c r="B10">
        <v>2022</v>
      </c>
      <c r="C10">
        <v>18700</v>
      </c>
      <c r="D10" t="s">
        <v>78</v>
      </c>
    </row>
    <row r="11" spans="1:4">
      <c r="A11" t="s">
        <v>29</v>
      </c>
      <c r="B11">
        <v>2023</v>
      </c>
      <c r="C11">
        <v>0</v>
      </c>
      <c r="D11" t="s">
        <v>78</v>
      </c>
    </row>
    <row r="12" spans="1:4">
      <c r="A12" t="s">
        <v>29</v>
      </c>
      <c r="B12">
        <v>2024</v>
      </c>
      <c r="C12">
        <v>12680</v>
      </c>
      <c r="D12" t="s">
        <v>78</v>
      </c>
    </row>
    <row r="13" spans="1:4">
      <c r="A13" t="s">
        <v>29</v>
      </c>
      <c r="B13">
        <v>2025</v>
      </c>
      <c r="C13">
        <v>12680</v>
      </c>
      <c r="D13" t="s">
        <v>78</v>
      </c>
    </row>
    <row r="14" spans="1:4">
      <c r="A14" t="s">
        <v>30</v>
      </c>
      <c r="B14">
        <v>2022</v>
      </c>
      <c r="C14">
        <v>0</v>
      </c>
      <c r="D14" t="s">
        <v>78</v>
      </c>
    </row>
    <row r="15" spans="1:4">
      <c r="A15" t="s">
        <v>30</v>
      </c>
      <c r="B15">
        <v>2023</v>
      </c>
      <c r="C15">
        <v>0</v>
      </c>
      <c r="D15" t="s">
        <v>78</v>
      </c>
    </row>
    <row r="16" spans="1:4">
      <c r="A16" t="s">
        <v>30</v>
      </c>
      <c r="B16">
        <v>2024</v>
      </c>
      <c r="C16">
        <v>0</v>
      </c>
      <c r="D16" t="s">
        <v>78</v>
      </c>
    </row>
    <row r="17" spans="1:4">
      <c r="A17" t="s">
        <v>30</v>
      </c>
      <c r="B17">
        <v>2025</v>
      </c>
      <c r="C17">
        <v>0</v>
      </c>
      <c r="D17" t="s">
        <v>78</v>
      </c>
    </row>
    <row r="18" spans="1:4">
      <c r="A18" t="s">
        <v>31</v>
      </c>
      <c r="B18">
        <v>2022</v>
      </c>
      <c r="C18">
        <v>0</v>
      </c>
      <c r="D18" t="s">
        <v>78</v>
      </c>
    </row>
    <row r="19" spans="1:4">
      <c r="A19" t="s">
        <v>31</v>
      </c>
      <c r="B19">
        <v>2023</v>
      </c>
      <c r="C19">
        <v>0</v>
      </c>
      <c r="D19" t="s">
        <v>78</v>
      </c>
    </row>
    <row r="20" spans="1:4">
      <c r="A20" t="s">
        <v>31</v>
      </c>
      <c r="B20">
        <v>2024</v>
      </c>
      <c r="C20">
        <v>1350</v>
      </c>
      <c r="D20" t="s">
        <v>78</v>
      </c>
    </row>
    <row r="21" spans="1:4">
      <c r="A21" t="s">
        <v>31</v>
      </c>
      <c r="B21">
        <v>2025</v>
      </c>
      <c r="C21">
        <v>850</v>
      </c>
      <c r="D21" t="s">
        <v>78</v>
      </c>
    </row>
    <row r="22" spans="1:4">
      <c r="A22" t="s">
        <v>32</v>
      </c>
      <c r="B22">
        <v>2022</v>
      </c>
      <c r="C22">
        <v>0</v>
      </c>
      <c r="D22" t="s">
        <v>78</v>
      </c>
    </row>
    <row r="23" spans="1:4">
      <c r="A23" t="s">
        <v>32</v>
      </c>
      <c r="B23">
        <v>2023</v>
      </c>
      <c r="C23">
        <v>0</v>
      </c>
      <c r="D23" t="s">
        <v>78</v>
      </c>
    </row>
    <row r="24" spans="1:4">
      <c r="A24" t="s">
        <v>32</v>
      </c>
      <c r="B24">
        <v>2024</v>
      </c>
      <c r="C24">
        <v>0</v>
      </c>
      <c r="D24" t="s">
        <v>78</v>
      </c>
    </row>
    <row r="25" spans="1:4">
      <c r="A25" t="s">
        <v>32</v>
      </c>
      <c r="B25">
        <v>2025</v>
      </c>
      <c r="C25">
        <v>0</v>
      </c>
      <c r="D25" t="s">
        <v>78</v>
      </c>
    </row>
    <row r="26" spans="1:4">
      <c r="A26" t="s">
        <v>35</v>
      </c>
      <c r="B26">
        <v>2022</v>
      </c>
      <c r="C26">
        <v>0</v>
      </c>
      <c r="D26" t="s">
        <v>78</v>
      </c>
    </row>
    <row r="27" spans="1:4">
      <c r="A27" t="s">
        <v>35</v>
      </c>
      <c r="B27">
        <v>2023</v>
      </c>
      <c r="C27">
        <v>0</v>
      </c>
      <c r="D27" t="s">
        <v>78</v>
      </c>
    </row>
    <row r="28" spans="1:4">
      <c r="A28" t="s">
        <v>35</v>
      </c>
      <c r="B28">
        <v>2024</v>
      </c>
      <c r="C28">
        <v>0</v>
      </c>
      <c r="D28" t="s">
        <v>78</v>
      </c>
    </row>
    <row r="29" spans="1:4">
      <c r="A29" t="s">
        <v>35</v>
      </c>
      <c r="B29">
        <v>2025</v>
      </c>
      <c r="C29">
        <v>0</v>
      </c>
      <c r="D29" t="s">
        <v>78</v>
      </c>
    </row>
    <row r="30" spans="1:4">
      <c r="A30" t="s">
        <v>33</v>
      </c>
      <c r="B30">
        <v>2022</v>
      </c>
      <c r="C30">
        <v>2789.7514999999999</v>
      </c>
      <c r="D30" t="s">
        <v>78</v>
      </c>
    </row>
    <row r="31" spans="1:4">
      <c r="A31" t="s">
        <v>33</v>
      </c>
      <c r="B31">
        <v>2023</v>
      </c>
      <c r="C31">
        <v>0</v>
      </c>
      <c r="D31" t="s">
        <v>78</v>
      </c>
    </row>
    <row r="32" spans="1:4">
      <c r="A32" t="s">
        <v>33</v>
      </c>
      <c r="B32">
        <v>2024</v>
      </c>
      <c r="C32">
        <v>400</v>
      </c>
      <c r="D32" t="s">
        <v>78</v>
      </c>
    </row>
    <row r="33" spans="1:4">
      <c r="A33" t="s">
        <v>33</v>
      </c>
      <c r="B33">
        <v>2025</v>
      </c>
      <c r="C33">
        <v>400</v>
      </c>
      <c r="D33" t="s">
        <v>78</v>
      </c>
    </row>
    <row r="34" spans="1:4">
      <c r="A34" t="s">
        <v>34</v>
      </c>
      <c r="B34">
        <v>2022</v>
      </c>
      <c r="C34">
        <v>0</v>
      </c>
      <c r="D34" t="s">
        <v>78</v>
      </c>
    </row>
    <row r="35" spans="1:4">
      <c r="A35" t="s">
        <v>34</v>
      </c>
      <c r="B35">
        <v>2023</v>
      </c>
      <c r="C35">
        <v>0</v>
      </c>
      <c r="D35" t="s">
        <v>78</v>
      </c>
    </row>
    <row r="36" spans="1:4">
      <c r="A36" t="s">
        <v>34</v>
      </c>
      <c r="B36">
        <v>2024</v>
      </c>
      <c r="C36">
        <v>0</v>
      </c>
      <c r="D36" t="s">
        <v>78</v>
      </c>
    </row>
    <row r="37" spans="1:4">
      <c r="A37" t="s">
        <v>34</v>
      </c>
      <c r="B37">
        <v>2025</v>
      </c>
      <c r="C37">
        <v>0</v>
      </c>
      <c r="D37" t="s">
        <v>78</v>
      </c>
    </row>
    <row r="38" spans="1:4">
      <c r="A38" t="s">
        <v>38</v>
      </c>
      <c r="B38">
        <v>2022</v>
      </c>
      <c r="C38">
        <v>0</v>
      </c>
      <c r="D38" t="s">
        <v>78</v>
      </c>
    </row>
    <row r="39" spans="1:4">
      <c r="A39" t="s">
        <v>38</v>
      </c>
      <c r="B39">
        <v>2023</v>
      </c>
      <c r="C39">
        <v>0</v>
      </c>
      <c r="D39" t="s">
        <v>78</v>
      </c>
    </row>
    <row r="40" spans="1:4">
      <c r="A40" t="s">
        <v>38</v>
      </c>
      <c r="B40">
        <v>2024</v>
      </c>
      <c r="C40">
        <v>0</v>
      </c>
      <c r="D40" t="s">
        <v>78</v>
      </c>
    </row>
    <row r="41" spans="1:4">
      <c r="A41" t="s">
        <v>38</v>
      </c>
      <c r="B41">
        <v>2025</v>
      </c>
      <c r="C41">
        <v>0</v>
      </c>
      <c r="D41" t="s">
        <v>78</v>
      </c>
    </row>
    <row r="42" spans="1:4">
      <c r="A42" t="s">
        <v>39</v>
      </c>
      <c r="B42">
        <v>2022</v>
      </c>
      <c r="C42">
        <v>9826</v>
      </c>
      <c r="D42" t="s">
        <v>78</v>
      </c>
    </row>
    <row r="43" spans="1:4">
      <c r="A43" t="s">
        <v>39</v>
      </c>
      <c r="B43">
        <v>2023</v>
      </c>
      <c r="C43">
        <v>0</v>
      </c>
      <c r="D43" t="s">
        <v>78</v>
      </c>
    </row>
    <row r="44" spans="1:4">
      <c r="A44" t="s">
        <v>39</v>
      </c>
      <c r="B44">
        <v>2024</v>
      </c>
      <c r="C44">
        <v>16130</v>
      </c>
      <c r="D44" t="s">
        <v>78</v>
      </c>
    </row>
    <row r="45" spans="1:4">
      <c r="A45" t="s">
        <v>39</v>
      </c>
      <c r="B45">
        <v>2025</v>
      </c>
      <c r="C45">
        <v>16130</v>
      </c>
      <c r="D45" t="s">
        <v>78</v>
      </c>
    </row>
    <row r="46" spans="1:4">
      <c r="A46" t="s">
        <v>36</v>
      </c>
      <c r="B46">
        <v>2022</v>
      </c>
      <c r="C46">
        <v>0</v>
      </c>
      <c r="D46" t="s">
        <v>78</v>
      </c>
    </row>
    <row r="47" spans="1:4">
      <c r="A47" t="s">
        <v>36</v>
      </c>
      <c r="B47">
        <v>2023</v>
      </c>
      <c r="C47">
        <v>0</v>
      </c>
      <c r="D47" t="s">
        <v>78</v>
      </c>
    </row>
    <row r="48" spans="1:4">
      <c r="A48" t="s">
        <v>36</v>
      </c>
      <c r="B48">
        <v>2024</v>
      </c>
      <c r="C48">
        <v>0</v>
      </c>
      <c r="D48" t="s">
        <v>78</v>
      </c>
    </row>
    <row r="49" spans="1:4">
      <c r="A49" t="s">
        <v>36</v>
      </c>
      <c r="B49">
        <v>2025</v>
      </c>
      <c r="C49">
        <v>0</v>
      </c>
      <c r="D49" t="s">
        <v>78</v>
      </c>
    </row>
    <row r="50" spans="1:4">
      <c r="A50" t="s">
        <v>37</v>
      </c>
      <c r="B50">
        <v>2022</v>
      </c>
      <c r="C50">
        <v>0</v>
      </c>
      <c r="D50" t="s">
        <v>78</v>
      </c>
    </row>
    <row r="51" spans="1:4">
      <c r="A51" t="s">
        <v>37</v>
      </c>
      <c r="B51">
        <v>2023</v>
      </c>
      <c r="C51">
        <v>0</v>
      </c>
      <c r="D51" t="s">
        <v>78</v>
      </c>
    </row>
    <row r="52" spans="1:4">
      <c r="A52" t="s">
        <v>37</v>
      </c>
      <c r="B52">
        <v>2024</v>
      </c>
      <c r="C52">
        <v>0</v>
      </c>
      <c r="D52" t="s">
        <v>78</v>
      </c>
    </row>
    <row r="53" spans="1:4">
      <c r="A53" t="s">
        <v>37</v>
      </c>
      <c r="B53">
        <v>2025</v>
      </c>
      <c r="C53">
        <v>0</v>
      </c>
      <c r="D53" t="s">
        <v>78</v>
      </c>
    </row>
    <row r="54" spans="1:4">
      <c r="A54" t="s">
        <v>41</v>
      </c>
      <c r="B54">
        <v>2022</v>
      </c>
      <c r="C54">
        <v>0</v>
      </c>
      <c r="D54" t="s">
        <v>78</v>
      </c>
    </row>
    <row r="55" spans="1:4">
      <c r="A55" t="s">
        <v>41</v>
      </c>
      <c r="B55">
        <v>2023</v>
      </c>
      <c r="C55">
        <v>0</v>
      </c>
      <c r="D55" t="s">
        <v>78</v>
      </c>
    </row>
    <row r="56" spans="1:4">
      <c r="A56" t="s">
        <v>41</v>
      </c>
      <c r="B56">
        <v>2024</v>
      </c>
      <c r="C56">
        <v>0</v>
      </c>
      <c r="D56" t="s">
        <v>78</v>
      </c>
    </row>
    <row r="57" spans="1:4">
      <c r="A57" t="s">
        <v>41</v>
      </c>
      <c r="B57">
        <v>2025</v>
      </c>
      <c r="C57">
        <v>0</v>
      </c>
      <c r="D57" t="s">
        <v>78</v>
      </c>
    </row>
    <row r="58" spans="1:4">
      <c r="A58" t="s">
        <v>27</v>
      </c>
      <c r="B58">
        <v>2022</v>
      </c>
      <c r="C58">
        <v>0</v>
      </c>
      <c r="D58" t="s">
        <v>79</v>
      </c>
    </row>
    <row r="59" spans="1:4">
      <c r="A59" t="s">
        <v>27</v>
      </c>
      <c r="B59">
        <v>2023</v>
      </c>
      <c r="C59">
        <v>0</v>
      </c>
      <c r="D59" t="s">
        <v>79</v>
      </c>
    </row>
    <row r="60" spans="1:4">
      <c r="A60" t="s">
        <v>27</v>
      </c>
      <c r="B60">
        <v>2024</v>
      </c>
      <c r="C60">
        <v>0</v>
      </c>
      <c r="D60" t="s">
        <v>79</v>
      </c>
    </row>
    <row r="61" spans="1:4">
      <c r="A61" t="s">
        <v>27</v>
      </c>
      <c r="B61">
        <v>2025</v>
      </c>
      <c r="C61">
        <v>0</v>
      </c>
      <c r="D61" t="s">
        <v>79</v>
      </c>
    </row>
    <row r="62" spans="1:4">
      <c r="A62" t="s">
        <v>28</v>
      </c>
      <c r="B62">
        <v>2022</v>
      </c>
      <c r="C62">
        <v>880</v>
      </c>
      <c r="D62" t="s">
        <v>79</v>
      </c>
    </row>
    <row r="63" spans="1:4">
      <c r="A63" t="s">
        <v>28</v>
      </c>
      <c r="B63">
        <v>2023</v>
      </c>
      <c r="C63">
        <v>0</v>
      </c>
      <c r="D63" t="s">
        <v>79</v>
      </c>
    </row>
    <row r="64" spans="1:4">
      <c r="A64" t="s">
        <v>28</v>
      </c>
      <c r="B64">
        <v>2024</v>
      </c>
      <c r="C64">
        <v>0</v>
      </c>
      <c r="D64" t="s">
        <v>79</v>
      </c>
    </row>
    <row r="65" spans="1:4">
      <c r="A65" t="s">
        <v>28</v>
      </c>
      <c r="B65">
        <v>2025</v>
      </c>
      <c r="C65">
        <v>0</v>
      </c>
      <c r="D65" t="s">
        <v>79</v>
      </c>
    </row>
    <row r="66" spans="1:4">
      <c r="A66" t="s">
        <v>29</v>
      </c>
      <c r="B66">
        <v>2022</v>
      </c>
      <c r="C66">
        <v>1350</v>
      </c>
      <c r="D66" t="s">
        <v>79</v>
      </c>
    </row>
    <row r="67" spans="1:4">
      <c r="A67" t="s">
        <v>29</v>
      </c>
      <c r="B67">
        <v>2023</v>
      </c>
      <c r="C67">
        <v>0</v>
      </c>
      <c r="D67" t="s">
        <v>79</v>
      </c>
    </row>
    <row r="68" spans="1:4">
      <c r="A68" t="s">
        <v>29</v>
      </c>
      <c r="B68">
        <v>2024</v>
      </c>
      <c r="C68">
        <v>1000</v>
      </c>
      <c r="D68" t="s">
        <v>79</v>
      </c>
    </row>
    <row r="69" spans="1:4">
      <c r="A69" t="s">
        <v>29</v>
      </c>
      <c r="B69">
        <v>2025</v>
      </c>
      <c r="C69">
        <v>1000</v>
      </c>
      <c r="D69" t="s">
        <v>79</v>
      </c>
    </row>
    <row r="70" spans="1:4">
      <c r="A70" t="s">
        <v>30</v>
      </c>
      <c r="B70">
        <v>2022</v>
      </c>
      <c r="C70">
        <v>0</v>
      </c>
      <c r="D70" t="s">
        <v>79</v>
      </c>
    </row>
    <row r="71" spans="1:4">
      <c r="A71" t="s">
        <v>30</v>
      </c>
      <c r="B71">
        <v>2023</v>
      </c>
      <c r="C71">
        <v>0</v>
      </c>
      <c r="D71" t="s">
        <v>79</v>
      </c>
    </row>
    <row r="72" spans="1:4">
      <c r="A72" t="s">
        <v>30</v>
      </c>
      <c r="B72">
        <v>2024</v>
      </c>
      <c r="C72">
        <v>0</v>
      </c>
      <c r="D72" t="s">
        <v>79</v>
      </c>
    </row>
    <row r="73" spans="1:4">
      <c r="A73" t="s">
        <v>30</v>
      </c>
      <c r="B73">
        <v>2025</v>
      </c>
      <c r="C73">
        <v>0</v>
      </c>
      <c r="D73" t="s">
        <v>79</v>
      </c>
    </row>
    <row r="74" spans="1:4">
      <c r="A74" t="s">
        <v>31</v>
      </c>
      <c r="B74">
        <v>2022</v>
      </c>
      <c r="C74">
        <v>350</v>
      </c>
      <c r="D74" t="s">
        <v>79</v>
      </c>
    </row>
    <row r="75" spans="1:4">
      <c r="A75" t="s">
        <v>31</v>
      </c>
      <c r="B75">
        <v>2023</v>
      </c>
      <c r="C75">
        <v>0</v>
      </c>
      <c r="D75" t="s">
        <v>79</v>
      </c>
    </row>
    <row r="76" spans="1:4">
      <c r="A76" t="s">
        <v>31</v>
      </c>
      <c r="B76">
        <v>2024</v>
      </c>
      <c r="C76">
        <v>500</v>
      </c>
      <c r="D76" t="s">
        <v>79</v>
      </c>
    </row>
    <row r="77" spans="1:4">
      <c r="A77" t="s">
        <v>31</v>
      </c>
      <c r="B77">
        <v>2025</v>
      </c>
      <c r="C77">
        <v>0</v>
      </c>
      <c r="D77" t="s">
        <v>79</v>
      </c>
    </row>
    <row r="78" spans="1:4">
      <c r="A78" t="s">
        <v>32</v>
      </c>
      <c r="B78">
        <v>2022</v>
      </c>
      <c r="C78">
        <v>1480</v>
      </c>
      <c r="D78" t="s">
        <v>79</v>
      </c>
    </row>
    <row r="79" spans="1:4">
      <c r="A79" t="s">
        <v>32</v>
      </c>
      <c r="B79">
        <v>2023</v>
      </c>
      <c r="C79">
        <v>0</v>
      </c>
      <c r="D79" t="s">
        <v>79</v>
      </c>
    </row>
    <row r="80" spans="1:4">
      <c r="A80" t="s">
        <v>32</v>
      </c>
      <c r="B80">
        <v>2024</v>
      </c>
      <c r="C80">
        <v>0</v>
      </c>
      <c r="D80" t="s">
        <v>79</v>
      </c>
    </row>
    <row r="81" spans="1:4">
      <c r="A81" t="s">
        <v>32</v>
      </c>
      <c r="B81">
        <v>2025</v>
      </c>
      <c r="C81">
        <v>0</v>
      </c>
      <c r="D81" t="s">
        <v>79</v>
      </c>
    </row>
    <row r="82" spans="1:4">
      <c r="A82" t="s">
        <v>35</v>
      </c>
      <c r="B82">
        <v>2022</v>
      </c>
      <c r="C82">
        <v>0</v>
      </c>
      <c r="D82" t="s">
        <v>79</v>
      </c>
    </row>
    <row r="83" spans="1:4">
      <c r="A83" t="s">
        <v>35</v>
      </c>
      <c r="B83">
        <v>2023</v>
      </c>
      <c r="C83">
        <v>0</v>
      </c>
      <c r="D83" t="s">
        <v>79</v>
      </c>
    </row>
    <row r="84" spans="1:4">
      <c r="A84" t="s">
        <v>35</v>
      </c>
      <c r="B84">
        <v>2024</v>
      </c>
      <c r="C84">
        <v>0</v>
      </c>
      <c r="D84" t="s">
        <v>79</v>
      </c>
    </row>
    <row r="85" spans="1:4">
      <c r="A85" t="s">
        <v>35</v>
      </c>
      <c r="B85">
        <v>2025</v>
      </c>
      <c r="C85">
        <v>0</v>
      </c>
      <c r="D85" t="s">
        <v>79</v>
      </c>
    </row>
    <row r="86" spans="1:4">
      <c r="A86" t="s">
        <v>33</v>
      </c>
      <c r="B86">
        <v>2022</v>
      </c>
      <c r="C86">
        <v>270</v>
      </c>
      <c r="D86" t="s">
        <v>79</v>
      </c>
    </row>
    <row r="87" spans="1:4">
      <c r="A87" t="s">
        <v>33</v>
      </c>
      <c r="B87">
        <v>2023</v>
      </c>
      <c r="C87">
        <v>0</v>
      </c>
      <c r="D87" t="s">
        <v>79</v>
      </c>
    </row>
    <row r="88" spans="1:4">
      <c r="A88" t="s">
        <v>33</v>
      </c>
      <c r="B88">
        <v>2024</v>
      </c>
      <c r="C88">
        <v>0</v>
      </c>
      <c r="D88" t="s">
        <v>79</v>
      </c>
    </row>
    <row r="89" spans="1:4">
      <c r="A89" t="s">
        <v>33</v>
      </c>
      <c r="B89">
        <v>2025</v>
      </c>
      <c r="C89">
        <v>0</v>
      </c>
      <c r="D89" t="s">
        <v>79</v>
      </c>
    </row>
    <row r="90" spans="1:4">
      <c r="A90" t="s">
        <v>34</v>
      </c>
      <c r="B90">
        <v>2022</v>
      </c>
      <c r="C90">
        <v>0</v>
      </c>
      <c r="D90" t="s">
        <v>79</v>
      </c>
    </row>
    <row r="91" spans="1:4">
      <c r="A91" t="s">
        <v>34</v>
      </c>
      <c r="B91">
        <v>2023</v>
      </c>
      <c r="C91">
        <v>0</v>
      </c>
      <c r="D91" t="s">
        <v>79</v>
      </c>
    </row>
    <row r="92" spans="1:4">
      <c r="A92" t="s">
        <v>34</v>
      </c>
      <c r="B92">
        <v>2024</v>
      </c>
      <c r="C92">
        <v>0</v>
      </c>
      <c r="D92" t="s">
        <v>79</v>
      </c>
    </row>
    <row r="93" spans="1:4">
      <c r="A93" t="s">
        <v>34</v>
      </c>
      <c r="B93">
        <v>2025</v>
      </c>
      <c r="C93">
        <v>0</v>
      </c>
      <c r="D93" t="s">
        <v>79</v>
      </c>
    </row>
    <row r="94" spans="1:4">
      <c r="A94" t="s">
        <v>38</v>
      </c>
      <c r="B94">
        <v>2022</v>
      </c>
      <c r="C94">
        <v>0</v>
      </c>
      <c r="D94" t="s">
        <v>79</v>
      </c>
    </row>
    <row r="95" spans="1:4">
      <c r="A95" t="s">
        <v>38</v>
      </c>
      <c r="B95">
        <v>2023</v>
      </c>
      <c r="C95">
        <v>0</v>
      </c>
      <c r="D95" t="s">
        <v>79</v>
      </c>
    </row>
    <row r="96" spans="1:4">
      <c r="A96" t="s">
        <v>38</v>
      </c>
      <c r="B96">
        <v>2024</v>
      </c>
      <c r="C96">
        <v>0</v>
      </c>
      <c r="D96" t="s">
        <v>79</v>
      </c>
    </row>
    <row r="97" spans="1:4">
      <c r="A97" t="s">
        <v>38</v>
      </c>
      <c r="B97">
        <v>2025</v>
      </c>
      <c r="C97">
        <v>500</v>
      </c>
      <c r="D97" t="s">
        <v>79</v>
      </c>
    </row>
    <row r="98" spans="1:4">
      <c r="A98" t="s">
        <v>39</v>
      </c>
      <c r="B98">
        <v>2022</v>
      </c>
      <c r="C98">
        <v>2669</v>
      </c>
      <c r="D98" t="s">
        <v>79</v>
      </c>
    </row>
    <row r="99" spans="1:4">
      <c r="A99" t="s">
        <v>39</v>
      </c>
      <c r="B99">
        <v>2023</v>
      </c>
      <c r="C99">
        <v>0</v>
      </c>
      <c r="D99" t="s">
        <v>79</v>
      </c>
    </row>
    <row r="100" spans="1:4">
      <c r="A100" t="s">
        <v>39</v>
      </c>
      <c r="B100">
        <v>2024</v>
      </c>
      <c r="C100">
        <v>0</v>
      </c>
      <c r="D100" t="s">
        <v>79</v>
      </c>
    </row>
    <row r="101" spans="1:4">
      <c r="A101" t="s">
        <v>39</v>
      </c>
      <c r="B101">
        <v>2025</v>
      </c>
      <c r="C101">
        <v>0</v>
      </c>
      <c r="D101" t="s">
        <v>79</v>
      </c>
    </row>
    <row r="102" spans="1:4">
      <c r="A102" t="s">
        <v>36</v>
      </c>
      <c r="B102">
        <v>2022</v>
      </c>
      <c r="C102">
        <v>0</v>
      </c>
      <c r="D102" t="s">
        <v>79</v>
      </c>
    </row>
    <row r="103" spans="1:4">
      <c r="A103" t="s">
        <v>36</v>
      </c>
      <c r="B103">
        <v>2023</v>
      </c>
      <c r="C103">
        <v>0</v>
      </c>
      <c r="D103" t="s">
        <v>79</v>
      </c>
    </row>
    <row r="104" spans="1:4">
      <c r="A104" t="s">
        <v>36</v>
      </c>
      <c r="B104">
        <v>2024</v>
      </c>
      <c r="C104">
        <v>0</v>
      </c>
      <c r="D104" t="s">
        <v>79</v>
      </c>
    </row>
    <row r="105" spans="1:4">
      <c r="A105" t="s">
        <v>36</v>
      </c>
      <c r="B105">
        <v>2025</v>
      </c>
      <c r="C105">
        <v>0</v>
      </c>
      <c r="D105" t="s">
        <v>79</v>
      </c>
    </row>
    <row r="106" spans="1:4">
      <c r="A106" t="s">
        <v>37</v>
      </c>
      <c r="B106">
        <v>2022</v>
      </c>
      <c r="C106">
        <v>0</v>
      </c>
      <c r="D106" t="s">
        <v>79</v>
      </c>
    </row>
    <row r="107" spans="1:4">
      <c r="A107" t="s">
        <v>37</v>
      </c>
      <c r="B107">
        <v>2023</v>
      </c>
      <c r="C107">
        <v>0</v>
      </c>
      <c r="D107" t="s">
        <v>79</v>
      </c>
    </row>
    <row r="108" spans="1:4">
      <c r="A108" t="s">
        <v>37</v>
      </c>
      <c r="B108">
        <v>2024</v>
      </c>
      <c r="C108">
        <v>0</v>
      </c>
      <c r="D108" t="s">
        <v>79</v>
      </c>
    </row>
    <row r="109" spans="1:4">
      <c r="A109" t="s">
        <v>37</v>
      </c>
      <c r="B109">
        <v>2025</v>
      </c>
      <c r="C109">
        <v>0</v>
      </c>
      <c r="D109" t="s">
        <v>79</v>
      </c>
    </row>
    <row r="110" spans="1:4">
      <c r="A110" t="s">
        <v>41</v>
      </c>
      <c r="B110">
        <v>2022</v>
      </c>
      <c r="C110">
        <v>0</v>
      </c>
      <c r="D110" t="s">
        <v>79</v>
      </c>
    </row>
    <row r="111" spans="1:4">
      <c r="A111" t="s">
        <v>41</v>
      </c>
      <c r="B111">
        <v>2023</v>
      </c>
      <c r="C111">
        <v>0</v>
      </c>
      <c r="D111" t="s">
        <v>79</v>
      </c>
    </row>
    <row r="112" spans="1:4">
      <c r="A112" t="s">
        <v>41</v>
      </c>
      <c r="B112">
        <v>2024</v>
      </c>
      <c r="C112">
        <v>0</v>
      </c>
      <c r="D112" t="s">
        <v>79</v>
      </c>
    </row>
    <row r="113" spans="1:4">
      <c r="A113" t="s">
        <v>41</v>
      </c>
      <c r="B113">
        <v>2025</v>
      </c>
      <c r="C113">
        <v>0</v>
      </c>
      <c r="D113" t="s">
        <v>79</v>
      </c>
    </row>
    <row r="114" spans="1:4">
      <c r="A114" t="s">
        <v>27</v>
      </c>
      <c r="B114">
        <v>2022</v>
      </c>
      <c r="C114">
        <v>80</v>
      </c>
      <c r="D114" t="s">
        <v>80</v>
      </c>
    </row>
    <row r="115" spans="1:4">
      <c r="A115" t="s">
        <v>27</v>
      </c>
      <c r="B115">
        <v>2023</v>
      </c>
      <c r="C115">
        <v>0</v>
      </c>
      <c r="D115" t="s">
        <v>80</v>
      </c>
    </row>
    <row r="116" spans="1:4">
      <c r="A116" t="s">
        <v>27</v>
      </c>
      <c r="B116">
        <v>2024</v>
      </c>
      <c r="C116">
        <v>0</v>
      </c>
      <c r="D116" t="s">
        <v>80</v>
      </c>
    </row>
    <row r="117" spans="1:4">
      <c r="A117" t="s">
        <v>27</v>
      </c>
      <c r="B117">
        <v>2025</v>
      </c>
      <c r="C117">
        <v>0</v>
      </c>
      <c r="D117" t="s">
        <v>80</v>
      </c>
    </row>
    <row r="118" spans="1:4">
      <c r="A118" t="s">
        <v>28</v>
      </c>
      <c r="B118">
        <v>2022</v>
      </c>
      <c r="C118">
        <v>0</v>
      </c>
      <c r="D118" t="s">
        <v>80</v>
      </c>
    </row>
    <row r="119" spans="1:4">
      <c r="A119" t="s">
        <v>28</v>
      </c>
      <c r="B119">
        <v>2023</v>
      </c>
      <c r="C119">
        <v>0</v>
      </c>
      <c r="D119" t="s">
        <v>80</v>
      </c>
    </row>
    <row r="120" spans="1:4">
      <c r="A120" t="s">
        <v>28</v>
      </c>
      <c r="B120">
        <v>2024</v>
      </c>
      <c r="C120">
        <v>1000</v>
      </c>
      <c r="D120" t="s">
        <v>80</v>
      </c>
    </row>
    <row r="121" spans="1:4">
      <c r="A121" t="s">
        <v>28</v>
      </c>
      <c r="B121">
        <v>2025</v>
      </c>
      <c r="C121">
        <v>1000</v>
      </c>
      <c r="D121" t="s">
        <v>80</v>
      </c>
    </row>
    <row r="122" spans="1:4">
      <c r="A122" t="s">
        <v>29</v>
      </c>
      <c r="B122">
        <v>2022</v>
      </c>
      <c r="C122">
        <v>600</v>
      </c>
      <c r="D122" t="s">
        <v>80</v>
      </c>
    </row>
    <row r="123" spans="1:4">
      <c r="A123" t="s">
        <v>29</v>
      </c>
      <c r="B123">
        <v>2023</v>
      </c>
      <c r="C123">
        <v>0</v>
      </c>
      <c r="D123" t="s">
        <v>80</v>
      </c>
    </row>
    <row r="124" spans="1:4">
      <c r="A124" t="s">
        <v>29</v>
      </c>
      <c r="B124">
        <v>2024</v>
      </c>
      <c r="C124">
        <v>200</v>
      </c>
      <c r="D124" t="s">
        <v>80</v>
      </c>
    </row>
    <row r="125" spans="1:4">
      <c r="A125" t="s">
        <v>29</v>
      </c>
      <c r="B125">
        <v>2025</v>
      </c>
      <c r="C125">
        <v>200</v>
      </c>
      <c r="D125" t="s">
        <v>80</v>
      </c>
    </row>
    <row r="126" spans="1:4">
      <c r="A126" t="s">
        <v>30</v>
      </c>
      <c r="B126">
        <v>2022</v>
      </c>
      <c r="C126">
        <v>0</v>
      </c>
      <c r="D126" t="s">
        <v>80</v>
      </c>
    </row>
    <row r="127" spans="1:4">
      <c r="A127" t="s">
        <v>30</v>
      </c>
      <c r="B127">
        <v>2023</v>
      </c>
      <c r="C127">
        <v>0</v>
      </c>
      <c r="D127" t="s">
        <v>80</v>
      </c>
    </row>
    <row r="128" spans="1:4">
      <c r="A128" t="s">
        <v>30</v>
      </c>
      <c r="B128">
        <v>2024</v>
      </c>
      <c r="C128">
        <v>0</v>
      </c>
      <c r="D128" t="s">
        <v>80</v>
      </c>
    </row>
    <row r="129" spans="1:4">
      <c r="A129" t="s">
        <v>30</v>
      </c>
      <c r="B129">
        <v>2025</v>
      </c>
      <c r="C129">
        <v>0</v>
      </c>
      <c r="D129" t="s">
        <v>80</v>
      </c>
    </row>
    <row r="130" spans="1:4">
      <c r="A130" t="s">
        <v>31</v>
      </c>
      <c r="B130">
        <v>2022</v>
      </c>
      <c r="C130">
        <v>0</v>
      </c>
      <c r="D130" t="s">
        <v>80</v>
      </c>
    </row>
    <row r="131" spans="1:4">
      <c r="A131" t="s">
        <v>31</v>
      </c>
      <c r="B131">
        <v>2023</v>
      </c>
      <c r="C131">
        <v>0</v>
      </c>
      <c r="D131" t="s">
        <v>80</v>
      </c>
    </row>
    <row r="132" spans="1:4">
      <c r="A132" t="s">
        <v>31</v>
      </c>
      <c r="B132">
        <v>2024</v>
      </c>
      <c r="C132">
        <v>0</v>
      </c>
      <c r="D132" t="s">
        <v>80</v>
      </c>
    </row>
    <row r="133" spans="1:4">
      <c r="A133" t="s">
        <v>31</v>
      </c>
      <c r="B133">
        <v>2025</v>
      </c>
      <c r="C133">
        <v>0</v>
      </c>
      <c r="D133" t="s">
        <v>80</v>
      </c>
    </row>
    <row r="134" spans="1:4">
      <c r="A134" t="s">
        <v>32</v>
      </c>
      <c r="B134">
        <v>2022</v>
      </c>
      <c r="C134">
        <v>130</v>
      </c>
      <c r="D134" t="s">
        <v>80</v>
      </c>
    </row>
    <row r="135" spans="1:4">
      <c r="A135" t="s">
        <v>32</v>
      </c>
      <c r="B135">
        <v>2023</v>
      </c>
      <c r="C135">
        <v>0</v>
      </c>
      <c r="D135" t="s">
        <v>80</v>
      </c>
    </row>
    <row r="136" spans="1:4">
      <c r="A136" t="s">
        <v>32</v>
      </c>
      <c r="B136">
        <v>2024</v>
      </c>
      <c r="C136">
        <v>0</v>
      </c>
      <c r="D136" t="s">
        <v>80</v>
      </c>
    </row>
    <row r="137" spans="1:4">
      <c r="A137" t="s">
        <v>32</v>
      </c>
      <c r="B137">
        <v>2025</v>
      </c>
      <c r="C137">
        <v>0</v>
      </c>
      <c r="D137" t="s">
        <v>80</v>
      </c>
    </row>
    <row r="138" spans="1:4">
      <c r="A138" t="s">
        <v>35</v>
      </c>
      <c r="B138">
        <v>2022</v>
      </c>
      <c r="C138">
        <v>0</v>
      </c>
      <c r="D138" t="s">
        <v>80</v>
      </c>
    </row>
    <row r="139" spans="1:4">
      <c r="A139" t="s">
        <v>35</v>
      </c>
      <c r="B139">
        <v>2023</v>
      </c>
      <c r="C139">
        <v>0</v>
      </c>
      <c r="D139" t="s">
        <v>80</v>
      </c>
    </row>
    <row r="140" spans="1:4">
      <c r="A140" t="s">
        <v>35</v>
      </c>
      <c r="B140">
        <v>2024</v>
      </c>
      <c r="C140">
        <v>0</v>
      </c>
      <c r="D140" t="s">
        <v>80</v>
      </c>
    </row>
    <row r="141" spans="1:4">
      <c r="A141" t="s">
        <v>35</v>
      </c>
      <c r="B141">
        <v>2025</v>
      </c>
      <c r="C141">
        <v>0</v>
      </c>
      <c r="D141" t="s">
        <v>80</v>
      </c>
    </row>
    <row r="142" spans="1:4">
      <c r="A142" t="s">
        <v>33</v>
      </c>
      <c r="B142">
        <v>2022</v>
      </c>
      <c r="C142">
        <v>0</v>
      </c>
      <c r="D142" t="s">
        <v>80</v>
      </c>
    </row>
    <row r="143" spans="1:4">
      <c r="A143" t="s">
        <v>33</v>
      </c>
      <c r="B143">
        <v>2023</v>
      </c>
      <c r="C143">
        <v>0</v>
      </c>
      <c r="D143" t="s">
        <v>80</v>
      </c>
    </row>
    <row r="144" spans="1:4">
      <c r="A144" t="s">
        <v>33</v>
      </c>
      <c r="B144">
        <v>2024</v>
      </c>
      <c r="C144">
        <v>0</v>
      </c>
      <c r="D144" t="s">
        <v>80</v>
      </c>
    </row>
    <row r="145" spans="1:4">
      <c r="A145" t="s">
        <v>33</v>
      </c>
      <c r="B145">
        <v>2025</v>
      </c>
      <c r="C145">
        <v>0</v>
      </c>
      <c r="D145" t="s">
        <v>80</v>
      </c>
    </row>
    <row r="146" spans="1:4">
      <c r="A146" t="s">
        <v>34</v>
      </c>
      <c r="B146">
        <v>2022</v>
      </c>
      <c r="C146">
        <v>0</v>
      </c>
      <c r="D146" t="s">
        <v>80</v>
      </c>
    </row>
    <row r="147" spans="1:4">
      <c r="A147" t="s">
        <v>34</v>
      </c>
      <c r="B147">
        <v>2023</v>
      </c>
      <c r="C147">
        <v>0</v>
      </c>
      <c r="D147" t="s">
        <v>80</v>
      </c>
    </row>
    <row r="148" spans="1:4">
      <c r="A148" t="s">
        <v>34</v>
      </c>
      <c r="B148">
        <v>2024</v>
      </c>
      <c r="C148">
        <v>0</v>
      </c>
      <c r="D148" t="s">
        <v>80</v>
      </c>
    </row>
    <row r="149" spans="1:4">
      <c r="A149" t="s">
        <v>34</v>
      </c>
      <c r="B149">
        <v>2025</v>
      </c>
      <c r="C149">
        <v>0</v>
      </c>
      <c r="D149" t="s">
        <v>80</v>
      </c>
    </row>
    <row r="150" spans="1:4">
      <c r="A150" t="s">
        <v>38</v>
      </c>
      <c r="B150">
        <v>2022</v>
      </c>
      <c r="C150">
        <v>0</v>
      </c>
      <c r="D150" t="s">
        <v>80</v>
      </c>
    </row>
    <row r="151" spans="1:4">
      <c r="A151" t="s">
        <v>38</v>
      </c>
      <c r="B151">
        <v>2023</v>
      </c>
      <c r="C151">
        <v>0</v>
      </c>
      <c r="D151" t="s">
        <v>80</v>
      </c>
    </row>
    <row r="152" spans="1:4">
      <c r="A152" t="s">
        <v>38</v>
      </c>
      <c r="B152">
        <v>2024</v>
      </c>
      <c r="C152">
        <v>0</v>
      </c>
      <c r="D152" t="s">
        <v>80</v>
      </c>
    </row>
    <row r="153" spans="1:4">
      <c r="A153" t="s">
        <v>38</v>
      </c>
      <c r="B153">
        <v>2025</v>
      </c>
      <c r="C153">
        <v>0</v>
      </c>
      <c r="D153" t="s">
        <v>80</v>
      </c>
    </row>
    <row r="154" spans="1:4">
      <c r="A154" t="s">
        <v>39</v>
      </c>
      <c r="B154">
        <v>2022</v>
      </c>
      <c r="C154">
        <v>790</v>
      </c>
      <c r="D154" t="s">
        <v>80</v>
      </c>
    </row>
    <row r="155" spans="1:4">
      <c r="A155" t="s">
        <v>39</v>
      </c>
      <c r="B155">
        <v>2023</v>
      </c>
      <c r="C155">
        <v>0</v>
      </c>
      <c r="D155" t="s">
        <v>80</v>
      </c>
    </row>
    <row r="156" spans="1:4">
      <c r="A156" t="s">
        <v>39</v>
      </c>
      <c r="B156">
        <v>2024</v>
      </c>
      <c r="C156">
        <v>0</v>
      </c>
      <c r="D156" t="s">
        <v>80</v>
      </c>
    </row>
    <row r="157" spans="1:4">
      <c r="A157" t="s">
        <v>39</v>
      </c>
      <c r="B157">
        <v>2025</v>
      </c>
      <c r="C157">
        <v>0</v>
      </c>
      <c r="D157" t="s">
        <v>80</v>
      </c>
    </row>
    <row r="158" spans="1:4">
      <c r="A158" t="s">
        <v>36</v>
      </c>
      <c r="B158">
        <v>2022</v>
      </c>
      <c r="C158">
        <v>0</v>
      </c>
      <c r="D158" t="s">
        <v>80</v>
      </c>
    </row>
    <row r="159" spans="1:4">
      <c r="A159" t="s">
        <v>36</v>
      </c>
      <c r="B159">
        <v>2023</v>
      </c>
      <c r="C159">
        <v>0</v>
      </c>
      <c r="D159" t="s">
        <v>80</v>
      </c>
    </row>
    <row r="160" spans="1:4">
      <c r="A160" t="s">
        <v>36</v>
      </c>
      <c r="B160">
        <v>2024</v>
      </c>
      <c r="C160">
        <v>0</v>
      </c>
      <c r="D160" t="s">
        <v>80</v>
      </c>
    </row>
    <row r="161" spans="1:4">
      <c r="A161" t="s">
        <v>36</v>
      </c>
      <c r="B161">
        <v>2025</v>
      </c>
      <c r="C161">
        <v>0</v>
      </c>
      <c r="D161" t="s">
        <v>80</v>
      </c>
    </row>
    <row r="162" spans="1:4">
      <c r="A162" t="s">
        <v>37</v>
      </c>
      <c r="B162">
        <v>2022</v>
      </c>
      <c r="C162">
        <v>0</v>
      </c>
      <c r="D162" t="s">
        <v>80</v>
      </c>
    </row>
    <row r="163" spans="1:4">
      <c r="A163" t="s">
        <v>37</v>
      </c>
      <c r="B163">
        <v>2023</v>
      </c>
      <c r="C163">
        <v>0</v>
      </c>
      <c r="D163" t="s">
        <v>80</v>
      </c>
    </row>
    <row r="164" spans="1:4">
      <c r="A164" t="s">
        <v>37</v>
      </c>
      <c r="B164">
        <v>2024</v>
      </c>
      <c r="C164">
        <v>0</v>
      </c>
      <c r="D164" t="s">
        <v>80</v>
      </c>
    </row>
    <row r="165" spans="1:4">
      <c r="A165" t="s">
        <v>37</v>
      </c>
      <c r="B165">
        <v>2025</v>
      </c>
      <c r="C165">
        <v>0</v>
      </c>
      <c r="D165" t="s">
        <v>80</v>
      </c>
    </row>
    <row r="166" spans="1:4">
      <c r="A166" t="s">
        <v>41</v>
      </c>
      <c r="B166">
        <v>2022</v>
      </c>
      <c r="C166">
        <v>0</v>
      </c>
      <c r="D166" t="s">
        <v>80</v>
      </c>
    </row>
    <row r="167" spans="1:4">
      <c r="A167" t="s">
        <v>41</v>
      </c>
      <c r="B167">
        <v>2023</v>
      </c>
      <c r="C167">
        <v>0</v>
      </c>
      <c r="D167" t="s">
        <v>80</v>
      </c>
    </row>
    <row r="168" spans="1:4">
      <c r="A168" t="s">
        <v>41</v>
      </c>
      <c r="B168">
        <v>2024</v>
      </c>
      <c r="C168">
        <v>0</v>
      </c>
      <c r="D168" t="s">
        <v>80</v>
      </c>
    </row>
    <row r="169" spans="1:4">
      <c r="A169" t="s">
        <v>41</v>
      </c>
      <c r="B169">
        <v>2025</v>
      </c>
      <c r="C169">
        <v>0</v>
      </c>
      <c r="D169" t="s">
        <v>80</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630B6-3728-4FED-9A04-86E6994A19AC}">
  <sheetPr codeName="Sheet41"/>
  <dimension ref="A1:D129"/>
  <sheetViews>
    <sheetView topLeftCell="A2" workbookViewId="0">
      <selection activeCell="M14" sqref="M14"/>
    </sheetView>
  </sheetViews>
  <sheetFormatPr defaultRowHeight="14.5"/>
  <cols>
    <col min="1" max="1" width="16" bestFit="1" customWidth="1"/>
    <col min="2" max="2" width="6.81640625" bestFit="1" customWidth="1"/>
    <col min="3" max="3" width="10.81640625" bestFit="1" customWidth="1"/>
    <col min="4" max="4" width="16.453125" bestFit="1" customWidth="1"/>
  </cols>
  <sheetData>
    <row r="1" spans="1:4">
      <c r="A1" t="s">
        <v>18</v>
      </c>
      <c r="B1" t="s">
        <v>1</v>
      </c>
      <c r="C1" t="s">
        <v>3</v>
      </c>
      <c r="D1" t="s">
        <v>5</v>
      </c>
    </row>
    <row r="2" spans="1:4">
      <c r="A2" t="s">
        <v>27</v>
      </c>
      <c r="B2">
        <v>2022</v>
      </c>
      <c r="C2">
        <v>8630</v>
      </c>
      <c r="D2" t="s">
        <v>93</v>
      </c>
    </row>
    <row r="3" spans="1:4">
      <c r="A3" t="s">
        <v>27</v>
      </c>
      <c r="B3">
        <v>2023</v>
      </c>
      <c r="C3">
        <v>6495.9757</v>
      </c>
      <c r="D3" t="s">
        <v>93</v>
      </c>
    </row>
    <row r="4" spans="1:4">
      <c r="A4" t="s">
        <v>27</v>
      </c>
      <c r="B4">
        <v>2024</v>
      </c>
      <c r="C4">
        <v>7279.3339999999998</v>
      </c>
      <c r="D4" t="s">
        <v>93</v>
      </c>
    </row>
    <row r="5" spans="1:4">
      <c r="A5" t="s">
        <v>27</v>
      </c>
      <c r="B5">
        <v>2025</v>
      </c>
      <c r="C5">
        <v>6975.5780000000004</v>
      </c>
      <c r="D5" t="s">
        <v>93</v>
      </c>
    </row>
    <row r="6" spans="1:4">
      <c r="A6" t="s">
        <v>28</v>
      </c>
      <c r="B6">
        <v>2022</v>
      </c>
      <c r="C6">
        <v>7915.6949000000004</v>
      </c>
      <c r="D6" t="s">
        <v>93</v>
      </c>
    </row>
    <row r="7" spans="1:4">
      <c r="A7" t="s">
        <v>28</v>
      </c>
      <c r="B7">
        <v>2023</v>
      </c>
      <c r="C7">
        <v>5658.53</v>
      </c>
      <c r="D7" t="s">
        <v>93</v>
      </c>
    </row>
    <row r="8" spans="1:4">
      <c r="A8" t="s">
        <v>28</v>
      </c>
      <c r="B8">
        <v>2024</v>
      </c>
      <c r="C8">
        <v>5949.0833000000002</v>
      </c>
      <c r="D8" t="s">
        <v>93</v>
      </c>
    </row>
    <row r="9" spans="1:4">
      <c r="A9" t="s">
        <v>28</v>
      </c>
      <c r="B9">
        <v>2025</v>
      </c>
      <c r="C9">
        <v>4148.7960000000003</v>
      </c>
      <c r="D9" t="s">
        <v>93</v>
      </c>
    </row>
    <row r="10" spans="1:4">
      <c r="A10" t="s">
        <v>29</v>
      </c>
      <c r="B10">
        <v>2022</v>
      </c>
      <c r="C10">
        <v>18599.8969</v>
      </c>
      <c r="D10" t="s">
        <v>93</v>
      </c>
    </row>
    <row r="11" spans="1:4">
      <c r="A11" t="s">
        <v>29</v>
      </c>
      <c r="B11">
        <v>2023</v>
      </c>
      <c r="C11">
        <v>9999.9915999999994</v>
      </c>
      <c r="D11" t="s">
        <v>93</v>
      </c>
    </row>
    <row r="12" spans="1:4">
      <c r="A12" t="s">
        <v>29</v>
      </c>
      <c r="B12">
        <v>2024</v>
      </c>
      <c r="C12">
        <v>8397.2999999999993</v>
      </c>
      <c r="D12" t="s">
        <v>93</v>
      </c>
    </row>
    <row r="13" spans="1:4">
      <c r="A13" t="s">
        <v>29</v>
      </c>
      <c r="B13">
        <v>2025</v>
      </c>
      <c r="C13">
        <v>1802.7</v>
      </c>
      <c r="D13" t="s">
        <v>93</v>
      </c>
    </row>
    <row r="14" spans="1:4">
      <c r="A14" t="s">
        <v>30</v>
      </c>
      <c r="B14">
        <v>2022</v>
      </c>
      <c r="C14">
        <v>5150.5429000000004</v>
      </c>
      <c r="D14" t="s">
        <v>93</v>
      </c>
    </row>
    <row r="15" spans="1:4">
      <c r="A15" t="s">
        <v>30</v>
      </c>
      <c r="B15">
        <v>2023</v>
      </c>
      <c r="C15">
        <v>5000</v>
      </c>
      <c r="D15" t="s">
        <v>93</v>
      </c>
    </row>
    <row r="16" spans="1:4">
      <c r="A16" t="s">
        <v>30</v>
      </c>
      <c r="B16">
        <v>2024</v>
      </c>
      <c r="C16">
        <v>2248.7260000000001</v>
      </c>
      <c r="D16" t="s">
        <v>93</v>
      </c>
    </row>
    <row r="17" spans="1:4">
      <c r="A17" t="s">
        <v>30</v>
      </c>
      <c r="B17">
        <v>2025</v>
      </c>
      <c r="C17">
        <v>6310.9790000000003</v>
      </c>
      <c r="D17" t="s">
        <v>93</v>
      </c>
    </row>
    <row r="18" spans="1:4">
      <c r="A18" t="s">
        <v>31</v>
      </c>
      <c r="B18">
        <v>2022</v>
      </c>
      <c r="C18">
        <v>6178.8513000000003</v>
      </c>
      <c r="D18" t="s">
        <v>93</v>
      </c>
    </row>
    <row r="19" spans="1:4">
      <c r="A19" t="s">
        <v>31</v>
      </c>
      <c r="B19">
        <v>2023</v>
      </c>
      <c r="C19">
        <v>4999.9714999999997</v>
      </c>
      <c r="D19" t="s">
        <v>93</v>
      </c>
    </row>
    <row r="20" spans="1:4">
      <c r="A20" t="s">
        <v>31</v>
      </c>
      <c r="B20">
        <v>2024</v>
      </c>
      <c r="C20">
        <v>6820</v>
      </c>
      <c r="D20" t="s">
        <v>93</v>
      </c>
    </row>
    <row r="21" spans="1:4">
      <c r="A21" t="s">
        <v>31</v>
      </c>
      <c r="B21">
        <v>2025</v>
      </c>
      <c r="C21">
        <v>4770</v>
      </c>
      <c r="D21" t="s">
        <v>93</v>
      </c>
    </row>
    <row r="22" spans="1:4">
      <c r="A22" t="s">
        <v>32</v>
      </c>
      <c r="B22">
        <v>2022</v>
      </c>
      <c r="C22">
        <v>5917.6666999999998</v>
      </c>
      <c r="D22" t="s">
        <v>93</v>
      </c>
    </row>
    <row r="23" spans="1:4">
      <c r="A23" t="s">
        <v>32</v>
      </c>
      <c r="B23">
        <v>2023</v>
      </c>
      <c r="C23">
        <v>9000</v>
      </c>
      <c r="D23" t="s">
        <v>93</v>
      </c>
    </row>
    <row r="24" spans="1:4">
      <c r="A24" t="s">
        <v>32</v>
      </c>
      <c r="B24">
        <v>2024</v>
      </c>
      <c r="C24">
        <v>8297.8209999999999</v>
      </c>
      <c r="D24" t="s">
        <v>93</v>
      </c>
    </row>
    <row r="25" spans="1:4">
      <c r="A25" t="s">
        <v>32</v>
      </c>
      <c r="B25">
        <v>2025</v>
      </c>
      <c r="C25">
        <v>5979.9961999999996</v>
      </c>
      <c r="D25" t="s">
        <v>93</v>
      </c>
    </row>
    <row r="26" spans="1:4">
      <c r="A26" t="s">
        <v>35</v>
      </c>
      <c r="B26">
        <v>2022</v>
      </c>
      <c r="C26">
        <v>3999.7329</v>
      </c>
      <c r="D26" t="s">
        <v>93</v>
      </c>
    </row>
    <row r="27" spans="1:4">
      <c r="A27" t="s">
        <v>35</v>
      </c>
      <c r="B27">
        <v>2023</v>
      </c>
      <c r="C27">
        <v>4999.9880999999996</v>
      </c>
      <c r="D27" t="s">
        <v>93</v>
      </c>
    </row>
    <row r="28" spans="1:4">
      <c r="A28" t="s">
        <v>35</v>
      </c>
      <c r="B28">
        <v>2024</v>
      </c>
      <c r="C28">
        <v>2949.9919</v>
      </c>
      <c r="D28" t="s">
        <v>93</v>
      </c>
    </row>
    <row r="29" spans="1:4">
      <c r="A29" t="s">
        <v>35</v>
      </c>
      <c r="B29">
        <v>2025</v>
      </c>
      <c r="C29">
        <v>648.9674</v>
      </c>
      <c r="D29" t="s">
        <v>93</v>
      </c>
    </row>
    <row r="30" spans="1:4">
      <c r="A30" t="s">
        <v>33</v>
      </c>
      <c r="B30">
        <v>2022</v>
      </c>
      <c r="C30">
        <v>6199.0947999999999</v>
      </c>
      <c r="D30" t="s">
        <v>93</v>
      </c>
    </row>
    <row r="31" spans="1:4">
      <c r="A31" t="s">
        <v>33</v>
      </c>
      <c r="B31">
        <v>2023</v>
      </c>
      <c r="C31">
        <v>18358.0828</v>
      </c>
      <c r="D31" t="s">
        <v>93</v>
      </c>
    </row>
    <row r="32" spans="1:4">
      <c r="A32" t="s">
        <v>33</v>
      </c>
      <c r="B32">
        <v>2024</v>
      </c>
      <c r="C32">
        <v>4927.7839999999997</v>
      </c>
      <c r="D32" t="s">
        <v>93</v>
      </c>
    </row>
    <row r="33" spans="1:4">
      <c r="A33" t="s">
        <v>33</v>
      </c>
      <c r="B33">
        <v>2025</v>
      </c>
      <c r="C33">
        <v>4886.8540000000003</v>
      </c>
      <c r="D33" t="s">
        <v>93</v>
      </c>
    </row>
    <row r="34" spans="1:4">
      <c r="A34" t="s">
        <v>34</v>
      </c>
      <c r="B34">
        <v>2022</v>
      </c>
      <c r="C34">
        <v>999.86739999999998</v>
      </c>
      <c r="D34" t="s">
        <v>93</v>
      </c>
    </row>
    <row r="35" spans="1:4">
      <c r="A35" t="s">
        <v>34</v>
      </c>
      <c r="B35">
        <v>2023</v>
      </c>
      <c r="C35">
        <v>2999.8267000000001</v>
      </c>
      <c r="D35" t="s">
        <v>93</v>
      </c>
    </row>
    <row r="36" spans="1:4">
      <c r="A36" t="s">
        <v>34</v>
      </c>
      <c r="B36">
        <v>2024</v>
      </c>
      <c r="C36">
        <v>1947.5693000000001</v>
      </c>
      <c r="D36" t="s">
        <v>93</v>
      </c>
    </row>
    <row r="37" spans="1:4">
      <c r="A37" t="s">
        <v>34</v>
      </c>
      <c r="B37">
        <v>2025</v>
      </c>
      <c r="C37">
        <v>2499.9944999999998</v>
      </c>
      <c r="D37" t="s">
        <v>93</v>
      </c>
    </row>
    <row r="38" spans="1:4">
      <c r="A38" t="s">
        <v>38</v>
      </c>
      <c r="B38">
        <v>2022</v>
      </c>
      <c r="C38">
        <v>49581.681799999998</v>
      </c>
      <c r="D38" t="s">
        <v>93</v>
      </c>
    </row>
    <row r="39" spans="1:4">
      <c r="A39" t="s">
        <v>38</v>
      </c>
      <c r="B39">
        <v>2023</v>
      </c>
      <c r="C39">
        <v>7957.0007999999998</v>
      </c>
      <c r="D39" t="s">
        <v>93</v>
      </c>
    </row>
    <row r="40" spans="1:4">
      <c r="A40" t="s">
        <v>38</v>
      </c>
      <c r="B40">
        <v>2024</v>
      </c>
      <c r="C40">
        <v>8107.8724000000002</v>
      </c>
      <c r="D40" t="s">
        <v>93</v>
      </c>
    </row>
    <row r="41" spans="1:4">
      <c r="A41" t="s">
        <v>38</v>
      </c>
      <c r="B41">
        <v>2025</v>
      </c>
      <c r="C41">
        <v>3198.25</v>
      </c>
      <c r="D41" t="s">
        <v>93</v>
      </c>
    </row>
    <row r="42" spans="1:4">
      <c r="A42" t="s">
        <v>39</v>
      </c>
      <c r="B42">
        <v>2022</v>
      </c>
      <c r="C42">
        <v>12999.091899999999</v>
      </c>
      <c r="D42" t="s">
        <v>93</v>
      </c>
    </row>
    <row r="43" spans="1:4">
      <c r="A43" t="s">
        <v>39</v>
      </c>
      <c r="B43">
        <v>2023</v>
      </c>
      <c r="C43">
        <v>6998.7299000000003</v>
      </c>
      <c r="D43" t="s">
        <v>93</v>
      </c>
    </row>
    <row r="44" spans="1:4">
      <c r="A44" t="s">
        <v>39</v>
      </c>
      <c r="B44">
        <v>2024</v>
      </c>
      <c r="C44">
        <v>3807.0282999999999</v>
      </c>
      <c r="D44" t="s">
        <v>93</v>
      </c>
    </row>
    <row r="45" spans="1:4">
      <c r="A45" t="s">
        <v>39</v>
      </c>
      <c r="B45">
        <v>2025</v>
      </c>
      <c r="C45">
        <v>5440</v>
      </c>
      <c r="D45" t="s">
        <v>93</v>
      </c>
    </row>
    <row r="46" spans="1:4">
      <c r="A46" t="s">
        <v>36</v>
      </c>
      <c r="B46">
        <v>2022</v>
      </c>
      <c r="C46">
        <v>8407.5200999999997</v>
      </c>
      <c r="D46" t="s">
        <v>93</v>
      </c>
    </row>
    <row r="47" spans="1:4">
      <c r="A47" t="s">
        <v>36</v>
      </c>
      <c r="B47">
        <v>2023</v>
      </c>
      <c r="C47">
        <v>6999.9160000000002</v>
      </c>
      <c r="D47" t="s">
        <v>93</v>
      </c>
    </row>
    <row r="48" spans="1:4">
      <c r="A48" t="s">
        <v>36</v>
      </c>
      <c r="B48">
        <v>2024</v>
      </c>
      <c r="C48">
        <v>3499.9695999999999</v>
      </c>
      <c r="D48" t="s">
        <v>93</v>
      </c>
    </row>
    <row r="49" spans="1:4">
      <c r="A49" t="s">
        <v>36</v>
      </c>
      <c r="B49">
        <v>2025</v>
      </c>
      <c r="C49">
        <v>6899.9795999999997</v>
      </c>
      <c r="D49" t="s">
        <v>93</v>
      </c>
    </row>
    <row r="50" spans="1:4">
      <c r="A50" t="s">
        <v>37</v>
      </c>
      <c r="B50">
        <v>2022</v>
      </c>
      <c r="C50">
        <v>12499.7531</v>
      </c>
      <c r="D50" t="s">
        <v>93</v>
      </c>
    </row>
    <row r="51" spans="1:4">
      <c r="A51" t="s">
        <v>37</v>
      </c>
      <c r="B51">
        <v>2023</v>
      </c>
      <c r="C51">
        <v>16532.695599999999</v>
      </c>
      <c r="D51" t="s">
        <v>93</v>
      </c>
    </row>
    <row r="52" spans="1:4">
      <c r="A52" t="s">
        <v>37</v>
      </c>
      <c r="B52">
        <v>2024</v>
      </c>
      <c r="C52">
        <v>12299.973</v>
      </c>
      <c r="D52" t="s">
        <v>93</v>
      </c>
    </row>
    <row r="53" spans="1:4">
      <c r="A53" t="s">
        <v>37</v>
      </c>
      <c r="B53">
        <v>2025</v>
      </c>
      <c r="C53">
        <v>7317.2638999999999</v>
      </c>
      <c r="D53" t="s">
        <v>93</v>
      </c>
    </row>
    <row r="54" spans="1:4">
      <c r="A54" t="s">
        <v>41</v>
      </c>
      <c r="B54">
        <v>2022</v>
      </c>
      <c r="C54">
        <v>1544.9303</v>
      </c>
      <c r="D54" t="s">
        <v>93</v>
      </c>
    </row>
    <row r="55" spans="1:4">
      <c r="A55" t="s">
        <v>41</v>
      </c>
      <c r="B55">
        <v>2023</v>
      </c>
      <c r="C55">
        <v>2199.4065000000001</v>
      </c>
      <c r="D55" t="s">
        <v>93</v>
      </c>
    </row>
    <row r="56" spans="1:4">
      <c r="A56" t="s">
        <v>41</v>
      </c>
      <c r="B56">
        <v>2024</v>
      </c>
      <c r="C56">
        <v>1349.4186</v>
      </c>
      <c r="D56" t="s">
        <v>93</v>
      </c>
    </row>
    <row r="57" spans="1:4">
      <c r="A57" t="s">
        <v>41</v>
      </c>
      <c r="B57">
        <v>2025</v>
      </c>
      <c r="C57">
        <v>499.8</v>
      </c>
      <c r="D57" t="s">
        <v>93</v>
      </c>
    </row>
    <row r="58" spans="1:4">
      <c r="A58" t="s">
        <v>70</v>
      </c>
      <c r="B58">
        <v>2022</v>
      </c>
      <c r="C58">
        <v>499.92</v>
      </c>
      <c r="D58" t="s">
        <v>93</v>
      </c>
    </row>
    <row r="59" spans="1:4">
      <c r="A59" t="s">
        <v>70</v>
      </c>
      <c r="B59">
        <v>2023</v>
      </c>
      <c r="C59">
        <v>1999.72</v>
      </c>
      <c r="D59" t="s">
        <v>93</v>
      </c>
    </row>
    <row r="60" spans="1:4">
      <c r="A60" t="s">
        <v>70</v>
      </c>
      <c r="B60">
        <v>2024</v>
      </c>
      <c r="C60">
        <v>499.70499999999998</v>
      </c>
      <c r="D60" t="s">
        <v>93</v>
      </c>
    </row>
    <row r="61" spans="1:4">
      <c r="A61" t="s">
        <v>70</v>
      </c>
      <c r="B61">
        <v>2025</v>
      </c>
      <c r="C61">
        <v>280</v>
      </c>
      <c r="D61" t="s">
        <v>93</v>
      </c>
    </row>
    <row r="62" spans="1:4">
      <c r="A62" t="s">
        <v>71</v>
      </c>
      <c r="B62">
        <v>2022</v>
      </c>
      <c r="C62">
        <v>39.909999999999997</v>
      </c>
      <c r="D62" t="s">
        <v>93</v>
      </c>
    </row>
    <row r="63" spans="1:4">
      <c r="A63" t="s">
        <v>71</v>
      </c>
      <c r="B63">
        <v>2023</v>
      </c>
      <c r="C63">
        <v>299.85000000000002</v>
      </c>
      <c r="D63" t="s">
        <v>93</v>
      </c>
    </row>
    <row r="64" spans="1:4">
      <c r="A64" t="s">
        <v>71</v>
      </c>
      <c r="B64">
        <v>2024</v>
      </c>
      <c r="C64">
        <v>483.89</v>
      </c>
      <c r="D64" t="s">
        <v>93</v>
      </c>
    </row>
    <row r="65" spans="1:4">
      <c r="A65" t="s">
        <v>71</v>
      </c>
      <c r="B65">
        <v>2025</v>
      </c>
      <c r="C65">
        <v>448.16</v>
      </c>
      <c r="D65" t="s">
        <v>93</v>
      </c>
    </row>
    <row r="66" spans="1:4">
      <c r="A66" t="s">
        <v>27</v>
      </c>
      <c r="B66">
        <v>2022</v>
      </c>
      <c r="C66">
        <v>26158.571199999998</v>
      </c>
      <c r="D66" t="s">
        <v>94</v>
      </c>
    </row>
    <row r="67" spans="1:4">
      <c r="A67" t="s">
        <v>27</v>
      </c>
      <c r="B67">
        <v>2023</v>
      </c>
      <c r="C67">
        <v>5900.4737999999998</v>
      </c>
      <c r="D67" t="s">
        <v>94</v>
      </c>
    </row>
    <row r="68" spans="1:4">
      <c r="A68" t="s">
        <v>27</v>
      </c>
      <c r="B68">
        <v>2024</v>
      </c>
      <c r="C68">
        <v>8849.5774000000001</v>
      </c>
      <c r="D68" t="s">
        <v>94</v>
      </c>
    </row>
    <row r="69" spans="1:4">
      <c r="A69" t="s">
        <v>27</v>
      </c>
      <c r="B69">
        <v>2025</v>
      </c>
      <c r="C69">
        <v>8679.9987000000001</v>
      </c>
      <c r="D69" t="s">
        <v>94</v>
      </c>
    </row>
    <row r="70" spans="1:4">
      <c r="A70" t="s">
        <v>28</v>
      </c>
      <c r="B70">
        <v>2022</v>
      </c>
      <c r="C70">
        <v>15513.8961</v>
      </c>
      <c r="D70" t="s">
        <v>94</v>
      </c>
    </row>
    <row r="71" spans="1:4">
      <c r="A71" t="s">
        <v>28</v>
      </c>
      <c r="B71">
        <v>2023</v>
      </c>
      <c r="C71">
        <v>14187.8891</v>
      </c>
      <c r="D71" t="s">
        <v>94</v>
      </c>
    </row>
    <row r="72" spans="1:4">
      <c r="A72" t="s">
        <v>28</v>
      </c>
      <c r="B72">
        <v>2024</v>
      </c>
      <c r="C72">
        <v>6493.4737999999998</v>
      </c>
      <c r="D72" t="s">
        <v>94</v>
      </c>
    </row>
    <row r="73" spans="1:4">
      <c r="A73" t="s">
        <v>28</v>
      </c>
      <c r="B73">
        <v>2025</v>
      </c>
      <c r="C73">
        <v>10024.6232</v>
      </c>
      <c r="D73" t="s">
        <v>94</v>
      </c>
    </row>
    <row r="74" spans="1:4">
      <c r="A74" t="s">
        <v>29</v>
      </c>
      <c r="B74">
        <v>2022</v>
      </c>
      <c r="C74">
        <v>22214.363499999999</v>
      </c>
      <c r="D74" t="s">
        <v>94</v>
      </c>
    </row>
    <row r="75" spans="1:4">
      <c r="A75" t="s">
        <v>29</v>
      </c>
      <c r="B75">
        <v>2023</v>
      </c>
      <c r="C75">
        <v>992.25469999999996</v>
      </c>
      <c r="D75" t="s">
        <v>94</v>
      </c>
    </row>
    <row r="76" spans="1:4">
      <c r="A76" t="s">
        <v>29</v>
      </c>
      <c r="B76">
        <v>2024</v>
      </c>
      <c r="C76">
        <v>6259.9726000000001</v>
      </c>
      <c r="D76" t="s">
        <v>94</v>
      </c>
    </row>
    <row r="77" spans="1:4">
      <c r="A77" t="s">
        <v>29</v>
      </c>
      <c r="B77">
        <v>2025</v>
      </c>
      <c r="C77">
        <v>9345.9197000000004</v>
      </c>
      <c r="D77" t="s">
        <v>94</v>
      </c>
    </row>
    <row r="78" spans="1:4">
      <c r="A78" t="s">
        <v>30</v>
      </c>
      <c r="B78">
        <v>2022</v>
      </c>
      <c r="C78">
        <v>10000</v>
      </c>
      <c r="D78" t="s">
        <v>94</v>
      </c>
    </row>
    <row r="79" spans="1:4">
      <c r="A79" t="s">
        <v>30</v>
      </c>
      <c r="B79">
        <v>2023</v>
      </c>
      <c r="C79">
        <v>0</v>
      </c>
      <c r="D79" t="s">
        <v>94</v>
      </c>
    </row>
    <row r="80" spans="1:4">
      <c r="A80" t="s">
        <v>30</v>
      </c>
      <c r="B80">
        <v>2024</v>
      </c>
      <c r="C80">
        <v>5000</v>
      </c>
      <c r="D80" t="s">
        <v>94</v>
      </c>
    </row>
    <row r="81" spans="1:4">
      <c r="A81" t="s">
        <v>30</v>
      </c>
      <c r="B81">
        <v>2025</v>
      </c>
      <c r="C81">
        <v>6499.8379999999997</v>
      </c>
      <c r="D81" t="s">
        <v>94</v>
      </c>
    </row>
    <row r="82" spans="1:4">
      <c r="A82" t="s">
        <v>31</v>
      </c>
      <c r="B82">
        <v>2022</v>
      </c>
      <c r="C82">
        <v>11419.9897</v>
      </c>
      <c r="D82" t="s">
        <v>94</v>
      </c>
    </row>
    <row r="83" spans="1:4">
      <c r="A83" t="s">
        <v>31</v>
      </c>
      <c r="B83">
        <v>2023</v>
      </c>
      <c r="C83">
        <v>2579.9396000000002</v>
      </c>
      <c r="D83" t="s">
        <v>94</v>
      </c>
    </row>
    <row r="84" spans="1:4">
      <c r="A84" t="s">
        <v>31</v>
      </c>
      <c r="B84">
        <v>2024</v>
      </c>
      <c r="C84">
        <v>5150</v>
      </c>
      <c r="D84" t="s">
        <v>94</v>
      </c>
    </row>
    <row r="85" spans="1:4">
      <c r="A85" t="s">
        <v>31</v>
      </c>
      <c r="B85">
        <v>2025</v>
      </c>
      <c r="C85">
        <v>6300</v>
      </c>
      <c r="D85" t="s">
        <v>94</v>
      </c>
    </row>
    <row r="86" spans="1:4">
      <c r="A86" t="s">
        <v>32</v>
      </c>
      <c r="B86">
        <v>2022</v>
      </c>
      <c r="C86">
        <v>30057.1453</v>
      </c>
      <c r="D86" t="s">
        <v>94</v>
      </c>
    </row>
    <row r="87" spans="1:4">
      <c r="A87" t="s">
        <v>32</v>
      </c>
      <c r="B87">
        <v>2023</v>
      </c>
      <c r="C87">
        <v>4808.1369999999997</v>
      </c>
      <c r="D87" t="s">
        <v>94</v>
      </c>
    </row>
    <row r="88" spans="1:4">
      <c r="A88" t="s">
        <v>32</v>
      </c>
      <c r="B88">
        <v>2024</v>
      </c>
      <c r="C88">
        <v>6445.1369999999997</v>
      </c>
      <c r="D88" t="s">
        <v>94</v>
      </c>
    </row>
    <row r="89" spans="1:4">
      <c r="A89" t="s">
        <v>32</v>
      </c>
      <c r="B89">
        <v>2025</v>
      </c>
      <c r="C89">
        <v>11820.5473</v>
      </c>
      <c r="D89" t="s">
        <v>94</v>
      </c>
    </row>
    <row r="90" spans="1:4">
      <c r="A90" t="s">
        <v>35</v>
      </c>
      <c r="B90">
        <v>2022</v>
      </c>
      <c r="C90">
        <v>8499.8950000000004</v>
      </c>
      <c r="D90" t="s">
        <v>94</v>
      </c>
    </row>
    <row r="91" spans="1:4">
      <c r="A91" t="s">
        <v>35</v>
      </c>
      <c r="B91">
        <v>2023</v>
      </c>
      <c r="C91">
        <v>3130.5452</v>
      </c>
      <c r="D91" t="s">
        <v>94</v>
      </c>
    </row>
    <row r="92" spans="1:4">
      <c r="A92" t="s">
        <v>35</v>
      </c>
      <c r="B92">
        <v>2024</v>
      </c>
      <c r="C92">
        <v>4710</v>
      </c>
      <c r="D92" t="s">
        <v>94</v>
      </c>
    </row>
    <row r="93" spans="1:4">
      <c r="A93" t="s">
        <v>35</v>
      </c>
      <c r="B93">
        <v>2025</v>
      </c>
      <c r="C93">
        <v>6723.9997000000003</v>
      </c>
      <c r="D93" t="s">
        <v>94</v>
      </c>
    </row>
    <row r="94" spans="1:4">
      <c r="A94" t="s">
        <v>33</v>
      </c>
      <c r="B94">
        <v>2022</v>
      </c>
      <c r="C94">
        <v>12000</v>
      </c>
      <c r="D94" t="s">
        <v>94</v>
      </c>
    </row>
    <row r="95" spans="1:4">
      <c r="A95" t="s">
        <v>33</v>
      </c>
      <c r="B95">
        <v>2023</v>
      </c>
      <c r="C95">
        <v>8000</v>
      </c>
      <c r="D95" t="s">
        <v>94</v>
      </c>
    </row>
    <row r="96" spans="1:4">
      <c r="A96" t="s">
        <v>33</v>
      </c>
      <c r="B96">
        <v>2024</v>
      </c>
      <c r="C96">
        <v>8799.9804000000004</v>
      </c>
      <c r="D96" t="s">
        <v>94</v>
      </c>
    </row>
    <row r="97" spans="1:4">
      <c r="A97" t="s">
        <v>33</v>
      </c>
      <c r="B97">
        <v>2025</v>
      </c>
      <c r="C97">
        <v>8399.7800000000007</v>
      </c>
      <c r="D97" t="s">
        <v>94</v>
      </c>
    </row>
    <row r="98" spans="1:4">
      <c r="A98" t="s">
        <v>34</v>
      </c>
      <c r="B98">
        <v>2022</v>
      </c>
      <c r="C98">
        <v>2584.9947000000002</v>
      </c>
      <c r="D98" t="s">
        <v>94</v>
      </c>
    </row>
    <row r="99" spans="1:4">
      <c r="A99" t="s">
        <v>34</v>
      </c>
      <c r="B99">
        <v>2023</v>
      </c>
      <c r="C99">
        <v>1664.5641000000001</v>
      </c>
      <c r="D99" t="s">
        <v>94</v>
      </c>
    </row>
    <row r="100" spans="1:4">
      <c r="A100" t="s">
        <v>34</v>
      </c>
      <c r="B100">
        <v>2024</v>
      </c>
      <c r="C100">
        <v>2039.9865</v>
      </c>
      <c r="D100" t="s">
        <v>94</v>
      </c>
    </row>
    <row r="101" spans="1:4">
      <c r="A101" t="s">
        <v>34</v>
      </c>
      <c r="B101">
        <v>2025</v>
      </c>
      <c r="C101">
        <v>3809.9695999999999</v>
      </c>
      <c r="D101" t="s">
        <v>94</v>
      </c>
    </row>
    <row r="102" spans="1:4">
      <c r="A102" t="s">
        <v>38</v>
      </c>
      <c r="B102">
        <v>2022</v>
      </c>
      <c r="C102">
        <v>19946.542700000002</v>
      </c>
      <c r="D102" t="s">
        <v>94</v>
      </c>
    </row>
    <row r="103" spans="1:4">
      <c r="A103" t="s">
        <v>38</v>
      </c>
      <c r="B103">
        <v>2023</v>
      </c>
      <c r="C103">
        <v>0</v>
      </c>
      <c r="D103" t="s">
        <v>94</v>
      </c>
    </row>
    <row r="104" spans="1:4">
      <c r="A104" t="s">
        <v>38</v>
      </c>
      <c r="B104">
        <v>2024</v>
      </c>
      <c r="C104">
        <v>4999.9390000000003</v>
      </c>
      <c r="D104" t="s">
        <v>94</v>
      </c>
    </row>
    <row r="105" spans="1:4">
      <c r="A105" t="s">
        <v>38</v>
      </c>
      <c r="B105">
        <v>2025</v>
      </c>
      <c r="C105">
        <v>16027.25</v>
      </c>
      <c r="D105" t="s">
        <v>94</v>
      </c>
    </row>
    <row r="106" spans="1:4">
      <c r="A106" t="s">
        <v>39</v>
      </c>
      <c r="B106">
        <v>2022</v>
      </c>
      <c r="C106">
        <v>11857.7932</v>
      </c>
      <c r="D106" t="s">
        <v>94</v>
      </c>
    </row>
    <row r="107" spans="1:4">
      <c r="A107" t="s">
        <v>39</v>
      </c>
      <c r="B107">
        <v>2023</v>
      </c>
      <c r="C107">
        <v>6697.9996000000001</v>
      </c>
      <c r="D107" t="s">
        <v>94</v>
      </c>
    </row>
    <row r="108" spans="1:4">
      <c r="A108" t="s">
        <v>39</v>
      </c>
      <c r="B108">
        <v>2024</v>
      </c>
      <c r="C108">
        <v>3846.1</v>
      </c>
      <c r="D108" t="s">
        <v>94</v>
      </c>
    </row>
    <row r="109" spans="1:4">
      <c r="A109" t="s">
        <v>39</v>
      </c>
      <c r="B109">
        <v>2025</v>
      </c>
      <c r="C109">
        <v>6095</v>
      </c>
      <c r="D109" t="s">
        <v>94</v>
      </c>
    </row>
    <row r="110" spans="1:4">
      <c r="A110" t="s">
        <v>36</v>
      </c>
      <c r="B110">
        <v>2022</v>
      </c>
      <c r="C110">
        <v>22368.657599999999</v>
      </c>
      <c r="D110" t="s">
        <v>94</v>
      </c>
    </row>
    <row r="111" spans="1:4">
      <c r="A111" t="s">
        <v>36</v>
      </c>
      <c r="B111">
        <v>2023</v>
      </c>
      <c r="C111">
        <v>5099.9596000000001</v>
      </c>
      <c r="D111" t="s">
        <v>94</v>
      </c>
    </row>
    <row r="112" spans="1:4">
      <c r="A112" t="s">
        <v>36</v>
      </c>
      <c r="B112">
        <v>2024</v>
      </c>
      <c r="C112">
        <v>8773.9069999999992</v>
      </c>
      <c r="D112" t="s">
        <v>94</v>
      </c>
    </row>
    <row r="113" spans="1:4">
      <c r="A113" t="s">
        <v>36</v>
      </c>
      <c r="B113">
        <v>2025</v>
      </c>
      <c r="C113">
        <v>10615.7408</v>
      </c>
      <c r="D113" t="s">
        <v>94</v>
      </c>
    </row>
    <row r="114" spans="1:4">
      <c r="A114" t="s">
        <v>37</v>
      </c>
      <c r="B114">
        <v>2022</v>
      </c>
      <c r="C114">
        <v>18749.997200000002</v>
      </c>
      <c r="D114" t="s">
        <v>94</v>
      </c>
    </row>
    <row r="115" spans="1:4">
      <c r="A115" t="s">
        <v>37</v>
      </c>
      <c r="B115">
        <v>2023</v>
      </c>
      <c r="C115">
        <v>5099.9596000000001</v>
      </c>
      <c r="D115" t="s">
        <v>94</v>
      </c>
    </row>
    <row r="116" spans="1:4">
      <c r="A116" t="s">
        <v>37</v>
      </c>
      <c r="B116">
        <v>2024</v>
      </c>
      <c r="C116">
        <v>6915</v>
      </c>
      <c r="D116" t="s">
        <v>94</v>
      </c>
    </row>
    <row r="117" spans="1:4">
      <c r="A117" t="s">
        <v>37</v>
      </c>
      <c r="B117">
        <v>2025</v>
      </c>
      <c r="C117">
        <v>13137</v>
      </c>
      <c r="D117" t="s">
        <v>94</v>
      </c>
    </row>
    <row r="118" spans="1:4">
      <c r="A118" t="s">
        <v>41</v>
      </c>
      <c r="B118">
        <v>2022</v>
      </c>
      <c r="C118">
        <v>40186.716800000002</v>
      </c>
      <c r="D118" t="s">
        <v>94</v>
      </c>
    </row>
    <row r="119" spans="1:4">
      <c r="A119" t="s">
        <v>41</v>
      </c>
      <c r="B119">
        <v>2023</v>
      </c>
      <c r="C119">
        <v>5099.9596000000001</v>
      </c>
      <c r="D119" t="s">
        <v>94</v>
      </c>
    </row>
    <row r="120" spans="1:4">
      <c r="A120" t="s">
        <v>41</v>
      </c>
      <c r="B120">
        <v>2024</v>
      </c>
      <c r="C120">
        <v>6610.8023999999996</v>
      </c>
      <c r="D120" t="s">
        <v>94</v>
      </c>
    </row>
    <row r="121" spans="1:4">
      <c r="A121" t="s">
        <v>41</v>
      </c>
      <c r="B121">
        <v>2025</v>
      </c>
      <c r="C121">
        <v>19497.815600000002</v>
      </c>
      <c r="D121" t="s">
        <v>94</v>
      </c>
    </row>
    <row r="122" spans="1:4">
      <c r="A122" t="s">
        <v>70</v>
      </c>
      <c r="B122">
        <v>2022</v>
      </c>
      <c r="C122">
        <v>3099.9504000000002</v>
      </c>
      <c r="D122" t="s">
        <v>94</v>
      </c>
    </row>
    <row r="123" spans="1:4">
      <c r="A123" t="s">
        <v>70</v>
      </c>
      <c r="B123">
        <v>2023</v>
      </c>
      <c r="C123">
        <v>5099.9596000000001</v>
      </c>
      <c r="D123" t="s">
        <v>94</v>
      </c>
    </row>
    <row r="124" spans="1:4">
      <c r="A124" t="s">
        <v>70</v>
      </c>
      <c r="B124">
        <v>2024</v>
      </c>
      <c r="C124">
        <v>1799.9390000000001</v>
      </c>
      <c r="D124" t="s">
        <v>94</v>
      </c>
    </row>
    <row r="125" spans="1:4">
      <c r="A125" t="s">
        <v>70</v>
      </c>
      <c r="B125">
        <v>2025</v>
      </c>
      <c r="C125">
        <v>1974</v>
      </c>
      <c r="D125" t="s">
        <v>94</v>
      </c>
    </row>
    <row r="126" spans="1:4">
      <c r="A126" t="s">
        <v>71</v>
      </c>
      <c r="B126">
        <v>2022</v>
      </c>
      <c r="C126">
        <v>250</v>
      </c>
      <c r="D126" t="s">
        <v>94</v>
      </c>
    </row>
    <row r="127" spans="1:4">
      <c r="A127" t="s">
        <v>71</v>
      </c>
      <c r="B127">
        <v>2023</v>
      </c>
      <c r="C127">
        <v>5099.9596000000001</v>
      </c>
      <c r="D127" t="s">
        <v>94</v>
      </c>
    </row>
    <row r="128" spans="1:4">
      <c r="A128" t="s">
        <v>71</v>
      </c>
      <c r="B128">
        <v>2024</v>
      </c>
      <c r="C128">
        <v>195.18709999999999</v>
      </c>
      <c r="D128" t="s">
        <v>94</v>
      </c>
    </row>
    <row r="129" spans="1:4">
      <c r="A129" t="s">
        <v>71</v>
      </c>
      <c r="B129">
        <v>2025</v>
      </c>
      <c r="C129">
        <v>831.02650000000006</v>
      </c>
      <c r="D129" t="s">
        <v>94</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83EE5-E5CE-4CF9-B612-C9321583E220}">
  <sheetPr codeName="Sheet16">
    <tabColor theme="2" tint="-9.9978637043366805E-2"/>
  </sheetPr>
  <dimension ref="A1"/>
  <sheetViews>
    <sheetView workbookViewId="0">
      <selection activeCell="M18" sqref="M18"/>
    </sheetView>
  </sheetViews>
  <sheetFormatPr defaultRowHeight="14.5"/>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92179-4F97-4AC9-B207-9CD5E3FEDF89}">
  <sheetPr codeName="Sheet2"/>
  <dimension ref="A1:I30"/>
  <sheetViews>
    <sheetView zoomScale="61" workbookViewId="0">
      <selection activeCell="B6" sqref="B6"/>
    </sheetView>
  </sheetViews>
  <sheetFormatPr defaultRowHeight="14.5"/>
  <cols>
    <col min="1" max="1" width="19.26953125" bestFit="1" customWidth="1"/>
    <col min="2" max="2" width="11.1796875" bestFit="1" customWidth="1"/>
    <col min="3" max="3" width="15" bestFit="1" customWidth="1"/>
    <col min="4" max="6" width="13.26953125" bestFit="1" customWidth="1"/>
    <col min="9" max="9" width="20.7265625" bestFit="1" customWidth="1"/>
  </cols>
  <sheetData>
    <row r="1" spans="1:6">
      <c r="A1" t="s">
        <v>95</v>
      </c>
    </row>
    <row r="2" spans="1:6">
      <c r="B2" s="346" t="s">
        <v>1</v>
      </c>
      <c r="C2" s="346"/>
      <c r="D2" s="346"/>
      <c r="E2" s="346"/>
      <c r="F2" s="346"/>
    </row>
    <row r="3" spans="1:6">
      <c r="A3" t="s">
        <v>96</v>
      </c>
      <c r="B3" t="s">
        <v>97</v>
      </c>
      <c r="C3" t="s">
        <v>46</v>
      </c>
      <c r="D3" t="s">
        <v>47</v>
      </c>
      <c r="E3" t="s">
        <v>48</v>
      </c>
      <c r="F3" t="s">
        <v>49</v>
      </c>
    </row>
    <row r="4" spans="1:6">
      <c r="A4" t="s">
        <v>8</v>
      </c>
      <c r="B4" s="14">
        <f>'[1]Jadual 1'!$R$8</f>
        <v>90600</v>
      </c>
      <c r="C4" s="14">
        <f>'[2]Jadual 1'!$R$9</f>
        <v>154515.47230000002</v>
      </c>
      <c r="D4" s="14">
        <f>'[2]Jadual 1'!$S$9</f>
        <v>120629.37481000001</v>
      </c>
      <c r="E4" s="14">
        <f>'[3]Jadual 1'!$R$9</f>
        <v>185221.80379766246</v>
      </c>
      <c r="F4" s="14">
        <f>'[3]Jadual 1'!$S$9</f>
        <v>52559.125660000005</v>
      </c>
    </row>
    <row r="5" spans="1:6">
      <c r="A5" t="s">
        <v>10</v>
      </c>
      <c r="B5" s="14">
        <f>'[1]Jadual 1'!$L$8</f>
        <v>525763.9439999999</v>
      </c>
      <c r="C5" s="14">
        <f>'[2]Jadual 1'!$L$9</f>
        <v>50302.314000000006</v>
      </c>
      <c r="D5" s="14">
        <f>'[2]Jadual 1'!$M$9</f>
        <v>53197.133973333344</v>
      </c>
      <c r="E5" s="14">
        <f>'[3]Jadual 1'!$L$9</f>
        <v>54059.442399999985</v>
      </c>
      <c r="F5" s="14">
        <f>'[3]Jadual 1'!$M$9</f>
        <v>13448.684466666668</v>
      </c>
    </row>
    <row r="6" spans="1:6">
      <c r="A6" t="s">
        <v>12</v>
      </c>
      <c r="B6" s="14">
        <f>'[1]Jadual 1'!$U$8</f>
        <v>2000000</v>
      </c>
      <c r="C6" s="14">
        <f>'[2]Jadual 1'!$U$9</f>
        <v>636767.41968000005</v>
      </c>
      <c r="D6" s="14">
        <f>'[2]Jadual 1'!$V$9</f>
        <v>380741.95513999998</v>
      </c>
      <c r="E6" s="14">
        <f>'[3]Jadual 1'!$U$9</f>
        <v>303379.64765999996</v>
      </c>
      <c r="F6" s="14">
        <f>'[3]Jadual 1'!$V$9</f>
        <v>380181.71825999999</v>
      </c>
    </row>
    <row r="7" spans="1:6">
      <c r="A7" t="s">
        <v>14</v>
      </c>
      <c r="B7" s="14">
        <f>'[1]Jadual 1'!$F$8</f>
        <v>1621955.5280000002</v>
      </c>
      <c r="C7" s="14">
        <f>'[2]Jadual 1'!$F$9</f>
        <v>157392.70022828193</v>
      </c>
      <c r="D7" s="14">
        <f>'[2]Jadual 1'!$G$9</f>
        <v>168258.19477053755</v>
      </c>
      <c r="E7" s="14">
        <f>'[3]Jadual 1'!$F$9</f>
        <v>372231.79154263175</v>
      </c>
      <c r="F7" s="14">
        <f>'[3]Jadual 1'!$G$9</f>
        <v>183815.51662189595</v>
      </c>
    </row>
    <row r="8" spans="1:6">
      <c r="A8" t="s">
        <v>15</v>
      </c>
      <c r="B8" s="14">
        <f>'[1]Jadual 1'!$O$8</f>
        <v>891360.02794520557</v>
      </c>
      <c r="C8" s="14">
        <f>'[2]Jadual 1'!$O$9</f>
        <v>8706.5946549249838</v>
      </c>
      <c r="D8" s="14">
        <f>'[2]Jadual 1'!$P$9</f>
        <v>10259.602419999999</v>
      </c>
      <c r="E8" s="14">
        <f>'[3]Jadual 1'!$O$9</f>
        <v>1163.0909999999999</v>
      </c>
      <c r="F8" s="14">
        <f>'[3]Jadual 1'!$P$9</f>
        <v>75.599999999999994</v>
      </c>
    </row>
    <row r="9" spans="1:6">
      <c r="A9" t="s">
        <v>98</v>
      </c>
      <c r="B9" s="14">
        <f>SUM(B3:B8)</f>
        <v>5129679.4999452056</v>
      </c>
      <c r="C9" s="14">
        <f>SUM(C3:C8)</f>
        <v>1007684.5008632069</v>
      </c>
      <c r="D9" s="14">
        <f>SUM(D3:D8)</f>
        <v>733086.26111387089</v>
      </c>
      <c r="E9" s="14">
        <f>SUM(E3:E8)</f>
        <v>916055.77640029415</v>
      </c>
      <c r="F9" s="14">
        <f>SUM(F3:F8)</f>
        <v>630080.6450085626</v>
      </c>
    </row>
    <row r="10" spans="1:6">
      <c r="A10" t="s">
        <v>16</v>
      </c>
      <c r="B10" s="14">
        <f>'[1]Jadual 1'!$I$8</f>
        <v>982773.71700000006</v>
      </c>
      <c r="C10" s="14">
        <f>'[2]Jadual 1'!$I$9</f>
        <v>18800.68930676231</v>
      </c>
      <c r="D10" s="14">
        <f>'[2]Jadual 1'!$J$9</f>
        <v>22326.88466528571</v>
      </c>
      <c r="E10" s="14">
        <f>'[3]Jadual 1'!$I$9</f>
        <v>17298.247910447</v>
      </c>
      <c r="F10" s="14">
        <f>'[3]Jadual 1'!$J$9</f>
        <v>6832.6792843833937</v>
      </c>
    </row>
    <row r="12" spans="1:6">
      <c r="A12" t="s">
        <v>99</v>
      </c>
      <c r="B12" t="s">
        <v>97</v>
      </c>
      <c r="C12" t="s">
        <v>46</v>
      </c>
      <c r="D12" t="s">
        <v>47</v>
      </c>
      <c r="E12" t="s">
        <v>48</v>
      </c>
      <c r="F12" t="s">
        <v>49</v>
      </c>
    </row>
    <row r="13" spans="1:6">
      <c r="A13" s="13" t="s">
        <v>14</v>
      </c>
      <c r="B13" t="s">
        <v>51</v>
      </c>
      <c r="C13" s="10">
        <f>C4/B4-1</f>
        <v>0.7054687891832232</v>
      </c>
      <c r="D13" s="10">
        <f t="shared" ref="D13:F13" si="0">D4/C4-1</f>
        <v>-0.21930552963788863</v>
      </c>
      <c r="E13" s="10">
        <f t="shared" si="0"/>
        <v>0.53546185652872857</v>
      </c>
      <c r="F13" s="10">
        <f t="shared" si="0"/>
        <v>-0.7162368329086356</v>
      </c>
    </row>
    <row r="14" spans="1:6">
      <c r="A14" s="12" t="s">
        <v>16</v>
      </c>
      <c r="B14" t="s">
        <v>51</v>
      </c>
      <c r="C14" s="10">
        <f t="shared" ref="C14:F14" si="1">C5/B5-1</f>
        <v>-0.90432528785199462</v>
      </c>
      <c r="D14" s="10">
        <f t="shared" si="1"/>
        <v>5.7548445451899743E-2</v>
      </c>
      <c r="E14" s="10">
        <f t="shared" si="1"/>
        <v>1.6209678271368988E-2</v>
      </c>
      <c r="F14" s="10">
        <f t="shared" si="1"/>
        <v>-0.75122413643936015</v>
      </c>
    </row>
    <row r="15" spans="1:6">
      <c r="A15" s="13" t="s">
        <v>10</v>
      </c>
      <c r="B15" t="s">
        <v>51</v>
      </c>
      <c r="C15" s="10">
        <f t="shared" ref="C15:F15" si="2">C6/B6-1</f>
        <v>-0.68161629016000003</v>
      </c>
      <c r="D15" s="10">
        <f t="shared" si="2"/>
        <v>-0.40207060949924645</v>
      </c>
      <c r="E15" s="10">
        <f t="shared" si="2"/>
        <v>-0.20318829179608977</v>
      </c>
      <c r="F15" s="10">
        <f t="shared" si="2"/>
        <v>0.25315498647448087</v>
      </c>
    </row>
    <row r="16" spans="1:6">
      <c r="A16" s="12" t="s">
        <v>15</v>
      </c>
      <c r="B16" t="s">
        <v>51</v>
      </c>
      <c r="C16" s="10">
        <f t="shared" ref="C16:F16" si="3">C7/B7-1</f>
        <v>-0.90296114935878691</v>
      </c>
      <c r="D16" s="10">
        <f t="shared" si="3"/>
        <v>6.9034297820015356E-2</v>
      </c>
      <c r="E16" s="10">
        <f t="shared" si="3"/>
        <v>1.2122654534019195</v>
      </c>
      <c r="F16" s="10">
        <f t="shared" si="3"/>
        <v>-0.50617996420963007</v>
      </c>
    </row>
    <row r="17" spans="1:9">
      <c r="A17" s="13" t="s">
        <v>8</v>
      </c>
      <c r="B17" t="s">
        <v>51</v>
      </c>
      <c r="C17" s="10">
        <f t="shared" ref="C17:F17" si="4">C8/B8-1</f>
        <v>-0.99023223570503183</v>
      </c>
      <c r="D17" s="10">
        <f t="shared" si="4"/>
        <v>0.17837143299148983</v>
      </c>
      <c r="E17" s="10">
        <f t="shared" si="4"/>
        <v>-0.88663391110237588</v>
      </c>
      <c r="F17" s="10">
        <f t="shared" si="4"/>
        <v>-0.93500078669682773</v>
      </c>
    </row>
    <row r="18" spans="1:9">
      <c r="A18" s="12" t="s">
        <v>12</v>
      </c>
      <c r="B18" s="15" t="s">
        <v>51</v>
      </c>
      <c r="C18" s="10">
        <f t="shared" ref="C18:F18" si="5">C9/B9-1</f>
        <v>-0.80355799989571064</v>
      </c>
      <c r="D18" s="10">
        <f t="shared" si="5"/>
        <v>-0.27250418113418295</v>
      </c>
      <c r="E18" s="10">
        <f t="shared" si="5"/>
        <v>0.24958797482906658</v>
      </c>
      <c r="F18" s="10">
        <f t="shared" si="5"/>
        <v>-0.31218091600872933</v>
      </c>
    </row>
    <row r="19" spans="1:9">
      <c r="A19" s="13" t="s">
        <v>98</v>
      </c>
      <c r="B19" t="s">
        <v>51</v>
      </c>
      <c r="C19" s="10">
        <f t="shared" ref="C19:F19" si="6">C10/B10-1</f>
        <v>-0.98086976790124891</v>
      </c>
      <c r="D19" s="10">
        <f t="shared" si="6"/>
        <v>0.18755670608604147</v>
      </c>
      <c r="E19" s="10">
        <f t="shared" si="6"/>
        <v>-0.22522787349089213</v>
      </c>
      <c r="F19" s="10">
        <f t="shared" si="6"/>
        <v>-0.60500743660536238</v>
      </c>
      <c r="I19" t="s">
        <v>100</v>
      </c>
    </row>
    <row r="21" spans="1:9">
      <c r="A21" t="s">
        <v>101</v>
      </c>
      <c r="B21" t="s">
        <v>97</v>
      </c>
      <c r="C21" t="s">
        <v>46</v>
      </c>
      <c r="D21" t="s">
        <v>47</v>
      </c>
      <c r="E21" t="s">
        <v>48</v>
      </c>
      <c r="F21" t="s">
        <v>49</v>
      </c>
    </row>
    <row r="22" spans="1:9">
      <c r="A22" s="13" t="s">
        <v>14</v>
      </c>
      <c r="B22" t="s">
        <v>51</v>
      </c>
      <c r="C22" s="16">
        <f t="shared" ref="C22:F22" si="7">ABS(C4-B4)</f>
        <v>63915.472300000023</v>
      </c>
      <c r="D22" s="16">
        <f t="shared" si="7"/>
        <v>33886.097490000015</v>
      </c>
      <c r="E22" s="16">
        <f t="shared" si="7"/>
        <v>64592.428987662453</v>
      </c>
      <c r="F22" s="16">
        <f t="shared" si="7"/>
        <v>132662.67813766247</v>
      </c>
    </row>
    <row r="23" spans="1:9">
      <c r="A23" s="12" t="s">
        <v>16</v>
      </c>
      <c r="B23" t="s">
        <v>51</v>
      </c>
      <c r="C23" s="16">
        <f t="shared" ref="C23:F23" si="8">ABS(C5-B5)</f>
        <v>475461.62999999989</v>
      </c>
      <c r="D23" s="16">
        <f t="shared" si="8"/>
        <v>2894.8199733333386</v>
      </c>
      <c r="E23" s="16">
        <f t="shared" si="8"/>
        <v>862.30842666664103</v>
      </c>
      <c r="F23" s="16">
        <f t="shared" si="8"/>
        <v>40610.75793333332</v>
      </c>
    </row>
    <row r="24" spans="1:9">
      <c r="A24" s="13" t="s">
        <v>10</v>
      </c>
      <c r="B24" t="s">
        <v>51</v>
      </c>
      <c r="C24" s="16">
        <f t="shared" ref="C24:F24" si="9">ABS(C6-B6)</f>
        <v>1363232.58032</v>
      </c>
      <c r="D24" s="16">
        <f t="shared" si="9"/>
        <v>256025.46454000007</v>
      </c>
      <c r="E24" s="16">
        <f t="shared" si="9"/>
        <v>77362.307480000018</v>
      </c>
      <c r="F24" s="16">
        <f t="shared" si="9"/>
        <v>76802.070600000035</v>
      </c>
    </row>
    <row r="25" spans="1:9">
      <c r="A25" s="12" t="s">
        <v>15</v>
      </c>
      <c r="B25" t="s">
        <v>51</v>
      </c>
      <c r="C25" s="16">
        <f t="shared" ref="C25:F25" si="10">ABS(C7-B7)</f>
        <v>1464562.8277717181</v>
      </c>
      <c r="D25" s="16">
        <f t="shared" si="10"/>
        <v>10865.494542255619</v>
      </c>
      <c r="E25" s="16">
        <f t="shared" si="10"/>
        <v>203973.5967720942</v>
      </c>
      <c r="F25" s="16">
        <f t="shared" si="10"/>
        <v>188416.2749207358</v>
      </c>
    </row>
    <row r="26" spans="1:9">
      <c r="A26" s="13" t="s">
        <v>8</v>
      </c>
      <c r="B26" t="s">
        <v>51</v>
      </c>
      <c r="C26" s="16">
        <f t="shared" ref="C26:F26" si="11">ABS(C8-B8)</f>
        <v>882653.43329028063</v>
      </c>
      <c r="D26" s="16">
        <f t="shared" si="11"/>
        <v>1553.0077650750154</v>
      </c>
      <c r="E26" s="16">
        <f t="shared" si="11"/>
        <v>9096.5114199999989</v>
      </c>
      <c r="F26" s="16">
        <f t="shared" si="11"/>
        <v>1087.491</v>
      </c>
    </row>
    <row r="27" spans="1:9">
      <c r="A27" s="12" t="s">
        <v>12</v>
      </c>
      <c r="B27" s="15" t="s">
        <v>51</v>
      </c>
      <c r="C27" s="16">
        <f t="shared" ref="C27:F27" si="12">ABS(C9-B9)</f>
        <v>4121994.9990819986</v>
      </c>
      <c r="D27" s="16">
        <f t="shared" si="12"/>
        <v>274598.23974933603</v>
      </c>
      <c r="E27" s="16">
        <f t="shared" si="12"/>
        <v>182969.51528642327</v>
      </c>
      <c r="F27" s="16">
        <f t="shared" si="12"/>
        <v>285975.13139173156</v>
      </c>
    </row>
    <row r="28" spans="1:9">
      <c r="A28" s="13" t="s">
        <v>98</v>
      </c>
      <c r="B28" t="s">
        <v>51</v>
      </c>
      <c r="C28" s="16">
        <f t="shared" ref="C28:F28" si="13">ABS(C10-B10)</f>
        <v>963973.02769323776</v>
      </c>
      <c r="D28" s="16">
        <f t="shared" si="13"/>
        <v>3526.1953585234005</v>
      </c>
      <c r="E28" s="16">
        <f t="shared" si="13"/>
        <v>5028.6367548387097</v>
      </c>
      <c r="F28" s="16">
        <f t="shared" si="13"/>
        <v>10465.568626063607</v>
      </c>
    </row>
    <row r="30" spans="1:9">
      <c r="A30" t="s">
        <v>102</v>
      </c>
      <c r="B30" t="s">
        <v>51</v>
      </c>
      <c r="C30" t="str">
        <f>INDEX($A$22:$A$27, MATCH(MAX(C22:C27), C22:C27, 0))</f>
        <v>Infrastructure</v>
      </c>
      <c r="D30" t="str">
        <f t="shared" ref="D30:F30" si="14">INDEX($A$22:$A$27, MATCH(MAX(D22:D27), D22:D27, 0))</f>
        <v>Infrastructure</v>
      </c>
      <c r="E30" t="str">
        <f t="shared" si="14"/>
        <v>Manufacturing</v>
      </c>
      <c r="F30" t="str">
        <f t="shared" si="14"/>
        <v>Infrastructure</v>
      </c>
    </row>
  </sheetData>
  <mergeCells count="1">
    <mergeCell ref="B2:F2"/>
  </mergeCells>
  <pageMargins left="0.7" right="0.7" top="0.75" bottom="0.75" header="0.3" footer="0.3"/>
  <pageSetup paperSize="9" orientation="portrait" r:id="rId1"/>
  <tableParts count="3">
    <tablePart r:id="rId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D3D2C-350C-45CF-AF7B-595902DBBBDC}">
  <sheetPr codeName="Sheet44"/>
  <dimension ref="A1:C31"/>
  <sheetViews>
    <sheetView zoomScale="69" workbookViewId="0">
      <selection activeCell="A8" sqref="A8"/>
    </sheetView>
  </sheetViews>
  <sheetFormatPr defaultRowHeight="14.5"/>
  <cols>
    <col min="1" max="1" width="16.453125" bestFit="1" customWidth="1"/>
    <col min="2" max="2" width="7.81640625" bestFit="1" customWidth="1"/>
    <col min="3" max="3" width="11.81640625" bestFit="1" customWidth="1"/>
  </cols>
  <sheetData>
    <row r="1" spans="1:3">
      <c r="A1" t="s">
        <v>96</v>
      </c>
      <c r="B1" t="s">
        <v>1</v>
      </c>
      <c r="C1" t="s">
        <v>3</v>
      </c>
    </row>
    <row r="2" spans="1:3">
      <c r="A2" t="s">
        <v>8</v>
      </c>
      <c r="B2">
        <v>2021</v>
      </c>
      <c r="C2">
        <v>90600</v>
      </c>
    </row>
    <row r="3" spans="1:3">
      <c r="A3" t="s">
        <v>8</v>
      </c>
      <c r="B3">
        <v>2022</v>
      </c>
      <c r="C3">
        <v>154515.47230000002</v>
      </c>
    </row>
    <row r="4" spans="1:3">
      <c r="A4" t="s">
        <v>8</v>
      </c>
      <c r="B4">
        <v>2023</v>
      </c>
      <c r="C4">
        <v>120629.37481000001</v>
      </c>
    </row>
    <row r="5" spans="1:3">
      <c r="A5" t="s">
        <v>8</v>
      </c>
      <c r="B5">
        <v>2024</v>
      </c>
      <c r="C5">
        <v>185221.80379766246</v>
      </c>
    </row>
    <row r="6" spans="1:3">
      <c r="A6" t="s">
        <v>8</v>
      </c>
      <c r="B6">
        <v>2025</v>
      </c>
      <c r="C6">
        <v>52559.125660000005</v>
      </c>
    </row>
    <row r="7" spans="1:3">
      <c r="A7" t="s">
        <v>10</v>
      </c>
      <c r="B7">
        <v>2021</v>
      </c>
      <c r="C7">
        <v>525763.9439999999</v>
      </c>
    </row>
    <row r="8" spans="1:3">
      <c r="A8" t="s">
        <v>10</v>
      </c>
      <c r="B8">
        <v>2022</v>
      </c>
      <c r="C8">
        <v>50302.314000000006</v>
      </c>
    </row>
    <row r="9" spans="1:3">
      <c r="A9" t="s">
        <v>10</v>
      </c>
      <c r="B9">
        <v>2023</v>
      </c>
      <c r="C9">
        <v>53197.133973333344</v>
      </c>
    </row>
    <row r="10" spans="1:3">
      <c r="A10" t="s">
        <v>10</v>
      </c>
      <c r="B10">
        <v>2024</v>
      </c>
      <c r="C10">
        <v>54059.442399999985</v>
      </c>
    </row>
    <row r="11" spans="1:3">
      <c r="A11" t="s">
        <v>10</v>
      </c>
      <c r="B11">
        <v>2025</v>
      </c>
      <c r="C11">
        <v>13448.684466666668</v>
      </c>
    </row>
    <row r="12" spans="1:3">
      <c r="A12" t="s">
        <v>12</v>
      </c>
      <c r="B12">
        <v>2021</v>
      </c>
      <c r="C12">
        <v>2000000</v>
      </c>
    </row>
    <row r="13" spans="1:3">
      <c r="A13" t="s">
        <v>12</v>
      </c>
      <c r="B13">
        <v>2022</v>
      </c>
      <c r="C13">
        <v>636767.41968000005</v>
      </c>
    </row>
    <row r="14" spans="1:3">
      <c r="A14" t="s">
        <v>12</v>
      </c>
      <c r="B14">
        <v>2023</v>
      </c>
      <c r="C14">
        <v>380741.95513999998</v>
      </c>
    </row>
    <row r="15" spans="1:3">
      <c r="A15" t="s">
        <v>12</v>
      </c>
      <c r="B15">
        <v>2024</v>
      </c>
      <c r="C15">
        <v>303379.64765999996</v>
      </c>
    </row>
    <row r="16" spans="1:3">
      <c r="A16" t="s">
        <v>12</v>
      </c>
      <c r="B16">
        <v>2025</v>
      </c>
      <c r="C16">
        <v>380181.71825999999</v>
      </c>
    </row>
    <row r="17" spans="1:3">
      <c r="A17" t="s">
        <v>14</v>
      </c>
      <c r="B17">
        <v>2021</v>
      </c>
      <c r="C17">
        <v>1621955.5280000002</v>
      </c>
    </row>
    <row r="18" spans="1:3">
      <c r="A18" t="s">
        <v>14</v>
      </c>
      <c r="B18">
        <v>2022</v>
      </c>
      <c r="C18">
        <v>157392.70022828193</v>
      </c>
    </row>
    <row r="19" spans="1:3">
      <c r="A19" t="s">
        <v>14</v>
      </c>
      <c r="B19">
        <v>2023</v>
      </c>
      <c r="C19">
        <v>168258.19477053755</v>
      </c>
    </row>
    <row r="20" spans="1:3">
      <c r="A20" t="s">
        <v>14</v>
      </c>
      <c r="B20">
        <v>2024</v>
      </c>
      <c r="C20">
        <v>372231.79154263175</v>
      </c>
    </row>
    <row r="21" spans="1:3">
      <c r="A21" t="s">
        <v>14</v>
      </c>
      <c r="B21">
        <v>2025</v>
      </c>
      <c r="C21">
        <v>183815.51662189595</v>
      </c>
    </row>
    <row r="22" spans="1:3">
      <c r="A22" t="s">
        <v>15</v>
      </c>
      <c r="B22">
        <v>2021</v>
      </c>
      <c r="C22">
        <v>891360.02794520557</v>
      </c>
    </row>
    <row r="23" spans="1:3">
      <c r="A23" t="s">
        <v>15</v>
      </c>
      <c r="B23">
        <v>2022</v>
      </c>
      <c r="C23">
        <v>8706.5946549249838</v>
      </c>
    </row>
    <row r="24" spans="1:3">
      <c r="A24" t="s">
        <v>15</v>
      </c>
      <c r="B24">
        <v>2023</v>
      </c>
      <c r="C24">
        <v>10259.602419999999</v>
      </c>
    </row>
    <row r="25" spans="1:3">
      <c r="A25" t="s">
        <v>15</v>
      </c>
      <c r="B25">
        <v>2024</v>
      </c>
      <c r="C25">
        <v>1163.0909999999999</v>
      </c>
    </row>
    <row r="26" spans="1:3">
      <c r="A26" t="s">
        <v>15</v>
      </c>
      <c r="B26">
        <v>2025</v>
      </c>
      <c r="C26">
        <v>75.599999999999994</v>
      </c>
    </row>
    <row r="27" spans="1:3">
      <c r="A27" t="s">
        <v>16</v>
      </c>
      <c r="B27">
        <v>2021</v>
      </c>
      <c r="C27">
        <v>982773.71700000006</v>
      </c>
    </row>
    <row r="28" spans="1:3">
      <c r="A28" t="s">
        <v>16</v>
      </c>
      <c r="B28">
        <v>2022</v>
      </c>
      <c r="C28">
        <v>18800.68930676231</v>
      </c>
    </row>
    <row r="29" spans="1:3">
      <c r="A29" t="s">
        <v>16</v>
      </c>
      <c r="B29">
        <v>2023</v>
      </c>
      <c r="C29">
        <v>22326.88466528571</v>
      </c>
    </row>
    <row r="30" spans="1:3">
      <c r="A30" t="s">
        <v>16</v>
      </c>
      <c r="B30">
        <v>2024</v>
      </c>
      <c r="C30">
        <v>17298.247910447</v>
      </c>
    </row>
    <row r="31" spans="1:3">
      <c r="A31" t="s">
        <v>16</v>
      </c>
      <c r="B31">
        <v>2025</v>
      </c>
      <c r="C31">
        <v>6832.6792843833937</v>
      </c>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C91FA-8DFE-4786-ADF1-F7102C5C8006}">
  <sheetPr codeName="Sheet45"/>
  <dimension ref="A1:D481"/>
  <sheetViews>
    <sheetView topLeftCell="A2" workbookViewId="0">
      <selection activeCell="A7" sqref="A7"/>
    </sheetView>
  </sheetViews>
  <sheetFormatPr defaultRowHeight="14.5"/>
  <cols>
    <col min="1" max="1" width="16" bestFit="1" customWidth="1"/>
    <col min="2" max="2" width="6.81640625" bestFit="1" customWidth="1"/>
    <col min="3" max="3" width="11.81640625" bestFit="1" customWidth="1"/>
    <col min="4" max="4" width="12.453125" bestFit="1" customWidth="1"/>
  </cols>
  <sheetData>
    <row r="1" spans="1:4">
      <c r="A1" t="s">
        <v>18</v>
      </c>
      <c r="B1" t="s">
        <v>1</v>
      </c>
      <c r="C1" t="s">
        <v>103</v>
      </c>
      <c r="D1" t="s">
        <v>5</v>
      </c>
    </row>
    <row r="2" spans="1:4">
      <c r="A2" t="s">
        <v>27</v>
      </c>
      <c r="B2">
        <v>2021</v>
      </c>
      <c r="C2">
        <v>19890.98</v>
      </c>
      <c r="D2" t="s">
        <v>25</v>
      </c>
    </row>
    <row r="3" spans="1:4">
      <c r="A3" t="s">
        <v>27</v>
      </c>
      <c r="B3">
        <v>2022</v>
      </c>
      <c r="C3">
        <v>611.01819999999998</v>
      </c>
      <c r="D3" t="s">
        <v>25</v>
      </c>
    </row>
    <row r="4" spans="1:4">
      <c r="A4" t="s">
        <v>27</v>
      </c>
      <c r="B4">
        <v>2023</v>
      </c>
      <c r="C4">
        <v>121906.4859</v>
      </c>
      <c r="D4" t="s">
        <v>25</v>
      </c>
    </row>
    <row r="5" spans="1:4">
      <c r="A5" t="s">
        <v>27</v>
      </c>
      <c r="B5">
        <v>2024</v>
      </c>
      <c r="C5">
        <v>21280.371200000001</v>
      </c>
      <c r="D5" t="s">
        <v>25</v>
      </c>
    </row>
    <row r="6" spans="1:4">
      <c r="A6" t="s">
        <v>27</v>
      </c>
      <c r="B6">
        <v>2025</v>
      </c>
      <c r="C6">
        <v>26188.954000000002</v>
      </c>
      <c r="D6" t="s">
        <v>25</v>
      </c>
    </row>
    <row r="7" spans="1:4">
      <c r="A7" t="s">
        <v>28</v>
      </c>
      <c r="B7">
        <v>2021</v>
      </c>
      <c r="C7">
        <v>1041.9549999999999</v>
      </c>
      <c r="D7" t="s">
        <v>25</v>
      </c>
    </row>
    <row r="8" spans="1:4">
      <c r="A8" t="s">
        <v>28</v>
      </c>
      <c r="B8">
        <v>2022</v>
      </c>
      <c r="C8">
        <v>15272.05</v>
      </c>
      <c r="D8" t="s">
        <v>25</v>
      </c>
    </row>
    <row r="9" spans="1:4">
      <c r="A9" t="s">
        <v>28</v>
      </c>
      <c r="B9">
        <v>2023</v>
      </c>
      <c r="C9">
        <v>264.66669999999999</v>
      </c>
      <c r="D9" t="s">
        <v>25</v>
      </c>
    </row>
    <row r="10" spans="1:4">
      <c r="A10" t="s">
        <v>28</v>
      </c>
      <c r="B10">
        <v>2024</v>
      </c>
      <c r="C10">
        <v>54013.122000000003</v>
      </c>
      <c r="D10" t="s">
        <v>25</v>
      </c>
    </row>
    <row r="11" spans="1:4">
      <c r="A11" t="s">
        <v>28</v>
      </c>
      <c r="B11">
        <v>2025</v>
      </c>
      <c r="C11">
        <v>9773.9380000000001</v>
      </c>
      <c r="D11" t="s">
        <v>25</v>
      </c>
    </row>
    <row r="12" spans="1:4">
      <c r="A12" t="s">
        <v>29</v>
      </c>
      <c r="B12">
        <v>2021</v>
      </c>
      <c r="C12">
        <v>15992.2</v>
      </c>
      <c r="D12" t="s">
        <v>25</v>
      </c>
    </row>
    <row r="13" spans="1:4">
      <c r="A13" t="s">
        <v>29</v>
      </c>
      <c r="B13">
        <v>2022</v>
      </c>
      <c r="C13">
        <v>44434.408499999998</v>
      </c>
      <c r="D13" t="s">
        <v>25</v>
      </c>
    </row>
    <row r="14" spans="1:4">
      <c r="A14" t="s">
        <v>29</v>
      </c>
      <c r="B14">
        <v>2023</v>
      </c>
      <c r="C14">
        <v>15431.800300000001</v>
      </c>
      <c r="D14" t="s">
        <v>25</v>
      </c>
    </row>
    <row r="15" spans="1:4">
      <c r="A15" t="s">
        <v>29</v>
      </c>
      <c r="B15">
        <v>2024</v>
      </c>
      <c r="C15">
        <v>139014.91800000001</v>
      </c>
      <c r="D15" t="s">
        <v>25</v>
      </c>
    </row>
    <row r="16" spans="1:4">
      <c r="A16" t="s">
        <v>29</v>
      </c>
      <c r="B16">
        <v>2025</v>
      </c>
      <c r="C16">
        <v>15617.65</v>
      </c>
      <c r="D16" t="s">
        <v>25</v>
      </c>
    </row>
    <row r="17" spans="1:4">
      <c r="A17" t="s">
        <v>30</v>
      </c>
      <c r="B17">
        <v>2021</v>
      </c>
      <c r="C17">
        <v>69694.406000000003</v>
      </c>
      <c r="D17" t="s">
        <v>25</v>
      </c>
    </row>
    <row r="18" spans="1:4">
      <c r="A18" t="s">
        <v>30</v>
      </c>
      <c r="B18">
        <v>2022</v>
      </c>
      <c r="C18">
        <v>557.65250000000003</v>
      </c>
      <c r="D18" t="s">
        <v>25</v>
      </c>
    </row>
    <row r="19" spans="1:4">
      <c r="A19" t="s">
        <v>30</v>
      </c>
      <c r="B19">
        <v>2023</v>
      </c>
      <c r="C19">
        <v>540.85230000000001</v>
      </c>
      <c r="D19" t="s">
        <v>25</v>
      </c>
    </row>
    <row r="20" spans="1:4">
      <c r="A20" t="s">
        <v>30</v>
      </c>
      <c r="B20">
        <v>2024</v>
      </c>
      <c r="C20">
        <v>1047.566</v>
      </c>
      <c r="D20" t="s">
        <v>25</v>
      </c>
    </row>
    <row r="21" spans="1:4">
      <c r="A21" t="s">
        <v>30</v>
      </c>
      <c r="B21">
        <v>2025</v>
      </c>
      <c r="C21">
        <v>728.77200000000005</v>
      </c>
      <c r="D21" t="s">
        <v>25</v>
      </c>
    </row>
    <row r="22" spans="1:4">
      <c r="A22" t="s">
        <v>31</v>
      </c>
      <c r="B22">
        <v>2021</v>
      </c>
      <c r="C22">
        <v>45557.718000000001</v>
      </c>
      <c r="D22" t="s">
        <v>25</v>
      </c>
    </row>
    <row r="23" spans="1:4">
      <c r="A23" t="s">
        <v>31</v>
      </c>
      <c r="B23">
        <v>2022</v>
      </c>
      <c r="C23">
        <v>37</v>
      </c>
      <c r="D23" t="s">
        <v>25</v>
      </c>
    </row>
    <row r="24" spans="1:4">
      <c r="A24" t="s">
        <v>31</v>
      </c>
      <c r="B24">
        <v>2023</v>
      </c>
      <c r="C24">
        <v>935.44</v>
      </c>
      <c r="D24" t="s">
        <v>25</v>
      </c>
    </row>
    <row r="25" spans="1:4">
      <c r="A25" t="s">
        <v>31</v>
      </c>
      <c r="B25">
        <v>2024</v>
      </c>
      <c r="C25">
        <v>2921.9576000000002</v>
      </c>
      <c r="D25" t="s">
        <v>25</v>
      </c>
    </row>
    <row r="26" spans="1:4">
      <c r="A26" t="s">
        <v>31</v>
      </c>
      <c r="B26">
        <v>2025</v>
      </c>
      <c r="C26">
        <v>839.96169999999995</v>
      </c>
      <c r="D26" t="s">
        <v>25</v>
      </c>
    </row>
    <row r="27" spans="1:4">
      <c r="A27" t="s">
        <v>32</v>
      </c>
      <c r="B27">
        <v>2021</v>
      </c>
      <c r="C27">
        <v>425508.18</v>
      </c>
      <c r="D27" t="s">
        <v>25</v>
      </c>
    </row>
    <row r="28" spans="1:4">
      <c r="A28" t="s">
        <v>32</v>
      </c>
      <c r="B28">
        <v>2022</v>
      </c>
      <c r="C28">
        <v>1828.2157999999999</v>
      </c>
      <c r="D28" t="s">
        <v>25</v>
      </c>
    </row>
    <row r="29" spans="1:4">
      <c r="A29" t="s">
        <v>32</v>
      </c>
      <c r="B29">
        <v>2023</v>
      </c>
      <c r="C29">
        <v>6659.1094999999996</v>
      </c>
      <c r="D29" t="s">
        <v>25</v>
      </c>
    </row>
    <row r="30" spans="1:4">
      <c r="A30" t="s">
        <v>32</v>
      </c>
      <c r="B30">
        <v>2024</v>
      </c>
      <c r="C30">
        <v>10961.249900000001</v>
      </c>
      <c r="D30" t="s">
        <v>25</v>
      </c>
    </row>
    <row r="31" spans="1:4">
      <c r="A31" t="s">
        <v>32</v>
      </c>
      <c r="B31">
        <v>2025</v>
      </c>
      <c r="C31">
        <v>18775.599200000001</v>
      </c>
      <c r="D31" t="s">
        <v>25</v>
      </c>
    </row>
    <row r="32" spans="1:4">
      <c r="A32" t="s">
        <v>33</v>
      </c>
      <c r="B32">
        <v>2021</v>
      </c>
      <c r="C32">
        <v>0</v>
      </c>
      <c r="D32" t="s">
        <v>25</v>
      </c>
    </row>
    <row r="33" spans="1:4">
      <c r="A33" t="s">
        <v>33</v>
      </c>
      <c r="B33">
        <v>2022</v>
      </c>
      <c r="C33">
        <v>97.704999999999998</v>
      </c>
      <c r="D33" t="s">
        <v>25</v>
      </c>
    </row>
    <row r="34" spans="1:4">
      <c r="A34" t="s">
        <v>33</v>
      </c>
      <c r="B34">
        <v>2023</v>
      </c>
      <c r="C34">
        <v>42.781399999999998</v>
      </c>
      <c r="D34" t="s">
        <v>25</v>
      </c>
    </row>
    <row r="35" spans="1:4">
      <c r="A35" t="s">
        <v>33</v>
      </c>
      <c r="B35">
        <v>2024</v>
      </c>
      <c r="C35">
        <v>886.93100000000004</v>
      </c>
      <c r="D35" t="s">
        <v>25</v>
      </c>
    </row>
    <row r="36" spans="1:4">
      <c r="A36" t="s">
        <v>33</v>
      </c>
      <c r="B36">
        <v>2025</v>
      </c>
      <c r="C36">
        <v>848.6739</v>
      </c>
      <c r="D36" t="s">
        <v>25</v>
      </c>
    </row>
    <row r="37" spans="1:4">
      <c r="A37" t="s">
        <v>34</v>
      </c>
      <c r="B37">
        <v>2021</v>
      </c>
      <c r="C37">
        <v>2707.6</v>
      </c>
      <c r="D37" t="s">
        <v>25</v>
      </c>
    </row>
    <row r="38" spans="1:4">
      <c r="A38" t="s">
        <v>34</v>
      </c>
      <c r="B38">
        <v>2022</v>
      </c>
      <c r="C38">
        <v>1575.3458000000001</v>
      </c>
      <c r="D38" t="s">
        <v>25</v>
      </c>
    </row>
    <row r="39" spans="1:4">
      <c r="A39" t="s">
        <v>34</v>
      </c>
      <c r="B39">
        <v>2023</v>
      </c>
      <c r="C39">
        <v>496.70440000000002</v>
      </c>
      <c r="D39" t="s">
        <v>25</v>
      </c>
    </row>
    <row r="40" spans="1:4">
      <c r="A40" t="s">
        <v>34</v>
      </c>
      <c r="B40">
        <v>2024</v>
      </c>
      <c r="C40">
        <v>12172.219800000001</v>
      </c>
      <c r="D40" t="s">
        <v>25</v>
      </c>
    </row>
    <row r="41" spans="1:4">
      <c r="A41" t="s">
        <v>34</v>
      </c>
      <c r="B41">
        <v>2025</v>
      </c>
      <c r="C41">
        <v>15337.204</v>
      </c>
      <c r="D41" t="s">
        <v>25</v>
      </c>
    </row>
    <row r="42" spans="1:4">
      <c r="A42" t="s">
        <v>35</v>
      </c>
      <c r="B42">
        <v>2021</v>
      </c>
      <c r="C42">
        <v>0</v>
      </c>
      <c r="D42" t="s">
        <v>25</v>
      </c>
    </row>
    <row r="43" spans="1:4">
      <c r="A43" t="s">
        <v>35</v>
      </c>
      <c r="B43">
        <v>2022</v>
      </c>
      <c r="C43">
        <v>5.6</v>
      </c>
      <c r="D43" t="s">
        <v>25</v>
      </c>
    </row>
    <row r="44" spans="1:4">
      <c r="A44" t="s">
        <v>35</v>
      </c>
      <c r="B44">
        <v>2023</v>
      </c>
      <c r="C44">
        <v>60</v>
      </c>
      <c r="D44" t="s">
        <v>25</v>
      </c>
    </row>
    <row r="45" spans="1:4">
      <c r="A45" t="s">
        <v>35</v>
      </c>
      <c r="B45">
        <v>2024</v>
      </c>
      <c r="C45">
        <v>529.85</v>
      </c>
      <c r="D45" t="s">
        <v>25</v>
      </c>
    </row>
    <row r="46" spans="1:4">
      <c r="A46" t="s">
        <v>35</v>
      </c>
      <c r="B46">
        <v>2025</v>
      </c>
      <c r="C46">
        <v>5207.01</v>
      </c>
      <c r="D46" t="s">
        <v>25</v>
      </c>
    </row>
    <row r="47" spans="1:4">
      <c r="A47" t="s">
        <v>36</v>
      </c>
      <c r="B47">
        <v>2021</v>
      </c>
      <c r="C47">
        <v>7165.482</v>
      </c>
      <c r="D47" t="s">
        <v>25</v>
      </c>
    </row>
    <row r="48" spans="1:4">
      <c r="A48" t="s">
        <v>36</v>
      </c>
      <c r="B48">
        <v>2022</v>
      </c>
      <c r="C48">
        <v>5359.5501999999997</v>
      </c>
      <c r="D48" t="s">
        <v>25</v>
      </c>
    </row>
    <row r="49" spans="1:4">
      <c r="A49" t="s">
        <v>36</v>
      </c>
      <c r="B49">
        <v>2023</v>
      </c>
      <c r="C49">
        <v>10997.194100000001</v>
      </c>
      <c r="D49" t="s">
        <v>25</v>
      </c>
    </row>
    <row r="50" spans="1:4">
      <c r="A50" t="s">
        <v>36</v>
      </c>
      <c r="B50">
        <v>2024</v>
      </c>
      <c r="C50">
        <v>17317.746599999999</v>
      </c>
      <c r="D50" t="s">
        <v>25</v>
      </c>
    </row>
    <row r="51" spans="1:4">
      <c r="A51" t="s">
        <v>36</v>
      </c>
      <c r="B51">
        <v>2025</v>
      </c>
      <c r="C51">
        <v>27709.333999999999</v>
      </c>
      <c r="D51" t="s">
        <v>25</v>
      </c>
    </row>
    <row r="52" spans="1:4">
      <c r="A52" t="s">
        <v>37</v>
      </c>
      <c r="B52">
        <v>2021</v>
      </c>
      <c r="C52">
        <v>10</v>
      </c>
      <c r="D52" t="s">
        <v>25</v>
      </c>
    </row>
    <row r="53" spans="1:4">
      <c r="A53" t="s">
        <v>37</v>
      </c>
      <c r="B53">
        <v>2022</v>
      </c>
      <c r="C53">
        <v>903.08349999999996</v>
      </c>
      <c r="D53" t="s">
        <v>25</v>
      </c>
    </row>
    <row r="54" spans="1:4">
      <c r="A54" t="s">
        <v>37</v>
      </c>
      <c r="B54">
        <v>2023</v>
      </c>
      <c r="C54">
        <v>328.56400000000002</v>
      </c>
      <c r="D54" t="s">
        <v>25</v>
      </c>
    </row>
    <row r="55" spans="1:4">
      <c r="A55" t="s">
        <v>37</v>
      </c>
      <c r="B55">
        <v>2024</v>
      </c>
      <c r="C55">
        <v>2198.5731000000001</v>
      </c>
      <c r="D55" t="s">
        <v>25</v>
      </c>
    </row>
    <row r="56" spans="1:4">
      <c r="A56" t="s">
        <v>37</v>
      </c>
      <c r="B56">
        <v>2025</v>
      </c>
      <c r="C56">
        <v>32553.620999999999</v>
      </c>
      <c r="D56" t="s">
        <v>25</v>
      </c>
    </row>
    <row r="57" spans="1:4">
      <c r="A57" t="s">
        <v>38</v>
      </c>
      <c r="B57">
        <v>2021</v>
      </c>
      <c r="C57">
        <v>1011762.22</v>
      </c>
      <c r="D57" t="s">
        <v>25</v>
      </c>
    </row>
    <row r="58" spans="1:4">
      <c r="A58" t="s">
        <v>38</v>
      </c>
      <c r="B58">
        <v>2022</v>
      </c>
      <c r="C58">
        <v>2548.8000000000002</v>
      </c>
      <c r="D58" t="s">
        <v>25</v>
      </c>
    </row>
    <row r="59" spans="1:4">
      <c r="A59" t="s">
        <v>38</v>
      </c>
      <c r="B59">
        <v>2023</v>
      </c>
      <c r="C59">
        <v>880.85</v>
      </c>
      <c r="D59" t="s">
        <v>25</v>
      </c>
    </row>
    <row r="60" spans="1:4">
      <c r="A60" t="s">
        <v>38</v>
      </c>
      <c r="B60">
        <v>2024</v>
      </c>
      <c r="C60">
        <v>6629.4920000000002</v>
      </c>
      <c r="D60" t="s">
        <v>25</v>
      </c>
    </row>
    <row r="61" spans="1:4">
      <c r="A61" t="s">
        <v>38</v>
      </c>
      <c r="B61">
        <v>2025</v>
      </c>
      <c r="C61">
        <v>15288.2294</v>
      </c>
      <c r="D61" t="s">
        <v>25</v>
      </c>
    </row>
    <row r="62" spans="1:4">
      <c r="A62" t="s">
        <v>39</v>
      </c>
      <c r="B62">
        <v>2021</v>
      </c>
      <c r="C62">
        <v>253.697</v>
      </c>
      <c r="D62" t="s">
        <v>25</v>
      </c>
    </row>
    <row r="63" spans="1:4">
      <c r="A63" t="s">
        <v>39</v>
      </c>
      <c r="B63">
        <v>2022</v>
      </c>
      <c r="C63">
        <v>84162.270699999994</v>
      </c>
      <c r="D63" t="s">
        <v>25</v>
      </c>
    </row>
    <row r="64" spans="1:4">
      <c r="A64" t="s">
        <v>39</v>
      </c>
      <c r="B64">
        <v>2023</v>
      </c>
      <c r="C64">
        <v>9713.7459999999992</v>
      </c>
      <c r="D64" t="s">
        <v>25</v>
      </c>
    </row>
    <row r="65" spans="1:4">
      <c r="A65" t="s">
        <v>39</v>
      </c>
      <c r="B65">
        <v>2024</v>
      </c>
      <c r="C65">
        <v>103127.9054</v>
      </c>
      <c r="D65" t="s">
        <v>25</v>
      </c>
    </row>
    <row r="66" spans="1:4">
      <c r="A66" t="s">
        <v>39</v>
      </c>
      <c r="B66">
        <v>2025</v>
      </c>
      <c r="C66">
        <v>14946.5695</v>
      </c>
      <c r="D66" t="s">
        <v>25</v>
      </c>
    </row>
    <row r="67" spans="1:4">
      <c r="A67" t="s">
        <v>41</v>
      </c>
      <c r="B67">
        <v>2021</v>
      </c>
      <c r="C67">
        <v>22371.09</v>
      </c>
      <c r="D67" t="s">
        <v>25</v>
      </c>
    </row>
    <row r="68" spans="1:4">
      <c r="A68" t="s">
        <v>41</v>
      </c>
      <c r="B68">
        <v>2022</v>
      </c>
      <c r="C68">
        <v>0</v>
      </c>
      <c r="D68" t="s">
        <v>25</v>
      </c>
    </row>
    <row r="69" spans="1:4">
      <c r="A69" t="s">
        <v>41</v>
      </c>
      <c r="B69">
        <v>2023</v>
      </c>
      <c r="C69">
        <v>0</v>
      </c>
      <c r="D69" t="s">
        <v>25</v>
      </c>
    </row>
    <row r="70" spans="1:4">
      <c r="A70" t="s">
        <v>41</v>
      </c>
      <c r="B70">
        <v>2024</v>
      </c>
      <c r="C70">
        <v>61.023000000000003</v>
      </c>
      <c r="D70" t="s">
        <v>25</v>
      </c>
    </row>
    <row r="71" spans="1:4">
      <c r="A71" t="s">
        <v>41</v>
      </c>
      <c r="B71">
        <v>2025</v>
      </c>
      <c r="C71">
        <v>0</v>
      </c>
      <c r="D71" t="s">
        <v>25</v>
      </c>
    </row>
    <row r="72" spans="1:4">
      <c r="A72" t="s">
        <v>70</v>
      </c>
      <c r="B72">
        <v>2021</v>
      </c>
      <c r="C72">
        <v>0</v>
      </c>
      <c r="D72" t="s">
        <v>25</v>
      </c>
    </row>
    <row r="73" spans="1:4">
      <c r="A73" t="s">
        <v>70</v>
      </c>
      <c r="B73">
        <v>2022</v>
      </c>
      <c r="C73">
        <v>0</v>
      </c>
      <c r="D73" t="s">
        <v>25</v>
      </c>
    </row>
    <row r="74" spans="1:4">
      <c r="A74" t="s">
        <v>70</v>
      </c>
      <c r="B74">
        <v>2023</v>
      </c>
      <c r="C74">
        <v>0</v>
      </c>
      <c r="D74" t="s">
        <v>25</v>
      </c>
    </row>
    <row r="75" spans="1:4">
      <c r="A75" t="s">
        <v>70</v>
      </c>
      <c r="B75">
        <v>2024</v>
      </c>
      <c r="C75">
        <v>68.866</v>
      </c>
      <c r="D75" t="s">
        <v>25</v>
      </c>
    </row>
    <row r="76" spans="1:4">
      <c r="A76" t="s">
        <v>70</v>
      </c>
      <c r="B76">
        <v>2025</v>
      </c>
      <c r="C76">
        <v>0</v>
      </c>
      <c r="D76" t="s">
        <v>25</v>
      </c>
    </row>
    <row r="77" spans="1:4">
      <c r="A77" t="s">
        <v>71</v>
      </c>
      <c r="B77">
        <v>2021</v>
      </c>
      <c r="C77">
        <v>0</v>
      </c>
      <c r="D77" t="s">
        <v>25</v>
      </c>
    </row>
    <row r="78" spans="1:4">
      <c r="A78" t="s">
        <v>71</v>
      </c>
      <c r="B78">
        <v>2022</v>
      </c>
      <c r="C78">
        <v>0</v>
      </c>
      <c r="D78" t="s">
        <v>25</v>
      </c>
    </row>
    <row r="79" spans="1:4">
      <c r="A79" t="s">
        <v>71</v>
      </c>
      <c r="B79">
        <v>2023</v>
      </c>
      <c r="C79">
        <v>0</v>
      </c>
      <c r="D79" t="s">
        <v>25</v>
      </c>
    </row>
    <row r="80" spans="1:4">
      <c r="A80" t="s">
        <v>71</v>
      </c>
      <c r="B80">
        <v>2024</v>
      </c>
      <c r="C80">
        <v>0</v>
      </c>
      <c r="D80" t="s">
        <v>25</v>
      </c>
    </row>
    <row r="81" spans="1:4">
      <c r="A81" t="s">
        <v>71</v>
      </c>
      <c r="B81">
        <v>2025</v>
      </c>
      <c r="C81">
        <v>0</v>
      </c>
      <c r="D81" t="s">
        <v>25</v>
      </c>
    </row>
    <row r="82" spans="1:4">
      <c r="A82" t="s">
        <v>27</v>
      </c>
      <c r="B82">
        <v>2025</v>
      </c>
      <c r="C82">
        <v>874.053</v>
      </c>
      <c r="D82" t="s">
        <v>24</v>
      </c>
    </row>
    <row r="83" spans="1:4">
      <c r="A83" t="s">
        <v>27</v>
      </c>
      <c r="B83">
        <v>2024</v>
      </c>
      <c r="C83">
        <v>2072.3546000000001</v>
      </c>
      <c r="D83" t="s">
        <v>24</v>
      </c>
    </row>
    <row r="84" spans="1:4">
      <c r="A84" t="s">
        <v>27</v>
      </c>
      <c r="B84">
        <v>2023</v>
      </c>
      <c r="C84">
        <v>15937.0861</v>
      </c>
      <c r="D84" t="s">
        <v>24</v>
      </c>
    </row>
    <row r="85" spans="1:4">
      <c r="A85" t="s">
        <v>27</v>
      </c>
      <c r="B85">
        <v>2022</v>
      </c>
      <c r="C85">
        <v>35.639699999999998</v>
      </c>
      <c r="D85" t="s">
        <v>24</v>
      </c>
    </row>
    <row r="86" spans="1:4">
      <c r="A86" t="s">
        <v>27</v>
      </c>
      <c r="B86">
        <v>2021</v>
      </c>
      <c r="C86">
        <v>16375.208000000001</v>
      </c>
      <c r="D86" t="s">
        <v>24</v>
      </c>
    </row>
    <row r="87" spans="1:4">
      <c r="A87" t="s">
        <v>28</v>
      </c>
      <c r="B87">
        <v>2025</v>
      </c>
      <c r="C87">
        <v>416.70499999999998</v>
      </c>
      <c r="D87" t="s">
        <v>24</v>
      </c>
    </row>
    <row r="88" spans="1:4">
      <c r="A88" t="s">
        <v>28</v>
      </c>
      <c r="B88">
        <v>2024</v>
      </c>
      <c r="C88">
        <v>2094.91</v>
      </c>
      <c r="D88" t="s">
        <v>24</v>
      </c>
    </row>
    <row r="89" spans="1:4">
      <c r="A89" t="s">
        <v>28</v>
      </c>
      <c r="B89">
        <v>2023</v>
      </c>
      <c r="C89">
        <v>10.7186</v>
      </c>
      <c r="D89" t="s">
        <v>24</v>
      </c>
    </row>
    <row r="90" spans="1:4">
      <c r="A90" t="s">
        <v>28</v>
      </c>
      <c r="B90">
        <v>2022</v>
      </c>
      <c r="C90">
        <v>11547.54</v>
      </c>
      <c r="D90" t="s">
        <v>24</v>
      </c>
    </row>
    <row r="91" spans="1:4">
      <c r="A91" t="s">
        <v>28</v>
      </c>
      <c r="B91">
        <v>2021</v>
      </c>
      <c r="C91">
        <v>0</v>
      </c>
      <c r="D91" t="s">
        <v>24</v>
      </c>
    </row>
    <row r="92" spans="1:4">
      <c r="A92" t="s">
        <v>29</v>
      </c>
      <c r="B92">
        <v>2025</v>
      </c>
      <c r="C92">
        <v>497.97230000000002</v>
      </c>
      <c r="D92" t="s">
        <v>24</v>
      </c>
    </row>
    <row r="93" spans="1:4">
      <c r="A93" t="s">
        <v>29</v>
      </c>
      <c r="B93">
        <v>2024</v>
      </c>
      <c r="C93">
        <v>3984.3636999999999</v>
      </c>
      <c r="D93" t="s">
        <v>24</v>
      </c>
    </row>
    <row r="94" spans="1:4">
      <c r="A94" t="s">
        <v>29</v>
      </c>
      <c r="B94">
        <v>2023</v>
      </c>
      <c r="C94">
        <v>430.9203</v>
      </c>
      <c r="D94" t="s">
        <v>24</v>
      </c>
    </row>
    <row r="95" spans="1:4">
      <c r="A95" t="s">
        <v>29</v>
      </c>
      <c r="B95">
        <v>2022</v>
      </c>
      <c r="C95">
        <v>2033.2881</v>
      </c>
      <c r="D95" t="s">
        <v>24</v>
      </c>
    </row>
    <row r="96" spans="1:4">
      <c r="A96" t="s">
        <v>29</v>
      </c>
      <c r="B96">
        <v>2021</v>
      </c>
      <c r="C96">
        <v>1456.606</v>
      </c>
      <c r="D96" t="s">
        <v>24</v>
      </c>
    </row>
    <row r="97" spans="1:4">
      <c r="A97" t="s">
        <v>30</v>
      </c>
      <c r="B97">
        <v>2025</v>
      </c>
      <c r="C97">
        <v>44.3125</v>
      </c>
      <c r="D97" t="s">
        <v>24</v>
      </c>
    </row>
    <row r="98" spans="1:4">
      <c r="A98" t="s">
        <v>30</v>
      </c>
      <c r="B98">
        <v>2024</v>
      </c>
      <c r="C98">
        <v>82.185000000000002</v>
      </c>
      <c r="D98" t="s">
        <v>24</v>
      </c>
    </row>
    <row r="99" spans="1:4">
      <c r="A99" t="s">
        <v>30</v>
      </c>
      <c r="B99">
        <v>2023</v>
      </c>
      <c r="C99">
        <v>57.7</v>
      </c>
      <c r="D99" t="s">
        <v>24</v>
      </c>
    </row>
    <row r="100" spans="1:4">
      <c r="A100" t="s">
        <v>30</v>
      </c>
      <c r="B100">
        <v>2022</v>
      </c>
      <c r="C100">
        <v>45.685600000000001</v>
      </c>
      <c r="D100" t="s">
        <v>24</v>
      </c>
    </row>
    <row r="101" spans="1:4">
      <c r="A101" t="s">
        <v>30</v>
      </c>
      <c r="B101">
        <v>2021</v>
      </c>
      <c r="C101">
        <v>5768.58</v>
      </c>
      <c r="D101" t="s">
        <v>24</v>
      </c>
    </row>
    <row r="102" spans="1:4">
      <c r="A102" t="s">
        <v>31</v>
      </c>
      <c r="B102">
        <v>2025</v>
      </c>
      <c r="C102">
        <v>40.091700000000003</v>
      </c>
      <c r="D102" t="s">
        <v>24</v>
      </c>
    </row>
    <row r="103" spans="1:4">
      <c r="A103" t="s">
        <v>31</v>
      </c>
      <c r="B103">
        <v>2024</v>
      </c>
      <c r="C103">
        <v>76.580699999999993</v>
      </c>
      <c r="D103" t="s">
        <v>24</v>
      </c>
    </row>
    <row r="104" spans="1:4">
      <c r="A104" t="s">
        <v>31</v>
      </c>
      <c r="B104">
        <v>2023</v>
      </c>
      <c r="C104">
        <v>12.45</v>
      </c>
      <c r="D104" t="s">
        <v>24</v>
      </c>
    </row>
    <row r="105" spans="1:4">
      <c r="A105" t="s">
        <v>31</v>
      </c>
      <c r="B105">
        <v>2022</v>
      </c>
      <c r="C105">
        <v>0</v>
      </c>
      <c r="D105" t="s">
        <v>24</v>
      </c>
    </row>
    <row r="106" spans="1:4">
      <c r="A106" t="s">
        <v>31</v>
      </c>
      <c r="B106">
        <v>2021</v>
      </c>
      <c r="C106">
        <v>18271.478999999999</v>
      </c>
      <c r="D106" t="s">
        <v>24</v>
      </c>
    </row>
    <row r="107" spans="1:4">
      <c r="A107" t="s">
        <v>32</v>
      </c>
      <c r="B107">
        <v>2025</v>
      </c>
      <c r="C107">
        <v>702.16250000000002</v>
      </c>
      <c r="D107" t="s">
        <v>24</v>
      </c>
    </row>
    <row r="108" spans="1:4">
      <c r="A108" t="s">
        <v>32</v>
      </c>
      <c r="B108">
        <v>2024</v>
      </c>
      <c r="C108">
        <v>892.02089999999998</v>
      </c>
      <c r="D108" t="s">
        <v>24</v>
      </c>
    </row>
    <row r="109" spans="1:4">
      <c r="A109" t="s">
        <v>32</v>
      </c>
      <c r="B109">
        <v>2023</v>
      </c>
      <c r="C109">
        <v>1242.4067</v>
      </c>
      <c r="D109" t="s">
        <v>24</v>
      </c>
    </row>
    <row r="110" spans="1:4">
      <c r="A110" t="s">
        <v>32</v>
      </c>
      <c r="B110">
        <v>2022</v>
      </c>
      <c r="C110">
        <v>76.354399999999998</v>
      </c>
      <c r="D110" t="s">
        <v>24</v>
      </c>
    </row>
    <row r="111" spans="1:4">
      <c r="A111" t="s">
        <v>32</v>
      </c>
      <c r="B111">
        <v>2021</v>
      </c>
      <c r="C111">
        <v>78223.944000000003</v>
      </c>
      <c r="D111" t="s">
        <v>24</v>
      </c>
    </row>
    <row r="112" spans="1:4">
      <c r="A112" t="s">
        <v>33</v>
      </c>
      <c r="B112">
        <v>2025</v>
      </c>
      <c r="C112">
        <v>615.42200000000003</v>
      </c>
      <c r="D112" t="s">
        <v>24</v>
      </c>
    </row>
    <row r="113" spans="1:4">
      <c r="A113" t="s">
        <v>33</v>
      </c>
      <c r="B113">
        <v>2024</v>
      </c>
      <c r="C113">
        <v>720.23800000000006</v>
      </c>
      <c r="D113" t="s">
        <v>24</v>
      </c>
    </row>
    <row r="114" spans="1:4">
      <c r="A114" t="s">
        <v>33</v>
      </c>
      <c r="B114">
        <v>2023</v>
      </c>
      <c r="C114">
        <v>119.71</v>
      </c>
      <c r="D114" t="s">
        <v>24</v>
      </c>
    </row>
    <row r="115" spans="1:4">
      <c r="A115" t="s">
        <v>33</v>
      </c>
      <c r="B115">
        <v>2022</v>
      </c>
      <c r="C115">
        <v>52.6267</v>
      </c>
      <c r="D115" t="s">
        <v>24</v>
      </c>
    </row>
    <row r="116" spans="1:4">
      <c r="A116" t="s">
        <v>33</v>
      </c>
      <c r="B116">
        <v>2021</v>
      </c>
      <c r="C116">
        <v>463.5</v>
      </c>
      <c r="D116" t="s">
        <v>24</v>
      </c>
    </row>
    <row r="117" spans="1:4">
      <c r="A117" t="s">
        <v>34</v>
      </c>
      <c r="B117">
        <v>2025</v>
      </c>
      <c r="C117">
        <v>210.72</v>
      </c>
      <c r="D117" t="s">
        <v>24</v>
      </c>
    </row>
    <row r="118" spans="1:4">
      <c r="A118" t="s">
        <v>34</v>
      </c>
      <c r="B118">
        <v>2024</v>
      </c>
      <c r="C118">
        <v>202.52500000000001</v>
      </c>
      <c r="D118" t="s">
        <v>24</v>
      </c>
    </row>
    <row r="119" spans="1:4">
      <c r="A119" t="s">
        <v>34</v>
      </c>
      <c r="B119">
        <v>2023</v>
      </c>
      <c r="C119">
        <v>5.5</v>
      </c>
      <c r="D119" t="s">
        <v>24</v>
      </c>
    </row>
    <row r="120" spans="1:4">
      <c r="A120" t="s">
        <v>34</v>
      </c>
      <c r="B120">
        <v>2022</v>
      </c>
      <c r="C120">
        <v>0</v>
      </c>
      <c r="D120" t="s">
        <v>24</v>
      </c>
    </row>
    <row r="121" spans="1:4">
      <c r="A121" t="s">
        <v>34</v>
      </c>
      <c r="B121">
        <v>2021</v>
      </c>
      <c r="C121">
        <v>0</v>
      </c>
      <c r="D121" t="s">
        <v>24</v>
      </c>
    </row>
    <row r="122" spans="1:4">
      <c r="A122" t="s">
        <v>35</v>
      </c>
      <c r="B122">
        <v>2025</v>
      </c>
      <c r="C122">
        <v>60.563099999999999</v>
      </c>
      <c r="D122" t="s">
        <v>24</v>
      </c>
    </row>
    <row r="123" spans="1:4">
      <c r="A123" t="s">
        <v>35</v>
      </c>
      <c r="B123">
        <v>2024</v>
      </c>
      <c r="C123">
        <v>73.12</v>
      </c>
      <c r="D123" t="s">
        <v>24</v>
      </c>
    </row>
    <row r="124" spans="1:4">
      <c r="A124" t="s">
        <v>35</v>
      </c>
      <c r="B124">
        <v>2023</v>
      </c>
      <c r="C124">
        <v>8.0500000000000007</v>
      </c>
      <c r="D124" t="s">
        <v>24</v>
      </c>
    </row>
    <row r="125" spans="1:4">
      <c r="A125" t="s">
        <v>35</v>
      </c>
      <c r="B125">
        <v>2022</v>
      </c>
      <c r="C125">
        <v>1.91</v>
      </c>
      <c r="D125" t="s">
        <v>24</v>
      </c>
    </row>
    <row r="126" spans="1:4">
      <c r="A126" t="s">
        <v>35</v>
      </c>
      <c r="B126">
        <v>2021</v>
      </c>
      <c r="C126">
        <v>0</v>
      </c>
      <c r="D126" t="s">
        <v>24</v>
      </c>
    </row>
    <row r="127" spans="1:4">
      <c r="A127" t="s">
        <v>36</v>
      </c>
      <c r="B127">
        <v>2025</v>
      </c>
      <c r="C127">
        <v>1253.9502</v>
      </c>
      <c r="D127" t="s">
        <v>24</v>
      </c>
    </row>
    <row r="128" spans="1:4">
      <c r="A128" t="s">
        <v>36</v>
      </c>
      <c r="B128">
        <v>2024</v>
      </c>
      <c r="C128">
        <v>687.74</v>
      </c>
      <c r="D128" t="s">
        <v>24</v>
      </c>
    </row>
    <row r="129" spans="1:4">
      <c r="A129" t="s">
        <v>36</v>
      </c>
      <c r="B129">
        <v>2023</v>
      </c>
      <c r="C129">
        <v>1631.4770000000001</v>
      </c>
      <c r="D129" t="s">
        <v>24</v>
      </c>
    </row>
    <row r="130" spans="1:4">
      <c r="A130" t="s">
        <v>36</v>
      </c>
      <c r="B130">
        <v>2022</v>
      </c>
      <c r="C130">
        <v>151.71520000000001</v>
      </c>
      <c r="D130" t="s">
        <v>24</v>
      </c>
    </row>
    <row r="131" spans="1:4">
      <c r="A131" t="s">
        <v>36</v>
      </c>
      <c r="B131">
        <v>2021</v>
      </c>
      <c r="C131">
        <v>1033.884</v>
      </c>
      <c r="D131" t="s">
        <v>24</v>
      </c>
    </row>
    <row r="132" spans="1:4">
      <c r="A132" t="s">
        <v>37</v>
      </c>
      <c r="B132">
        <v>2025</v>
      </c>
      <c r="C132">
        <v>805.62599999999998</v>
      </c>
      <c r="D132" t="s">
        <v>24</v>
      </c>
    </row>
    <row r="133" spans="1:4">
      <c r="A133" t="s">
        <v>37</v>
      </c>
      <c r="B133">
        <v>2024</v>
      </c>
      <c r="C133">
        <v>192.21600000000001</v>
      </c>
      <c r="D133" t="s">
        <v>24</v>
      </c>
    </row>
    <row r="134" spans="1:4">
      <c r="A134" t="s">
        <v>37</v>
      </c>
      <c r="B134">
        <v>2023</v>
      </c>
      <c r="C134">
        <v>25.015999999999998</v>
      </c>
      <c r="D134" t="s">
        <v>24</v>
      </c>
    </row>
    <row r="135" spans="1:4">
      <c r="A135" t="s">
        <v>37</v>
      </c>
      <c r="B135">
        <v>2022</v>
      </c>
      <c r="C135">
        <v>27.6127</v>
      </c>
      <c r="D135" t="s">
        <v>24</v>
      </c>
    </row>
    <row r="136" spans="1:4">
      <c r="A136" t="s">
        <v>37</v>
      </c>
      <c r="B136">
        <v>2021</v>
      </c>
      <c r="C136">
        <v>0</v>
      </c>
      <c r="D136" t="s">
        <v>24</v>
      </c>
    </row>
    <row r="137" spans="1:4">
      <c r="A137" t="s">
        <v>38</v>
      </c>
      <c r="B137">
        <v>2025</v>
      </c>
      <c r="C137">
        <v>358.75</v>
      </c>
      <c r="D137" t="s">
        <v>24</v>
      </c>
    </row>
    <row r="138" spans="1:4">
      <c r="A138" t="s">
        <v>38</v>
      </c>
      <c r="B138">
        <v>2024</v>
      </c>
      <c r="C138">
        <v>270.88749999999999</v>
      </c>
      <c r="D138" t="s">
        <v>24</v>
      </c>
    </row>
    <row r="139" spans="1:4">
      <c r="A139" t="s">
        <v>38</v>
      </c>
      <c r="B139">
        <v>2023</v>
      </c>
      <c r="C139">
        <v>1789</v>
      </c>
      <c r="D139" t="s">
        <v>24</v>
      </c>
    </row>
    <row r="140" spans="1:4">
      <c r="A140" t="s">
        <v>38</v>
      </c>
      <c r="B140">
        <v>2022</v>
      </c>
      <c r="C140">
        <v>57.287999999999997</v>
      </c>
      <c r="D140" t="s">
        <v>24</v>
      </c>
    </row>
    <row r="141" spans="1:4">
      <c r="A141" t="s">
        <v>38</v>
      </c>
      <c r="B141">
        <v>2021</v>
      </c>
      <c r="C141">
        <v>855018.29299999995</v>
      </c>
      <c r="D141" t="s">
        <v>24</v>
      </c>
    </row>
    <row r="142" spans="1:4">
      <c r="A142" t="s">
        <v>39</v>
      </c>
      <c r="B142">
        <v>2025</v>
      </c>
      <c r="C142">
        <v>430.351</v>
      </c>
      <c r="D142" t="s">
        <v>24</v>
      </c>
    </row>
    <row r="143" spans="1:4">
      <c r="A143" t="s">
        <v>39</v>
      </c>
      <c r="B143">
        <v>2024</v>
      </c>
      <c r="C143">
        <v>5814.2145</v>
      </c>
      <c r="D143" t="s">
        <v>24</v>
      </c>
    </row>
    <row r="144" spans="1:4">
      <c r="A144" t="s">
        <v>39</v>
      </c>
      <c r="B144">
        <v>2023</v>
      </c>
      <c r="C144">
        <v>1056.8499999999999</v>
      </c>
      <c r="D144" t="s">
        <v>24</v>
      </c>
    </row>
    <row r="145" spans="1:4">
      <c r="A145" t="s">
        <v>39</v>
      </c>
      <c r="B145">
        <v>2022</v>
      </c>
      <c r="C145">
        <v>3421.0288999999998</v>
      </c>
      <c r="D145" t="s">
        <v>24</v>
      </c>
    </row>
    <row r="146" spans="1:4">
      <c r="A146" t="s">
        <v>39</v>
      </c>
      <c r="B146">
        <v>2021</v>
      </c>
      <c r="C146">
        <v>42.222999999999999</v>
      </c>
      <c r="D146" t="s">
        <v>24</v>
      </c>
    </row>
    <row r="147" spans="1:4">
      <c r="A147" t="s">
        <v>41</v>
      </c>
      <c r="B147">
        <v>2025</v>
      </c>
      <c r="C147">
        <v>522</v>
      </c>
      <c r="D147" t="s">
        <v>24</v>
      </c>
    </row>
    <row r="148" spans="1:4">
      <c r="A148" t="s">
        <v>41</v>
      </c>
      <c r="B148">
        <v>2024</v>
      </c>
      <c r="C148">
        <v>124.892</v>
      </c>
      <c r="D148" t="s">
        <v>24</v>
      </c>
    </row>
    <row r="149" spans="1:4">
      <c r="A149" t="s">
        <v>41</v>
      </c>
      <c r="B149">
        <v>2023</v>
      </c>
      <c r="C149">
        <v>0</v>
      </c>
      <c r="D149" t="s">
        <v>24</v>
      </c>
    </row>
    <row r="150" spans="1:4">
      <c r="A150" t="s">
        <v>41</v>
      </c>
      <c r="B150">
        <v>2022</v>
      </c>
      <c r="C150">
        <v>1350</v>
      </c>
      <c r="D150" t="s">
        <v>24</v>
      </c>
    </row>
    <row r="151" spans="1:4">
      <c r="A151" t="s">
        <v>41</v>
      </c>
      <c r="B151">
        <v>2021</v>
      </c>
      <c r="C151">
        <v>6120</v>
      </c>
      <c r="D151" t="s">
        <v>24</v>
      </c>
    </row>
    <row r="152" spans="1:4">
      <c r="A152" t="s">
        <v>70</v>
      </c>
      <c r="B152">
        <v>2025</v>
      </c>
      <c r="C152">
        <v>0</v>
      </c>
      <c r="D152" t="s">
        <v>24</v>
      </c>
    </row>
    <row r="153" spans="1:4">
      <c r="A153" t="s">
        <v>70</v>
      </c>
      <c r="B153">
        <v>2024</v>
      </c>
      <c r="C153">
        <v>0</v>
      </c>
      <c r="D153" t="s">
        <v>24</v>
      </c>
    </row>
    <row r="154" spans="1:4">
      <c r="A154" t="s">
        <v>70</v>
      </c>
      <c r="B154">
        <v>2023</v>
      </c>
      <c r="C154">
        <v>0</v>
      </c>
      <c r="D154" t="s">
        <v>24</v>
      </c>
    </row>
    <row r="155" spans="1:4">
      <c r="A155" t="s">
        <v>70</v>
      </c>
      <c r="B155">
        <v>2022</v>
      </c>
      <c r="C155">
        <v>0</v>
      </c>
      <c r="D155" t="s">
        <v>24</v>
      </c>
    </row>
    <row r="156" spans="1:4">
      <c r="A156" t="s">
        <v>70</v>
      </c>
      <c r="B156">
        <v>2021</v>
      </c>
      <c r="C156">
        <v>0</v>
      </c>
      <c r="D156" t="s">
        <v>24</v>
      </c>
    </row>
    <row r="157" spans="1:4">
      <c r="A157" t="s">
        <v>71</v>
      </c>
      <c r="B157">
        <v>2025</v>
      </c>
      <c r="C157">
        <v>0</v>
      </c>
      <c r="D157" t="s">
        <v>24</v>
      </c>
    </row>
    <row r="158" spans="1:4">
      <c r="A158" t="s">
        <v>71</v>
      </c>
      <c r="B158">
        <v>2024</v>
      </c>
      <c r="C158">
        <v>10</v>
      </c>
      <c r="D158" t="s">
        <v>24</v>
      </c>
    </row>
    <row r="159" spans="1:4">
      <c r="A159" t="s">
        <v>71</v>
      </c>
      <c r="B159">
        <v>2023</v>
      </c>
      <c r="C159">
        <v>0</v>
      </c>
      <c r="D159" t="s">
        <v>24</v>
      </c>
    </row>
    <row r="160" spans="1:4">
      <c r="A160" t="s">
        <v>71</v>
      </c>
      <c r="B160">
        <v>2022</v>
      </c>
      <c r="C160">
        <v>0</v>
      </c>
      <c r="D160" t="s">
        <v>24</v>
      </c>
    </row>
    <row r="161" spans="1:4">
      <c r="A161" t="s">
        <v>71</v>
      </c>
      <c r="B161">
        <v>2021</v>
      </c>
      <c r="C161">
        <v>0</v>
      </c>
      <c r="D161" t="s">
        <v>24</v>
      </c>
    </row>
    <row r="162" spans="1:4">
      <c r="A162" t="s">
        <v>27</v>
      </c>
      <c r="B162">
        <v>2025</v>
      </c>
      <c r="C162">
        <v>2143.3890000000001</v>
      </c>
      <c r="D162" t="s">
        <v>22</v>
      </c>
    </row>
    <row r="163" spans="1:4">
      <c r="A163" t="s">
        <v>27</v>
      </c>
      <c r="B163">
        <v>2024</v>
      </c>
      <c r="C163">
        <v>3433.8544000000002</v>
      </c>
      <c r="D163" t="s">
        <v>22</v>
      </c>
    </row>
    <row r="164" spans="1:4">
      <c r="A164" t="s">
        <v>27</v>
      </c>
      <c r="B164">
        <v>2023</v>
      </c>
      <c r="C164">
        <v>29774.7611</v>
      </c>
      <c r="D164" t="s">
        <v>22</v>
      </c>
    </row>
    <row r="165" spans="1:4">
      <c r="A165" t="s">
        <v>27</v>
      </c>
      <c r="B165">
        <v>2022</v>
      </c>
      <c r="C165">
        <v>46.591000000000001</v>
      </c>
      <c r="D165" t="s">
        <v>22</v>
      </c>
    </row>
    <row r="166" spans="1:4">
      <c r="A166" t="s">
        <v>27</v>
      </c>
      <c r="B166">
        <v>2021</v>
      </c>
      <c r="C166">
        <v>13814.442999999999</v>
      </c>
      <c r="D166" t="s">
        <v>22</v>
      </c>
    </row>
    <row r="167" spans="1:4">
      <c r="A167" t="s">
        <v>28</v>
      </c>
      <c r="B167">
        <v>2025</v>
      </c>
      <c r="C167">
        <v>1321.5250000000001</v>
      </c>
      <c r="D167" t="s">
        <v>22</v>
      </c>
    </row>
    <row r="168" spans="1:4">
      <c r="A168" t="s">
        <v>28</v>
      </c>
      <c r="B168">
        <v>2024</v>
      </c>
      <c r="C168">
        <v>4291.2030000000004</v>
      </c>
      <c r="D168" t="s">
        <v>22</v>
      </c>
    </row>
    <row r="169" spans="1:4">
      <c r="A169" t="s">
        <v>28</v>
      </c>
      <c r="B169">
        <v>2023</v>
      </c>
      <c r="C169">
        <v>0</v>
      </c>
      <c r="D169" t="s">
        <v>22</v>
      </c>
    </row>
    <row r="170" spans="1:4">
      <c r="A170" t="s">
        <v>28</v>
      </c>
      <c r="B170">
        <v>2022</v>
      </c>
      <c r="C170">
        <v>2777.1750000000002</v>
      </c>
      <c r="D170" t="s">
        <v>22</v>
      </c>
    </row>
    <row r="171" spans="1:4">
      <c r="A171" t="s">
        <v>28</v>
      </c>
      <c r="B171">
        <v>2021</v>
      </c>
      <c r="C171">
        <v>0</v>
      </c>
      <c r="D171" t="s">
        <v>22</v>
      </c>
    </row>
    <row r="172" spans="1:4">
      <c r="A172" t="s">
        <v>29</v>
      </c>
      <c r="B172">
        <v>2025</v>
      </c>
      <c r="C172">
        <v>898.76499999999999</v>
      </c>
      <c r="D172" t="s">
        <v>22</v>
      </c>
    </row>
    <row r="173" spans="1:4">
      <c r="A173" t="s">
        <v>29</v>
      </c>
      <c r="B173">
        <v>2024</v>
      </c>
      <c r="C173">
        <v>27065.912</v>
      </c>
      <c r="D173" t="s">
        <v>22</v>
      </c>
    </row>
    <row r="174" spans="1:4">
      <c r="A174" t="s">
        <v>29</v>
      </c>
      <c r="B174">
        <v>2023</v>
      </c>
      <c r="C174">
        <v>19809.580999999998</v>
      </c>
      <c r="D174" t="s">
        <v>22</v>
      </c>
    </row>
    <row r="175" spans="1:4">
      <c r="A175" t="s">
        <v>29</v>
      </c>
      <c r="B175">
        <v>2022</v>
      </c>
      <c r="C175">
        <v>18323.554</v>
      </c>
      <c r="D175" t="s">
        <v>22</v>
      </c>
    </row>
    <row r="176" spans="1:4">
      <c r="A176" t="s">
        <v>29</v>
      </c>
      <c r="B176">
        <v>2021</v>
      </c>
      <c r="C176">
        <v>4535.93</v>
      </c>
      <c r="D176" t="s">
        <v>22</v>
      </c>
    </row>
    <row r="177" spans="1:4">
      <c r="A177" t="s">
        <v>30</v>
      </c>
      <c r="B177">
        <v>2025</v>
      </c>
      <c r="C177">
        <v>21.8</v>
      </c>
      <c r="D177" t="s">
        <v>22</v>
      </c>
    </row>
    <row r="178" spans="1:4">
      <c r="A178" t="s">
        <v>30</v>
      </c>
      <c r="B178">
        <v>2024</v>
      </c>
      <c r="C178">
        <v>62.75</v>
      </c>
      <c r="D178" t="s">
        <v>22</v>
      </c>
    </row>
    <row r="179" spans="1:4">
      <c r="A179" t="s">
        <v>30</v>
      </c>
      <c r="B179">
        <v>2023</v>
      </c>
      <c r="C179">
        <v>0</v>
      </c>
      <c r="D179" t="s">
        <v>22</v>
      </c>
    </row>
    <row r="180" spans="1:4">
      <c r="A180" t="s">
        <v>30</v>
      </c>
      <c r="B180">
        <v>2022</v>
      </c>
      <c r="C180">
        <v>64.88</v>
      </c>
      <c r="D180" t="s">
        <v>22</v>
      </c>
    </row>
    <row r="181" spans="1:4">
      <c r="A181" t="s">
        <v>30</v>
      </c>
      <c r="B181">
        <v>2021</v>
      </c>
      <c r="C181">
        <v>9755.7060000000001</v>
      </c>
      <c r="D181" t="s">
        <v>22</v>
      </c>
    </row>
    <row r="182" spans="1:4">
      <c r="A182" t="s">
        <v>31</v>
      </c>
      <c r="B182">
        <v>2025</v>
      </c>
      <c r="C182">
        <v>30.443999999999999</v>
      </c>
      <c r="D182" t="s">
        <v>22</v>
      </c>
    </row>
    <row r="183" spans="1:4">
      <c r="A183" t="s">
        <v>31</v>
      </c>
      <c r="B183">
        <v>2024</v>
      </c>
      <c r="C183">
        <v>62</v>
      </c>
      <c r="D183" t="s">
        <v>22</v>
      </c>
    </row>
    <row r="184" spans="1:4">
      <c r="A184" t="s">
        <v>31</v>
      </c>
      <c r="B184">
        <v>2023</v>
      </c>
      <c r="C184">
        <v>0</v>
      </c>
      <c r="D184" t="s">
        <v>22</v>
      </c>
    </row>
    <row r="185" spans="1:4">
      <c r="A185" t="s">
        <v>31</v>
      </c>
      <c r="B185">
        <v>2022</v>
      </c>
      <c r="C185">
        <v>56.5</v>
      </c>
      <c r="D185" t="s">
        <v>22</v>
      </c>
    </row>
    <row r="186" spans="1:4">
      <c r="A186" t="s">
        <v>31</v>
      </c>
      <c r="B186">
        <v>2021</v>
      </c>
      <c r="C186">
        <v>12076.861999999999</v>
      </c>
      <c r="D186" t="s">
        <v>22</v>
      </c>
    </row>
    <row r="187" spans="1:4">
      <c r="A187" t="s">
        <v>32</v>
      </c>
      <c r="B187">
        <v>2025</v>
      </c>
      <c r="C187">
        <v>1307.1310000000001</v>
      </c>
      <c r="D187" t="s">
        <v>22</v>
      </c>
    </row>
    <row r="188" spans="1:4">
      <c r="A188" t="s">
        <v>32</v>
      </c>
      <c r="B188">
        <v>2024</v>
      </c>
      <c r="C188">
        <v>392.77600000000001</v>
      </c>
      <c r="D188" t="s">
        <v>22</v>
      </c>
    </row>
    <row r="189" spans="1:4">
      <c r="A189" t="s">
        <v>32</v>
      </c>
      <c r="B189">
        <v>2023</v>
      </c>
      <c r="C189">
        <v>98.343000000000004</v>
      </c>
      <c r="D189" t="s">
        <v>22</v>
      </c>
    </row>
    <row r="190" spans="1:4">
      <c r="A190" t="s">
        <v>32</v>
      </c>
      <c r="B190">
        <v>2022</v>
      </c>
      <c r="C190">
        <v>265.36399999999998</v>
      </c>
      <c r="D190" t="s">
        <v>22</v>
      </c>
    </row>
    <row r="191" spans="1:4">
      <c r="A191" t="s">
        <v>32</v>
      </c>
      <c r="B191">
        <v>2021</v>
      </c>
      <c r="C191">
        <v>83843.770999999993</v>
      </c>
      <c r="D191" t="s">
        <v>22</v>
      </c>
    </row>
    <row r="192" spans="1:4">
      <c r="A192" t="s">
        <v>35</v>
      </c>
      <c r="B192">
        <v>2025</v>
      </c>
      <c r="C192">
        <v>10.41</v>
      </c>
      <c r="D192" t="s">
        <v>22</v>
      </c>
    </row>
    <row r="193" spans="1:4">
      <c r="A193" t="s">
        <v>35</v>
      </c>
      <c r="B193">
        <v>2024</v>
      </c>
      <c r="C193">
        <v>34.090000000000003</v>
      </c>
      <c r="D193" t="s">
        <v>22</v>
      </c>
    </row>
    <row r="194" spans="1:4">
      <c r="A194" t="s">
        <v>35</v>
      </c>
      <c r="B194">
        <v>2023</v>
      </c>
      <c r="C194">
        <v>0</v>
      </c>
      <c r="D194" t="s">
        <v>22</v>
      </c>
    </row>
    <row r="195" spans="1:4">
      <c r="A195" t="s">
        <v>35</v>
      </c>
      <c r="B195">
        <v>2022</v>
      </c>
      <c r="C195">
        <v>25.968</v>
      </c>
      <c r="D195" t="s">
        <v>22</v>
      </c>
    </row>
    <row r="196" spans="1:4">
      <c r="A196" t="s">
        <v>35</v>
      </c>
      <c r="B196">
        <v>2021</v>
      </c>
      <c r="C196">
        <v>0</v>
      </c>
      <c r="D196" t="s">
        <v>22</v>
      </c>
    </row>
    <row r="197" spans="1:4">
      <c r="A197" t="s">
        <v>33</v>
      </c>
      <c r="B197">
        <v>2025</v>
      </c>
      <c r="C197">
        <v>843.79</v>
      </c>
      <c r="D197" t="s">
        <v>22</v>
      </c>
    </row>
    <row r="198" spans="1:4">
      <c r="A198" t="s">
        <v>33</v>
      </c>
      <c r="B198">
        <v>2024</v>
      </c>
      <c r="C198">
        <v>636.62</v>
      </c>
      <c r="D198" t="s">
        <v>22</v>
      </c>
    </row>
    <row r="199" spans="1:4">
      <c r="A199" t="s">
        <v>33</v>
      </c>
      <c r="B199">
        <v>2023</v>
      </c>
      <c r="C199">
        <v>101.51</v>
      </c>
      <c r="D199" t="s">
        <v>22</v>
      </c>
    </row>
    <row r="200" spans="1:4">
      <c r="A200" t="s">
        <v>33</v>
      </c>
      <c r="B200">
        <v>2022</v>
      </c>
      <c r="C200">
        <v>246.11500000000001</v>
      </c>
      <c r="D200" t="s">
        <v>22</v>
      </c>
    </row>
    <row r="201" spans="1:4">
      <c r="A201" t="s">
        <v>33</v>
      </c>
      <c r="B201">
        <v>2021</v>
      </c>
      <c r="C201">
        <v>250</v>
      </c>
      <c r="D201" t="s">
        <v>22</v>
      </c>
    </row>
    <row r="202" spans="1:4">
      <c r="A202" t="s">
        <v>34</v>
      </c>
      <c r="B202">
        <v>2025</v>
      </c>
      <c r="C202">
        <v>366.06</v>
      </c>
      <c r="D202" t="s">
        <v>22</v>
      </c>
    </row>
    <row r="203" spans="1:4">
      <c r="A203" t="s">
        <v>34</v>
      </c>
      <c r="B203">
        <v>2024</v>
      </c>
      <c r="C203">
        <v>247.85499999999999</v>
      </c>
      <c r="D203" t="s">
        <v>22</v>
      </c>
    </row>
    <row r="204" spans="1:4">
      <c r="A204" t="s">
        <v>34</v>
      </c>
      <c r="B204">
        <v>2023</v>
      </c>
      <c r="C204">
        <v>0</v>
      </c>
      <c r="D204" t="s">
        <v>22</v>
      </c>
    </row>
    <row r="205" spans="1:4">
      <c r="A205" t="s">
        <v>34</v>
      </c>
      <c r="B205">
        <v>2022</v>
      </c>
      <c r="C205">
        <v>0</v>
      </c>
      <c r="D205" t="s">
        <v>22</v>
      </c>
    </row>
    <row r="206" spans="1:4">
      <c r="A206" t="s">
        <v>34</v>
      </c>
      <c r="B206">
        <v>2021</v>
      </c>
      <c r="C206">
        <v>0</v>
      </c>
      <c r="D206" t="s">
        <v>22</v>
      </c>
    </row>
    <row r="207" spans="1:4">
      <c r="A207" t="s">
        <v>38</v>
      </c>
      <c r="B207">
        <v>2025</v>
      </c>
      <c r="C207">
        <v>1048.9837</v>
      </c>
      <c r="D207" t="s">
        <v>22</v>
      </c>
    </row>
    <row r="208" spans="1:4">
      <c r="A208" t="s">
        <v>38</v>
      </c>
      <c r="B208">
        <v>2024</v>
      </c>
      <c r="C208">
        <v>0</v>
      </c>
      <c r="D208" t="s">
        <v>22</v>
      </c>
    </row>
    <row r="209" spans="1:4">
      <c r="A209" t="s">
        <v>38</v>
      </c>
      <c r="B209">
        <v>2023</v>
      </c>
      <c r="C209">
        <v>0</v>
      </c>
      <c r="D209" t="s">
        <v>22</v>
      </c>
    </row>
    <row r="210" spans="1:4">
      <c r="A210" t="s">
        <v>38</v>
      </c>
      <c r="B210">
        <v>2022</v>
      </c>
      <c r="C210">
        <v>518.60299999999995</v>
      </c>
      <c r="D210" t="s">
        <v>22</v>
      </c>
    </row>
    <row r="211" spans="1:4">
      <c r="A211" t="s">
        <v>38</v>
      </c>
      <c r="B211">
        <v>2021</v>
      </c>
      <c r="C211">
        <v>396389.03200000001</v>
      </c>
      <c r="D211" t="s">
        <v>22</v>
      </c>
    </row>
    <row r="212" spans="1:4">
      <c r="A212" t="s">
        <v>39</v>
      </c>
      <c r="B212">
        <v>2025</v>
      </c>
      <c r="C212">
        <v>858.13</v>
      </c>
      <c r="D212" t="s">
        <v>22</v>
      </c>
    </row>
    <row r="213" spans="1:4">
      <c r="A213" t="s">
        <v>39</v>
      </c>
      <c r="B213">
        <v>2024</v>
      </c>
      <c r="C213">
        <v>16426.932000000001</v>
      </c>
      <c r="D213" t="s">
        <v>22</v>
      </c>
    </row>
    <row r="214" spans="1:4">
      <c r="A214" t="s">
        <v>39</v>
      </c>
      <c r="B214">
        <v>2023</v>
      </c>
      <c r="C214">
        <v>2914.3116</v>
      </c>
      <c r="D214" t="s">
        <v>22</v>
      </c>
    </row>
    <row r="215" spans="1:4">
      <c r="A215" t="s">
        <v>39</v>
      </c>
      <c r="B215">
        <v>2022</v>
      </c>
      <c r="C215">
        <v>25253.923999999999</v>
      </c>
      <c r="D215" t="s">
        <v>22</v>
      </c>
    </row>
    <row r="216" spans="1:4">
      <c r="A216" t="s">
        <v>39</v>
      </c>
      <c r="B216">
        <v>2021</v>
      </c>
      <c r="C216">
        <v>141.19999999999999</v>
      </c>
      <c r="D216" t="s">
        <v>22</v>
      </c>
    </row>
    <row r="217" spans="1:4">
      <c r="A217" t="s">
        <v>36</v>
      </c>
      <c r="B217">
        <v>2025</v>
      </c>
      <c r="C217">
        <v>1822.8158000000001</v>
      </c>
      <c r="D217" t="s">
        <v>22</v>
      </c>
    </row>
    <row r="218" spans="1:4">
      <c r="A218" t="s">
        <v>36</v>
      </c>
      <c r="B218">
        <v>2024</v>
      </c>
      <c r="C218">
        <v>1237.45</v>
      </c>
      <c r="D218" t="s">
        <v>22</v>
      </c>
    </row>
    <row r="219" spans="1:4">
      <c r="A219" t="s">
        <v>36</v>
      </c>
      <c r="B219">
        <v>2023</v>
      </c>
      <c r="C219">
        <v>480.58330000000001</v>
      </c>
      <c r="D219" t="s">
        <v>22</v>
      </c>
    </row>
    <row r="220" spans="1:4">
      <c r="A220" t="s">
        <v>36</v>
      </c>
      <c r="B220">
        <v>2022</v>
      </c>
      <c r="C220">
        <v>453.21199999999999</v>
      </c>
      <c r="D220" t="s">
        <v>22</v>
      </c>
    </row>
    <row r="221" spans="1:4">
      <c r="A221" t="s">
        <v>36</v>
      </c>
      <c r="B221">
        <v>2021</v>
      </c>
      <c r="C221">
        <v>1147</v>
      </c>
      <c r="D221" t="s">
        <v>22</v>
      </c>
    </row>
    <row r="222" spans="1:4">
      <c r="A222" t="s">
        <v>37</v>
      </c>
      <c r="B222">
        <v>2025</v>
      </c>
      <c r="C222">
        <v>2685.9409999999998</v>
      </c>
      <c r="D222" t="s">
        <v>22</v>
      </c>
    </row>
    <row r="223" spans="1:4">
      <c r="A223" t="s">
        <v>37</v>
      </c>
      <c r="B223">
        <v>2024</v>
      </c>
      <c r="C223">
        <v>168</v>
      </c>
      <c r="D223" t="s">
        <v>22</v>
      </c>
    </row>
    <row r="224" spans="1:4">
      <c r="A224" t="s">
        <v>37</v>
      </c>
      <c r="B224">
        <v>2023</v>
      </c>
      <c r="C224">
        <v>18.044</v>
      </c>
      <c r="D224" t="s">
        <v>22</v>
      </c>
    </row>
    <row r="225" spans="1:4">
      <c r="A225" t="s">
        <v>37</v>
      </c>
      <c r="B225">
        <v>2022</v>
      </c>
      <c r="C225">
        <v>251.12799999999999</v>
      </c>
      <c r="D225" t="s">
        <v>22</v>
      </c>
    </row>
    <row r="226" spans="1:4">
      <c r="A226" t="s">
        <v>37</v>
      </c>
      <c r="B226">
        <v>2021</v>
      </c>
      <c r="C226">
        <v>0</v>
      </c>
      <c r="D226" t="s">
        <v>22</v>
      </c>
    </row>
    <row r="227" spans="1:4">
      <c r="A227" t="s">
        <v>41</v>
      </c>
      <c r="B227">
        <v>2025</v>
      </c>
      <c r="C227">
        <v>89.5</v>
      </c>
      <c r="D227" t="s">
        <v>22</v>
      </c>
    </row>
    <row r="228" spans="1:4">
      <c r="A228" t="s">
        <v>41</v>
      </c>
      <c r="B228">
        <v>2024</v>
      </c>
      <c r="C228">
        <v>0</v>
      </c>
      <c r="D228" t="s">
        <v>22</v>
      </c>
    </row>
    <row r="229" spans="1:4">
      <c r="A229" t="s">
        <v>41</v>
      </c>
      <c r="B229">
        <v>2023</v>
      </c>
      <c r="C229">
        <v>0</v>
      </c>
      <c r="D229" t="s">
        <v>22</v>
      </c>
    </row>
    <row r="230" spans="1:4">
      <c r="A230" t="s">
        <v>41</v>
      </c>
      <c r="B230">
        <v>2022</v>
      </c>
      <c r="C230">
        <v>2019.3</v>
      </c>
      <c r="D230" t="s">
        <v>22</v>
      </c>
    </row>
    <row r="231" spans="1:4">
      <c r="A231" t="s">
        <v>41</v>
      </c>
      <c r="B231">
        <v>2021</v>
      </c>
      <c r="C231">
        <v>3810</v>
      </c>
      <c r="D231" t="s">
        <v>22</v>
      </c>
    </row>
    <row r="232" spans="1:4">
      <c r="A232" t="s">
        <v>71</v>
      </c>
      <c r="B232">
        <v>2025</v>
      </c>
      <c r="C232">
        <v>0</v>
      </c>
      <c r="D232" t="s">
        <v>22</v>
      </c>
    </row>
    <row r="233" spans="1:4">
      <c r="A233" t="s">
        <v>71</v>
      </c>
      <c r="B233">
        <v>2024</v>
      </c>
      <c r="C233">
        <v>0</v>
      </c>
      <c r="D233" t="s">
        <v>22</v>
      </c>
    </row>
    <row r="234" spans="1:4">
      <c r="A234" t="s">
        <v>71</v>
      </c>
      <c r="B234">
        <v>2023</v>
      </c>
      <c r="C234">
        <v>0</v>
      </c>
      <c r="D234" t="s">
        <v>22</v>
      </c>
    </row>
    <row r="235" spans="1:4">
      <c r="A235" t="s">
        <v>71</v>
      </c>
      <c r="B235">
        <v>2022</v>
      </c>
      <c r="C235">
        <v>0</v>
      </c>
      <c r="D235" t="s">
        <v>22</v>
      </c>
    </row>
    <row r="236" spans="1:4">
      <c r="A236" t="s">
        <v>71</v>
      </c>
      <c r="B236">
        <v>2021</v>
      </c>
      <c r="C236">
        <v>0</v>
      </c>
      <c r="D236" t="s">
        <v>22</v>
      </c>
    </row>
    <row r="237" spans="1:4">
      <c r="A237" t="s">
        <v>70</v>
      </c>
      <c r="B237">
        <v>2025</v>
      </c>
      <c r="C237">
        <v>0</v>
      </c>
      <c r="D237" t="s">
        <v>22</v>
      </c>
    </row>
    <row r="238" spans="1:4">
      <c r="A238" t="s">
        <v>70</v>
      </c>
      <c r="B238">
        <v>2024</v>
      </c>
      <c r="C238">
        <v>0</v>
      </c>
      <c r="D238" t="s">
        <v>22</v>
      </c>
    </row>
    <row r="239" spans="1:4">
      <c r="A239" t="s">
        <v>70</v>
      </c>
      <c r="B239">
        <v>2023</v>
      </c>
      <c r="C239">
        <v>0</v>
      </c>
      <c r="D239" t="s">
        <v>22</v>
      </c>
    </row>
    <row r="240" spans="1:4">
      <c r="A240" t="s">
        <v>70</v>
      </c>
      <c r="B240">
        <v>2022</v>
      </c>
      <c r="C240">
        <v>0</v>
      </c>
      <c r="D240" t="s">
        <v>22</v>
      </c>
    </row>
    <row r="241" spans="1:4">
      <c r="A241" t="s">
        <v>70</v>
      </c>
      <c r="B241">
        <v>2021</v>
      </c>
      <c r="C241">
        <v>0</v>
      </c>
      <c r="D241" t="s">
        <v>22</v>
      </c>
    </row>
    <row r="242" spans="1:4">
      <c r="A242" t="s">
        <v>27</v>
      </c>
      <c r="B242">
        <v>2021</v>
      </c>
      <c r="C242">
        <v>0</v>
      </c>
      <c r="D242" t="s">
        <v>15</v>
      </c>
    </row>
    <row r="243" spans="1:4">
      <c r="A243" t="s">
        <v>27</v>
      </c>
      <c r="B243">
        <v>2022</v>
      </c>
      <c r="C243">
        <v>0</v>
      </c>
      <c r="D243" t="s">
        <v>15</v>
      </c>
    </row>
    <row r="244" spans="1:4">
      <c r="A244" t="s">
        <v>27</v>
      </c>
      <c r="B244">
        <v>2023</v>
      </c>
      <c r="C244">
        <v>10259.6024</v>
      </c>
      <c r="D244" t="s">
        <v>15</v>
      </c>
    </row>
    <row r="245" spans="1:4">
      <c r="A245" t="s">
        <v>27</v>
      </c>
      <c r="B245">
        <v>2024</v>
      </c>
      <c r="C245">
        <v>0</v>
      </c>
      <c r="D245" t="s">
        <v>15</v>
      </c>
    </row>
    <row r="246" spans="1:4">
      <c r="A246" t="s">
        <v>27</v>
      </c>
      <c r="B246">
        <v>2025</v>
      </c>
      <c r="C246">
        <v>0</v>
      </c>
      <c r="D246" t="s">
        <v>15</v>
      </c>
    </row>
    <row r="247" spans="1:4">
      <c r="A247" t="s">
        <v>28</v>
      </c>
      <c r="B247">
        <v>2021</v>
      </c>
      <c r="C247">
        <v>0</v>
      </c>
      <c r="D247" t="s">
        <v>15</v>
      </c>
    </row>
    <row r="248" spans="1:4">
      <c r="A248" t="s">
        <v>28</v>
      </c>
      <c r="B248">
        <v>2022</v>
      </c>
      <c r="C248">
        <v>0</v>
      </c>
      <c r="D248" t="s">
        <v>15</v>
      </c>
    </row>
    <row r="249" spans="1:4">
      <c r="A249" t="s">
        <v>28</v>
      </c>
      <c r="B249">
        <v>2023</v>
      </c>
      <c r="C249">
        <v>0</v>
      </c>
      <c r="D249" t="s">
        <v>15</v>
      </c>
    </row>
    <row r="250" spans="1:4">
      <c r="A250" t="s">
        <v>28</v>
      </c>
      <c r="B250">
        <v>2024</v>
      </c>
      <c r="C250">
        <v>0</v>
      </c>
      <c r="D250" t="s">
        <v>15</v>
      </c>
    </row>
    <row r="251" spans="1:4">
      <c r="A251" t="s">
        <v>28</v>
      </c>
      <c r="B251">
        <v>2025</v>
      </c>
      <c r="C251">
        <v>0</v>
      </c>
      <c r="D251" t="s">
        <v>15</v>
      </c>
    </row>
    <row r="252" spans="1:4">
      <c r="A252" t="s">
        <v>29</v>
      </c>
      <c r="B252">
        <v>2021</v>
      </c>
      <c r="C252">
        <v>0</v>
      </c>
      <c r="D252" t="s">
        <v>15</v>
      </c>
    </row>
    <row r="253" spans="1:4">
      <c r="A253" t="s">
        <v>29</v>
      </c>
      <c r="B253">
        <v>2022</v>
      </c>
      <c r="C253">
        <v>1154.3262</v>
      </c>
      <c r="D253" t="s">
        <v>15</v>
      </c>
    </row>
    <row r="254" spans="1:4">
      <c r="A254" t="s">
        <v>29</v>
      </c>
      <c r="B254">
        <v>2023</v>
      </c>
      <c r="C254">
        <v>0</v>
      </c>
      <c r="D254" t="s">
        <v>15</v>
      </c>
    </row>
    <row r="255" spans="1:4">
      <c r="A255" t="s">
        <v>29</v>
      </c>
      <c r="B255">
        <v>2024</v>
      </c>
      <c r="C255">
        <v>1091.271</v>
      </c>
      <c r="D255" t="s">
        <v>15</v>
      </c>
    </row>
    <row r="256" spans="1:4">
      <c r="A256" t="s">
        <v>29</v>
      </c>
      <c r="B256">
        <v>2025</v>
      </c>
      <c r="C256">
        <v>0</v>
      </c>
      <c r="D256" t="s">
        <v>15</v>
      </c>
    </row>
    <row r="257" spans="1:4">
      <c r="A257" t="s">
        <v>30</v>
      </c>
      <c r="B257">
        <v>2021</v>
      </c>
      <c r="C257">
        <v>0</v>
      </c>
      <c r="D257" t="s">
        <v>15</v>
      </c>
    </row>
    <row r="258" spans="1:4">
      <c r="A258" t="s">
        <v>30</v>
      </c>
      <c r="B258">
        <v>2022</v>
      </c>
      <c r="C258">
        <v>0</v>
      </c>
      <c r="D258" t="s">
        <v>15</v>
      </c>
    </row>
    <row r="259" spans="1:4">
      <c r="A259" t="s">
        <v>30</v>
      </c>
      <c r="B259">
        <v>2023</v>
      </c>
      <c r="C259">
        <v>0</v>
      </c>
      <c r="D259" t="s">
        <v>15</v>
      </c>
    </row>
    <row r="260" spans="1:4">
      <c r="A260" t="s">
        <v>30</v>
      </c>
      <c r="B260">
        <v>2024</v>
      </c>
      <c r="C260">
        <v>0</v>
      </c>
      <c r="D260" t="s">
        <v>15</v>
      </c>
    </row>
    <row r="261" spans="1:4">
      <c r="A261" t="s">
        <v>30</v>
      </c>
      <c r="B261">
        <v>2025</v>
      </c>
      <c r="C261">
        <v>0</v>
      </c>
      <c r="D261" t="s">
        <v>15</v>
      </c>
    </row>
    <row r="262" spans="1:4">
      <c r="A262" t="s">
        <v>31</v>
      </c>
      <c r="B262">
        <v>2021</v>
      </c>
      <c r="C262">
        <v>1231.9418000000001</v>
      </c>
      <c r="D262" t="s">
        <v>15</v>
      </c>
    </row>
    <row r="263" spans="1:4">
      <c r="A263" t="s">
        <v>31</v>
      </c>
      <c r="B263">
        <v>2022</v>
      </c>
      <c r="C263">
        <v>0</v>
      </c>
      <c r="D263" t="s">
        <v>15</v>
      </c>
    </row>
    <row r="264" spans="1:4">
      <c r="A264" t="s">
        <v>31</v>
      </c>
      <c r="B264">
        <v>2023</v>
      </c>
      <c r="C264">
        <v>0</v>
      </c>
      <c r="D264" t="s">
        <v>15</v>
      </c>
    </row>
    <row r="265" spans="1:4">
      <c r="A265" t="s">
        <v>31</v>
      </c>
      <c r="B265">
        <v>2024</v>
      </c>
      <c r="C265">
        <v>0</v>
      </c>
      <c r="D265" t="s">
        <v>15</v>
      </c>
    </row>
    <row r="266" spans="1:4">
      <c r="A266" t="s">
        <v>31</v>
      </c>
      <c r="B266">
        <v>2025</v>
      </c>
      <c r="C266">
        <v>0</v>
      </c>
      <c r="D266" t="s">
        <v>15</v>
      </c>
    </row>
    <row r="267" spans="1:4">
      <c r="A267" t="s">
        <v>32</v>
      </c>
      <c r="B267">
        <v>2021</v>
      </c>
      <c r="C267">
        <v>5592.4903000000004</v>
      </c>
      <c r="D267" t="s">
        <v>15</v>
      </c>
    </row>
    <row r="268" spans="1:4">
      <c r="A268" t="s">
        <v>32</v>
      </c>
      <c r="B268">
        <v>2022</v>
      </c>
      <c r="C268">
        <v>0</v>
      </c>
      <c r="D268" t="s">
        <v>15</v>
      </c>
    </row>
    <row r="269" spans="1:4">
      <c r="A269" t="s">
        <v>32</v>
      </c>
      <c r="B269">
        <v>2023</v>
      </c>
      <c r="C269">
        <v>0</v>
      </c>
      <c r="D269" t="s">
        <v>15</v>
      </c>
    </row>
    <row r="270" spans="1:4">
      <c r="A270" t="s">
        <v>32</v>
      </c>
      <c r="B270">
        <v>2024</v>
      </c>
      <c r="C270">
        <v>0</v>
      </c>
      <c r="D270" t="s">
        <v>15</v>
      </c>
    </row>
    <row r="271" spans="1:4">
      <c r="A271" t="s">
        <v>32</v>
      </c>
      <c r="B271">
        <v>2025</v>
      </c>
      <c r="C271">
        <v>0</v>
      </c>
      <c r="D271" t="s">
        <v>15</v>
      </c>
    </row>
    <row r="272" spans="1:4">
      <c r="A272" t="s">
        <v>35</v>
      </c>
      <c r="B272">
        <v>2021</v>
      </c>
      <c r="C272">
        <v>0</v>
      </c>
      <c r="D272" t="s">
        <v>15</v>
      </c>
    </row>
    <row r="273" spans="1:4">
      <c r="A273" t="s">
        <v>35</v>
      </c>
      <c r="B273">
        <v>2022</v>
      </c>
      <c r="C273">
        <v>0</v>
      </c>
      <c r="D273" t="s">
        <v>15</v>
      </c>
    </row>
    <row r="274" spans="1:4">
      <c r="A274" t="s">
        <v>35</v>
      </c>
      <c r="B274">
        <v>2023</v>
      </c>
      <c r="C274">
        <v>0</v>
      </c>
      <c r="D274" t="s">
        <v>15</v>
      </c>
    </row>
    <row r="275" spans="1:4">
      <c r="A275" t="s">
        <v>35</v>
      </c>
      <c r="B275">
        <v>2024</v>
      </c>
      <c r="C275">
        <v>0</v>
      </c>
      <c r="D275" t="s">
        <v>15</v>
      </c>
    </row>
    <row r="276" spans="1:4">
      <c r="A276" t="s">
        <v>35</v>
      </c>
      <c r="B276">
        <v>2025</v>
      </c>
      <c r="C276">
        <v>0</v>
      </c>
      <c r="D276" t="s">
        <v>15</v>
      </c>
    </row>
    <row r="277" spans="1:4">
      <c r="A277" t="s">
        <v>33</v>
      </c>
      <c r="B277">
        <v>2021</v>
      </c>
      <c r="C277">
        <v>0</v>
      </c>
      <c r="D277" t="s">
        <v>15</v>
      </c>
    </row>
    <row r="278" spans="1:4">
      <c r="A278" t="s">
        <v>33</v>
      </c>
      <c r="B278">
        <v>2022</v>
      </c>
      <c r="C278">
        <v>105.626</v>
      </c>
      <c r="D278" t="s">
        <v>15</v>
      </c>
    </row>
    <row r="279" spans="1:4">
      <c r="A279" t="s">
        <v>33</v>
      </c>
      <c r="B279">
        <v>2023</v>
      </c>
      <c r="C279">
        <v>0</v>
      </c>
      <c r="D279" t="s">
        <v>15</v>
      </c>
    </row>
    <row r="280" spans="1:4">
      <c r="A280" t="s">
        <v>33</v>
      </c>
      <c r="B280">
        <v>2024</v>
      </c>
      <c r="C280">
        <v>0</v>
      </c>
      <c r="D280" t="s">
        <v>15</v>
      </c>
    </row>
    <row r="281" spans="1:4">
      <c r="A281" t="s">
        <v>33</v>
      </c>
      <c r="B281">
        <v>2025</v>
      </c>
      <c r="C281">
        <v>0</v>
      </c>
      <c r="D281" t="s">
        <v>15</v>
      </c>
    </row>
    <row r="282" spans="1:4">
      <c r="A282" t="s">
        <v>34</v>
      </c>
      <c r="B282">
        <v>2021</v>
      </c>
      <c r="C282">
        <v>0</v>
      </c>
      <c r="D282" t="s">
        <v>15</v>
      </c>
    </row>
    <row r="283" spans="1:4">
      <c r="A283" t="s">
        <v>34</v>
      </c>
      <c r="B283">
        <v>2022</v>
      </c>
      <c r="C283">
        <v>0</v>
      </c>
      <c r="D283" t="s">
        <v>15</v>
      </c>
    </row>
    <row r="284" spans="1:4">
      <c r="A284" t="s">
        <v>34</v>
      </c>
      <c r="B284">
        <v>2023</v>
      </c>
      <c r="C284">
        <v>0</v>
      </c>
      <c r="D284" t="s">
        <v>15</v>
      </c>
    </row>
    <row r="285" spans="1:4">
      <c r="A285" t="s">
        <v>34</v>
      </c>
      <c r="B285">
        <v>2024</v>
      </c>
      <c r="C285">
        <v>0</v>
      </c>
      <c r="D285" t="s">
        <v>15</v>
      </c>
    </row>
    <row r="286" spans="1:4">
      <c r="A286" t="s">
        <v>34</v>
      </c>
      <c r="B286">
        <v>2025</v>
      </c>
      <c r="C286">
        <v>0</v>
      </c>
      <c r="D286" t="s">
        <v>15</v>
      </c>
    </row>
    <row r="287" spans="1:4">
      <c r="A287" t="s">
        <v>38</v>
      </c>
      <c r="B287">
        <v>2021</v>
      </c>
      <c r="C287">
        <v>884475.25190000003</v>
      </c>
      <c r="D287" t="s">
        <v>15</v>
      </c>
    </row>
    <row r="288" spans="1:4">
      <c r="A288" t="s">
        <v>38</v>
      </c>
      <c r="B288">
        <v>2022</v>
      </c>
      <c r="C288">
        <v>0</v>
      </c>
      <c r="D288" t="s">
        <v>15</v>
      </c>
    </row>
    <row r="289" spans="1:4">
      <c r="A289" t="s">
        <v>38</v>
      </c>
      <c r="B289">
        <v>2023</v>
      </c>
      <c r="C289">
        <v>0</v>
      </c>
      <c r="D289" t="s">
        <v>15</v>
      </c>
    </row>
    <row r="290" spans="1:4">
      <c r="A290" t="s">
        <v>38</v>
      </c>
      <c r="B290">
        <v>2024</v>
      </c>
      <c r="C290">
        <v>0</v>
      </c>
      <c r="D290" t="s">
        <v>15</v>
      </c>
    </row>
    <row r="291" spans="1:4">
      <c r="A291" t="s">
        <v>38</v>
      </c>
      <c r="B291">
        <v>2025</v>
      </c>
      <c r="C291">
        <v>0</v>
      </c>
      <c r="D291" t="s">
        <v>15</v>
      </c>
    </row>
    <row r="292" spans="1:4">
      <c r="A292" t="s">
        <v>39</v>
      </c>
      <c r="B292">
        <v>2021</v>
      </c>
      <c r="C292">
        <v>0</v>
      </c>
      <c r="D292" t="s">
        <v>15</v>
      </c>
    </row>
    <row r="293" spans="1:4">
      <c r="A293" t="s">
        <v>39</v>
      </c>
      <c r="B293">
        <v>2022</v>
      </c>
      <c r="C293">
        <v>7099.0114999999996</v>
      </c>
      <c r="D293" t="s">
        <v>15</v>
      </c>
    </row>
    <row r="294" spans="1:4">
      <c r="A294" t="s">
        <v>39</v>
      </c>
      <c r="B294">
        <v>2023</v>
      </c>
      <c r="C294">
        <v>0</v>
      </c>
      <c r="D294" t="s">
        <v>15</v>
      </c>
    </row>
    <row r="295" spans="1:4">
      <c r="A295" t="s">
        <v>39</v>
      </c>
      <c r="B295">
        <v>2024</v>
      </c>
      <c r="C295">
        <v>71.819999999999993</v>
      </c>
      <c r="D295" t="s">
        <v>15</v>
      </c>
    </row>
    <row r="296" spans="1:4">
      <c r="A296" t="s">
        <v>39</v>
      </c>
      <c r="B296">
        <v>2025</v>
      </c>
      <c r="C296">
        <v>75.599999999999994</v>
      </c>
      <c r="D296" t="s">
        <v>15</v>
      </c>
    </row>
    <row r="297" spans="1:4">
      <c r="A297" t="s">
        <v>36</v>
      </c>
      <c r="B297">
        <v>2021</v>
      </c>
      <c r="C297">
        <v>0</v>
      </c>
      <c r="D297" t="s">
        <v>15</v>
      </c>
    </row>
    <row r="298" spans="1:4">
      <c r="A298" t="s">
        <v>36</v>
      </c>
      <c r="B298">
        <v>2022</v>
      </c>
      <c r="C298">
        <v>347.63099999999997</v>
      </c>
      <c r="D298" t="s">
        <v>15</v>
      </c>
    </row>
    <row r="299" spans="1:4">
      <c r="A299" t="s">
        <v>36</v>
      </c>
      <c r="B299">
        <v>2023</v>
      </c>
      <c r="C299">
        <v>0</v>
      </c>
      <c r="D299" t="s">
        <v>15</v>
      </c>
    </row>
    <row r="300" spans="1:4">
      <c r="A300" t="s">
        <v>36</v>
      </c>
      <c r="B300">
        <v>2024</v>
      </c>
      <c r="C300">
        <v>0</v>
      </c>
      <c r="D300" t="s">
        <v>15</v>
      </c>
    </row>
    <row r="301" spans="1:4">
      <c r="A301" t="s">
        <v>36</v>
      </c>
      <c r="B301">
        <v>2025</v>
      </c>
      <c r="C301">
        <v>0</v>
      </c>
      <c r="D301" t="s">
        <v>15</v>
      </c>
    </row>
    <row r="302" spans="1:4">
      <c r="A302" t="s">
        <v>37</v>
      </c>
      <c r="B302">
        <v>2021</v>
      </c>
      <c r="C302">
        <v>0</v>
      </c>
      <c r="D302" t="s">
        <v>15</v>
      </c>
    </row>
    <row r="303" spans="1:4">
      <c r="A303" t="s">
        <v>37</v>
      </c>
      <c r="B303">
        <v>2022</v>
      </c>
      <c r="C303">
        <v>0</v>
      </c>
      <c r="D303" t="s">
        <v>15</v>
      </c>
    </row>
    <row r="304" spans="1:4">
      <c r="A304" t="s">
        <v>37</v>
      </c>
      <c r="B304">
        <v>2023</v>
      </c>
      <c r="C304">
        <v>0</v>
      </c>
      <c r="D304" t="s">
        <v>15</v>
      </c>
    </row>
    <row r="305" spans="1:4">
      <c r="A305" t="s">
        <v>37</v>
      </c>
      <c r="B305">
        <v>2024</v>
      </c>
      <c r="C305">
        <v>0</v>
      </c>
      <c r="D305" t="s">
        <v>15</v>
      </c>
    </row>
    <row r="306" spans="1:4">
      <c r="A306" t="s">
        <v>37</v>
      </c>
      <c r="B306">
        <v>2025</v>
      </c>
      <c r="C306">
        <v>0</v>
      </c>
      <c r="D306" t="s">
        <v>15</v>
      </c>
    </row>
    <row r="307" spans="1:4">
      <c r="A307" t="s">
        <v>41</v>
      </c>
      <c r="B307">
        <v>2021</v>
      </c>
      <c r="C307">
        <v>60.344000000000001</v>
      </c>
      <c r="D307" t="s">
        <v>15</v>
      </c>
    </row>
    <row r="308" spans="1:4">
      <c r="A308" t="s">
        <v>41</v>
      </c>
      <c r="B308">
        <v>2022</v>
      </c>
      <c r="C308">
        <v>0</v>
      </c>
      <c r="D308" t="s">
        <v>15</v>
      </c>
    </row>
    <row r="309" spans="1:4">
      <c r="A309" t="s">
        <v>41</v>
      </c>
      <c r="B309">
        <v>2023</v>
      </c>
      <c r="C309">
        <v>0</v>
      </c>
      <c r="D309" t="s">
        <v>15</v>
      </c>
    </row>
    <row r="310" spans="1:4">
      <c r="A310" t="s">
        <v>41</v>
      </c>
      <c r="B310">
        <v>2024</v>
      </c>
      <c r="C310">
        <v>0</v>
      </c>
      <c r="D310" t="s">
        <v>15</v>
      </c>
    </row>
    <row r="311" spans="1:4">
      <c r="A311" t="s">
        <v>41</v>
      </c>
      <c r="B311">
        <v>2025</v>
      </c>
      <c r="C311">
        <v>0</v>
      </c>
      <c r="D311" t="s">
        <v>15</v>
      </c>
    </row>
    <row r="312" spans="1:4">
      <c r="A312" t="s">
        <v>71</v>
      </c>
      <c r="B312">
        <v>2021</v>
      </c>
      <c r="C312">
        <v>0</v>
      </c>
      <c r="D312" t="s">
        <v>15</v>
      </c>
    </row>
    <row r="313" spans="1:4">
      <c r="A313" t="s">
        <v>71</v>
      </c>
      <c r="B313">
        <v>2022</v>
      </c>
      <c r="C313">
        <v>0</v>
      </c>
      <c r="D313" t="s">
        <v>15</v>
      </c>
    </row>
    <row r="314" spans="1:4">
      <c r="A314" t="s">
        <v>71</v>
      </c>
      <c r="B314">
        <v>2023</v>
      </c>
      <c r="C314">
        <v>0</v>
      </c>
      <c r="D314" t="s">
        <v>15</v>
      </c>
    </row>
    <row r="315" spans="1:4">
      <c r="A315" t="s">
        <v>71</v>
      </c>
      <c r="B315">
        <v>2024</v>
      </c>
      <c r="C315">
        <v>0</v>
      </c>
      <c r="D315" t="s">
        <v>15</v>
      </c>
    </row>
    <row r="316" spans="1:4">
      <c r="A316" t="s">
        <v>71</v>
      </c>
      <c r="B316">
        <v>2025</v>
      </c>
      <c r="C316">
        <v>0</v>
      </c>
      <c r="D316" t="s">
        <v>15</v>
      </c>
    </row>
    <row r="317" spans="1:4">
      <c r="A317" t="s">
        <v>70</v>
      </c>
      <c r="B317">
        <v>2021</v>
      </c>
      <c r="C317">
        <v>0</v>
      </c>
      <c r="D317" t="s">
        <v>15</v>
      </c>
    </row>
    <row r="318" spans="1:4">
      <c r="A318" t="s">
        <v>70</v>
      </c>
      <c r="B318">
        <v>2022</v>
      </c>
      <c r="C318">
        <v>0</v>
      </c>
      <c r="D318" t="s">
        <v>15</v>
      </c>
    </row>
    <row r="319" spans="1:4">
      <c r="A319" t="s">
        <v>70</v>
      </c>
      <c r="B319">
        <v>2023</v>
      </c>
      <c r="C319">
        <v>0</v>
      </c>
      <c r="D319" t="s">
        <v>15</v>
      </c>
    </row>
    <row r="320" spans="1:4">
      <c r="A320" t="s">
        <v>70</v>
      </c>
      <c r="B320">
        <v>2024</v>
      </c>
      <c r="C320">
        <v>0</v>
      </c>
      <c r="D320" t="s">
        <v>15</v>
      </c>
    </row>
    <row r="321" spans="1:4">
      <c r="A321" t="s">
        <v>70</v>
      </c>
      <c r="B321">
        <v>2025</v>
      </c>
      <c r="C321">
        <v>0</v>
      </c>
      <c r="D321" t="s">
        <v>15</v>
      </c>
    </row>
    <row r="322" spans="1:4">
      <c r="A322" t="s">
        <v>27</v>
      </c>
      <c r="B322">
        <v>2025</v>
      </c>
      <c r="C322">
        <v>13010.384</v>
      </c>
      <c r="D322" t="s">
        <v>8</v>
      </c>
    </row>
    <row r="323" spans="1:4">
      <c r="A323" t="s">
        <v>27</v>
      </c>
      <c r="B323">
        <v>2024</v>
      </c>
      <c r="C323">
        <v>2432.7901000000002</v>
      </c>
      <c r="D323" t="s">
        <v>8</v>
      </c>
    </row>
    <row r="324" spans="1:4">
      <c r="A324" t="s">
        <v>27</v>
      </c>
      <c r="B324">
        <v>2023</v>
      </c>
      <c r="C324">
        <v>25238.669000000002</v>
      </c>
      <c r="D324" t="s">
        <v>8</v>
      </c>
    </row>
    <row r="325" spans="1:4">
      <c r="A325" t="s">
        <v>27</v>
      </c>
      <c r="B325">
        <v>2022</v>
      </c>
      <c r="C325">
        <v>247.36</v>
      </c>
      <c r="D325" t="s">
        <v>8</v>
      </c>
    </row>
    <row r="326" spans="1:4">
      <c r="A326" t="s">
        <v>27</v>
      </c>
      <c r="B326">
        <v>2021</v>
      </c>
      <c r="C326">
        <v>0</v>
      </c>
      <c r="D326" t="s">
        <v>8</v>
      </c>
    </row>
    <row r="327" spans="1:4">
      <c r="A327" t="s">
        <v>28</v>
      </c>
      <c r="B327">
        <v>2025</v>
      </c>
      <c r="C327">
        <v>5039.9399999999996</v>
      </c>
      <c r="D327" t="s">
        <v>8</v>
      </c>
    </row>
    <row r="328" spans="1:4">
      <c r="A328" t="s">
        <v>28</v>
      </c>
      <c r="B328">
        <v>2024</v>
      </c>
      <c r="C328">
        <v>118210.03</v>
      </c>
      <c r="D328" t="s">
        <v>8</v>
      </c>
    </row>
    <row r="329" spans="1:4">
      <c r="A329" t="s">
        <v>28</v>
      </c>
      <c r="B329">
        <v>2023</v>
      </c>
      <c r="C329">
        <v>416.2</v>
      </c>
      <c r="D329" t="s">
        <v>8</v>
      </c>
    </row>
    <row r="330" spans="1:4">
      <c r="A330" t="s">
        <v>28</v>
      </c>
      <c r="B330">
        <v>2022</v>
      </c>
      <c r="C330">
        <v>327.10000000000002</v>
      </c>
      <c r="D330" t="s">
        <v>8</v>
      </c>
    </row>
    <row r="331" spans="1:4">
      <c r="A331" t="s">
        <v>28</v>
      </c>
      <c r="B331">
        <v>2021</v>
      </c>
      <c r="C331">
        <v>0</v>
      </c>
      <c r="D331" t="s">
        <v>8</v>
      </c>
    </row>
    <row r="332" spans="1:4">
      <c r="A332" t="s">
        <v>29</v>
      </c>
      <c r="B332">
        <v>2025</v>
      </c>
      <c r="C332">
        <v>4383.692</v>
      </c>
      <c r="D332" t="s">
        <v>8</v>
      </c>
    </row>
    <row r="333" spans="1:4">
      <c r="A333" t="s">
        <v>29</v>
      </c>
      <c r="B333">
        <v>2024</v>
      </c>
      <c r="C333">
        <v>43788.085899999998</v>
      </c>
      <c r="D333" t="s">
        <v>8</v>
      </c>
    </row>
    <row r="334" spans="1:4">
      <c r="A334" t="s">
        <v>29</v>
      </c>
      <c r="B334">
        <v>2023</v>
      </c>
      <c r="C334">
        <v>52547.492299999998</v>
      </c>
      <c r="D334" t="s">
        <v>8</v>
      </c>
    </row>
    <row r="335" spans="1:4">
      <c r="A335" t="s">
        <v>29</v>
      </c>
      <c r="B335">
        <v>2022</v>
      </c>
      <c r="C335">
        <v>66034.690300000002</v>
      </c>
      <c r="D335" t="s">
        <v>8</v>
      </c>
    </row>
    <row r="336" spans="1:4">
      <c r="A336" t="s">
        <v>29</v>
      </c>
      <c r="B336">
        <v>2021</v>
      </c>
      <c r="C336">
        <v>0</v>
      </c>
      <c r="D336" t="s">
        <v>8</v>
      </c>
    </row>
    <row r="337" spans="1:4">
      <c r="A337" t="s">
        <v>30</v>
      </c>
      <c r="B337">
        <v>2025</v>
      </c>
      <c r="C337">
        <v>512.298</v>
      </c>
      <c r="D337" t="s">
        <v>8</v>
      </c>
    </row>
    <row r="338" spans="1:4">
      <c r="A338" t="s">
        <v>30</v>
      </c>
      <c r="B338">
        <v>2024</v>
      </c>
      <c r="C338">
        <v>471.6866</v>
      </c>
      <c r="D338" t="s">
        <v>8</v>
      </c>
    </row>
    <row r="339" spans="1:4">
      <c r="A339" t="s">
        <v>30</v>
      </c>
      <c r="B339">
        <v>2023</v>
      </c>
      <c r="C339">
        <v>207.7424</v>
      </c>
      <c r="D339" t="s">
        <v>8</v>
      </c>
    </row>
    <row r="340" spans="1:4">
      <c r="A340" t="s">
        <v>30</v>
      </c>
      <c r="B340">
        <v>2022</v>
      </c>
      <c r="C340">
        <v>98.3</v>
      </c>
      <c r="D340" t="s">
        <v>8</v>
      </c>
    </row>
    <row r="341" spans="1:4">
      <c r="A341" t="s">
        <v>30</v>
      </c>
      <c r="B341">
        <v>2021</v>
      </c>
      <c r="C341">
        <v>0</v>
      </c>
      <c r="D341" t="s">
        <v>8</v>
      </c>
    </row>
    <row r="342" spans="1:4">
      <c r="A342" t="s">
        <v>31</v>
      </c>
      <c r="B342">
        <v>2025</v>
      </c>
      <c r="C342">
        <v>2623.4052000000001</v>
      </c>
      <c r="D342" t="s">
        <v>8</v>
      </c>
    </row>
    <row r="343" spans="1:4">
      <c r="A343" t="s">
        <v>31</v>
      </c>
      <c r="B343">
        <v>2024</v>
      </c>
      <c r="C343">
        <v>1209.9190000000001</v>
      </c>
      <c r="D343" t="s">
        <v>8</v>
      </c>
    </row>
    <row r="344" spans="1:4">
      <c r="A344" t="s">
        <v>31</v>
      </c>
      <c r="B344">
        <v>2023</v>
      </c>
      <c r="C344">
        <v>3023.6379999999999</v>
      </c>
      <c r="D344" t="s">
        <v>8</v>
      </c>
    </row>
    <row r="345" spans="1:4">
      <c r="A345" t="s">
        <v>31</v>
      </c>
      <c r="B345">
        <v>2022</v>
      </c>
      <c r="C345">
        <v>3007.1379999999999</v>
      </c>
      <c r="D345" t="s">
        <v>8</v>
      </c>
    </row>
    <row r="346" spans="1:4">
      <c r="A346" t="s">
        <v>31</v>
      </c>
      <c r="B346">
        <v>2021</v>
      </c>
      <c r="C346">
        <v>0</v>
      </c>
      <c r="D346" t="s">
        <v>8</v>
      </c>
    </row>
    <row r="347" spans="1:4">
      <c r="A347" t="s">
        <v>32</v>
      </c>
      <c r="B347">
        <v>2025</v>
      </c>
      <c r="C347">
        <v>4288.7644</v>
      </c>
      <c r="D347" t="s">
        <v>8</v>
      </c>
    </row>
    <row r="348" spans="1:4">
      <c r="A348" t="s">
        <v>32</v>
      </c>
      <c r="B348">
        <v>2024</v>
      </c>
      <c r="C348">
        <v>8807.0689999999995</v>
      </c>
      <c r="D348" t="s">
        <v>8</v>
      </c>
    </row>
    <row r="349" spans="1:4">
      <c r="A349" t="s">
        <v>32</v>
      </c>
      <c r="B349">
        <v>2023</v>
      </c>
      <c r="C349">
        <v>3369.42</v>
      </c>
      <c r="D349" t="s">
        <v>8</v>
      </c>
    </row>
    <row r="350" spans="1:4">
      <c r="A350" t="s">
        <v>32</v>
      </c>
      <c r="B350">
        <v>2022</v>
      </c>
      <c r="C350">
        <v>1692.82</v>
      </c>
      <c r="D350" t="s">
        <v>8</v>
      </c>
    </row>
    <row r="351" spans="1:4">
      <c r="A351" t="s">
        <v>32</v>
      </c>
      <c r="B351">
        <v>2021</v>
      </c>
      <c r="C351">
        <v>0</v>
      </c>
      <c r="D351" t="s">
        <v>8</v>
      </c>
    </row>
    <row r="352" spans="1:4">
      <c r="A352" t="s">
        <v>35</v>
      </c>
      <c r="B352">
        <v>2025</v>
      </c>
      <c r="C352">
        <v>2592.7345999999998</v>
      </c>
      <c r="D352" t="s">
        <v>8</v>
      </c>
    </row>
    <row r="353" spans="1:4">
      <c r="A353" t="s">
        <v>35</v>
      </c>
      <c r="B353">
        <v>2024</v>
      </c>
      <c r="C353">
        <v>63</v>
      </c>
      <c r="D353" t="s">
        <v>8</v>
      </c>
    </row>
    <row r="354" spans="1:4">
      <c r="A354" t="s">
        <v>35</v>
      </c>
      <c r="B354">
        <v>2023</v>
      </c>
      <c r="C354">
        <v>99.847999999999999</v>
      </c>
      <c r="D354" t="s">
        <v>8</v>
      </c>
    </row>
    <row r="355" spans="1:4">
      <c r="A355" t="s">
        <v>35</v>
      </c>
      <c r="B355">
        <v>2022</v>
      </c>
      <c r="C355">
        <v>74.847999999999999</v>
      </c>
      <c r="D355" t="s">
        <v>8</v>
      </c>
    </row>
    <row r="356" spans="1:4">
      <c r="A356" t="s">
        <v>35</v>
      </c>
      <c r="B356">
        <v>2021</v>
      </c>
      <c r="C356">
        <v>0</v>
      </c>
      <c r="D356" t="s">
        <v>8</v>
      </c>
    </row>
    <row r="357" spans="1:4">
      <c r="A357" t="s">
        <v>33</v>
      </c>
      <c r="B357">
        <v>2025</v>
      </c>
      <c r="C357">
        <v>4479.0749999999998</v>
      </c>
      <c r="D357" t="s">
        <v>8</v>
      </c>
    </row>
    <row r="358" spans="1:4">
      <c r="A358" t="s">
        <v>33</v>
      </c>
      <c r="B358">
        <v>2024</v>
      </c>
      <c r="C358">
        <v>312.34100000000001</v>
      </c>
      <c r="D358" t="s">
        <v>8</v>
      </c>
    </row>
    <row r="359" spans="1:4">
      <c r="A359" t="s">
        <v>33</v>
      </c>
      <c r="B359">
        <v>2023</v>
      </c>
      <c r="C359">
        <v>767.81299999999999</v>
      </c>
      <c r="D359" t="s">
        <v>8</v>
      </c>
    </row>
    <row r="360" spans="1:4">
      <c r="A360" t="s">
        <v>33</v>
      </c>
      <c r="B360">
        <v>2022</v>
      </c>
      <c r="C360">
        <v>767.81299999999999</v>
      </c>
      <c r="D360" t="s">
        <v>8</v>
      </c>
    </row>
    <row r="361" spans="1:4">
      <c r="A361" t="s">
        <v>33</v>
      </c>
      <c r="B361">
        <v>2021</v>
      </c>
      <c r="C361">
        <v>0</v>
      </c>
      <c r="D361" t="s">
        <v>8</v>
      </c>
    </row>
    <row r="362" spans="1:4">
      <c r="A362" t="s">
        <v>34</v>
      </c>
      <c r="B362">
        <v>2025</v>
      </c>
      <c r="C362">
        <v>1221.972</v>
      </c>
      <c r="D362" t="s">
        <v>8</v>
      </c>
    </row>
    <row r="363" spans="1:4">
      <c r="A363" t="s">
        <v>34</v>
      </c>
      <c r="B363">
        <v>2024</v>
      </c>
      <c r="C363">
        <v>176.15</v>
      </c>
      <c r="D363" t="s">
        <v>8</v>
      </c>
    </row>
    <row r="364" spans="1:4">
      <c r="A364" t="s">
        <v>34</v>
      </c>
      <c r="B364">
        <v>2023</v>
      </c>
      <c r="C364">
        <v>0</v>
      </c>
      <c r="D364" t="s">
        <v>8</v>
      </c>
    </row>
    <row r="365" spans="1:4">
      <c r="A365" t="s">
        <v>34</v>
      </c>
      <c r="B365">
        <v>2022</v>
      </c>
      <c r="C365">
        <v>0</v>
      </c>
      <c r="D365" t="s">
        <v>8</v>
      </c>
    </row>
    <row r="366" spans="1:4">
      <c r="A366" t="s">
        <v>34</v>
      </c>
      <c r="B366">
        <v>2021</v>
      </c>
      <c r="C366">
        <v>0</v>
      </c>
      <c r="D366" t="s">
        <v>8</v>
      </c>
    </row>
    <row r="367" spans="1:4">
      <c r="A367" t="s">
        <v>38</v>
      </c>
      <c r="B367">
        <v>2025</v>
      </c>
      <c r="C367">
        <v>9582.0305000000008</v>
      </c>
      <c r="D367" t="s">
        <v>8</v>
      </c>
    </row>
    <row r="368" spans="1:4">
      <c r="A368" t="s">
        <v>38</v>
      </c>
      <c r="B368">
        <v>2024</v>
      </c>
      <c r="C368">
        <v>1887.4807000000001</v>
      </c>
      <c r="D368" t="s">
        <v>8</v>
      </c>
    </row>
    <row r="369" spans="1:4">
      <c r="A369" t="s">
        <v>38</v>
      </c>
      <c r="B369">
        <v>2023</v>
      </c>
      <c r="C369">
        <v>3284.3829999999998</v>
      </c>
      <c r="D369" t="s">
        <v>8</v>
      </c>
    </row>
    <row r="370" spans="1:4">
      <c r="A370" t="s">
        <v>38</v>
      </c>
      <c r="B370">
        <v>2022</v>
      </c>
      <c r="C370">
        <v>3144.6039999999998</v>
      </c>
      <c r="D370" t="s">
        <v>8</v>
      </c>
    </row>
    <row r="371" spans="1:4">
      <c r="A371" t="s">
        <v>38</v>
      </c>
      <c r="B371">
        <v>2021</v>
      </c>
      <c r="C371">
        <v>0</v>
      </c>
      <c r="D371" t="s">
        <v>8</v>
      </c>
    </row>
    <row r="372" spans="1:4">
      <c r="A372" t="s">
        <v>39</v>
      </c>
      <c r="B372">
        <v>2025</v>
      </c>
      <c r="C372">
        <v>1012.36</v>
      </c>
      <c r="D372" t="s">
        <v>8</v>
      </c>
    </row>
    <row r="373" spans="1:4">
      <c r="A373" t="s">
        <v>39</v>
      </c>
      <c r="B373">
        <v>2024</v>
      </c>
      <c r="C373">
        <v>6661.2184999999999</v>
      </c>
      <c r="D373" t="s">
        <v>8</v>
      </c>
    </row>
    <row r="374" spans="1:4">
      <c r="A374" t="s">
        <v>39</v>
      </c>
      <c r="B374">
        <v>2023</v>
      </c>
      <c r="C374">
        <v>31281.6391</v>
      </c>
      <c r="D374" t="s">
        <v>8</v>
      </c>
    </row>
    <row r="375" spans="1:4">
      <c r="A375" t="s">
        <v>39</v>
      </c>
      <c r="B375">
        <v>2022</v>
      </c>
      <c r="C375">
        <v>79022.298999999999</v>
      </c>
      <c r="D375" t="s">
        <v>8</v>
      </c>
    </row>
    <row r="376" spans="1:4">
      <c r="A376" t="s">
        <v>39</v>
      </c>
      <c r="B376">
        <v>2021</v>
      </c>
      <c r="C376">
        <v>0</v>
      </c>
      <c r="D376" t="s">
        <v>8</v>
      </c>
    </row>
    <row r="377" spans="1:4">
      <c r="A377" t="s">
        <v>36</v>
      </c>
      <c r="B377">
        <v>2025</v>
      </c>
      <c r="C377">
        <v>3648.8220000000001</v>
      </c>
      <c r="D377" t="s">
        <v>8</v>
      </c>
    </row>
    <row r="378" spans="1:4">
      <c r="A378" t="s">
        <v>36</v>
      </c>
      <c r="B378">
        <v>2024</v>
      </c>
      <c r="C378">
        <v>683.62699999999995</v>
      </c>
      <c r="D378" t="s">
        <v>8</v>
      </c>
    </row>
    <row r="379" spans="1:4">
      <c r="A379" t="s">
        <v>36</v>
      </c>
      <c r="B379">
        <v>2023</v>
      </c>
      <c r="C379">
        <v>195.75</v>
      </c>
      <c r="D379" t="s">
        <v>8</v>
      </c>
    </row>
    <row r="380" spans="1:4">
      <c r="A380" t="s">
        <v>36</v>
      </c>
      <c r="B380">
        <v>2022</v>
      </c>
      <c r="C380">
        <v>0</v>
      </c>
      <c r="D380" t="s">
        <v>8</v>
      </c>
    </row>
    <row r="381" spans="1:4">
      <c r="A381" t="s">
        <v>36</v>
      </c>
      <c r="B381">
        <v>2021</v>
      </c>
      <c r="C381">
        <v>0</v>
      </c>
      <c r="D381" t="s">
        <v>8</v>
      </c>
    </row>
    <row r="382" spans="1:4">
      <c r="A382" t="s">
        <v>37</v>
      </c>
      <c r="B382">
        <v>2025</v>
      </c>
      <c r="C382">
        <v>163.648</v>
      </c>
      <c r="D382" t="s">
        <v>8</v>
      </c>
    </row>
    <row r="383" spans="1:4">
      <c r="A383" t="s">
        <v>37</v>
      </c>
      <c r="B383">
        <v>2024</v>
      </c>
      <c r="C383">
        <v>518.40599999999995</v>
      </c>
      <c r="D383" t="s">
        <v>8</v>
      </c>
    </row>
    <row r="384" spans="1:4">
      <c r="A384" t="s">
        <v>37</v>
      </c>
      <c r="B384">
        <v>2023</v>
      </c>
      <c r="C384">
        <v>196.78</v>
      </c>
      <c r="D384" t="s">
        <v>8</v>
      </c>
    </row>
    <row r="385" spans="1:4">
      <c r="A385" t="s">
        <v>37</v>
      </c>
      <c r="B385">
        <v>2022</v>
      </c>
      <c r="C385">
        <v>98.5</v>
      </c>
      <c r="D385" t="s">
        <v>8</v>
      </c>
    </row>
    <row r="386" spans="1:4">
      <c r="A386" t="s">
        <v>37</v>
      </c>
      <c r="B386">
        <v>2021</v>
      </c>
      <c r="C386">
        <v>0</v>
      </c>
      <c r="D386" t="s">
        <v>8</v>
      </c>
    </row>
    <row r="387" spans="1:4">
      <c r="A387" t="s">
        <v>41</v>
      </c>
      <c r="B387">
        <v>2025</v>
      </c>
      <c r="C387">
        <v>0</v>
      </c>
      <c r="D387" t="s">
        <v>8</v>
      </c>
    </row>
    <row r="388" spans="1:4">
      <c r="A388" t="s">
        <v>41</v>
      </c>
      <c r="B388">
        <v>2024</v>
      </c>
      <c r="C388">
        <v>0</v>
      </c>
      <c r="D388" t="s">
        <v>8</v>
      </c>
    </row>
    <row r="389" spans="1:4">
      <c r="A389" t="s">
        <v>41</v>
      </c>
      <c r="B389">
        <v>2023</v>
      </c>
      <c r="C389">
        <v>0</v>
      </c>
      <c r="D389" t="s">
        <v>8</v>
      </c>
    </row>
    <row r="390" spans="1:4">
      <c r="A390" t="s">
        <v>41</v>
      </c>
      <c r="B390">
        <v>2022</v>
      </c>
      <c r="C390">
        <v>0</v>
      </c>
      <c r="D390" t="s">
        <v>8</v>
      </c>
    </row>
    <row r="391" spans="1:4">
      <c r="A391" t="s">
        <v>41</v>
      </c>
      <c r="B391">
        <v>2021</v>
      </c>
      <c r="C391">
        <v>0</v>
      </c>
      <c r="D391" t="s">
        <v>8</v>
      </c>
    </row>
    <row r="392" spans="1:4">
      <c r="A392" t="s">
        <v>70</v>
      </c>
      <c r="B392">
        <v>2025</v>
      </c>
      <c r="C392">
        <v>0</v>
      </c>
      <c r="D392" t="s">
        <v>8</v>
      </c>
    </row>
    <row r="393" spans="1:4">
      <c r="A393" t="s">
        <v>70</v>
      </c>
      <c r="B393">
        <v>2024</v>
      </c>
      <c r="C393">
        <v>0</v>
      </c>
      <c r="D393" t="s">
        <v>8</v>
      </c>
    </row>
    <row r="394" spans="1:4">
      <c r="A394" t="s">
        <v>70</v>
      </c>
      <c r="B394">
        <v>2023</v>
      </c>
      <c r="C394">
        <v>0</v>
      </c>
      <c r="D394" t="s">
        <v>8</v>
      </c>
    </row>
    <row r="395" spans="1:4">
      <c r="A395" t="s">
        <v>70</v>
      </c>
      <c r="B395">
        <v>2022</v>
      </c>
      <c r="C395">
        <v>0</v>
      </c>
      <c r="D395" t="s">
        <v>8</v>
      </c>
    </row>
    <row r="396" spans="1:4">
      <c r="A396" t="s">
        <v>70</v>
      </c>
      <c r="B396">
        <v>2021</v>
      </c>
      <c r="C396">
        <v>0</v>
      </c>
      <c r="D396" t="s">
        <v>8</v>
      </c>
    </row>
    <row r="397" spans="1:4">
      <c r="A397" t="s">
        <v>71</v>
      </c>
      <c r="B397">
        <v>2025</v>
      </c>
      <c r="C397">
        <v>0</v>
      </c>
      <c r="D397" t="s">
        <v>8</v>
      </c>
    </row>
    <row r="398" spans="1:4">
      <c r="A398" t="s">
        <v>71</v>
      </c>
      <c r="B398">
        <v>2024</v>
      </c>
      <c r="C398">
        <v>0</v>
      </c>
      <c r="D398" t="s">
        <v>8</v>
      </c>
    </row>
    <row r="399" spans="1:4">
      <c r="A399" t="s">
        <v>71</v>
      </c>
      <c r="B399">
        <v>2023</v>
      </c>
      <c r="C399">
        <v>0</v>
      </c>
      <c r="D399" t="s">
        <v>8</v>
      </c>
    </row>
    <row r="400" spans="1:4">
      <c r="A400" t="s">
        <v>71</v>
      </c>
      <c r="B400">
        <v>2022</v>
      </c>
      <c r="C400">
        <v>0</v>
      </c>
      <c r="D400" t="s">
        <v>8</v>
      </c>
    </row>
    <row r="401" spans="1:4">
      <c r="A401" t="s">
        <v>71</v>
      </c>
      <c r="B401">
        <v>2021</v>
      </c>
      <c r="C401">
        <v>0</v>
      </c>
      <c r="D401" t="s">
        <v>8</v>
      </c>
    </row>
    <row r="402" spans="1:4">
      <c r="A402" t="s">
        <v>27</v>
      </c>
      <c r="B402">
        <v>2021</v>
      </c>
      <c r="C402">
        <v>0</v>
      </c>
      <c r="D402" t="s">
        <v>12</v>
      </c>
    </row>
    <row r="403" spans="1:4">
      <c r="A403" t="s">
        <v>27</v>
      </c>
      <c r="B403">
        <v>2022</v>
      </c>
      <c r="C403">
        <v>38239</v>
      </c>
      <c r="D403" t="s">
        <v>12</v>
      </c>
    </row>
    <row r="404" spans="1:4">
      <c r="A404" t="s">
        <v>27</v>
      </c>
      <c r="B404">
        <v>2023</v>
      </c>
      <c r="C404">
        <v>71845</v>
      </c>
      <c r="D404" t="s">
        <v>12</v>
      </c>
    </row>
    <row r="405" spans="1:4">
      <c r="A405" t="s">
        <v>27</v>
      </c>
      <c r="B405">
        <v>2024</v>
      </c>
      <c r="C405">
        <v>29748</v>
      </c>
      <c r="D405" t="s">
        <v>12</v>
      </c>
    </row>
    <row r="406" spans="1:4">
      <c r="A406" t="s">
        <v>27</v>
      </c>
      <c r="B406">
        <v>2025</v>
      </c>
      <c r="C406">
        <v>29843</v>
      </c>
      <c r="D406" t="s">
        <v>12</v>
      </c>
    </row>
    <row r="407" spans="1:4">
      <c r="A407" t="s">
        <v>28</v>
      </c>
      <c r="B407">
        <v>2021</v>
      </c>
      <c r="C407">
        <v>0</v>
      </c>
      <c r="D407" t="s">
        <v>12</v>
      </c>
    </row>
    <row r="408" spans="1:4">
      <c r="A408" t="s">
        <v>28</v>
      </c>
      <c r="B408">
        <v>2022</v>
      </c>
      <c r="C408">
        <v>24309.591</v>
      </c>
      <c r="D408" t="s">
        <v>12</v>
      </c>
    </row>
    <row r="409" spans="1:4">
      <c r="A409" t="s">
        <v>28</v>
      </c>
      <c r="B409">
        <v>2023</v>
      </c>
      <c r="C409">
        <v>20746.419099999999</v>
      </c>
      <c r="D409" t="s">
        <v>12</v>
      </c>
    </row>
    <row r="410" spans="1:4">
      <c r="A410" t="s">
        <v>28</v>
      </c>
      <c r="B410">
        <v>2024</v>
      </c>
      <c r="C410">
        <v>15052.903700000001</v>
      </c>
      <c r="D410" t="s">
        <v>12</v>
      </c>
    </row>
    <row r="411" spans="1:4">
      <c r="A411" t="s">
        <v>28</v>
      </c>
      <c r="B411">
        <v>2025</v>
      </c>
      <c r="C411">
        <v>20113.4192</v>
      </c>
      <c r="D411" t="s">
        <v>12</v>
      </c>
    </row>
    <row r="412" spans="1:4">
      <c r="A412" t="s">
        <v>29</v>
      </c>
      <c r="B412">
        <v>2021</v>
      </c>
      <c r="C412">
        <v>0</v>
      </c>
      <c r="D412" t="s">
        <v>12</v>
      </c>
    </row>
    <row r="413" spans="1:4">
      <c r="A413" t="s">
        <v>29</v>
      </c>
      <c r="B413">
        <v>2022</v>
      </c>
      <c r="C413">
        <v>61954.260300000002</v>
      </c>
      <c r="D413" t="s">
        <v>12</v>
      </c>
    </row>
    <row r="414" spans="1:4">
      <c r="A414" t="s">
        <v>29</v>
      </c>
      <c r="B414">
        <v>2023</v>
      </c>
      <c r="C414">
        <v>51458.6613</v>
      </c>
      <c r="D414" t="s">
        <v>12</v>
      </c>
    </row>
    <row r="415" spans="1:4">
      <c r="A415" t="s">
        <v>29</v>
      </c>
      <c r="B415">
        <v>2024</v>
      </c>
      <c r="C415">
        <v>48088.788800000002</v>
      </c>
      <c r="D415" t="s">
        <v>12</v>
      </c>
    </row>
    <row r="416" spans="1:4">
      <c r="A416" t="s">
        <v>29</v>
      </c>
      <c r="B416">
        <v>2025</v>
      </c>
      <c r="C416">
        <v>67139.931899999996</v>
      </c>
      <c r="D416" t="s">
        <v>12</v>
      </c>
    </row>
    <row r="417" spans="1:4">
      <c r="A417" t="s">
        <v>30</v>
      </c>
      <c r="B417">
        <v>2021</v>
      </c>
      <c r="C417">
        <v>0</v>
      </c>
      <c r="D417" t="s">
        <v>12</v>
      </c>
    </row>
    <row r="418" spans="1:4">
      <c r="A418" t="s">
        <v>30</v>
      </c>
      <c r="B418">
        <v>2022</v>
      </c>
      <c r="C418">
        <v>16650.5429</v>
      </c>
      <c r="D418" t="s">
        <v>12</v>
      </c>
    </row>
    <row r="419" spans="1:4">
      <c r="A419" t="s">
        <v>30</v>
      </c>
      <c r="B419">
        <v>2023</v>
      </c>
      <c r="C419">
        <v>5000</v>
      </c>
      <c r="D419" t="s">
        <v>12</v>
      </c>
    </row>
    <row r="420" spans="1:4">
      <c r="A420" t="s">
        <v>30</v>
      </c>
      <c r="B420">
        <v>2024</v>
      </c>
      <c r="C420">
        <v>7248.7259999999997</v>
      </c>
      <c r="D420" t="s">
        <v>12</v>
      </c>
    </row>
    <row r="421" spans="1:4">
      <c r="A421" t="s">
        <v>30</v>
      </c>
      <c r="B421">
        <v>2025</v>
      </c>
      <c r="C421">
        <v>12900.816999999999</v>
      </c>
      <c r="D421" t="s">
        <v>12</v>
      </c>
    </row>
    <row r="422" spans="1:4">
      <c r="A422" t="s">
        <v>31</v>
      </c>
      <c r="B422">
        <v>2021</v>
      </c>
      <c r="C422">
        <v>0</v>
      </c>
      <c r="D422" t="s">
        <v>12</v>
      </c>
    </row>
    <row r="423" spans="1:4">
      <c r="A423" t="s">
        <v>31</v>
      </c>
      <c r="B423">
        <v>2022</v>
      </c>
      <c r="C423">
        <v>35538.841099999998</v>
      </c>
      <c r="D423" t="s">
        <v>12</v>
      </c>
    </row>
    <row r="424" spans="1:4">
      <c r="A424" t="s">
        <v>31</v>
      </c>
      <c r="B424">
        <v>2023</v>
      </c>
      <c r="C424">
        <v>7579.9111000000003</v>
      </c>
      <c r="D424" t="s">
        <v>12</v>
      </c>
    </row>
    <row r="425" spans="1:4">
      <c r="A425" t="s">
        <v>31</v>
      </c>
      <c r="B425">
        <v>2024</v>
      </c>
      <c r="C425">
        <v>16180.5</v>
      </c>
      <c r="D425" t="s">
        <v>12</v>
      </c>
    </row>
    <row r="426" spans="1:4">
      <c r="A426" t="s">
        <v>31</v>
      </c>
      <c r="B426">
        <v>2025</v>
      </c>
      <c r="C426">
        <v>12902</v>
      </c>
      <c r="D426" t="s">
        <v>12</v>
      </c>
    </row>
    <row r="427" spans="1:4">
      <c r="A427" t="s">
        <v>32</v>
      </c>
      <c r="B427">
        <v>2021</v>
      </c>
      <c r="C427">
        <v>0</v>
      </c>
      <c r="D427" t="s">
        <v>12</v>
      </c>
    </row>
    <row r="428" spans="1:4">
      <c r="A428" t="s">
        <v>32</v>
      </c>
      <c r="B428">
        <v>2022</v>
      </c>
      <c r="C428">
        <v>176064.81200000001</v>
      </c>
      <c r="D428" t="s">
        <v>12</v>
      </c>
    </row>
    <row r="429" spans="1:4">
      <c r="A429" t="s">
        <v>32</v>
      </c>
      <c r="B429">
        <v>2023</v>
      </c>
      <c r="C429">
        <v>63424.137000000002</v>
      </c>
      <c r="D429" t="s">
        <v>12</v>
      </c>
    </row>
    <row r="430" spans="1:4">
      <c r="A430" t="s">
        <v>32</v>
      </c>
      <c r="B430">
        <v>2024</v>
      </c>
      <c r="C430">
        <v>16219.958000000001</v>
      </c>
      <c r="D430" t="s">
        <v>12</v>
      </c>
    </row>
    <row r="431" spans="1:4">
      <c r="A431" t="s">
        <v>32</v>
      </c>
      <c r="B431">
        <v>2025</v>
      </c>
      <c r="C431">
        <v>19045.5435</v>
      </c>
      <c r="D431" t="s">
        <v>12</v>
      </c>
    </row>
    <row r="432" spans="1:4">
      <c r="A432" t="s">
        <v>35</v>
      </c>
      <c r="B432">
        <v>2021</v>
      </c>
      <c r="C432">
        <v>0</v>
      </c>
      <c r="D432" t="s">
        <v>12</v>
      </c>
    </row>
    <row r="433" spans="1:4">
      <c r="A433" t="s">
        <v>35</v>
      </c>
      <c r="B433">
        <v>2022</v>
      </c>
      <c r="C433">
        <v>12499.627899999999</v>
      </c>
      <c r="D433" t="s">
        <v>12</v>
      </c>
    </row>
    <row r="434" spans="1:4">
      <c r="A434" t="s">
        <v>35</v>
      </c>
      <c r="B434">
        <v>2023</v>
      </c>
      <c r="C434">
        <v>8130.5333000000001</v>
      </c>
      <c r="D434" t="s">
        <v>12</v>
      </c>
    </row>
    <row r="435" spans="1:4">
      <c r="A435" t="s">
        <v>35</v>
      </c>
      <c r="B435">
        <v>2024</v>
      </c>
      <c r="C435">
        <v>7660.9919</v>
      </c>
      <c r="D435" t="s">
        <v>12</v>
      </c>
    </row>
    <row r="436" spans="1:4">
      <c r="A436" t="s">
        <v>35</v>
      </c>
      <c r="B436">
        <v>2025</v>
      </c>
      <c r="C436">
        <v>8741.9670999999998</v>
      </c>
      <c r="D436" t="s">
        <v>12</v>
      </c>
    </row>
    <row r="437" spans="1:4">
      <c r="A437" t="s">
        <v>33</v>
      </c>
      <c r="B437">
        <v>2021</v>
      </c>
      <c r="C437">
        <v>0</v>
      </c>
      <c r="D437" t="s">
        <v>12</v>
      </c>
    </row>
    <row r="438" spans="1:4">
      <c r="A438" t="s">
        <v>33</v>
      </c>
      <c r="B438">
        <v>2022</v>
      </c>
      <c r="C438">
        <v>30358.846300000001</v>
      </c>
      <c r="D438" t="s">
        <v>12</v>
      </c>
    </row>
    <row r="439" spans="1:4">
      <c r="A439" t="s">
        <v>33</v>
      </c>
      <c r="B439">
        <v>2023</v>
      </c>
      <c r="C439">
        <v>45368.082799999996</v>
      </c>
      <c r="D439" t="s">
        <v>12</v>
      </c>
    </row>
    <row r="440" spans="1:4">
      <c r="A440" t="s">
        <v>33</v>
      </c>
      <c r="B440">
        <v>2024</v>
      </c>
      <c r="C440">
        <v>43398.063399999999</v>
      </c>
      <c r="D440" t="s">
        <v>12</v>
      </c>
    </row>
    <row r="441" spans="1:4">
      <c r="A441" t="s">
        <v>33</v>
      </c>
      <c r="B441">
        <v>2025</v>
      </c>
      <c r="C441">
        <v>15377.634</v>
      </c>
      <c r="D441" t="s">
        <v>12</v>
      </c>
    </row>
    <row r="442" spans="1:4">
      <c r="A442" t="s">
        <v>34</v>
      </c>
      <c r="B442">
        <v>2021</v>
      </c>
      <c r="C442">
        <v>0</v>
      </c>
      <c r="D442" t="s">
        <v>12</v>
      </c>
    </row>
    <row r="443" spans="1:4">
      <c r="A443" t="s">
        <v>34</v>
      </c>
      <c r="B443">
        <v>2022</v>
      </c>
      <c r="C443">
        <v>3584.8620999999998</v>
      </c>
      <c r="D443" t="s">
        <v>12</v>
      </c>
    </row>
    <row r="444" spans="1:4">
      <c r="A444" t="s">
        <v>34</v>
      </c>
      <c r="B444">
        <v>2023</v>
      </c>
      <c r="C444">
        <v>4664.3908000000001</v>
      </c>
      <c r="D444" t="s">
        <v>12</v>
      </c>
    </row>
    <row r="445" spans="1:4">
      <c r="A445" t="s">
        <v>34</v>
      </c>
      <c r="B445">
        <v>2024</v>
      </c>
      <c r="C445">
        <v>3988.0556999999999</v>
      </c>
      <c r="D445" t="s">
        <v>12</v>
      </c>
    </row>
    <row r="446" spans="1:4">
      <c r="A446" t="s">
        <v>34</v>
      </c>
      <c r="B446">
        <v>2025</v>
      </c>
      <c r="C446">
        <v>22995.032899999998</v>
      </c>
      <c r="D446" t="s">
        <v>12</v>
      </c>
    </row>
    <row r="447" spans="1:4">
      <c r="A447" t="s">
        <v>38</v>
      </c>
      <c r="B447">
        <v>2021</v>
      </c>
      <c r="C447">
        <v>0</v>
      </c>
      <c r="D447" t="s">
        <v>12</v>
      </c>
    </row>
    <row r="448" spans="1:4">
      <c r="A448" t="s">
        <v>38</v>
      </c>
      <c r="B448">
        <v>2022</v>
      </c>
      <c r="C448">
        <v>88778.224499999997</v>
      </c>
      <c r="D448" t="s">
        <v>12</v>
      </c>
    </row>
    <row r="449" spans="1:4">
      <c r="A449" t="s">
        <v>38</v>
      </c>
      <c r="B449">
        <v>2023</v>
      </c>
      <c r="C449">
        <v>7957.0007999999998</v>
      </c>
      <c r="D449" t="s">
        <v>12</v>
      </c>
    </row>
    <row r="450" spans="1:4">
      <c r="A450" t="s">
        <v>38</v>
      </c>
      <c r="B450">
        <v>2024</v>
      </c>
      <c r="C450">
        <v>13787.811299999999</v>
      </c>
      <c r="D450" t="s">
        <v>12</v>
      </c>
    </row>
    <row r="451" spans="1:4">
      <c r="A451" t="s">
        <v>38</v>
      </c>
      <c r="B451">
        <v>2025</v>
      </c>
      <c r="C451">
        <v>26585.289000000001</v>
      </c>
      <c r="D451" t="s">
        <v>12</v>
      </c>
    </row>
    <row r="452" spans="1:4">
      <c r="A452" t="s">
        <v>39</v>
      </c>
      <c r="B452">
        <v>2021</v>
      </c>
      <c r="C452">
        <v>0</v>
      </c>
      <c r="D452" t="s">
        <v>12</v>
      </c>
    </row>
    <row r="453" spans="1:4">
      <c r="A453" t="s">
        <v>39</v>
      </c>
      <c r="B453">
        <v>2022</v>
      </c>
      <c r="C453">
        <v>41141.8851</v>
      </c>
      <c r="D453" t="s">
        <v>12</v>
      </c>
    </row>
    <row r="454" spans="1:4">
      <c r="A454" t="s">
        <v>39</v>
      </c>
      <c r="B454">
        <v>2023</v>
      </c>
      <c r="C454">
        <v>32711.429499999998</v>
      </c>
      <c r="D454" t="s">
        <v>12</v>
      </c>
    </row>
    <row r="455" spans="1:4">
      <c r="A455" t="s">
        <v>39</v>
      </c>
      <c r="B455">
        <v>2024</v>
      </c>
      <c r="C455">
        <v>49854.792600000001</v>
      </c>
      <c r="D455" t="s">
        <v>12</v>
      </c>
    </row>
    <row r="456" spans="1:4">
      <c r="A456" t="s">
        <v>39</v>
      </c>
      <c r="B456">
        <v>2025</v>
      </c>
      <c r="C456">
        <v>71849.380300000004</v>
      </c>
      <c r="D456" t="s">
        <v>12</v>
      </c>
    </row>
    <row r="457" spans="1:4">
      <c r="A457" t="s">
        <v>36</v>
      </c>
      <c r="B457">
        <v>2021</v>
      </c>
      <c r="C457">
        <v>0</v>
      </c>
      <c r="D457" t="s">
        <v>12</v>
      </c>
    </row>
    <row r="458" spans="1:4">
      <c r="A458" t="s">
        <v>36</v>
      </c>
      <c r="B458">
        <v>2022</v>
      </c>
      <c r="C458">
        <v>30776.1777</v>
      </c>
      <c r="D458" t="s">
        <v>12</v>
      </c>
    </row>
    <row r="459" spans="1:4">
      <c r="A459" t="s">
        <v>36</v>
      </c>
      <c r="B459">
        <v>2023</v>
      </c>
      <c r="C459">
        <v>12835.275600000001</v>
      </c>
      <c r="D459" t="s">
        <v>12</v>
      </c>
    </row>
    <row r="460" spans="1:4">
      <c r="A460" t="s">
        <v>36</v>
      </c>
      <c r="B460">
        <v>2024</v>
      </c>
      <c r="C460">
        <v>16913.8766</v>
      </c>
      <c r="D460" t="s">
        <v>12</v>
      </c>
    </row>
    <row r="461" spans="1:4">
      <c r="A461" t="s">
        <v>36</v>
      </c>
      <c r="B461">
        <v>2025</v>
      </c>
      <c r="C461">
        <v>23982.415799999999</v>
      </c>
      <c r="D461" t="s">
        <v>12</v>
      </c>
    </row>
    <row r="462" spans="1:4">
      <c r="A462" t="s">
        <v>37</v>
      </c>
      <c r="B462">
        <v>2021</v>
      </c>
      <c r="C462">
        <v>0</v>
      </c>
      <c r="D462" t="s">
        <v>12</v>
      </c>
    </row>
    <row r="463" spans="1:4">
      <c r="A463" t="s">
        <v>37</v>
      </c>
      <c r="B463">
        <v>2022</v>
      </c>
      <c r="C463">
        <v>31249.7503</v>
      </c>
      <c r="D463" t="s">
        <v>12</v>
      </c>
    </row>
    <row r="464" spans="1:4">
      <c r="A464" t="s">
        <v>37</v>
      </c>
      <c r="B464">
        <v>2023</v>
      </c>
      <c r="C464">
        <v>29215.445400000001</v>
      </c>
      <c r="D464" t="s">
        <v>12</v>
      </c>
    </row>
    <row r="465" spans="1:4">
      <c r="A465" t="s">
        <v>37</v>
      </c>
      <c r="B465">
        <v>2024</v>
      </c>
      <c r="C465">
        <v>24279.7906</v>
      </c>
      <c r="D465" t="s">
        <v>12</v>
      </c>
    </row>
    <row r="466" spans="1:4">
      <c r="A466" t="s">
        <v>37</v>
      </c>
      <c r="B466">
        <v>2025</v>
      </c>
      <c r="C466">
        <v>25024.908800000001</v>
      </c>
      <c r="D466" t="s">
        <v>12</v>
      </c>
    </row>
    <row r="467" spans="1:4">
      <c r="A467" t="s">
        <v>41</v>
      </c>
      <c r="B467">
        <v>2021</v>
      </c>
      <c r="C467">
        <v>0</v>
      </c>
      <c r="D467" t="s">
        <v>12</v>
      </c>
    </row>
    <row r="468" spans="1:4">
      <c r="A468" t="s">
        <v>41</v>
      </c>
      <c r="B468">
        <v>2022</v>
      </c>
      <c r="C468">
        <v>41731.647100000002</v>
      </c>
      <c r="D468" t="s">
        <v>12</v>
      </c>
    </row>
    <row r="469" spans="1:4">
      <c r="A469" t="s">
        <v>41</v>
      </c>
      <c r="B469">
        <v>2023</v>
      </c>
      <c r="C469">
        <v>15562.070299999999</v>
      </c>
      <c r="D469" t="s">
        <v>12</v>
      </c>
    </row>
    <row r="470" spans="1:4">
      <c r="A470" t="s">
        <v>41</v>
      </c>
      <c r="B470">
        <v>2024</v>
      </c>
      <c r="C470">
        <v>7960.2209999999995</v>
      </c>
      <c r="D470" t="s">
        <v>12</v>
      </c>
    </row>
    <row r="471" spans="1:4">
      <c r="A471" t="s">
        <v>41</v>
      </c>
      <c r="B471">
        <v>2025</v>
      </c>
      <c r="C471">
        <v>20147.615600000001</v>
      </c>
      <c r="D471" t="s">
        <v>12</v>
      </c>
    </row>
    <row r="472" spans="1:4">
      <c r="A472" t="s">
        <v>70</v>
      </c>
      <c r="B472">
        <v>2021</v>
      </c>
      <c r="C472">
        <v>0</v>
      </c>
      <c r="D472" t="s">
        <v>12</v>
      </c>
    </row>
    <row r="473" spans="1:4">
      <c r="A473" t="s">
        <v>70</v>
      </c>
      <c r="B473">
        <v>2022</v>
      </c>
      <c r="C473">
        <v>0</v>
      </c>
      <c r="D473" t="s">
        <v>12</v>
      </c>
    </row>
    <row r="474" spans="1:4">
      <c r="A474" t="s">
        <v>70</v>
      </c>
      <c r="B474">
        <v>2023</v>
      </c>
      <c r="C474">
        <v>0</v>
      </c>
      <c r="D474" t="s">
        <v>12</v>
      </c>
    </row>
    <row r="475" spans="1:4">
      <c r="A475" t="s">
        <v>70</v>
      </c>
      <c r="B475">
        <v>2024</v>
      </c>
      <c r="C475">
        <v>0</v>
      </c>
      <c r="D475" t="s">
        <v>12</v>
      </c>
    </row>
    <row r="476" spans="1:4">
      <c r="A476" t="s">
        <v>70</v>
      </c>
      <c r="B476">
        <v>2025</v>
      </c>
      <c r="C476">
        <v>0</v>
      </c>
      <c r="D476" t="s">
        <v>12</v>
      </c>
    </row>
    <row r="477" spans="1:4">
      <c r="A477" t="s">
        <v>71</v>
      </c>
      <c r="B477">
        <v>2021</v>
      </c>
      <c r="C477">
        <v>0</v>
      </c>
      <c r="D477" t="s">
        <v>12</v>
      </c>
    </row>
    <row r="478" spans="1:4">
      <c r="A478" t="s">
        <v>71</v>
      </c>
      <c r="B478">
        <v>2022</v>
      </c>
      <c r="C478">
        <v>0</v>
      </c>
      <c r="D478" t="s">
        <v>12</v>
      </c>
    </row>
    <row r="479" spans="1:4">
      <c r="A479" t="s">
        <v>71</v>
      </c>
      <c r="B479">
        <v>2023</v>
      </c>
      <c r="C479">
        <v>0</v>
      </c>
      <c r="D479" t="s">
        <v>12</v>
      </c>
    </row>
    <row r="480" spans="1:4">
      <c r="A480" t="s">
        <v>71</v>
      </c>
      <c r="B480">
        <v>2024</v>
      </c>
      <c r="C480">
        <v>0</v>
      </c>
      <c r="D480" t="s">
        <v>12</v>
      </c>
    </row>
    <row r="481" spans="1:4">
      <c r="A481" t="s">
        <v>71</v>
      </c>
      <c r="B481">
        <v>2025</v>
      </c>
      <c r="C481">
        <v>0</v>
      </c>
      <c r="D481" t="s">
        <v>12</v>
      </c>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E17EE-A972-4590-9EBD-1B47B5660CFF}">
  <sheetPr codeName="Sheet46"/>
  <dimension ref="A1:B10"/>
  <sheetViews>
    <sheetView workbookViewId="0">
      <selection activeCell="B7" sqref="B7"/>
    </sheetView>
  </sheetViews>
  <sheetFormatPr defaultRowHeight="14.5"/>
  <cols>
    <col min="1" max="1" width="12.453125" bestFit="1" customWidth="1"/>
    <col min="2" max="2" width="11.81640625" bestFit="1" customWidth="1"/>
  </cols>
  <sheetData>
    <row r="1" spans="1:2">
      <c r="A1" s="307" t="s">
        <v>5</v>
      </c>
      <c r="B1" t="s">
        <v>19</v>
      </c>
    </row>
    <row r="2" spans="1:2">
      <c r="A2" s="307" t="s">
        <v>18</v>
      </c>
      <c r="B2" t="s">
        <v>19</v>
      </c>
    </row>
    <row r="4" spans="1:2">
      <c r="A4" s="307" t="s">
        <v>104</v>
      </c>
      <c r="B4" t="s">
        <v>20</v>
      </c>
    </row>
    <row r="5" spans="1:2">
      <c r="A5" s="308">
        <v>2021</v>
      </c>
      <c r="B5">
        <v>4021853.2170000011</v>
      </c>
    </row>
    <row r="6" spans="1:2">
      <c r="A6" s="308">
        <v>2022</v>
      </c>
      <c r="B6">
        <v>1022595.8387999998</v>
      </c>
    </row>
    <row r="7" spans="1:2">
      <c r="A7" s="308">
        <v>2023</v>
      </c>
      <c r="B7">
        <v>751169.5475000001</v>
      </c>
    </row>
    <row r="8" spans="1:2">
      <c r="A8" s="308">
        <v>2024</v>
      </c>
      <c r="B8">
        <v>930356.85629999975</v>
      </c>
    </row>
    <row r="9" spans="1:2">
      <c r="A9" s="308">
        <v>2025</v>
      </c>
      <c r="B9">
        <v>633380.56129999994</v>
      </c>
    </row>
    <row r="10" spans="1:2">
      <c r="A10" s="308" t="s">
        <v>6</v>
      </c>
      <c r="B10">
        <v>7359356.0209000017</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D8729-BD71-4940-A85E-0B9CF82E141E}">
  <sheetPr codeName="Sheet3"/>
  <dimension ref="A1:G38"/>
  <sheetViews>
    <sheetView zoomScale="50" zoomScaleNormal="70" workbookViewId="0">
      <selection activeCell="H21" sqref="H21"/>
    </sheetView>
  </sheetViews>
  <sheetFormatPr defaultColWidth="8.7265625" defaultRowHeight="14"/>
  <cols>
    <col min="1" max="1" width="21" style="4" bestFit="1" customWidth="1"/>
    <col min="2" max="2" width="17.1796875" style="4" bestFit="1" customWidth="1"/>
    <col min="3" max="3" width="15.7265625" style="4" bestFit="1" customWidth="1"/>
    <col min="4" max="5" width="15.81640625" style="4" bestFit="1" customWidth="1"/>
    <col min="6" max="6" width="15.7265625" style="4" bestFit="1" customWidth="1"/>
    <col min="7" max="7" width="40.81640625" style="4" bestFit="1" customWidth="1"/>
    <col min="8" max="16384" width="8.7265625" style="4"/>
  </cols>
  <sheetData>
    <row r="1" spans="1:7" ht="15" thickBot="1">
      <c r="A1" s="81" t="s">
        <v>105</v>
      </c>
      <c r="B1" s="66" t="s">
        <v>97</v>
      </c>
      <c r="C1" s="66" t="s">
        <v>46</v>
      </c>
      <c r="D1" s="66" t="s">
        <v>47</v>
      </c>
      <c r="E1" s="80" t="s">
        <v>48</v>
      </c>
      <c r="F1" s="80" t="s">
        <v>49</v>
      </c>
      <c r="G1" s="82" t="s">
        <v>106</v>
      </c>
    </row>
    <row r="2" spans="1:7">
      <c r="A2" s="5" t="s">
        <v>71</v>
      </c>
      <c r="B2" s="252">
        <v>0</v>
      </c>
      <c r="C2" s="253">
        <v>289.90999999999997</v>
      </c>
      <c r="D2" s="253">
        <v>799.82</v>
      </c>
      <c r="E2" s="252">
        <v>707.07708000000002</v>
      </c>
      <c r="F2" s="252">
        <v>1279.1865499999999</v>
      </c>
      <c r="G2" s="326">
        <f>SUM(Table1[[#This Row],[2021]:[2025]])</f>
        <v>3075.9936299999999</v>
      </c>
    </row>
    <row r="3" spans="1:7">
      <c r="A3" s="5" t="s">
        <v>70</v>
      </c>
      <c r="B3" s="252">
        <v>0</v>
      </c>
      <c r="C3" s="253">
        <v>3599.8704000000002</v>
      </c>
      <c r="D3" s="253">
        <v>3443.3285999999998</v>
      </c>
      <c r="E3" s="252">
        <v>2368.5100000000002</v>
      </c>
      <c r="F3" s="252">
        <v>2254</v>
      </c>
      <c r="G3" s="326">
        <f>SUM(Table1[[#This Row],[2021]:[2025]])</f>
        <v>11665.709000000001</v>
      </c>
    </row>
    <row r="4" spans="1:7">
      <c r="A4" s="5" t="s">
        <v>35</v>
      </c>
      <c r="B4" s="253">
        <v>0</v>
      </c>
      <c r="C4" s="253">
        <v>12700.0589</v>
      </c>
      <c r="D4" s="253">
        <v>8281.2127485714282</v>
      </c>
      <c r="E4" s="252">
        <v>8718.1328799999992</v>
      </c>
      <c r="F4" s="254">
        <v>12254.348630085471</v>
      </c>
      <c r="G4" s="326">
        <f>SUM(Table1[[#This Row],[2021]:[2025]])</f>
        <v>41953.753158656895</v>
      </c>
    </row>
    <row r="5" spans="1:7">
      <c r="A5" s="5" t="s">
        <v>34</v>
      </c>
      <c r="B5" s="253">
        <v>0</v>
      </c>
      <c r="C5" s="253">
        <v>3590.4620500000005</v>
      </c>
      <c r="D5" s="253">
        <v>4729.8907799999997</v>
      </c>
      <c r="E5" s="252">
        <v>5144.4357300000001</v>
      </c>
      <c r="F5" s="254">
        <v>30000.794889999997</v>
      </c>
      <c r="G5" s="326">
        <f>SUM(Table1[[#This Row],[2021]:[2025]])</f>
        <v>43465.583449999998</v>
      </c>
    </row>
    <row r="6" spans="1:7">
      <c r="A6" s="5" t="s">
        <v>41</v>
      </c>
      <c r="B6" s="253">
        <v>32361.434044072874</v>
      </c>
      <c r="C6" s="253">
        <v>45100.947060000006</v>
      </c>
      <c r="D6" s="253">
        <v>15562.070309999999</v>
      </c>
      <c r="E6" s="252">
        <v>8146.1360199999999</v>
      </c>
      <c r="F6" s="254">
        <v>20759.115600000001</v>
      </c>
      <c r="G6" s="326">
        <f>SUM(Table1[[#This Row],[2021]:[2025]])</f>
        <v>121929.70303407288</v>
      </c>
    </row>
    <row r="7" spans="1:7">
      <c r="A7" s="5" t="s">
        <v>30</v>
      </c>
      <c r="B7" s="253">
        <v>85218.69200000001</v>
      </c>
      <c r="C7" s="253">
        <v>17417.060958587754</v>
      </c>
      <c r="D7" s="253">
        <v>5806.2947198198199</v>
      </c>
      <c r="E7" s="252">
        <v>8912.9135999999999</v>
      </c>
      <c r="F7" s="254">
        <v>14207.999499999998</v>
      </c>
      <c r="G7" s="326">
        <f>SUM(Table1[[#This Row],[2021]:[2025]])</f>
        <v>131562.96077840758</v>
      </c>
    </row>
    <row r="8" spans="1:7">
      <c r="A8" s="5" t="s">
        <v>37</v>
      </c>
      <c r="B8" s="253">
        <v>10</v>
      </c>
      <c r="C8" s="253">
        <v>32530.074474806206</v>
      </c>
      <c r="D8" s="253">
        <v>29783.849399999999</v>
      </c>
      <c r="E8" s="252">
        <v>27356.98571095238</v>
      </c>
      <c r="F8" s="254">
        <v>61233.744829999996</v>
      </c>
      <c r="G8" s="326">
        <f>SUM(Table1[[#This Row],[2021]:[2025]])</f>
        <v>150914.65441575856</v>
      </c>
    </row>
    <row r="9" spans="1:7">
      <c r="A9" s="5" t="s">
        <v>31</v>
      </c>
      <c r="B9" s="253">
        <v>77138.00075556591</v>
      </c>
      <c r="C9" s="253">
        <v>38639.479050000002</v>
      </c>
      <c r="D9" s="253">
        <v>11551.43915</v>
      </c>
      <c r="E9" s="252">
        <v>20450.957285714285</v>
      </c>
      <c r="F9" s="254">
        <v>16435.902533333334</v>
      </c>
      <c r="G9" s="326">
        <f>SUM(Table1[[#This Row],[2021]:[2025]])</f>
        <v>164215.77877461354</v>
      </c>
    </row>
    <row r="10" spans="1:7">
      <c r="A10" s="5" t="s">
        <v>36</v>
      </c>
      <c r="B10" s="253">
        <v>9346.366</v>
      </c>
      <c r="C10" s="253">
        <v>37088.286073256371</v>
      </c>
      <c r="D10" s="253">
        <v>26140.280116190479</v>
      </c>
      <c r="E10" s="252">
        <v>36840.440287619014</v>
      </c>
      <c r="F10" s="254">
        <v>58417.337803333328</v>
      </c>
      <c r="G10" s="326">
        <f>SUM(Table1[[#This Row],[2021]:[2025]])</f>
        <v>167832.71028039919</v>
      </c>
    </row>
    <row r="11" spans="1:7">
      <c r="A11" s="5" t="s">
        <v>33</v>
      </c>
      <c r="B11" s="253">
        <v>3421.1</v>
      </c>
      <c r="C11" s="253">
        <v>33106.372810000001</v>
      </c>
      <c r="D11" s="253">
        <v>46853.820178571434</v>
      </c>
      <c r="E11" s="252">
        <v>57239.482199151826</v>
      </c>
      <c r="F11" s="254">
        <v>36653.125</v>
      </c>
      <c r="G11" s="326">
        <f>SUM(Table1[[#This Row],[2021]:[2025]])</f>
        <v>177273.90018772325</v>
      </c>
    </row>
    <row r="12" spans="1:7">
      <c r="A12" s="5" t="s">
        <v>28</v>
      </c>
      <c r="B12" s="253">
        <v>1041.9549999999999</v>
      </c>
      <c r="C12" s="253">
        <v>54233.455990000002</v>
      </c>
      <c r="D12" s="253">
        <v>21438.004316666666</v>
      </c>
      <c r="E12" s="252">
        <v>193662.16872000002</v>
      </c>
      <c r="F12" s="254">
        <v>36665.527199999997</v>
      </c>
      <c r="G12" s="326">
        <f>SUM(Table1[[#This Row],[2021]:[2025]])</f>
        <v>307041.11122666672</v>
      </c>
    </row>
    <row r="13" spans="1:7">
      <c r="A13" s="5" t="s">
        <v>27</v>
      </c>
      <c r="B13" s="253">
        <v>50080.631000000001</v>
      </c>
      <c r="C13" s="253">
        <v>39179.180129345557</v>
      </c>
      <c r="D13" s="253">
        <v>274962.0540910617</v>
      </c>
      <c r="E13" s="252">
        <v>58967.817028112906</v>
      </c>
      <c r="F13" s="254">
        <v>72059.356700000004</v>
      </c>
      <c r="G13" s="326">
        <f>SUM(Table1[[#This Row],[2021]:[2025]])</f>
        <v>495249.03894852014</v>
      </c>
    </row>
    <row r="14" spans="1:7">
      <c r="A14" s="5" t="s">
        <v>39</v>
      </c>
      <c r="B14" s="253">
        <v>437.11999999999995</v>
      </c>
      <c r="C14" s="253">
        <v>240100.41917139775</v>
      </c>
      <c r="D14" s="253">
        <v>77677.976232424233</v>
      </c>
      <c r="E14" s="252">
        <v>181956.88296130003</v>
      </c>
      <c r="F14" s="254">
        <v>89172.390760000009</v>
      </c>
      <c r="G14" s="326">
        <f>SUM(Table1[[#This Row],[2021]:[2025]])</f>
        <v>589344.78912512201</v>
      </c>
    </row>
    <row r="15" spans="1:7">
      <c r="A15" s="5" t="s">
        <v>29</v>
      </c>
      <c r="B15" s="253">
        <v>21984.736000000001</v>
      </c>
      <c r="C15" s="253">
        <v>193934.52743109612</v>
      </c>
      <c r="D15" s="253">
        <v>139678.45522666667</v>
      </c>
      <c r="E15" s="252">
        <v>263033.3394817572</v>
      </c>
      <c r="F15" s="254">
        <v>88538.011143408366</v>
      </c>
      <c r="G15" s="326">
        <f>SUM(Table1[[#This Row],[2021]:[2025]])</f>
        <v>707169.06928292837</v>
      </c>
    </row>
    <row r="16" spans="1:7">
      <c r="A16" s="5" t="s">
        <v>32</v>
      </c>
      <c r="B16" s="253">
        <v>593168.3852557505</v>
      </c>
      <c r="C16" s="253">
        <v>179927.5661714795</v>
      </c>
      <c r="D16" s="253">
        <v>74793.416109184152</v>
      </c>
      <c r="E16" s="252">
        <v>37273.073835265837</v>
      </c>
      <c r="F16" s="254">
        <v>44119.200567428605</v>
      </c>
      <c r="G16" s="326">
        <f>SUM(Table1[[#This Row],[2021]:[2025]])</f>
        <v>929281.64193910861</v>
      </c>
    </row>
    <row r="17" spans="1:7">
      <c r="A17" s="5" t="s">
        <v>38</v>
      </c>
      <c r="B17" s="253">
        <v>3147644.7968898164</v>
      </c>
      <c r="C17" s="253">
        <v>95047.519500000009</v>
      </c>
      <c r="D17" s="253">
        <v>13911.2338</v>
      </c>
      <c r="E17" s="252">
        <v>22575.671490867848</v>
      </c>
      <c r="F17" s="254">
        <v>52863.28258535693</v>
      </c>
      <c r="G17" s="326">
        <f>SUM(Table1[[#This Row],[2021]:[2025]])</f>
        <v>3332042.5042660409</v>
      </c>
    </row>
    <row r="18" spans="1:7" ht="14.5">
      <c r="A18" s="5"/>
      <c r="B18" s="7"/>
      <c r="C18" s="6"/>
      <c r="D18" s="6"/>
      <c r="E18" s="8"/>
      <c r="F18" s="8"/>
      <c r="G18" s="6"/>
    </row>
    <row r="19" spans="1:7">
      <c r="G19" s="6"/>
    </row>
    <row r="20" spans="1:7">
      <c r="G20" s="6"/>
    </row>
    <row r="21" spans="1:7">
      <c r="G21" s="6"/>
    </row>
    <row r="22" spans="1:7">
      <c r="G22" s="6"/>
    </row>
    <row r="23" spans="1:7">
      <c r="G23" s="6"/>
    </row>
    <row r="24" spans="1:7">
      <c r="G24" s="6"/>
    </row>
    <row r="25" spans="1:7">
      <c r="G25" s="6"/>
    </row>
    <row r="26" spans="1:7">
      <c r="G26" s="6"/>
    </row>
    <row r="38" spans="7:7">
      <c r="G38" s="24"/>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073" r:id="rId3" name="Button 1">
              <controlPr defaultSize="0" print="0" autoFill="0" autoPict="0" macro="[0]!Sheet2.Go_Malaysia">
                <anchor moveWithCells="1" sizeWithCells="1">
                  <from>
                    <xdr:col>7</xdr:col>
                    <xdr:colOff>120650</xdr:colOff>
                    <xdr:row>18</xdr:row>
                    <xdr:rowOff>19050</xdr:rowOff>
                  </from>
                  <to>
                    <xdr:col>8</xdr:col>
                    <xdr:colOff>349250</xdr:colOff>
                    <xdr:row>20</xdr:row>
                    <xdr:rowOff>88900</xdr:rowOff>
                  </to>
                </anchor>
              </controlPr>
            </control>
          </mc:Choice>
        </mc:AlternateContent>
      </controls>
    </mc:Choice>
  </mc:AlternateContent>
  <tableParts count="1">
    <tablePart r:id="rId4"/>
  </tableParts>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4BD28-371A-4E44-975F-EDCE293CA0B8}">
  <sheetPr codeName="Sheet5"/>
  <dimension ref="A2:N56"/>
  <sheetViews>
    <sheetView zoomScale="55" workbookViewId="0">
      <selection activeCell="A2" sqref="A2"/>
    </sheetView>
  </sheetViews>
  <sheetFormatPr defaultColWidth="17.453125" defaultRowHeight="14.5"/>
  <cols>
    <col min="1" max="1" width="18.81640625" bestFit="1" customWidth="1"/>
    <col min="2" max="2" width="17.54296875" bestFit="1" customWidth="1"/>
    <col min="3" max="3" width="14.54296875" bestFit="1" customWidth="1"/>
    <col min="4" max="5" width="15.81640625" bestFit="1" customWidth="1"/>
    <col min="6" max="6" width="14.7265625" bestFit="1" customWidth="1"/>
    <col min="7" max="7" width="17.54296875" bestFit="1" customWidth="1"/>
  </cols>
  <sheetData>
    <row r="2" spans="1:7" ht="15" thickBot="1">
      <c r="A2" s="5" t="s">
        <v>18</v>
      </c>
      <c r="B2" s="9" t="s">
        <v>97</v>
      </c>
      <c r="C2" s="9" t="s">
        <v>46</v>
      </c>
      <c r="D2" s="9" t="s">
        <v>47</v>
      </c>
      <c r="E2" s="75" t="s">
        <v>48</v>
      </c>
      <c r="F2" s="75" t="s">
        <v>49</v>
      </c>
      <c r="G2" s="11" t="s">
        <v>107</v>
      </c>
    </row>
    <row r="3" spans="1:7">
      <c r="A3" s="17" t="s">
        <v>27</v>
      </c>
      <c r="B3" s="328">
        <v>19890.98</v>
      </c>
      <c r="C3" s="328">
        <v>611.01820728291318</v>
      </c>
      <c r="D3" s="328">
        <v>121906.48592577597</v>
      </c>
      <c r="E3" s="256">
        <v>21280.371206419499</v>
      </c>
      <c r="F3" s="256">
        <f>'Raw Loss State'!F75</f>
        <v>26188.953999999998</v>
      </c>
      <c r="G3" s="285">
        <f>SUM(LivingQuarter[[#This Row],[2021]:[2025]])</f>
        <v>189877.80933947835</v>
      </c>
    </row>
    <row r="4" spans="1:7">
      <c r="A4" s="18" t="s">
        <v>28</v>
      </c>
      <c r="B4" s="328">
        <v>1041.9549999999999</v>
      </c>
      <c r="C4" s="328">
        <v>15272.05</v>
      </c>
      <c r="D4" s="328">
        <v>264.66666666666663</v>
      </c>
      <c r="E4" s="256">
        <v>54013.122000000003</v>
      </c>
      <c r="F4" s="256">
        <f>'Raw Loss State'!F77</f>
        <v>9773.9380000000019</v>
      </c>
      <c r="G4" s="285">
        <f>SUM(LivingQuarter[[#This Row],[2021]:[2025]])</f>
        <v>80365.731666666659</v>
      </c>
    </row>
    <row r="5" spans="1:7">
      <c r="A5" s="17" t="s">
        <v>29</v>
      </c>
      <c r="B5" s="328">
        <v>15992.2</v>
      </c>
      <c r="C5" s="328">
        <v>44434.408473304473</v>
      </c>
      <c r="D5" s="328">
        <v>15431.800333333334</v>
      </c>
      <c r="E5" s="256">
        <v>139014.9179598401</v>
      </c>
      <c r="F5" s="256">
        <f>'Raw Loss State'!F79</f>
        <v>15617.649955948042</v>
      </c>
      <c r="G5" s="285">
        <f>SUM(LivingQuarter[[#This Row],[2021]:[2025]])</f>
        <v>230490.97672242593</v>
      </c>
    </row>
    <row r="6" spans="1:7">
      <c r="A6" s="18" t="s">
        <v>30</v>
      </c>
      <c r="B6" s="256">
        <v>69694.406000000003</v>
      </c>
      <c r="C6" s="256">
        <v>557.65250000000003</v>
      </c>
      <c r="D6" s="256">
        <v>540.85231981981985</v>
      </c>
      <c r="E6" s="256">
        <v>1047.566</v>
      </c>
      <c r="F6" s="256">
        <f>'Raw Loss State'!F81</f>
        <v>728.77200000000005</v>
      </c>
      <c r="G6" s="285">
        <f>SUM(LivingQuarter[[#This Row],[2021]:[2025]])</f>
        <v>72569.248819819826</v>
      </c>
    </row>
    <row r="7" spans="1:7">
      <c r="A7" s="17" t="s">
        <v>31</v>
      </c>
      <c r="B7" s="256">
        <v>45557.717999999993</v>
      </c>
      <c r="C7" s="256">
        <v>37</v>
      </c>
      <c r="D7" s="256">
        <v>935.43999999999994</v>
      </c>
      <c r="E7" s="256">
        <v>2921.9576190476182</v>
      </c>
      <c r="F7" s="256">
        <f>'Raw Loss State'!F83</f>
        <v>839.96166666666693</v>
      </c>
      <c r="G7" s="285">
        <f>SUM(LivingQuarter[[#This Row],[2021]:[2025]])</f>
        <v>50292.077285714287</v>
      </c>
    </row>
    <row r="8" spans="1:7">
      <c r="A8" s="18" t="s">
        <v>32</v>
      </c>
      <c r="B8" s="256">
        <v>425508.18</v>
      </c>
      <c r="C8" s="256">
        <v>1828.2157803030304</v>
      </c>
      <c r="D8" s="256">
        <v>6659.1094825174823</v>
      </c>
      <c r="E8" s="256">
        <v>10961.249924630923</v>
      </c>
      <c r="F8" s="256">
        <f>'Raw Loss State'!F85</f>
        <v>18775.599187428601</v>
      </c>
      <c r="G8" s="285">
        <f>SUM(LivingQuarter[[#This Row],[2021]:[2025]])</f>
        <v>463732.35437488003</v>
      </c>
    </row>
    <row r="9" spans="1:7">
      <c r="A9" s="17" t="s">
        <v>33</v>
      </c>
      <c r="B9" s="256">
        <v>0</v>
      </c>
      <c r="C9" s="256">
        <v>97.704999999999998</v>
      </c>
      <c r="D9" s="256">
        <v>42.78142857142857</v>
      </c>
      <c r="E9" s="256">
        <v>886.93099999999902</v>
      </c>
      <c r="F9" s="256">
        <f>'Raw Loss State'!F87</f>
        <v>848.67389316239303</v>
      </c>
      <c r="G9" s="285">
        <f>SUM(LivingQuarter[[#This Row],[2021]:[2025]])</f>
        <v>1876.0913217338207</v>
      </c>
    </row>
    <row r="10" spans="1:7">
      <c r="A10" s="18" t="s">
        <v>34</v>
      </c>
      <c r="B10" s="256">
        <v>2707.6</v>
      </c>
      <c r="C10" s="256">
        <v>1575.3458333333333</v>
      </c>
      <c r="D10" s="256">
        <v>496.70442857142859</v>
      </c>
      <c r="E10" s="256">
        <v>12172.21976915183</v>
      </c>
      <c r="F10" s="256">
        <f>'Raw Loss State'!F89</f>
        <v>15337.203999999998</v>
      </c>
      <c r="G10" s="285">
        <f>SUM(LivingQuarter[[#This Row],[2021]:[2025]])</f>
        <v>32289.074031056589</v>
      </c>
    </row>
    <row r="11" spans="1:7">
      <c r="A11" s="17" t="s">
        <v>35</v>
      </c>
      <c r="B11" s="256">
        <v>0</v>
      </c>
      <c r="C11" s="256">
        <v>5.6</v>
      </c>
      <c r="D11" s="256">
        <v>60</v>
      </c>
      <c r="E11" s="256">
        <v>529.85</v>
      </c>
      <c r="F11" s="256">
        <f>'Raw Loss State'!F91</f>
        <v>5207.01</v>
      </c>
      <c r="G11" s="285">
        <f>SUM(LivingQuarter[[#This Row],[2021]:[2025]])</f>
        <v>5802.46</v>
      </c>
    </row>
    <row r="12" spans="1:7">
      <c r="A12" s="18" t="s">
        <v>36</v>
      </c>
      <c r="B12" s="256">
        <f>'Raw Loss State'!E27</f>
        <v>7165.482</v>
      </c>
      <c r="C12" s="256">
        <f>'Raw Loss State'!E60</f>
        <v>5359.5501948051951</v>
      </c>
      <c r="D12" s="256">
        <f>'Raw Loss State'!F60</f>
        <v>10997.194142857143</v>
      </c>
      <c r="E12" s="256">
        <f>'Raw Loss State'!E97</f>
        <v>17317.746647619013</v>
      </c>
      <c r="F12" s="256">
        <f>'Raw Loss State'!F97</f>
        <v>27709.333999999999</v>
      </c>
      <c r="G12" s="285">
        <f>SUM(LivingQuarter[[#This Row],[2021]:[2025]])</f>
        <v>68549.30698528135</v>
      </c>
    </row>
    <row r="13" spans="1:7">
      <c r="A13" s="17" t="s">
        <v>37</v>
      </c>
      <c r="B13" s="256">
        <f>'Raw Loss State'!E29</f>
        <v>10</v>
      </c>
      <c r="C13" s="256">
        <f>'Raw Loss State'!E62</f>
        <v>903.08352713178306</v>
      </c>
      <c r="D13" s="256">
        <f>'Raw Loss State'!F62</f>
        <v>328.56400000000002</v>
      </c>
      <c r="E13" s="256">
        <f>'Raw Loss State'!E99</f>
        <v>2198.5730609523812</v>
      </c>
      <c r="F13" s="256">
        <f>'Raw Loss State'!F99</f>
        <v>32553.620999999999</v>
      </c>
      <c r="G13" s="285">
        <f>SUM(LivingQuarter[[#This Row],[2021]:[2025]])</f>
        <v>35993.841588084164</v>
      </c>
    </row>
    <row r="14" spans="1:7">
      <c r="A14" s="18" t="s">
        <v>38</v>
      </c>
      <c r="B14" s="256">
        <f>'Raw Loss State'!E23</f>
        <v>1011762.2200000001</v>
      </c>
      <c r="C14" s="256">
        <f>'Raw Loss State'!E56</f>
        <v>2548.8000000000002</v>
      </c>
      <c r="D14" s="256">
        <f>'Raw Loss State'!F56</f>
        <v>880.84999999999991</v>
      </c>
      <c r="E14" s="256">
        <f>'Raw Loss State'!E93</f>
        <v>6629.4919549704646</v>
      </c>
      <c r="F14" s="256">
        <f>'Raw Loss State'!F93</f>
        <v>15288.229418690262</v>
      </c>
      <c r="G14" s="285">
        <f>SUM(LivingQuarter[[#This Row],[2021]:[2025]])</f>
        <v>1037109.5913736608</v>
      </c>
    </row>
    <row r="15" spans="1:7">
      <c r="A15" s="17" t="s">
        <v>39</v>
      </c>
      <c r="B15" s="256">
        <f>'Raw Loss State'!E25</f>
        <v>253.69699999999997</v>
      </c>
      <c r="C15" s="256">
        <f>'Raw Loss State'!E58</f>
        <v>84162.270712121201</v>
      </c>
      <c r="D15" s="256">
        <f>'Raw Loss State'!F58</f>
        <v>9713.7460424242418</v>
      </c>
      <c r="E15" s="256">
        <f>'Raw Loss State'!E95</f>
        <v>103127.90539999999</v>
      </c>
      <c r="F15" s="256">
        <f>'Raw Loss State'!F95</f>
        <v>14946.5695</v>
      </c>
      <c r="G15" s="285">
        <f>SUM(LivingQuarter[[#This Row],[2021]:[2025]])</f>
        <v>212204.18865454543</v>
      </c>
    </row>
    <row r="16" spans="1:7">
      <c r="A16" s="18" t="s">
        <v>41</v>
      </c>
      <c r="B16" s="256">
        <v>22371.09</v>
      </c>
      <c r="C16" s="256">
        <v>0</v>
      </c>
      <c r="D16" s="256">
        <v>0</v>
      </c>
      <c r="E16" s="256">
        <v>61.023000000000003</v>
      </c>
      <c r="F16" s="256">
        <f>'Raw Loss State'!F101</f>
        <v>0</v>
      </c>
      <c r="G16" s="285">
        <f>SUM(LivingQuarter[[#This Row],[2021]:[2025]])</f>
        <v>22432.113000000001</v>
      </c>
    </row>
    <row r="17" spans="1:14">
      <c r="A17" s="17" t="s">
        <v>70</v>
      </c>
      <c r="B17" s="252">
        <v>0</v>
      </c>
      <c r="C17" s="256">
        <v>0</v>
      </c>
      <c r="D17" s="256">
        <v>0</v>
      </c>
      <c r="E17" s="256">
        <v>68.866</v>
      </c>
      <c r="F17" s="256">
        <f>'Raw Loss State'!F103</f>
        <v>0</v>
      </c>
      <c r="G17" s="285">
        <f>SUM(LivingQuarter[[#This Row],[2021]:[2025]])</f>
        <v>68.866</v>
      </c>
    </row>
    <row r="18" spans="1:14">
      <c r="A18" s="18" t="s">
        <v>71</v>
      </c>
      <c r="B18" s="252">
        <v>0</v>
      </c>
      <c r="C18" s="256">
        <v>0</v>
      </c>
      <c r="D18" s="256">
        <v>0</v>
      </c>
      <c r="E18" s="256">
        <v>0</v>
      </c>
      <c r="F18" s="256">
        <f>'Raw Loss State'!F105</f>
        <v>0</v>
      </c>
      <c r="G18" s="285">
        <f>SUM(LivingQuarter[[#This Row],[2021]:[2025]])</f>
        <v>0</v>
      </c>
    </row>
    <row r="20" spans="1:14">
      <c r="A20" s="346" t="s">
        <v>44</v>
      </c>
      <c r="B20" s="346"/>
      <c r="C20" s="346"/>
      <c r="D20" s="346"/>
      <c r="E20" s="346"/>
    </row>
    <row r="21" spans="1:14" ht="15" thickBot="1">
      <c r="A21" s="9" t="s">
        <v>97</v>
      </c>
      <c r="B21" s="9" t="s">
        <v>46</v>
      </c>
      <c r="C21" s="9" t="s">
        <v>47</v>
      </c>
      <c r="D21" s="75" t="s">
        <v>48</v>
      </c>
      <c r="E21" s="75" t="s">
        <v>49</v>
      </c>
    </row>
    <row r="22" spans="1:14" ht="15" thickBot="1">
      <c r="A22" s="263" t="s">
        <v>51</v>
      </c>
      <c r="B22" s="263">
        <f t="shared" ref="B22:E37" si="0">C3-B3</f>
        <v>-19279.961792717088</v>
      </c>
      <c r="C22" s="263">
        <f t="shared" si="0"/>
        <v>121295.46771849305</v>
      </c>
      <c r="D22" s="263">
        <f t="shared" si="0"/>
        <v>-100626.11471935647</v>
      </c>
      <c r="E22" s="263">
        <f t="shared" si="0"/>
        <v>4908.5827935804991</v>
      </c>
      <c r="I22" s="54"/>
      <c r="J22" s="55"/>
      <c r="K22" s="54"/>
      <c r="L22" s="55"/>
      <c r="M22" s="1"/>
      <c r="N22" s="1"/>
    </row>
    <row r="23" spans="1:14" ht="15" thickTop="1">
      <c r="A23" s="263" t="s">
        <v>51</v>
      </c>
      <c r="B23" s="263">
        <f t="shared" si="0"/>
        <v>14230.094999999999</v>
      </c>
      <c r="C23" s="263">
        <f t="shared" si="0"/>
        <v>-15007.383333333333</v>
      </c>
      <c r="D23" s="263">
        <f t="shared" si="0"/>
        <v>53748.455333333339</v>
      </c>
      <c r="E23" s="263">
        <f t="shared" si="0"/>
        <v>-44239.184000000001</v>
      </c>
      <c r="I23" s="2"/>
      <c r="J23" s="52"/>
      <c r="K23" s="56"/>
      <c r="L23" s="52"/>
      <c r="M23" s="57"/>
      <c r="N23" s="57"/>
    </row>
    <row r="24" spans="1:14">
      <c r="A24" s="263" t="s">
        <v>51</v>
      </c>
      <c r="B24" s="263">
        <f t="shared" si="0"/>
        <v>28442.208473304472</v>
      </c>
      <c r="C24" s="263">
        <f t="shared" si="0"/>
        <v>-29002.60813997114</v>
      </c>
      <c r="D24" s="263">
        <f t="shared" si="0"/>
        <v>123583.11762650676</v>
      </c>
      <c r="E24" s="263">
        <f t="shared" si="0"/>
        <v>-123397.26800389205</v>
      </c>
      <c r="I24" s="2"/>
      <c r="J24" s="58"/>
      <c r="K24" s="57"/>
      <c r="L24" s="58"/>
      <c r="M24" s="57"/>
      <c r="N24" s="57"/>
    </row>
    <row r="25" spans="1:14">
      <c r="A25" s="263" t="s">
        <v>51</v>
      </c>
      <c r="B25" s="263">
        <f t="shared" si="0"/>
        <v>-69136.753500000006</v>
      </c>
      <c r="C25" s="263">
        <f t="shared" si="0"/>
        <v>-16.800180180180178</v>
      </c>
      <c r="D25" s="263">
        <f t="shared" si="0"/>
        <v>506.71368018018018</v>
      </c>
      <c r="E25" s="263">
        <f t="shared" si="0"/>
        <v>-318.79399999999998</v>
      </c>
      <c r="I25" s="3"/>
      <c r="J25" s="59"/>
      <c r="K25" s="24"/>
      <c r="L25" s="59"/>
      <c r="M25" s="24"/>
      <c r="N25" s="24"/>
    </row>
    <row r="26" spans="1:14">
      <c r="A26" s="263" t="s">
        <v>51</v>
      </c>
      <c r="B26" s="263">
        <f t="shared" si="0"/>
        <v>-45520.717999999993</v>
      </c>
      <c r="C26" s="263">
        <f t="shared" si="0"/>
        <v>898.43999999999994</v>
      </c>
      <c r="D26" s="263">
        <f t="shared" si="0"/>
        <v>1986.5176190476182</v>
      </c>
      <c r="E26" s="263">
        <f t="shared" si="0"/>
        <v>-2081.9959523809512</v>
      </c>
      <c r="I26" s="3"/>
      <c r="J26" s="59"/>
      <c r="K26" s="24"/>
      <c r="L26" s="59"/>
      <c r="M26" s="24"/>
      <c r="N26" s="24"/>
    </row>
    <row r="27" spans="1:14">
      <c r="A27" s="263" t="s">
        <v>51</v>
      </c>
      <c r="B27" s="263">
        <f t="shared" si="0"/>
        <v>-423679.96421969694</v>
      </c>
      <c r="C27" s="263">
        <f t="shared" si="0"/>
        <v>4830.8937022144519</v>
      </c>
      <c r="D27" s="263">
        <f t="shared" si="0"/>
        <v>4302.1404421134412</v>
      </c>
      <c r="E27" s="263">
        <f t="shared" si="0"/>
        <v>7814.3492627976775</v>
      </c>
      <c r="I27" s="3"/>
      <c r="J27" s="59"/>
      <c r="K27" s="24"/>
      <c r="L27" s="59"/>
      <c r="M27" s="24"/>
      <c r="N27" s="24"/>
    </row>
    <row r="28" spans="1:14">
      <c r="A28" s="263" t="s">
        <v>51</v>
      </c>
      <c r="B28" s="263">
        <f t="shared" si="0"/>
        <v>97.704999999999998</v>
      </c>
      <c r="C28" s="263">
        <f t="shared" si="0"/>
        <v>-54.923571428571428</v>
      </c>
      <c r="D28" s="263">
        <f t="shared" si="0"/>
        <v>844.14957142857043</v>
      </c>
      <c r="E28" s="263">
        <f t="shared" si="0"/>
        <v>-38.257106837605988</v>
      </c>
      <c r="I28" s="3"/>
      <c r="J28" s="24"/>
      <c r="K28" s="24"/>
      <c r="L28" s="24"/>
      <c r="M28" s="24"/>
      <c r="N28" s="24"/>
    </row>
    <row r="29" spans="1:14">
      <c r="A29" s="263" t="s">
        <v>51</v>
      </c>
      <c r="B29" s="263">
        <f t="shared" si="0"/>
        <v>-1132.2541666666666</v>
      </c>
      <c r="C29" s="263">
        <f t="shared" si="0"/>
        <v>-1078.6414047619046</v>
      </c>
      <c r="D29" s="263">
        <f t="shared" si="0"/>
        <v>11675.515340580401</v>
      </c>
      <c r="E29" s="263">
        <f t="shared" si="0"/>
        <v>3164.9842308481675</v>
      </c>
      <c r="I29" s="3"/>
      <c r="J29" s="24"/>
      <c r="K29" s="24"/>
      <c r="L29" s="24"/>
      <c r="M29" s="24"/>
      <c r="N29" s="24"/>
    </row>
    <row r="30" spans="1:14">
      <c r="A30" s="263" t="s">
        <v>51</v>
      </c>
      <c r="B30" s="263">
        <f t="shared" si="0"/>
        <v>5.6</v>
      </c>
      <c r="C30" s="263">
        <f t="shared" si="0"/>
        <v>54.4</v>
      </c>
      <c r="D30" s="263">
        <f t="shared" si="0"/>
        <v>469.85</v>
      </c>
      <c r="E30" s="263">
        <f t="shared" si="0"/>
        <v>4677.16</v>
      </c>
      <c r="I30" s="3"/>
      <c r="J30" s="24"/>
      <c r="K30" s="24"/>
      <c r="L30" s="24"/>
      <c r="M30" s="24"/>
      <c r="N30" s="24"/>
    </row>
    <row r="31" spans="1:14">
      <c r="A31" s="263" t="s">
        <v>51</v>
      </c>
      <c r="B31" s="263">
        <f t="shared" si="0"/>
        <v>-1805.9318051948048</v>
      </c>
      <c r="C31" s="263">
        <f t="shared" si="0"/>
        <v>5637.6439480519475</v>
      </c>
      <c r="D31" s="263">
        <f t="shared" si="0"/>
        <v>6320.5525047618703</v>
      </c>
      <c r="E31" s="263">
        <f t="shared" si="0"/>
        <v>10391.587352380986</v>
      </c>
      <c r="I31" s="3"/>
      <c r="J31" s="24"/>
      <c r="K31" s="24"/>
      <c r="L31" s="24"/>
      <c r="M31" s="24"/>
      <c r="N31" s="24"/>
    </row>
    <row r="32" spans="1:14">
      <c r="A32" s="263" t="s">
        <v>51</v>
      </c>
      <c r="B32" s="263">
        <f t="shared" si="0"/>
        <v>893.08352713178306</v>
      </c>
      <c r="C32" s="263">
        <f t="shared" si="0"/>
        <v>-574.51952713178298</v>
      </c>
      <c r="D32" s="263">
        <f t="shared" si="0"/>
        <v>1870.0090609523811</v>
      </c>
      <c r="E32" s="263">
        <f t="shared" si="0"/>
        <v>30355.047939047618</v>
      </c>
      <c r="I32" s="3"/>
      <c r="J32" s="24"/>
      <c r="K32" s="24"/>
      <c r="L32" s="24"/>
      <c r="M32" s="24"/>
      <c r="N32" s="24"/>
    </row>
    <row r="33" spans="1:14">
      <c r="A33" s="263" t="s">
        <v>51</v>
      </c>
      <c r="B33" s="263">
        <f t="shared" si="0"/>
        <v>-1009213.42</v>
      </c>
      <c r="C33" s="263">
        <f t="shared" si="0"/>
        <v>-1667.9500000000003</v>
      </c>
      <c r="D33" s="263">
        <f t="shared" si="0"/>
        <v>5748.6419549704642</v>
      </c>
      <c r="E33" s="263">
        <f t="shared" si="0"/>
        <v>8658.7374637197972</v>
      </c>
      <c r="I33" s="3"/>
      <c r="J33" s="24"/>
      <c r="K33" s="24"/>
      <c r="L33" s="24"/>
      <c r="M33" s="24"/>
      <c r="N33" s="24"/>
    </row>
    <row r="34" spans="1:14">
      <c r="A34" s="263" t="s">
        <v>51</v>
      </c>
      <c r="B34" s="263">
        <f t="shared" si="0"/>
        <v>83908.573712121201</v>
      </c>
      <c r="C34" s="263">
        <f t="shared" si="0"/>
        <v>-74448.524669696955</v>
      </c>
      <c r="D34" s="263">
        <f t="shared" si="0"/>
        <v>93414.159357575743</v>
      </c>
      <c r="E34" s="263">
        <f t="shared" si="0"/>
        <v>-88181.335899999991</v>
      </c>
      <c r="I34" s="3"/>
      <c r="J34" s="24"/>
      <c r="K34" s="24"/>
      <c r="L34" s="24"/>
      <c r="M34" s="24"/>
      <c r="N34" s="24"/>
    </row>
    <row r="35" spans="1:14">
      <c r="A35" s="263" t="s">
        <v>51</v>
      </c>
      <c r="B35" s="263">
        <f t="shared" si="0"/>
        <v>-22371.09</v>
      </c>
      <c r="C35" s="263">
        <f t="shared" si="0"/>
        <v>0</v>
      </c>
      <c r="D35" s="263">
        <f t="shared" si="0"/>
        <v>61.023000000000003</v>
      </c>
      <c r="E35" s="263">
        <f t="shared" si="0"/>
        <v>-61.023000000000003</v>
      </c>
      <c r="I35" s="3"/>
      <c r="J35" s="62"/>
      <c r="K35" s="24"/>
      <c r="L35" s="62"/>
      <c r="M35" s="24"/>
      <c r="N35" s="24"/>
    </row>
    <row r="36" spans="1:14">
      <c r="A36" s="263" t="s">
        <v>51</v>
      </c>
      <c r="B36" s="263">
        <f t="shared" si="0"/>
        <v>0</v>
      </c>
      <c r="C36" s="263">
        <f t="shared" si="0"/>
        <v>0</v>
      </c>
      <c r="D36" s="263">
        <f t="shared" si="0"/>
        <v>68.866</v>
      </c>
      <c r="E36" s="263">
        <f t="shared" si="0"/>
        <v>-68.866</v>
      </c>
      <c r="I36" s="3"/>
      <c r="J36" s="57"/>
      <c r="K36" s="24"/>
      <c r="L36" s="57"/>
      <c r="M36" s="24"/>
      <c r="N36" s="24"/>
    </row>
    <row r="37" spans="1:14">
      <c r="A37" s="263" t="s">
        <v>51</v>
      </c>
      <c r="B37" s="263">
        <f t="shared" si="0"/>
        <v>0</v>
      </c>
      <c r="C37" s="263">
        <f t="shared" si="0"/>
        <v>0</v>
      </c>
      <c r="D37" s="263">
        <f t="shared" si="0"/>
        <v>0</v>
      </c>
      <c r="E37" s="263">
        <f t="shared" si="0"/>
        <v>0</v>
      </c>
      <c r="I37" s="3"/>
      <c r="J37" s="57"/>
      <c r="K37" s="24"/>
      <c r="L37" s="57"/>
      <c r="M37" s="24"/>
      <c r="N37" s="24"/>
    </row>
    <row r="38" spans="1:14">
      <c r="I38" s="3"/>
      <c r="J38" s="24"/>
      <c r="K38" s="24"/>
      <c r="L38" s="24"/>
      <c r="M38" s="24"/>
      <c r="N38" s="24"/>
    </row>
    <row r="39" spans="1:14">
      <c r="A39" s="346" t="s">
        <v>73</v>
      </c>
      <c r="B39" s="346"/>
      <c r="C39" s="346"/>
      <c r="D39" s="346"/>
      <c r="E39" s="346"/>
      <c r="I39" s="3"/>
      <c r="J39" s="61"/>
      <c r="K39" s="24"/>
      <c r="L39" s="61"/>
      <c r="M39" s="24"/>
      <c r="N39" s="24"/>
    </row>
    <row r="40" spans="1:14" ht="15" thickBot="1">
      <c r="A40" s="9" t="s">
        <v>97</v>
      </c>
      <c r="B40" s="9" t="s">
        <v>46</v>
      </c>
      <c r="C40" s="9" t="s">
        <v>47</v>
      </c>
      <c r="D40" s="75" t="s">
        <v>48</v>
      </c>
      <c r="E40" s="75" t="s">
        <v>49</v>
      </c>
      <c r="I40" s="3"/>
      <c r="J40" s="61"/>
      <c r="K40" s="24"/>
      <c r="L40" s="61"/>
      <c r="M40" s="24"/>
      <c r="N40" s="24"/>
    </row>
    <row r="41" spans="1:14">
      <c r="A41" s="264" t="s">
        <v>51</v>
      </c>
      <c r="B41" s="264">
        <f t="shared" ref="B41:E56" si="1">IFERROR(B22/B3,"-")</f>
        <v>-0.96928164387662585</v>
      </c>
      <c r="C41" s="264">
        <f t="shared" si="1"/>
        <v>198.51367156123209</v>
      </c>
      <c r="D41" s="264">
        <f t="shared" si="1"/>
        <v>-0.82543692368118726</v>
      </c>
      <c r="E41" s="264">
        <f t="shared" si="1"/>
        <v>0.23066246100536825</v>
      </c>
      <c r="I41" s="3"/>
      <c r="J41" s="24"/>
      <c r="K41" s="24"/>
      <c r="L41" s="24"/>
      <c r="M41" s="24"/>
      <c r="N41" s="24"/>
    </row>
    <row r="42" spans="1:14">
      <c r="A42" s="264" t="s">
        <v>51</v>
      </c>
      <c r="B42" s="264">
        <f t="shared" si="1"/>
        <v>13.657110911699641</v>
      </c>
      <c r="C42" s="264">
        <f t="shared" si="1"/>
        <v>-0.98266986641173482</v>
      </c>
      <c r="D42" s="264">
        <f t="shared" si="1"/>
        <v>203.07980604534009</v>
      </c>
      <c r="E42" s="264">
        <f t="shared" si="1"/>
        <v>-0.81904512018394338</v>
      </c>
      <c r="I42" s="3"/>
      <c r="J42" s="24"/>
      <c r="K42" s="24"/>
      <c r="L42" s="24"/>
      <c r="M42" s="24"/>
      <c r="N42" s="24"/>
    </row>
    <row r="43" spans="1:14">
      <c r="A43" s="264" t="s">
        <v>51</v>
      </c>
      <c r="B43" s="264">
        <f t="shared" si="1"/>
        <v>1.7785050507937914</v>
      </c>
      <c r="C43" s="264">
        <f t="shared" si="1"/>
        <v>-0.65270607028324623</v>
      </c>
      <c r="D43" s="264">
        <f t="shared" si="1"/>
        <v>8.0083408906971183</v>
      </c>
      <c r="E43" s="264">
        <f t="shared" si="1"/>
        <v>-0.88765486334020771</v>
      </c>
      <c r="I43" s="3"/>
      <c r="J43" s="24"/>
      <c r="K43" s="24"/>
      <c r="L43" s="24"/>
      <c r="M43" s="24"/>
      <c r="N43" s="24"/>
    </row>
    <row r="44" spans="1:14">
      <c r="A44" s="264" t="s">
        <v>51</v>
      </c>
      <c r="B44" s="264">
        <f t="shared" si="1"/>
        <v>-0.99199860459388955</v>
      </c>
      <c r="C44" s="264">
        <f t="shared" si="1"/>
        <v>-3.0126611429483731E-2</v>
      </c>
      <c r="D44" s="264">
        <f t="shared" si="1"/>
        <v>0.9368799238006178</v>
      </c>
      <c r="E44" s="264">
        <f t="shared" si="1"/>
        <v>-0.3043187732324264</v>
      </c>
      <c r="I44" s="3"/>
      <c r="J44" s="24"/>
      <c r="K44" s="24"/>
      <c r="L44" s="24"/>
      <c r="M44" s="24"/>
      <c r="N44" s="24"/>
    </row>
    <row r="45" spans="1:14">
      <c r="A45" s="264" t="s">
        <v>51</v>
      </c>
      <c r="B45" s="264">
        <f t="shared" si="1"/>
        <v>-0.99918784342973455</v>
      </c>
      <c r="C45" s="264">
        <f t="shared" si="1"/>
        <v>24.282162162162159</v>
      </c>
      <c r="D45" s="264">
        <f t="shared" si="1"/>
        <v>2.1236184245356391</v>
      </c>
      <c r="E45" s="264">
        <f t="shared" si="1"/>
        <v>-0.71253461679555641</v>
      </c>
      <c r="I45" s="3"/>
      <c r="J45" s="63"/>
      <c r="K45" s="24"/>
      <c r="L45" s="63"/>
      <c r="M45" s="24"/>
      <c r="N45" s="24"/>
    </row>
    <row r="46" spans="1:14">
      <c r="A46" s="264" t="s">
        <v>51</v>
      </c>
      <c r="B46" s="264">
        <f t="shared" si="1"/>
        <v>-0.99570345326780074</v>
      </c>
      <c r="C46" s="264">
        <f t="shared" si="1"/>
        <v>2.6424089291110491</v>
      </c>
      <c r="D46" s="264">
        <f t="shared" si="1"/>
        <v>0.64605341801453808</v>
      </c>
      <c r="E46" s="264">
        <f t="shared" si="1"/>
        <v>0.71290676852811519</v>
      </c>
      <c r="I46" s="3"/>
      <c r="J46" s="57"/>
      <c r="K46" s="24"/>
      <c r="L46" s="57"/>
      <c r="M46" s="24"/>
      <c r="N46" s="24"/>
    </row>
    <row r="47" spans="1:14">
      <c r="A47" s="264" t="s">
        <v>51</v>
      </c>
      <c r="B47" s="264" t="str">
        <f t="shared" si="1"/>
        <v>-</v>
      </c>
      <c r="C47" s="264">
        <f t="shared" si="1"/>
        <v>-0.56213675276159281</v>
      </c>
      <c r="D47" s="264">
        <f t="shared" si="1"/>
        <v>19.73168263932946</v>
      </c>
      <c r="E47" s="264">
        <f t="shared" si="1"/>
        <v>-4.3134253778034627E-2</v>
      </c>
      <c r="I47" s="3"/>
      <c r="J47" s="57"/>
      <c r="K47" s="24"/>
      <c r="L47" s="57"/>
      <c r="M47" s="24"/>
      <c r="N47" s="24"/>
    </row>
    <row r="48" spans="1:14">
      <c r="A48" s="264" t="s">
        <v>51</v>
      </c>
      <c r="B48" s="264">
        <f t="shared" si="1"/>
        <v>-0.41817630619983254</v>
      </c>
      <c r="C48" s="264">
        <f t="shared" si="1"/>
        <v>-0.68470134108874803</v>
      </c>
      <c r="D48" s="264">
        <f t="shared" si="1"/>
        <v>23.505961833600612</v>
      </c>
      <c r="E48" s="264">
        <f t="shared" si="1"/>
        <v>0.26001701340204325</v>
      </c>
      <c r="I48" s="3"/>
      <c r="J48" s="57"/>
      <c r="K48" s="24"/>
      <c r="L48" s="57"/>
      <c r="M48" s="24"/>
      <c r="N48" s="24"/>
    </row>
    <row r="49" spans="1:14">
      <c r="A49" s="264" t="s">
        <v>51</v>
      </c>
      <c r="B49" s="264" t="str">
        <f t="shared" si="1"/>
        <v>-</v>
      </c>
      <c r="C49" s="264">
        <f t="shared" si="1"/>
        <v>9.7142857142857153</v>
      </c>
      <c r="D49" s="264">
        <f t="shared" si="1"/>
        <v>7.8308333333333335</v>
      </c>
      <c r="E49" s="264">
        <f t="shared" si="1"/>
        <v>8.8273284891950539</v>
      </c>
      <c r="I49" s="3"/>
      <c r="J49" s="57"/>
      <c r="K49" s="24"/>
      <c r="L49" s="57"/>
      <c r="M49" s="24"/>
      <c r="N49" s="24"/>
    </row>
    <row r="50" spans="1:14">
      <c r="A50" s="264" t="s">
        <v>51</v>
      </c>
      <c r="B50" s="264">
        <f t="shared" si="1"/>
        <v>-0.25203214594563278</v>
      </c>
      <c r="C50" s="264">
        <f t="shared" si="1"/>
        <v>1.0518875172614854</v>
      </c>
      <c r="D50" s="264">
        <f t="shared" si="1"/>
        <v>0.57474228631920377</v>
      </c>
      <c r="E50" s="264">
        <f t="shared" si="1"/>
        <v>0.60005424284283004</v>
      </c>
      <c r="I50" s="3"/>
      <c r="J50" s="57"/>
      <c r="K50" s="24"/>
      <c r="L50" s="57"/>
      <c r="M50" s="24"/>
      <c r="N50" s="24"/>
    </row>
    <row r="51" spans="1:14">
      <c r="A51" s="264" t="s">
        <v>51</v>
      </c>
      <c r="B51" s="264">
        <f t="shared" si="1"/>
        <v>89.308352713178309</v>
      </c>
      <c r="C51" s="264">
        <f t="shared" si="1"/>
        <v>-0.63617540334997813</v>
      </c>
      <c r="D51" s="264">
        <f t="shared" si="1"/>
        <v>5.6914606011382292</v>
      </c>
      <c r="E51" s="264">
        <f t="shared" si="1"/>
        <v>13.80670421109334</v>
      </c>
      <c r="I51" s="3"/>
      <c r="J51" s="57"/>
      <c r="K51" s="24"/>
      <c r="L51" s="57"/>
      <c r="M51" s="24"/>
      <c r="N51" s="24"/>
    </row>
    <row r="52" spans="1:14">
      <c r="A52" s="264" t="s">
        <v>51</v>
      </c>
      <c r="B52" s="264">
        <f t="shared" si="1"/>
        <v>-0.9974808310197627</v>
      </c>
      <c r="C52" s="264">
        <f t="shared" si="1"/>
        <v>-0.65440599497802898</v>
      </c>
      <c r="D52" s="264">
        <f t="shared" si="1"/>
        <v>6.526243917773134</v>
      </c>
      <c r="E52" s="264">
        <f t="shared" si="1"/>
        <v>1.3060936678907809</v>
      </c>
      <c r="I52" s="3"/>
      <c r="J52" s="57"/>
      <c r="K52" s="24"/>
      <c r="L52" s="57"/>
      <c r="M52" s="24"/>
      <c r="N52" s="24"/>
    </row>
    <row r="53" spans="1:14">
      <c r="A53" s="264" t="s">
        <v>51</v>
      </c>
      <c r="B53" s="264">
        <f t="shared" si="1"/>
        <v>330.74326346831538</v>
      </c>
      <c r="C53" s="264">
        <f t="shared" si="1"/>
        <v>-0.88458312780497195</v>
      </c>
      <c r="D53" s="264">
        <f t="shared" si="1"/>
        <v>9.6166977136930107</v>
      </c>
      <c r="E53" s="264">
        <f t="shared" si="1"/>
        <v>-0.85506765174734167</v>
      </c>
      <c r="I53" s="3"/>
      <c r="J53" s="57"/>
      <c r="K53" s="24"/>
      <c r="L53" s="57"/>
      <c r="M53" s="24"/>
      <c r="N53" s="24"/>
    </row>
    <row r="54" spans="1:14">
      <c r="A54" s="264" t="s">
        <v>51</v>
      </c>
      <c r="B54" s="264">
        <f t="shared" si="1"/>
        <v>-1</v>
      </c>
      <c r="C54" s="264" t="str">
        <f t="shared" si="1"/>
        <v>-</v>
      </c>
      <c r="D54" s="264" t="str">
        <f t="shared" si="1"/>
        <v>-</v>
      </c>
      <c r="E54" s="264">
        <f t="shared" si="1"/>
        <v>-1</v>
      </c>
      <c r="I54" s="3"/>
      <c r="J54" s="57"/>
      <c r="K54" s="24"/>
      <c r="L54" s="57"/>
      <c r="M54" s="24"/>
      <c r="N54" s="24"/>
    </row>
    <row r="55" spans="1:14">
      <c r="A55" s="264" t="s">
        <v>51</v>
      </c>
      <c r="B55" s="264" t="str">
        <f t="shared" si="1"/>
        <v>-</v>
      </c>
      <c r="C55" s="264" t="str">
        <f t="shared" si="1"/>
        <v>-</v>
      </c>
      <c r="D55" s="264" t="str">
        <f t="shared" si="1"/>
        <v>-</v>
      </c>
      <c r="E55" s="264">
        <f t="shared" si="1"/>
        <v>-1</v>
      </c>
      <c r="I55" s="3"/>
      <c r="J55" s="57"/>
      <c r="K55" s="24"/>
      <c r="L55" s="57"/>
      <c r="M55" s="24"/>
      <c r="N55" s="24"/>
    </row>
    <row r="56" spans="1:14">
      <c r="A56" s="264" t="s">
        <v>51</v>
      </c>
      <c r="B56" s="264" t="str">
        <f t="shared" si="1"/>
        <v>-</v>
      </c>
      <c r="C56" s="264" t="str">
        <f t="shared" si="1"/>
        <v>-</v>
      </c>
      <c r="D56" s="264" t="str">
        <f t="shared" si="1"/>
        <v>-</v>
      </c>
      <c r="E56" s="264" t="str">
        <f t="shared" si="1"/>
        <v>-</v>
      </c>
    </row>
  </sheetData>
  <mergeCells count="2">
    <mergeCell ref="A20:E20"/>
    <mergeCell ref="A39:E39"/>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097" r:id="rId3" name="Button 1">
              <controlPr defaultSize="0" print="0" autoFill="0" autoPict="0" macro="[0]!Sheet2.Go_Malaysia">
                <anchor moveWithCells="1" sizeWithCells="1">
                  <from>
                    <xdr:col>7</xdr:col>
                    <xdr:colOff>127000</xdr:colOff>
                    <xdr:row>1</xdr:row>
                    <xdr:rowOff>184150</xdr:rowOff>
                  </from>
                  <to>
                    <xdr:col>8</xdr:col>
                    <xdr:colOff>1085850</xdr:colOff>
                    <xdr:row>6</xdr:row>
                    <xdr:rowOff>82550</xdr:rowOff>
                  </to>
                </anchor>
              </controlPr>
            </control>
          </mc:Choice>
        </mc:AlternateContent>
        <mc:AlternateContent xmlns:mc="http://schemas.openxmlformats.org/markup-compatibility/2006">
          <mc:Choice Requires="x14">
            <control shapeId="4098" r:id="rId4" name="Button 2">
              <controlPr defaultSize="0" print="0" autoFill="0" autoPict="0" macro="[0]!Sheet2.Go_Dashboard">
                <anchor moveWithCells="1" sizeWithCells="1">
                  <from>
                    <xdr:col>7</xdr:col>
                    <xdr:colOff>158750</xdr:colOff>
                    <xdr:row>7</xdr:row>
                    <xdr:rowOff>69850</xdr:rowOff>
                  </from>
                  <to>
                    <xdr:col>8</xdr:col>
                    <xdr:colOff>1130300</xdr:colOff>
                    <xdr:row>11</xdr:row>
                    <xdr:rowOff>44450</xdr:rowOff>
                  </to>
                </anchor>
              </controlPr>
            </control>
          </mc:Choice>
        </mc:AlternateContent>
      </controls>
    </mc:Choice>
  </mc:AlternateContent>
  <tableParts count="1">
    <tablePart r:id="rId5"/>
  </tablePart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5C0B4-C29C-4CC8-952D-D2261F83DE99}">
  <sheetPr codeName="Sheet9"/>
  <dimension ref="A1:S18"/>
  <sheetViews>
    <sheetView zoomScale="56" workbookViewId="0">
      <selection activeCell="A2" sqref="A2"/>
    </sheetView>
  </sheetViews>
  <sheetFormatPr defaultRowHeight="14.5"/>
  <cols>
    <col min="1" max="1" width="18.54296875" bestFit="1" customWidth="1"/>
    <col min="2" max="2" width="13.1796875" bestFit="1" customWidth="1"/>
    <col min="3" max="4" width="13.26953125" bestFit="1" customWidth="1"/>
    <col min="5" max="5" width="15.54296875" bestFit="1" customWidth="1"/>
    <col min="6" max="6" width="14.453125" bestFit="1" customWidth="1"/>
    <col min="7" max="7" width="14.1796875" bestFit="1" customWidth="1"/>
    <col min="8" max="8" width="14.1796875" customWidth="1"/>
    <col min="9" max="10" width="5" bestFit="1" customWidth="1"/>
    <col min="11" max="11" width="13.26953125" bestFit="1" customWidth="1"/>
    <col min="12" max="13" width="14.1796875" bestFit="1" customWidth="1"/>
    <col min="14" max="14" width="14.1796875" customWidth="1"/>
    <col min="15" max="16" width="5" bestFit="1" customWidth="1"/>
    <col min="17" max="19" width="8.1796875" bestFit="1" customWidth="1"/>
  </cols>
  <sheetData>
    <row r="1" spans="1:19">
      <c r="I1" s="346" t="s">
        <v>44</v>
      </c>
      <c r="J1" s="346"/>
      <c r="K1" s="346"/>
      <c r="L1" s="346"/>
      <c r="M1" s="346"/>
      <c r="N1" s="11"/>
      <c r="O1" s="346" t="s">
        <v>73</v>
      </c>
      <c r="P1" s="346"/>
      <c r="Q1" s="346"/>
      <c r="R1" s="346"/>
      <c r="S1" s="346"/>
    </row>
    <row r="2" spans="1:19">
      <c r="A2" s="236" t="s">
        <v>18</v>
      </c>
      <c r="B2" s="236" t="s">
        <v>97</v>
      </c>
      <c r="C2" s="236" t="s">
        <v>46</v>
      </c>
      <c r="D2" s="236" t="s">
        <v>47</v>
      </c>
      <c r="E2" s="236" t="s">
        <v>48</v>
      </c>
      <c r="F2" s="236" t="s">
        <v>49</v>
      </c>
      <c r="G2" s="236" t="s">
        <v>108</v>
      </c>
      <c r="H2" s="236"/>
      <c r="I2" s="313" t="s">
        <v>97</v>
      </c>
      <c r="J2" s="313" t="s">
        <v>46</v>
      </c>
      <c r="K2" s="313" t="s">
        <v>47</v>
      </c>
      <c r="L2" s="313" t="s">
        <v>48</v>
      </c>
      <c r="M2" s="317" t="s">
        <v>49</v>
      </c>
      <c r="N2" s="316"/>
      <c r="O2" s="318" t="s">
        <v>97</v>
      </c>
      <c r="P2" s="313" t="s">
        <v>46</v>
      </c>
      <c r="Q2" s="313" t="s">
        <v>47</v>
      </c>
      <c r="R2" s="313" t="s">
        <v>48</v>
      </c>
      <c r="S2" s="313" t="s">
        <v>49</v>
      </c>
    </row>
    <row r="3" spans="1:19">
      <c r="A3" s="5" t="s">
        <v>27</v>
      </c>
      <c r="B3" s="260" t="s">
        <v>53</v>
      </c>
      <c r="C3" s="260">
        <v>247.36</v>
      </c>
      <c r="D3" s="260">
        <v>25238.669000000002</v>
      </c>
      <c r="E3" s="261">
        <v>2432.7901200000001</v>
      </c>
      <c r="F3" s="261">
        <v>13010.384</v>
      </c>
      <c r="G3" s="262">
        <f>SUM(Agriculture[[#This Row],[2021]:[2025]])</f>
        <v>40929.203120000006</v>
      </c>
      <c r="H3" s="262"/>
      <c r="I3" s="279" t="s">
        <v>51</v>
      </c>
      <c r="J3" s="279" t="str">
        <f>IF(OR(Agriculture[[#This Row],[2021]]="n.a",Agriculture[[#This Row],[2022]]="n.a"),"-",Agriculture[[#This Row],[2022]]-Agriculture[[#This Row],[2021]])</f>
        <v>-</v>
      </c>
      <c r="K3" s="279">
        <f>IF(OR(Agriculture[[#This Row],[2022]]="n.a",Agriculture[[#This Row],[2023]]="n.a"),"-",Agriculture[[#This Row],[2023]]-Agriculture[[#This Row],[2022]])</f>
        <v>24991.309000000001</v>
      </c>
      <c r="L3" s="279">
        <f>IF(OR(Agriculture[[#This Row],[2023]]="n.a",Agriculture[[#This Row],[2024]]="n.a"),"-",Agriculture[[#This Row],[2024]]-Agriculture[[#This Row],[2023]])</f>
        <v>-22805.87888</v>
      </c>
      <c r="M3" s="279">
        <f>IF(OR(Agriculture[[#This Row],[2024]]="n.a",Agriculture[[#This Row],[2025]]="n.a"),"-",Agriculture[[#This Row],[2025]]-Agriculture[[#This Row],[2024]])</f>
        <v>10577.59388</v>
      </c>
      <c r="N3" s="258"/>
      <c r="O3" s="280" t="s">
        <v>51</v>
      </c>
      <c r="P3" s="280" t="str">
        <f t="shared" ref="P3:P15" si="0">IFERROR(J3/B5,"-")</f>
        <v>-</v>
      </c>
      <c r="Q3" s="280">
        <f t="shared" ref="Q3:Q15" si="1">IFERROR(K3/C5,"-")</f>
        <v>0.37845727581158961</v>
      </c>
      <c r="R3" s="280">
        <f t="shared" ref="R3:R15" si="2">IFERROR(L3/D5,"-")</f>
        <v>-0.43400508533877269</v>
      </c>
      <c r="S3" s="280">
        <f t="shared" ref="S3:S15" si="3">IFERROR(M3/E5,"-")</f>
        <v>0.24156328499464708</v>
      </c>
    </row>
    <row r="4" spans="1:19">
      <c r="A4" s="5" t="s">
        <v>28</v>
      </c>
      <c r="B4" s="260" t="s">
        <v>53</v>
      </c>
      <c r="C4" s="260">
        <v>327.09999999999997</v>
      </c>
      <c r="D4" s="260">
        <v>416.2</v>
      </c>
      <c r="E4" s="261">
        <v>118210.03</v>
      </c>
      <c r="F4" s="261">
        <v>5039.9400000000005</v>
      </c>
      <c r="G4" s="262">
        <f>SUM(Agriculture[[#This Row],[2021]:[2025]])</f>
        <v>123993.27</v>
      </c>
      <c r="H4" s="262"/>
      <c r="I4" s="279" t="s">
        <v>51</v>
      </c>
      <c r="J4" s="279" t="str">
        <f>IF(OR(Agriculture[[#This Row],[2021]]="n.a",Agriculture[[#This Row],[2022]]="n.a"),"-",Agriculture[[#This Row],[2022]]-Agriculture[[#This Row],[2021]])</f>
        <v>-</v>
      </c>
      <c r="K4" s="279">
        <f>IF(OR(Agriculture[[#This Row],[2022]]="n.a",Agriculture[[#This Row],[2023]]="n.a"),"-",Agriculture[[#This Row],[2023]]-Agriculture[[#This Row],[2022]])</f>
        <v>89.100000000000023</v>
      </c>
      <c r="L4" s="279">
        <f>IF(OR(Agriculture[[#This Row],[2023]]="n.a",Agriculture[[#This Row],[2024]]="n.a"),"-",Agriculture[[#This Row],[2024]]-Agriculture[[#This Row],[2023]])</f>
        <v>117793.83</v>
      </c>
      <c r="M4" s="279">
        <f>IF(OR(Agriculture[[#This Row],[2024]]="n.a",Agriculture[[#This Row],[2025]]="n.a"),"-",Agriculture[[#This Row],[2025]]-Agriculture[[#This Row],[2024]])</f>
        <v>-113170.09</v>
      </c>
      <c r="N4" s="258"/>
      <c r="O4" s="280" t="s">
        <v>51</v>
      </c>
      <c r="P4" s="280" t="str">
        <f t="shared" si="0"/>
        <v>-</v>
      </c>
      <c r="Q4" s="280">
        <f t="shared" si="1"/>
        <v>0.90640895218718232</v>
      </c>
      <c r="R4" s="280">
        <f t="shared" si="2"/>
        <v>567.01872126248657</v>
      </c>
      <c r="S4" s="280">
        <f t="shared" si="3"/>
        <v>-239.92644692471654</v>
      </c>
    </row>
    <row r="5" spans="1:19">
      <c r="A5" s="5" t="s">
        <v>29</v>
      </c>
      <c r="B5" s="260" t="s">
        <v>53</v>
      </c>
      <c r="C5" s="260">
        <v>66034.690300000002</v>
      </c>
      <c r="D5" s="260">
        <v>52547.492299999998</v>
      </c>
      <c r="E5" s="261">
        <v>43788.085926362503</v>
      </c>
      <c r="F5" s="261">
        <v>4383.692</v>
      </c>
      <c r="G5" s="262">
        <f>SUM(Agriculture[[#This Row],[2021]:[2025]])</f>
        <v>166753.9605263625</v>
      </c>
      <c r="H5" s="262"/>
      <c r="I5" s="279" t="s">
        <v>51</v>
      </c>
      <c r="J5" s="279" t="str">
        <f>IF(OR(Agriculture[[#This Row],[2021]]="n.a",Agriculture[[#This Row],[2022]]="n.a"),"-",Agriculture[[#This Row],[2022]]-Agriculture[[#This Row],[2021]])</f>
        <v>-</v>
      </c>
      <c r="K5" s="279">
        <f>IF(OR(Agriculture[[#This Row],[2022]]="n.a",Agriculture[[#This Row],[2023]]="n.a"),"-",Agriculture[[#This Row],[2023]]-Agriculture[[#This Row],[2022]])</f>
        <v>-13487.198000000004</v>
      </c>
      <c r="L5" s="279">
        <f>IF(OR(Agriculture[[#This Row],[2023]]="n.a",Agriculture[[#This Row],[2024]]="n.a"),"-",Agriculture[[#This Row],[2024]]-Agriculture[[#This Row],[2023]])</f>
        <v>-8759.4063736374956</v>
      </c>
      <c r="M5" s="279">
        <f>IF(OR(Agriculture[[#This Row],[2024]]="n.a",Agriculture[[#This Row],[2025]]="n.a"),"-",Agriculture[[#This Row],[2025]]-Agriculture[[#This Row],[2024]])</f>
        <v>-39404.3939263625</v>
      </c>
      <c r="N5" s="258"/>
      <c r="O5" s="280" t="s">
        <v>51</v>
      </c>
      <c r="P5" s="280" t="str">
        <f t="shared" si="0"/>
        <v>-</v>
      </c>
      <c r="Q5" s="280">
        <f t="shared" si="1"/>
        <v>-4.4850612110252346</v>
      </c>
      <c r="R5" s="280">
        <f t="shared" si="2"/>
        <v>-2.8969758858823362</v>
      </c>
      <c r="S5" s="280">
        <f t="shared" si="3"/>
        <v>-32.567794973351518</v>
      </c>
    </row>
    <row r="6" spans="1:19">
      <c r="A6" s="5" t="s">
        <v>30</v>
      </c>
      <c r="B6" s="260" t="s">
        <v>53</v>
      </c>
      <c r="C6" s="260">
        <v>98.3</v>
      </c>
      <c r="D6" s="260">
        <v>207.7424</v>
      </c>
      <c r="E6" s="261">
        <v>471.6866</v>
      </c>
      <c r="F6" s="261">
        <v>512.298</v>
      </c>
      <c r="G6" s="262">
        <f>SUM(Agriculture[[#This Row],[2021]:[2025]])</f>
        <v>1290.027</v>
      </c>
      <c r="H6" s="262"/>
      <c r="I6" s="279" t="s">
        <v>51</v>
      </c>
      <c r="J6" s="279" t="str">
        <f>IF(OR(Agriculture[[#This Row],[2021]]="n.a",Agriculture[[#This Row],[2022]]="n.a"),"-",Agriculture[[#This Row],[2022]]-Agriculture[[#This Row],[2021]])</f>
        <v>-</v>
      </c>
      <c r="K6" s="279">
        <f>IF(OR(Agriculture[[#This Row],[2022]]="n.a",Agriculture[[#This Row],[2023]]="n.a"),"-",Agriculture[[#This Row],[2023]]-Agriculture[[#This Row],[2022]])</f>
        <v>109.44240000000001</v>
      </c>
      <c r="L6" s="279">
        <f>IF(OR(Agriculture[[#This Row],[2023]]="n.a",Agriculture[[#This Row],[2024]]="n.a"),"-",Agriculture[[#This Row],[2024]]-Agriculture[[#This Row],[2023]])</f>
        <v>263.94420000000002</v>
      </c>
      <c r="M6" s="279">
        <f>IF(OR(Agriculture[[#This Row],[2024]]="n.a",Agriculture[[#This Row],[2025]]="n.a"),"-",Agriculture[[#This Row],[2025]]-Agriculture[[#This Row],[2024]])</f>
        <v>40.611400000000003</v>
      </c>
      <c r="N6" s="258"/>
      <c r="O6" s="280" t="s">
        <v>51</v>
      </c>
      <c r="P6" s="280" t="str">
        <f t="shared" si="0"/>
        <v>-</v>
      </c>
      <c r="Q6" s="280">
        <f t="shared" si="1"/>
        <v>6.465093748892381E-2</v>
      </c>
      <c r="R6" s="280">
        <f t="shared" si="2"/>
        <v>7.8335203091333239E-2</v>
      </c>
      <c r="S6" s="280">
        <f t="shared" si="3"/>
        <v>4.6112276399787495E-3</v>
      </c>
    </row>
    <row r="7" spans="1:19">
      <c r="A7" s="5" t="s">
        <v>31</v>
      </c>
      <c r="B7" s="260" t="s">
        <v>53</v>
      </c>
      <c r="C7" s="260">
        <v>3007.1380000000004</v>
      </c>
      <c r="D7" s="260">
        <v>3023.6379999999999</v>
      </c>
      <c r="E7" s="261">
        <v>1209.9190000000001</v>
      </c>
      <c r="F7" s="261">
        <v>2623.4051999999997</v>
      </c>
      <c r="G7" s="262">
        <f>SUM(Agriculture[[#This Row],[2021]:[2025]])</f>
        <v>9864.1001999999989</v>
      </c>
      <c r="H7" s="262"/>
      <c r="I7" s="279" t="s">
        <v>51</v>
      </c>
      <c r="J7" s="279" t="str">
        <f>IF(OR(Agriculture[[#This Row],[2021]]="n.a",Agriculture[[#This Row],[2022]]="n.a"),"-",Agriculture[[#This Row],[2022]]-Agriculture[[#This Row],[2021]])</f>
        <v>-</v>
      </c>
      <c r="K7" s="279">
        <f>IF(OR(Agriculture[[#This Row],[2022]]="n.a",Agriculture[[#This Row],[2023]]="n.a"),"-",Agriculture[[#This Row],[2023]]-Agriculture[[#This Row],[2022]])</f>
        <v>16.499999999999545</v>
      </c>
      <c r="L7" s="279">
        <f>IF(OR(Agriculture[[#This Row],[2023]]="n.a",Agriculture[[#This Row],[2024]]="n.a"),"-",Agriculture[[#This Row],[2024]]-Agriculture[[#This Row],[2023]])</f>
        <v>-1813.7189999999998</v>
      </c>
      <c r="M7" s="279">
        <f>IF(OR(Agriculture[[#This Row],[2024]]="n.a",Agriculture[[#This Row],[2025]]="n.a"),"-",Agriculture[[#This Row],[2025]]-Agriculture[[#This Row],[2024]])</f>
        <v>1413.4861999999996</v>
      </c>
      <c r="N7" s="258"/>
      <c r="O7" s="280" t="s">
        <v>51</v>
      </c>
      <c r="P7" s="280" t="str">
        <f t="shared" si="0"/>
        <v>-</v>
      </c>
      <c r="Q7" s="280">
        <f t="shared" si="1"/>
        <v>0.2204467721248336</v>
      </c>
      <c r="R7" s="280">
        <f t="shared" si="2"/>
        <v>-18.164800496755067</v>
      </c>
      <c r="S7" s="280">
        <f t="shared" si="3"/>
        <v>22.436288888888882</v>
      </c>
    </row>
    <row r="8" spans="1:19">
      <c r="A8" s="5" t="s">
        <v>32</v>
      </c>
      <c r="B8" s="260" t="s">
        <v>53</v>
      </c>
      <c r="C8" s="260">
        <v>1692.82</v>
      </c>
      <c r="D8" s="260">
        <v>3369.42</v>
      </c>
      <c r="E8" s="261">
        <v>8807.0689999999995</v>
      </c>
      <c r="F8" s="261">
        <v>4288.7643599999992</v>
      </c>
      <c r="G8" s="262">
        <f>SUM(Agriculture[[#This Row],[2021]:[2025]])</f>
        <v>18158.073359999999</v>
      </c>
      <c r="H8" s="262"/>
      <c r="I8" s="279" t="s">
        <v>51</v>
      </c>
      <c r="J8" s="279" t="str">
        <f>IF(OR(Agriculture[[#This Row],[2021]]="n.a",Agriculture[[#This Row],[2022]]="n.a"),"-",Agriculture[[#This Row],[2022]]-Agriculture[[#This Row],[2021]])</f>
        <v>-</v>
      </c>
      <c r="K8" s="279">
        <f>IF(OR(Agriculture[[#This Row],[2022]]="n.a",Agriculture[[#This Row],[2023]]="n.a"),"-",Agriculture[[#This Row],[2023]]-Agriculture[[#This Row],[2022]])</f>
        <v>1676.6000000000001</v>
      </c>
      <c r="L8" s="279">
        <f>IF(OR(Agriculture[[#This Row],[2023]]="n.a",Agriculture[[#This Row],[2024]]="n.a"),"-",Agriculture[[#This Row],[2024]]-Agriculture[[#This Row],[2023]])</f>
        <v>5437.6489999999994</v>
      </c>
      <c r="M8" s="279">
        <f>IF(OR(Agriculture[[#This Row],[2024]]="n.a",Agriculture[[#This Row],[2025]]="n.a"),"-",Agriculture[[#This Row],[2025]]-Agriculture[[#This Row],[2024]])</f>
        <v>-4518.3046400000003</v>
      </c>
      <c r="N8" s="258"/>
      <c r="O8" s="280" t="s">
        <v>51</v>
      </c>
      <c r="P8" s="280" t="str">
        <f t="shared" si="0"/>
        <v>-</v>
      </c>
      <c r="Q8" s="280">
        <f t="shared" si="1"/>
        <v>2.1836046016412851</v>
      </c>
      <c r="R8" s="280">
        <f t="shared" si="2"/>
        <v>7.0819965278003885</v>
      </c>
      <c r="S8" s="280">
        <f t="shared" si="3"/>
        <v>-14.465935115786912</v>
      </c>
    </row>
    <row r="9" spans="1:19">
      <c r="A9" s="5" t="s">
        <v>35</v>
      </c>
      <c r="B9" s="260" t="s">
        <v>53</v>
      </c>
      <c r="C9" s="260">
        <v>74.847999999999999</v>
      </c>
      <c r="D9" s="260">
        <v>99.847999999999999</v>
      </c>
      <c r="E9" s="261">
        <v>63</v>
      </c>
      <c r="F9" s="261">
        <v>2592.7346000000002</v>
      </c>
      <c r="G9" s="262">
        <f>SUM(Agriculture[[#This Row],[2021]:[2025]])</f>
        <v>2830.4306000000001</v>
      </c>
      <c r="H9" s="262"/>
      <c r="I9" s="279" t="s">
        <v>51</v>
      </c>
      <c r="J9" s="279" t="str">
        <f>IF(OR(Agriculture[[#This Row],[2021]]="n.a",Agriculture[[#This Row],[2022]]="n.a"),"-",Agriculture[[#This Row],[2022]]-Agriculture[[#This Row],[2021]])</f>
        <v>-</v>
      </c>
      <c r="K9" s="279">
        <f>IF(OR(Agriculture[[#This Row],[2022]]="n.a",Agriculture[[#This Row],[2023]]="n.a"),"-",Agriculture[[#This Row],[2023]]-Agriculture[[#This Row],[2022]])</f>
        <v>25</v>
      </c>
      <c r="L9" s="279">
        <f>IF(OR(Agriculture[[#This Row],[2023]]="n.a",Agriculture[[#This Row],[2024]]="n.a"),"-",Agriculture[[#This Row],[2024]]-Agriculture[[#This Row],[2023]])</f>
        <v>-36.847999999999999</v>
      </c>
      <c r="M9" s="279">
        <f>IF(OR(Agriculture[[#This Row],[2024]]="n.a",Agriculture[[#This Row],[2025]]="n.a"),"-",Agriculture[[#This Row],[2025]]-Agriculture[[#This Row],[2024]])</f>
        <v>2529.7346000000002</v>
      </c>
      <c r="N9" s="258"/>
      <c r="O9" s="280" t="s">
        <v>51</v>
      </c>
      <c r="P9" s="280" t="str">
        <f t="shared" si="0"/>
        <v>-</v>
      </c>
      <c r="Q9" s="280" t="str">
        <f t="shared" si="1"/>
        <v>-</v>
      </c>
      <c r="R9" s="280" t="str">
        <f t="shared" si="2"/>
        <v>-</v>
      </c>
      <c r="S9" s="280">
        <f t="shared" si="3"/>
        <v>14.361252341754188</v>
      </c>
    </row>
    <row r="10" spans="1:19">
      <c r="A10" s="5" t="s">
        <v>33</v>
      </c>
      <c r="B10" s="260" t="s">
        <v>53</v>
      </c>
      <c r="C10" s="260">
        <v>767.81299999999999</v>
      </c>
      <c r="D10" s="260">
        <v>767.81299999999999</v>
      </c>
      <c r="E10" s="261">
        <v>312.34100000000001</v>
      </c>
      <c r="F10" s="261">
        <v>4479.0749999999998</v>
      </c>
      <c r="G10" s="262">
        <f>SUM(Agriculture[[#This Row],[2021]:[2025]])</f>
        <v>6327.0419999999995</v>
      </c>
      <c r="H10" s="262"/>
      <c r="I10" s="279" t="s">
        <v>51</v>
      </c>
      <c r="J10" s="279" t="str">
        <f>IF(OR(Agriculture[[#This Row],[2021]]="n.a",Agriculture[[#This Row],[2022]]="n.a"),"-",Agriculture[[#This Row],[2022]]-Agriculture[[#This Row],[2021]])</f>
        <v>-</v>
      </c>
      <c r="K10" s="279">
        <f>IF(OR(Agriculture[[#This Row],[2022]]="n.a",Agriculture[[#This Row],[2023]]="n.a"),"-",Agriculture[[#This Row],[2023]]-Agriculture[[#This Row],[2022]])</f>
        <v>0</v>
      </c>
      <c r="L10" s="279">
        <f>IF(OR(Agriculture[[#This Row],[2023]]="n.a",Agriculture[[#This Row],[2024]]="n.a"),"-",Agriculture[[#This Row],[2024]]-Agriculture[[#This Row],[2023]])</f>
        <v>-455.47199999999998</v>
      </c>
      <c r="M10" s="279">
        <f>IF(OR(Agriculture[[#This Row],[2024]]="n.a",Agriculture[[#This Row],[2025]]="n.a"),"-",Agriculture[[#This Row],[2025]]-Agriculture[[#This Row],[2024]])</f>
        <v>4166.7339999999995</v>
      </c>
      <c r="N10" s="258"/>
      <c r="O10" s="280" t="s">
        <v>51</v>
      </c>
      <c r="P10" s="280" t="str">
        <f t="shared" si="0"/>
        <v>-</v>
      </c>
      <c r="Q10" s="280">
        <f t="shared" si="1"/>
        <v>0</v>
      </c>
      <c r="R10" s="280">
        <f t="shared" si="2"/>
        <v>-0.13867810179263504</v>
      </c>
      <c r="S10" s="280">
        <f t="shared" si="3"/>
        <v>2.2075638115412528</v>
      </c>
    </row>
    <row r="11" spans="1:19">
      <c r="A11" s="5" t="s">
        <v>34</v>
      </c>
      <c r="B11" s="260" t="s">
        <v>53</v>
      </c>
      <c r="C11" s="260">
        <v>0</v>
      </c>
      <c r="D11" s="260">
        <v>0</v>
      </c>
      <c r="E11" s="261">
        <v>176.15</v>
      </c>
      <c r="F11" s="261">
        <v>1221.9720000000002</v>
      </c>
      <c r="G11" s="262">
        <f>SUM(Agriculture[[#This Row],[2021]:[2025]])</f>
        <v>1398.1220000000003</v>
      </c>
      <c r="H11" s="262"/>
      <c r="I11" s="279" t="s">
        <v>51</v>
      </c>
      <c r="J11" s="279" t="str">
        <f>IF(OR(Agriculture[[#This Row],[2021]]="n.a",Agriculture[[#This Row],[2022]]="n.a"),"-",Agriculture[[#This Row],[2022]]-Agriculture[[#This Row],[2021]])</f>
        <v>-</v>
      </c>
      <c r="K11" s="279">
        <f>IF(OR(Agriculture[[#This Row],[2022]]="n.a",Agriculture[[#This Row],[2023]]="n.a"),"-",Agriculture[[#This Row],[2023]]-Agriculture[[#This Row],[2022]])</f>
        <v>0</v>
      </c>
      <c r="L11" s="279">
        <f>IF(OR(Agriculture[[#This Row],[2023]]="n.a",Agriculture[[#This Row],[2024]]="n.a"),"-",Agriculture[[#This Row],[2024]]-Agriculture[[#This Row],[2023]])</f>
        <v>176.15</v>
      </c>
      <c r="M11" s="279">
        <f>IF(OR(Agriculture[[#This Row],[2024]]="n.a",Agriculture[[#This Row],[2025]]="n.a"),"-",Agriculture[[#This Row],[2025]]-Agriculture[[#This Row],[2024]])</f>
        <v>1045.8220000000001</v>
      </c>
      <c r="N11" s="258"/>
      <c r="O11" s="280" t="s">
        <v>51</v>
      </c>
      <c r="P11" s="280" t="str">
        <f t="shared" si="0"/>
        <v>-</v>
      </c>
      <c r="Q11" s="280">
        <f t="shared" si="1"/>
        <v>0</v>
      </c>
      <c r="R11" s="280">
        <f t="shared" si="2"/>
        <v>5.6310987854753759E-3</v>
      </c>
      <c r="S11" s="280">
        <f t="shared" si="3"/>
        <v>0.15700160584222153</v>
      </c>
    </row>
    <row r="12" spans="1:19">
      <c r="A12" s="5" t="s">
        <v>38</v>
      </c>
      <c r="B12" s="260" t="s">
        <v>53</v>
      </c>
      <c r="C12" s="260">
        <v>3144.6039999999998</v>
      </c>
      <c r="D12" s="260">
        <v>3284.3829999999998</v>
      </c>
      <c r="E12" s="261">
        <v>1887.4806599999999</v>
      </c>
      <c r="F12" s="261">
        <v>9582.0305000000008</v>
      </c>
      <c r="G12" s="262">
        <f>SUM(Agriculture[[#This Row],[2021]:[2025]])</f>
        <v>17898.498159999999</v>
      </c>
      <c r="H12" s="262"/>
      <c r="I12" s="279" t="s">
        <v>51</v>
      </c>
      <c r="J12" s="279" t="str">
        <f>IF(OR(Agriculture[[#This Row],[2021]]="n.a",Agriculture[[#This Row],[2022]]="n.a"),"-",Agriculture[[#This Row],[2022]]-Agriculture[[#This Row],[2021]])</f>
        <v>-</v>
      </c>
      <c r="K12" s="279">
        <f>IF(OR(Agriculture[[#This Row],[2022]]="n.a",Agriculture[[#This Row],[2023]]="n.a"),"-",Agriculture[[#This Row],[2023]]-Agriculture[[#This Row],[2022]])</f>
        <v>139.779</v>
      </c>
      <c r="L12" s="279">
        <f>IF(OR(Agriculture[[#This Row],[2023]]="n.a",Agriculture[[#This Row],[2024]]="n.a"),"-",Agriculture[[#This Row],[2024]]-Agriculture[[#This Row],[2023]])</f>
        <v>-1396.9023399999999</v>
      </c>
      <c r="M12" s="279">
        <f>IF(OR(Agriculture[[#This Row],[2024]]="n.a",Agriculture[[#This Row],[2025]]="n.a"),"-",Agriculture[[#This Row],[2025]]-Agriculture[[#This Row],[2024]])</f>
        <v>7694.5498400000006</v>
      </c>
      <c r="N12" s="258"/>
      <c r="O12" s="280" t="s">
        <v>51</v>
      </c>
      <c r="P12" s="280" t="str">
        <f t="shared" si="0"/>
        <v>-</v>
      </c>
      <c r="Q12" s="280" t="str">
        <f t="shared" si="1"/>
        <v>-</v>
      </c>
      <c r="R12" s="280">
        <f t="shared" si="2"/>
        <v>-7.1361549936143032</v>
      </c>
      <c r="S12" s="280">
        <f t="shared" si="3"/>
        <v>11.255479727980319</v>
      </c>
    </row>
    <row r="13" spans="1:19">
      <c r="A13" s="5" t="s">
        <v>39</v>
      </c>
      <c r="B13" s="260" t="s">
        <v>53</v>
      </c>
      <c r="C13" s="260">
        <v>79022.298999999999</v>
      </c>
      <c r="D13" s="260">
        <v>31281.63911</v>
      </c>
      <c r="E13" s="261">
        <v>6661.2184913000001</v>
      </c>
      <c r="F13" s="261">
        <v>1012.3599999999999</v>
      </c>
      <c r="G13" s="262">
        <f>SUM(Agriculture[[#This Row],[2021]:[2025]])</f>
        <v>117977.5166013</v>
      </c>
      <c r="H13" s="262"/>
      <c r="I13" s="279" t="s">
        <v>51</v>
      </c>
      <c r="J13" s="279" t="str">
        <f>IF(OR(Agriculture[[#This Row],[2021]]="n.a",Agriculture[[#This Row],[2022]]="n.a"),"-",Agriculture[[#This Row],[2022]]-Agriculture[[#This Row],[2021]])</f>
        <v>-</v>
      </c>
      <c r="K13" s="279">
        <f>IF(OR(Agriculture[[#This Row],[2022]]="n.a",Agriculture[[#This Row],[2023]]="n.a"),"-",Agriculture[[#This Row],[2023]]-Agriculture[[#This Row],[2022]])</f>
        <v>-47740.659889999995</v>
      </c>
      <c r="L13" s="279">
        <f>IF(OR(Agriculture[[#This Row],[2023]]="n.a",Agriculture[[#This Row],[2024]]="n.a"),"-",Agriculture[[#This Row],[2024]]-Agriculture[[#This Row],[2023]])</f>
        <v>-24620.420618700002</v>
      </c>
      <c r="M13" s="279">
        <f>IF(OR(Agriculture[[#This Row],[2024]]="n.a",Agriculture[[#This Row],[2025]]="n.a"),"-",Agriculture[[#This Row],[2025]]-Agriculture[[#This Row],[2024]])</f>
        <v>-5648.8584913000004</v>
      </c>
      <c r="N13" s="258"/>
      <c r="O13" s="280" t="s">
        <v>51</v>
      </c>
      <c r="P13" s="280" t="str">
        <f t="shared" si="0"/>
        <v>-</v>
      </c>
      <c r="Q13" s="280">
        <f t="shared" si="1"/>
        <v>-484.67675015228423</v>
      </c>
      <c r="R13" s="280">
        <f t="shared" si="2"/>
        <v>-125.1164783956703</v>
      </c>
      <c r="S13" s="280">
        <f t="shared" si="3"/>
        <v>-10.896591650752502</v>
      </c>
    </row>
    <row r="14" spans="1:19">
      <c r="A14" s="5" t="s">
        <v>36</v>
      </c>
      <c r="B14" s="260" t="s">
        <v>53</v>
      </c>
      <c r="C14" s="260">
        <v>0</v>
      </c>
      <c r="D14" s="260">
        <v>195.75</v>
      </c>
      <c r="E14" s="261">
        <v>683.62699999999995</v>
      </c>
      <c r="F14" s="261">
        <v>3648.8219999999997</v>
      </c>
      <c r="G14" s="262">
        <f>SUM(Agriculture[[#This Row],[2021]:[2025]])</f>
        <v>4528.1989999999996</v>
      </c>
      <c r="H14" s="262"/>
      <c r="I14" s="279" t="s">
        <v>51</v>
      </c>
      <c r="J14" s="279" t="str">
        <f>IF(OR(Agriculture[[#This Row],[2021]]="n.a",Agriculture[[#This Row],[2022]]="n.a"),"-",Agriculture[[#This Row],[2022]]-Agriculture[[#This Row],[2021]])</f>
        <v>-</v>
      </c>
      <c r="K14" s="279">
        <f>IF(OR(Agriculture[[#This Row],[2022]]="n.a",Agriculture[[#This Row],[2023]]="n.a"),"-",Agriculture[[#This Row],[2023]]-Agriculture[[#This Row],[2022]])</f>
        <v>195.75</v>
      </c>
      <c r="L14" s="279">
        <f>IF(OR(Agriculture[[#This Row],[2023]]="n.a",Agriculture[[#This Row],[2024]]="n.a"),"-",Agriculture[[#This Row],[2024]]-Agriculture[[#This Row],[2023]])</f>
        <v>487.87699999999995</v>
      </c>
      <c r="M14" s="279">
        <f>IF(OR(Agriculture[[#This Row],[2024]]="n.a",Agriculture[[#This Row],[2025]]="n.a"),"-",Agriculture[[#This Row],[2025]]-Agriculture[[#This Row],[2024]])</f>
        <v>2965.1949999999997</v>
      </c>
      <c r="N14" s="258"/>
      <c r="O14" s="280" t="s">
        <v>51</v>
      </c>
      <c r="P14" s="280" t="str">
        <f t="shared" si="0"/>
        <v>-</v>
      </c>
      <c r="Q14" s="280" t="str">
        <f t="shared" si="1"/>
        <v>-</v>
      </c>
      <c r="R14" s="280" t="str">
        <f t="shared" si="2"/>
        <v>-</v>
      </c>
      <c r="S14" s="280" t="str">
        <f t="shared" si="3"/>
        <v>-</v>
      </c>
    </row>
    <row r="15" spans="1:19">
      <c r="A15" s="5" t="s">
        <v>37</v>
      </c>
      <c r="B15" s="260" t="s">
        <v>53</v>
      </c>
      <c r="C15" s="260">
        <v>98.5</v>
      </c>
      <c r="D15" s="260">
        <v>196.78</v>
      </c>
      <c r="E15" s="261">
        <v>518.40599999999995</v>
      </c>
      <c r="F15" s="261">
        <v>163.648</v>
      </c>
      <c r="G15" s="262">
        <f>SUM(Agriculture[[#This Row],[2021]:[2025]])</f>
        <v>977.33399999999995</v>
      </c>
      <c r="H15" s="262"/>
      <c r="I15" s="279" t="s">
        <v>51</v>
      </c>
      <c r="J15" s="279" t="str">
        <f>IF(OR(Agriculture[[#This Row],[2021]]="n.a",Agriculture[[#This Row],[2022]]="n.a"),"-",Agriculture[[#This Row],[2022]]-Agriculture[[#This Row],[2021]])</f>
        <v>-</v>
      </c>
      <c r="K15" s="279">
        <f>IF(OR(Agriculture[[#This Row],[2022]]="n.a",Agriculture[[#This Row],[2023]]="n.a"),"-",Agriculture[[#This Row],[2023]]-Agriculture[[#This Row],[2022]])</f>
        <v>98.28</v>
      </c>
      <c r="L15" s="279">
        <f>IF(OR(Agriculture[[#This Row],[2023]]="n.a",Agriculture[[#This Row],[2024]]="n.a"),"-",Agriculture[[#This Row],[2024]]-Agriculture[[#This Row],[2023]])</f>
        <v>321.62599999999998</v>
      </c>
      <c r="M15" s="279">
        <f>IF(OR(Agriculture[[#This Row],[2024]]="n.a",Agriculture[[#This Row],[2025]]="n.a"),"-",Agriculture[[#This Row],[2025]]-Agriculture[[#This Row],[2024]])</f>
        <v>-354.75799999999992</v>
      </c>
      <c r="N15" s="258"/>
      <c r="O15" s="280" t="s">
        <v>51</v>
      </c>
      <c r="P15" s="280" t="str">
        <f t="shared" si="0"/>
        <v>-</v>
      </c>
      <c r="Q15" s="280" t="str">
        <f t="shared" si="1"/>
        <v>-</v>
      </c>
      <c r="R15" s="280" t="str">
        <f t="shared" si="2"/>
        <v>-</v>
      </c>
      <c r="S15" s="280" t="str">
        <f t="shared" si="3"/>
        <v>-</v>
      </c>
    </row>
    <row r="16" spans="1:19">
      <c r="A16" s="5" t="s">
        <v>41</v>
      </c>
      <c r="B16" s="260" t="s">
        <v>53</v>
      </c>
      <c r="C16" s="260">
        <v>0</v>
      </c>
      <c r="D16" s="260">
        <v>0</v>
      </c>
      <c r="E16" s="261">
        <v>0</v>
      </c>
      <c r="F16" s="261">
        <v>0</v>
      </c>
      <c r="G16" s="262">
        <f>SUM(Agriculture[[#This Row],[2021]:[2025]])</f>
        <v>0</v>
      </c>
      <c r="H16" s="262"/>
      <c r="I16" s="279" t="s">
        <v>51</v>
      </c>
      <c r="J16" s="279" t="str">
        <f>IF(OR(Agriculture[[#This Row],[2021]]="n.a",Agriculture[[#This Row],[2022]]="n.a"),"-",Agriculture[[#This Row],[2022]]-Agriculture[[#This Row],[2021]])</f>
        <v>-</v>
      </c>
      <c r="K16" s="279">
        <f>IF(OR(Agriculture[[#This Row],[2022]]="n.a",Agriculture[[#This Row],[2023]]="n.a"),"-",Agriculture[[#This Row],[2023]]-Agriculture[[#This Row],[2022]])</f>
        <v>0</v>
      </c>
      <c r="L16" s="279">
        <f>IF(OR(Agriculture[[#This Row],[2023]]="n.a",Agriculture[[#This Row],[2024]]="n.a"),"-",Agriculture[[#This Row],[2024]]-Agriculture[[#This Row],[2023]])</f>
        <v>0</v>
      </c>
      <c r="M16" s="279">
        <f>IF(OR(Agriculture[[#This Row],[2024]]="n.a",Agriculture[[#This Row],[2025]]="n.a"),"-",Agriculture[[#This Row],[2025]]-Agriculture[[#This Row],[2024]])</f>
        <v>0</v>
      </c>
      <c r="N16" s="258"/>
      <c r="O16" s="280" t="s">
        <v>51</v>
      </c>
      <c r="P16" s="280" t="str">
        <f>IFERROR(J16/#REF!,"-")</f>
        <v>-</v>
      </c>
      <c r="Q16" s="280" t="str">
        <f>IFERROR(K16/#REF!,"-")</f>
        <v>-</v>
      </c>
      <c r="R16" s="280" t="str">
        <f>IFERROR(L16/#REF!,"-")</f>
        <v>-</v>
      </c>
      <c r="S16" s="280" t="str">
        <f>IFERROR(M16/#REF!,"-")</f>
        <v>-</v>
      </c>
    </row>
    <row r="17" spans="1:19">
      <c r="A17" s="5" t="s">
        <v>70</v>
      </c>
      <c r="B17" s="260" t="s">
        <v>53</v>
      </c>
      <c r="C17" s="260">
        <v>0</v>
      </c>
      <c r="D17" s="260">
        <v>0</v>
      </c>
      <c r="E17" s="261">
        <v>0</v>
      </c>
      <c r="F17" s="261">
        <v>0</v>
      </c>
      <c r="G17" s="262">
        <f>SUM(Agriculture[[#This Row],[2021]:[2025]])</f>
        <v>0</v>
      </c>
      <c r="H17" s="262"/>
      <c r="I17" s="279" t="s">
        <v>51</v>
      </c>
      <c r="J17" s="279" t="str">
        <f>IF(OR(Agriculture[[#This Row],[2021]]="n.a",Agriculture[[#This Row],[2022]]="n.a"),"-",Agriculture[[#This Row],[2022]]-Agriculture[[#This Row],[2021]])</f>
        <v>-</v>
      </c>
      <c r="K17" s="279">
        <f>IF(OR(Agriculture[[#This Row],[2022]]="n.a",Agriculture[[#This Row],[2023]]="n.a"),"-",Agriculture[[#This Row],[2023]]-Agriculture[[#This Row],[2022]])</f>
        <v>0</v>
      </c>
      <c r="L17" s="279">
        <f>IF(OR(Agriculture[[#This Row],[2023]]="n.a",Agriculture[[#This Row],[2024]]="n.a"),"-",Agriculture[[#This Row],[2024]]-Agriculture[[#This Row],[2023]])</f>
        <v>0</v>
      </c>
      <c r="M17" s="279">
        <f>IF(OR(Agriculture[[#This Row],[2024]]="n.a",Agriculture[[#This Row],[2025]]="n.a"),"-",Agriculture[[#This Row],[2025]]-Agriculture[[#This Row],[2024]])</f>
        <v>0</v>
      </c>
      <c r="N17" s="258"/>
      <c r="O17" s="280" t="s">
        <v>51</v>
      </c>
      <c r="P17" s="280" t="str">
        <f>IFERROR(J17/#REF!,"-")</f>
        <v>-</v>
      </c>
      <c r="Q17" s="280" t="str">
        <f>IFERROR(K17/#REF!,"-")</f>
        <v>-</v>
      </c>
      <c r="R17" s="280" t="str">
        <f>IFERROR(L17/#REF!,"-")</f>
        <v>-</v>
      </c>
      <c r="S17" s="280" t="str">
        <f>IFERROR(M17/#REF!,"-")</f>
        <v>-</v>
      </c>
    </row>
    <row r="18" spans="1:19">
      <c r="A18" s="5" t="s">
        <v>71</v>
      </c>
      <c r="B18" s="260" t="s">
        <v>53</v>
      </c>
      <c r="C18" s="260">
        <v>0</v>
      </c>
      <c r="D18" s="260">
        <v>0</v>
      </c>
      <c r="E18" s="261">
        <v>0</v>
      </c>
      <c r="F18" s="261">
        <v>0</v>
      </c>
      <c r="G18" s="262">
        <f>SUM(Agriculture[[#This Row],[2021]:[2025]])</f>
        <v>0</v>
      </c>
      <c r="H18" s="262"/>
      <c r="I18" s="279" t="s">
        <v>51</v>
      </c>
      <c r="J18" s="279" t="str">
        <f>IF(OR(Agriculture[[#This Row],[2021]]="n.a",Agriculture[[#This Row],[2022]]="n.a"),"-",Agriculture[[#This Row],[2022]]-Agriculture[[#This Row],[2021]])</f>
        <v>-</v>
      </c>
      <c r="K18" s="279">
        <f>IF(OR(Agriculture[[#This Row],[2022]]="n.a",Agriculture[[#This Row],[2023]]="n.a"),"-",Agriculture[[#This Row],[2023]]-Agriculture[[#This Row],[2022]])</f>
        <v>0</v>
      </c>
      <c r="L18" s="279">
        <f>IF(OR(Agriculture[[#This Row],[2023]]="n.a",Agriculture[[#This Row],[2024]]="n.a"),"-",Agriculture[[#This Row],[2024]]-Agriculture[[#This Row],[2023]])</f>
        <v>0</v>
      </c>
      <c r="M18" s="279">
        <f>IF(OR(Agriculture[[#This Row],[2024]]="n.a",Agriculture[[#This Row],[2025]]="n.a"),"-",Agriculture[[#This Row],[2025]]-Agriculture[[#This Row],[2024]])</f>
        <v>0</v>
      </c>
      <c r="N18" s="258"/>
      <c r="O18" s="280" t="s">
        <v>51</v>
      </c>
      <c r="P18" s="280" t="str">
        <f>IFERROR(J18/B19,"-")</f>
        <v>-</v>
      </c>
      <c r="Q18" s="280" t="str">
        <f>IFERROR(K18/C19,"-")</f>
        <v>-</v>
      </c>
      <c r="R18" s="280" t="str">
        <f>IFERROR(L18/D19,"-")</f>
        <v>-</v>
      </c>
      <c r="S18" s="280" t="str">
        <f>IFERROR(M18/E19,"-")</f>
        <v>-</v>
      </c>
    </row>
  </sheetData>
  <mergeCells count="2">
    <mergeCell ref="I1:M1"/>
    <mergeCell ref="O1:S1"/>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8193" r:id="rId3" name="Button 1">
              <controlPr defaultSize="0" print="0" autoFill="0" autoPict="0" macro="[0]!Sheet2.Go_Malaysia">
                <anchor moveWithCells="1" sizeWithCells="1">
                  <from>
                    <xdr:col>12</xdr:col>
                    <xdr:colOff>82550</xdr:colOff>
                    <xdr:row>23</xdr:row>
                    <xdr:rowOff>63500</xdr:rowOff>
                  </from>
                  <to>
                    <xdr:col>16</xdr:col>
                    <xdr:colOff>425450</xdr:colOff>
                    <xdr:row>27</xdr:row>
                    <xdr:rowOff>146050</xdr:rowOff>
                  </to>
                </anchor>
              </controlPr>
            </control>
          </mc:Choice>
        </mc:AlternateContent>
        <mc:AlternateContent xmlns:mc="http://schemas.openxmlformats.org/markup-compatibility/2006">
          <mc:Choice Requires="x14">
            <control shapeId="8194" r:id="rId4" name="Button 2">
              <controlPr defaultSize="0" print="0" autoFill="0" autoPict="0" macro="[0]!Sheet2.Go_Dashboard">
                <anchor moveWithCells="1" sizeWithCells="1">
                  <from>
                    <xdr:col>12</xdr:col>
                    <xdr:colOff>76200</xdr:colOff>
                    <xdr:row>19</xdr:row>
                    <xdr:rowOff>152400</xdr:rowOff>
                  </from>
                  <to>
                    <xdr:col>16</xdr:col>
                    <xdr:colOff>438150</xdr:colOff>
                    <xdr:row>22</xdr:row>
                    <xdr:rowOff>152400</xdr:rowOff>
                  </to>
                </anchor>
              </controlPr>
            </control>
          </mc:Choice>
        </mc:AlternateContent>
      </controls>
    </mc:Choice>
  </mc:AlternateContent>
  <tableParts count="1">
    <tablePart r:id="rId5"/>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21488-EBC0-4B80-BDF6-BB4938436A9D}">
  <sheetPr codeName="Sheet17"/>
  <dimension ref="A1:V107"/>
  <sheetViews>
    <sheetView topLeftCell="A20" zoomScale="43" workbookViewId="0">
      <selection activeCell="E111" sqref="E111"/>
    </sheetView>
  </sheetViews>
  <sheetFormatPr defaultRowHeight="14.5"/>
  <cols>
    <col min="1" max="1" width="21.26953125" bestFit="1" customWidth="1"/>
    <col min="2" max="2" width="8.54296875" bestFit="1" customWidth="1"/>
    <col min="3" max="3" width="15.1796875" bestFit="1" customWidth="1"/>
    <col min="4" max="4" width="8.54296875" bestFit="1" customWidth="1"/>
    <col min="5" max="5" width="14" bestFit="1" customWidth="1"/>
    <col min="6" max="6" width="13.1796875" bestFit="1" customWidth="1"/>
    <col min="7" max="7" width="8.54296875" bestFit="1" customWidth="1"/>
    <col min="8" max="8" width="12.1796875" bestFit="1" customWidth="1"/>
    <col min="9" max="9" width="11.1796875" bestFit="1" customWidth="1"/>
    <col min="10" max="10" width="8.54296875" bestFit="1" customWidth="1"/>
    <col min="11" max="11" width="12.54296875" bestFit="1" customWidth="1"/>
    <col min="12" max="12" width="12.1796875" bestFit="1" customWidth="1"/>
    <col min="13" max="13" width="8.54296875" bestFit="1" customWidth="1"/>
    <col min="14" max="14" width="11.26953125" bestFit="1" customWidth="1"/>
    <col min="15" max="15" width="10" bestFit="1" customWidth="1"/>
    <col min="16" max="16" width="8.54296875" bestFit="1" customWidth="1"/>
    <col min="17" max="17" width="13.54296875" bestFit="1" customWidth="1"/>
    <col min="18" max="18" width="12.54296875" bestFit="1" customWidth="1"/>
    <col min="19" max="19" width="8.54296875" bestFit="1" customWidth="1"/>
    <col min="20" max="20" width="14" bestFit="1" customWidth="1"/>
    <col min="21" max="21" width="13.54296875" bestFit="1" customWidth="1"/>
  </cols>
  <sheetData>
    <row r="1" spans="1:21">
      <c r="A1" s="27"/>
      <c r="B1" s="27"/>
      <c r="C1" s="28" t="s">
        <v>109</v>
      </c>
      <c r="D1" s="29"/>
      <c r="E1" s="347" t="s">
        <v>110</v>
      </c>
      <c r="F1" s="347"/>
      <c r="G1" s="31"/>
      <c r="H1" s="347" t="s">
        <v>111</v>
      </c>
      <c r="I1" s="347"/>
      <c r="J1" s="31"/>
      <c r="K1" s="348" t="s">
        <v>112</v>
      </c>
      <c r="L1" s="348"/>
      <c r="M1" s="31"/>
      <c r="N1" s="347" t="s">
        <v>113</v>
      </c>
      <c r="O1" s="347"/>
      <c r="P1" s="31"/>
      <c r="Q1" s="347" t="s">
        <v>114</v>
      </c>
      <c r="R1" s="347"/>
      <c r="S1" s="29"/>
      <c r="T1" s="347" t="s">
        <v>115</v>
      </c>
      <c r="U1" s="347"/>
    </row>
    <row r="2" spans="1:21" ht="15" thickBot="1">
      <c r="A2" s="32"/>
      <c r="B2" s="32"/>
      <c r="C2" s="32"/>
      <c r="D2" s="33"/>
      <c r="E2" s="34">
        <v>2021</v>
      </c>
      <c r="F2" s="34">
        <v>2022</v>
      </c>
      <c r="G2" s="35"/>
      <c r="H2" s="34">
        <v>2021</v>
      </c>
      <c r="I2" s="34">
        <v>2022</v>
      </c>
      <c r="J2" s="35"/>
      <c r="K2" s="34">
        <v>2021</v>
      </c>
      <c r="L2" s="34">
        <v>2022</v>
      </c>
      <c r="M2" s="35"/>
      <c r="N2" s="34">
        <v>2021</v>
      </c>
      <c r="O2" s="34">
        <v>2022</v>
      </c>
      <c r="P2" s="34"/>
      <c r="Q2" s="34">
        <v>2021</v>
      </c>
      <c r="R2" s="34">
        <v>2022</v>
      </c>
      <c r="S2" s="34"/>
      <c r="T2" s="34">
        <v>2021</v>
      </c>
      <c r="U2" s="34">
        <v>2022</v>
      </c>
    </row>
    <row r="3" spans="1:21">
      <c r="A3" s="36" t="s">
        <v>50</v>
      </c>
      <c r="B3" s="36"/>
      <c r="C3" s="37">
        <v>8046946</v>
      </c>
      <c r="D3" s="38"/>
      <c r="E3" s="39">
        <v>1621955.5280000002</v>
      </c>
      <c r="F3" s="39">
        <v>157392.70022828193</v>
      </c>
      <c r="G3" s="39"/>
      <c r="H3" s="39">
        <v>982773.71700000006</v>
      </c>
      <c r="I3" s="39">
        <v>18800.68930676231</v>
      </c>
      <c r="J3" s="39"/>
      <c r="K3" s="39">
        <v>525763.9439999999</v>
      </c>
      <c r="L3" s="39">
        <v>50302.314000000006</v>
      </c>
      <c r="M3" s="39"/>
      <c r="N3" s="39">
        <v>891360.02794520557</v>
      </c>
      <c r="O3" s="39">
        <v>8706.5946549249838</v>
      </c>
      <c r="P3" s="39"/>
      <c r="Q3" s="39">
        <v>90600</v>
      </c>
      <c r="R3" s="39">
        <v>154515.47230000002</v>
      </c>
      <c r="S3" s="39"/>
      <c r="T3" s="39">
        <v>2000000</v>
      </c>
      <c r="U3" s="39">
        <v>232694.75150000001</v>
      </c>
    </row>
    <row r="4" spans="1:21">
      <c r="A4" s="40"/>
      <c r="B4" s="40"/>
      <c r="C4" s="39"/>
      <c r="D4" s="21"/>
      <c r="E4" s="39"/>
      <c r="F4" s="39"/>
      <c r="G4" s="41"/>
      <c r="H4" s="39"/>
      <c r="I4" s="39"/>
      <c r="J4" s="41"/>
      <c r="K4" s="39"/>
      <c r="L4" s="39"/>
      <c r="M4" s="41"/>
      <c r="N4" s="39"/>
      <c r="O4" s="39"/>
      <c r="P4" s="39"/>
      <c r="Q4" s="39"/>
      <c r="R4" s="39"/>
      <c r="S4" s="39"/>
      <c r="T4" s="39"/>
      <c r="U4" s="39"/>
    </row>
    <row r="5" spans="1:21">
      <c r="A5" s="25" t="s">
        <v>27</v>
      </c>
      <c r="B5" s="25"/>
      <c r="C5" s="19">
        <v>1017727</v>
      </c>
      <c r="D5" s="21"/>
      <c r="E5" s="19">
        <v>19890.98</v>
      </c>
      <c r="F5" s="19">
        <v>611.01820728291318</v>
      </c>
      <c r="G5" s="19"/>
      <c r="H5" s="19">
        <v>16375.208000000001</v>
      </c>
      <c r="I5" s="19">
        <v>35.639702062643238</v>
      </c>
      <c r="J5" s="19"/>
      <c r="K5" s="19">
        <v>13814.442999999999</v>
      </c>
      <c r="L5" s="19">
        <v>46.591000000000001</v>
      </c>
      <c r="M5" s="19"/>
      <c r="N5" s="19">
        <v>0</v>
      </c>
      <c r="O5" s="19">
        <v>0</v>
      </c>
      <c r="P5" s="19"/>
      <c r="Q5" s="42" t="s">
        <v>53</v>
      </c>
      <c r="R5" s="42">
        <v>247.36</v>
      </c>
      <c r="S5" s="19"/>
      <c r="T5" s="42" t="s">
        <v>53</v>
      </c>
      <c r="U5" s="19">
        <v>3450</v>
      </c>
    </row>
    <row r="6" spans="1:21">
      <c r="A6" s="25"/>
      <c r="B6" s="25"/>
      <c r="C6" s="19"/>
      <c r="D6" s="22"/>
      <c r="E6" s="19"/>
      <c r="F6" s="19"/>
      <c r="G6" s="26"/>
      <c r="H6" s="26"/>
      <c r="I6" s="26"/>
      <c r="J6" s="26"/>
      <c r="K6" s="26"/>
      <c r="L6" s="26"/>
      <c r="M6" s="26"/>
      <c r="N6" s="26"/>
      <c r="O6" s="26"/>
      <c r="P6" s="26"/>
      <c r="Q6" s="26"/>
      <c r="R6" s="42"/>
      <c r="S6" s="26"/>
      <c r="T6" s="26"/>
      <c r="U6" s="26"/>
    </row>
    <row r="7" spans="1:21">
      <c r="A7" s="25" t="s">
        <v>28</v>
      </c>
      <c r="B7" s="25"/>
      <c r="C7" s="19">
        <v>528228</v>
      </c>
      <c r="D7" s="22"/>
      <c r="E7" s="19">
        <v>1041.9549999999999</v>
      </c>
      <c r="F7" s="19">
        <v>15272.05</v>
      </c>
      <c r="G7" s="19"/>
      <c r="H7" s="19">
        <v>0</v>
      </c>
      <c r="I7" s="19">
        <v>11547.54</v>
      </c>
      <c r="J7" s="19"/>
      <c r="K7" s="19">
        <v>0</v>
      </c>
      <c r="L7" s="19">
        <v>2777.1749999999997</v>
      </c>
      <c r="M7" s="19"/>
      <c r="N7" s="19">
        <v>0</v>
      </c>
      <c r="O7" s="19">
        <v>0</v>
      </c>
      <c r="P7" s="19"/>
      <c r="Q7" s="42" t="s">
        <v>53</v>
      </c>
      <c r="R7" s="42">
        <v>327.09999999999997</v>
      </c>
      <c r="S7" s="19"/>
      <c r="T7" s="42" t="s">
        <v>53</v>
      </c>
      <c r="U7" s="19">
        <v>880</v>
      </c>
    </row>
    <row r="8" spans="1:21">
      <c r="A8" s="25"/>
      <c r="B8" s="25"/>
      <c r="C8" s="19"/>
      <c r="D8" s="22"/>
      <c r="E8" s="19"/>
      <c r="F8" s="19"/>
      <c r="G8" s="26"/>
      <c r="H8" s="26"/>
      <c r="I8" s="26"/>
      <c r="J8" s="26"/>
      <c r="K8" s="26"/>
      <c r="L8" s="26"/>
      <c r="M8" s="26"/>
      <c r="N8" s="26"/>
      <c r="O8" s="26"/>
      <c r="P8" s="26"/>
      <c r="Q8" s="26"/>
      <c r="R8" s="42"/>
      <c r="S8" s="26"/>
      <c r="T8" s="26"/>
      <c r="U8" s="26"/>
    </row>
    <row r="9" spans="1:21">
      <c r="A9" s="25" t="s">
        <v>29</v>
      </c>
      <c r="B9" s="25"/>
      <c r="C9" s="19">
        <v>363251</v>
      </c>
      <c r="D9" s="22"/>
      <c r="E9" s="19">
        <v>15992.2</v>
      </c>
      <c r="F9" s="19">
        <v>44434.408473304473</v>
      </c>
      <c r="G9" s="19"/>
      <c r="H9" s="19">
        <v>1456.6060000000002</v>
      </c>
      <c r="I9" s="19">
        <v>2033.2880751301836</v>
      </c>
      <c r="J9" s="19"/>
      <c r="K9" s="19">
        <v>4535.9299999999994</v>
      </c>
      <c r="L9" s="19">
        <v>18323.554</v>
      </c>
      <c r="M9" s="19"/>
      <c r="N9" s="19">
        <v>0</v>
      </c>
      <c r="O9" s="19">
        <v>1154.3262426614481</v>
      </c>
      <c r="P9" s="19"/>
      <c r="Q9" s="42" t="s">
        <v>53</v>
      </c>
      <c r="R9" s="42">
        <v>66034.690300000002</v>
      </c>
      <c r="S9" s="19"/>
      <c r="T9" s="42" t="s">
        <v>53</v>
      </c>
      <c r="U9" s="19">
        <v>21140</v>
      </c>
    </row>
    <row r="10" spans="1:21">
      <c r="A10" s="25"/>
      <c r="B10" s="25"/>
      <c r="C10" s="20"/>
      <c r="D10" s="23"/>
      <c r="E10" s="20"/>
      <c r="F10" s="20"/>
      <c r="G10" s="20"/>
      <c r="H10" s="20"/>
      <c r="I10" s="20"/>
      <c r="J10" s="20"/>
      <c r="K10" s="20"/>
      <c r="L10" s="20"/>
      <c r="M10" s="20"/>
      <c r="N10" s="20"/>
      <c r="O10" s="20"/>
      <c r="P10" s="20"/>
      <c r="Q10" s="20"/>
      <c r="R10" s="42"/>
      <c r="S10" s="20"/>
      <c r="T10" s="20"/>
      <c r="U10" s="20"/>
    </row>
    <row r="11" spans="1:21">
      <c r="A11" s="25" t="s">
        <v>30</v>
      </c>
      <c r="B11" s="25"/>
      <c r="C11" s="20">
        <v>267074</v>
      </c>
      <c r="D11" s="23"/>
      <c r="E11" s="20">
        <v>69694.406000000003</v>
      </c>
      <c r="F11" s="20">
        <v>557.65250000000003</v>
      </c>
      <c r="G11" s="20"/>
      <c r="H11" s="20">
        <v>5768.58</v>
      </c>
      <c r="I11" s="20">
        <v>45.685558587753704</v>
      </c>
      <c r="J11" s="20"/>
      <c r="K11" s="20">
        <v>9755.7060000000001</v>
      </c>
      <c r="L11" s="20">
        <v>64.88</v>
      </c>
      <c r="M11" s="20"/>
      <c r="N11" s="20">
        <v>0</v>
      </c>
      <c r="O11" s="20">
        <v>0</v>
      </c>
      <c r="P11" s="20"/>
      <c r="Q11" s="42" t="s">
        <v>53</v>
      </c>
      <c r="R11" s="42">
        <v>98.3</v>
      </c>
      <c r="S11" s="20"/>
      <c r="T11" s="42" t="s">
        <v>53</v>
      </c>
      <c r="U11" s="19">
        <v>1500</v>
      </c>
    </row>
    <row r="12" spans="1:21">
      <c r="A12" s="25"/>
      <c r="B12" s="25"/>
      <c r="C12" s="20"/>
      <c r="D12" s="23"/>
      <c r="E12" s="20"/>
      <c r="F12" s="20"/>
      <c r="G12" s="20"/>
      <c r="H12" s="20"/>
      <c r="I12" s="20"/>
      <c r="J12" s="20"/>
      <c r="K12" s="20"/>
      <c r="L12" s="20"/>
      <c r="M12" s="20"/>
      <c r="N12" s="20"/>
      <c r="O12" s="20"/>
      <c r="P12" s="20"/>
      <c r="Q12" s="20"/>
      <c r="R12" s="42"/>
      <c r="S12" s="20"/>
      <c r="T12" s="20"/>
      <c r="U12" s="20"/>
    </row>
    <row r="13" spans="1:21">
      <c r="A13" s="25" t="s">
        <v>31</v>
      </c>
      <c r="B13" s="25"/>
      <c r="C13" s="20">
        <v>315497</v>
      </c>
      <c r="D13" s="23"/>
      <c r="E13" s="20">
        <v>45557.717999999993</v>
      </c>
      <c r="F13" s="20">
        <v>37</v>
      </c>
      <c r="G13" s="20"/>
      <c r="H13" s="20">
        <v>18271.479000000003</v>
      </c>
      <c r="I13" s="20">
        <v>0</v>
      </c>
      <c r="J13" s="20"/>
      <c r="K13" s="20">
        <v>12076.862000000001</v>
      </c>
      <c r="L13" s="20">
        <f>'[1]Jadual 2'!M65</f>
        <v>9755.7060000000001</v>
      </c>
      <c r="M13" s="20"/>
      <c r="N13" s="20">
        <v>1231.9417555658997</v>
      </c>
      <c r="O13" s="20">
        <v>0</v>
      </c>
      <c r="P13" s="20"/>
      <c r="Q13" s="42" t="s">
        <v>53</v>
      </c>
      <c r="R13" s="42">
        <v>3007.1380000000004</v>
      </c>
      <c r="S13" s="20"/>
      <c r="T13" s="42" t="s">
        <v>53</v>
      </c>
      <c r="U13" s="19">
        <v>17940</v>
      </c>
    </row>
    <row r="14" spans="1:21">
      <c r="A14" s="25"/>
      <c r="B14" s="25"/>
      <c r="C14" s="20"/>
      <c r="D14" s="23"/>
      <c r="E14" s="20"/>
      <c r="F14" s="20"/>
      <c r="G14" s="20"/>
      <c r="H14" s="20"/>
      <c r="I14" s="20"/>
      <c r="J14" s="20"/>
      <c r="K14" s="20"/>
      <c r="L14" s="20"/>
      <c r="M14" s="20"/>
      <c r="N14" s="20"/>
      <c r="O14" s="20"/>
      <c r="P14" s="20"/>
      <c r="Q14" s="20"/>
      <c r="R14" s="42"/>
      <c r="S14" s="20"/>
      <c r="T14" s="20"/>
      <c r="U14" s="20"/>
    </row>
    <row r="15" spans="1:21">
      <c r="A15" s="25" t="s">
        <v>32</v>
      </c>
      <c r="B15" s="25"/>
      <c r="C15" s="20">
        <v>401534</v>
      </c>
      <c r="D15" s="23"/>
      <c r="E15" s="20">
        <v>425508.18</v>
      </c>
      <c r="F15" s="20">
        <v>1828.2157803030304</v>
      </c>
      <c r="G15" s="20"/>
      <c r="H15" s="20">
        <v>78223.944000000003</v>
      </c>
      <c r="I15" s="20">
        <v>76.354441176470573</v>
      </c>
      <c r="J15" s="20"/>
      <c r="K15" s="20">
        <v>83843.770999999979</v>
      </c>
      <c r="L15" s="20">
        <v>265.36400000000003</v>
      </c>
      <c r="M15" s="20"/>
      <c r="N15" s="20">
        <v>5592.4902557504829</v>
      </c>
      <c r="O15" s="20">
        <v>0</v>
      </c>
      <c r="P15" s="20"/>
      <c r="Q15" s="42" t="s">
        <v>53</v>
      </c>
      <c r="R15" s="42">
        <v>1692.82</v>
      </c>
      <c r="S15" s="20"/>
      <c r="T15" s="42" t="s">
        <v>53</v>
      </c>
      <c r="U15" s="19">
        <v>140090</v>
      </c>
    </row>
    <row r="16" spans="1:21">
      <c r="A16" s="25"/>
      <c r="B16" s="25"/>
      <c r="C16" s="20"/>
      <c r="D16" s="23"/>
      <c r="E16" s="20"/>
      <c r="F16" s="20"/>
      <c r="G16" s="20"/>
      <c r="H16" s="20"/>
      <c r="I16" s="20"/>
      <c r="J16" s="20"/>
      <c r="K16" s="20"/>
      <c r="L16" s="20"/>
      <c r="M16" s="20"/>
      <c r="N16" s="20"/>
      <c r="O16" s="20"/>
      <c r="P16" s="20"/>
      <c r="Q16" s="20"/>
      <c r="R16" s="42"/>
      <c r="S16" s="20"/>
      <c r="T16" s="20"/>
      <c r="U16" s="20"/>
    </row>
    <row r="17" spans="1:21">
      <c r="A17" s="25" t="s">
        <v>35</v>
      </c>
      <c r="B17" s="25"/>
      <c r="C17" s="20">
        <v>495347</v>
      </c>
      <c r="D17" s="20"/>
      <c r="E17" s="20">
        <v>0</v>
      </c>
      <c r="F17" s="20">
        <v>97.704999999999998</v>
      </c>
      <c r="G17" s="20"/>
      <c r="H17" s="20">
        <v>0</v>
      </c>
      <c r="I17" s="20">
        <v>1.91</v>
      </c>
      <c r="J17" s="20"/>
      <c r="K17" s="20">
        <v>0</v>
      </c>
      <c r="L17" s="20">
        <v>25.968</v>
      </c>
      <c r="M17" s="20"/>
      <c r="N17" s="20">
        <v>0</v>
      </c>
      <c r="O17" s="20">
        <v>0</v>
      </c>
      <c r="P17" s="20"/>
      <c r="Q17" s="42" t="s">
        <v>53</v>
      </c>
      <c r="R17" s="42">
        <v>74.847999999999999</v>
      </c>
      <c r="S17" s="20"/>
      <c r="T17" s="42" t="s">
        <v>53</v>
      </c>
      <c r="U17" s="19">
        <v>0</v>
      </c>
    </row>
    <row r="18" spans="1:21">
      <c r="A18" s="25"/>
      <c r="B18" s="25"/>
      <c r="C18" s="20"/>
      <c r="D18" s="23"/>
      <c r="E18" s="20"/>
      <c r="F18" s="20"/>
      <c r="G18" s="20"/>
      <c r="H18" s="20"/>
      <c r="I18" s="20"/>
      <c r="J18" s="20"/>
      <c r="K18" s="20"/>
      <c r="L18" s="20"/>
      <c r="M18" s="20"/>
      <c r="N18" s="20"/>
      <c r="O18" s="20"/>
      <c r="P18" s="20"/>
      <c r="Q18" s="42"/>
      <c r="R18" s="42"/>
      <c r="S18" s="20"/>
      <c r="T18" s="42"/>
      <c r="U18" s="19"/>
    </row>
    <row r="19" spans="1:21">
      <c r="A19" s="25" t="s">
        <v>33</v>
      </c>
      <c r="B19" s="25"/>
      <c r="C19" s="20">
        <v>672855</v>
      </c>
      <c r="D19" s="20"/>
      <c r="E19" s="20">
        <v>2707.6</v>
      </c>
      <c r="F19" s="20">
        <v>1575.3458333333333</v>
      </c>
      <c r="G19" s="20"/>
      <c r="H19" s="20">
        <v>463.5</v>
      </c>
      <c r="I19" s="20">
        <v>52.626666666666672</v>
      </c>
      <c r="J19" s="20"/>
      <c r="K19" s="20">
        <v>250</v>
      </c>
      <c r="L19" s="20">
        <v>246.11500000000001</v>
      </c>
      <c r="M19" s="20"/>
      <c r="N19" s="20">
        <v>0</v>
      </c>
      <c r="O19" s="20">
        <v>105.626</v>
      </c>
      <c r="P19" s="20"/>
      <c r="Q19" s="42" t="s">
        <v>53</v>
      </c>
      <c r="R19" s="42">
        <v>767.81299999999999</v>
      </c>
      <c r="S19" s="20"/>
      <c r="T19" s="42" t="s">
        <v>53</v>
      </c>
      <c r="U19" s="19">
        <v>12159.7515</v>
      </c>
    </row>
    <row r="20" spans="1:21">
      <c r="A20" s="25"/>
      <c r="B20" s="25"/>
      <c r="C20" s="20"/>
      <c r="D20" s="23"/>
      <c r="E20" s="20"/>
      <c r="F20" s="20"/>
      <c r="G20" s="20"/>
      <c r="H20" s="20"/>
      <c r="I20" s="20"/>
      <c r="J20" s="20"/>
      <c r="K20" s="20"/>
      <c r="L20" s="20"/>
      <c r="M20" s="20"/>
      <c r="N20" s="20"/>
      <c r="O20" s="20"/>
      <c r="P20" s="20"/>
      <c r="Q20" s="20"/>
      <c r="R20" s="42"/>
      <c r="S20" s="20"/>
      <c r="T20" s="20"/>
      <c r="U20" s="20"/>
    </row>
    <row r="21" spans="1:21">
      <c r="A21" s="25" t="s">
        <v>34</v>
      </c>
      <c r="B21" s="25"/>
      <c r="C21" s="20">
        <v>80850</v>
      </c>
      <c r="D21" s="23"/>
      <c r="E21" s="20">
        <v>0</v>
      </c>
      <c r="F21" s="20">
        <v>5.6</v>
      </c>
      <c r="G21" s="20"/>
      <c r="H21" s="20">
        <v>0</v>
      </c>
      <c r="I21" s="20">
        <v>0</v>
      </c>
      <c r="J21" s="20"/>
      <c r="K21" s="20">
        <v>0</v>
      </c>
      <c r="L21" s="20">
        <v>0</v>
      </c>
      <c r="M21" s="20"/>
      <c r="N21" s="20">
        <v>0</v>
      </c>
      <c r="O21" s="20">
        <v>0</v>
      </c>
      <c r="P21" s="20"/>
      <c r="Q21" s="42" t="s">
        <v>53</v>
      </c>
      <c r="R21" s="42">
        <v>0</v>
      </c>
      <c r="S21" s="20"/>
      <c r="T21" s="42" t="s">
        <v>53</v>
      </c>
      <c r="U21" s="19">
        <v>0</v>
      </c>
    </row>
    <row r="22" spans="1:21">
      <c r="A22" s="25"/>
      <c r="B22" s="25"/>
      <c r="C22" s="20"/>
      <c r="D22" s="23"/>
      <c r="E22" s="20"/>
      <c r="F22" s="20"/>
      <c r="G22" s="20"/>
      <c r="H22" s="20"/>
      <c r="I22" s="20"/>
      <c r="J22" s="20"/>
      <c r="K22" s="20"/>
      <c r="L22" s="20"/>
      <c r="M22" s="20"/>
      <c r="N22" s="20"/>
      <c r="O22" s="20"/>
      <c r="P22" s="20"/>
      <c r="Q22" s="20"/>
      <c r="R22" s="42"/>
      <c r="S22" s="20"/>
      <c r="T22" s="20"/>
      <c r="U22" s="20"/>
    </row>
    <row r="23" spans="1:21">
      <c r="A23" s="25" t="s">
        <v>38</v>
      </c>
      <c r="B23" s="25"/>
      <c r="C23" s="20">
        <v>1836410</v>
      </c>
      <c r="D23" s="23"/>
      <c r="E23" s="20">
        <v>1011762.2200000001</v>
      </c>
      <c r="F23" s="20">
        <v>2548.8000000000002</v>
      </c>
      <c r="G23" s="20"/>
      <c r="H23" s="20">
        <v>855018.29300000006</v>
      </c>
      <c r="I23" s="20">
        <v>57.287999999999997</v>
      </c>
      <c r="J23" s="20"/>
      <c r="K23" s="20">
        <v>396389.03200000001</v>
      </c>
      <c r="L23" s="20">
        <v>518.60299999999995</v>
      </c>
      <c r="M23" s="20"/>
      <c r="N23" s="20">
        <v>884475.25188981625</v>
      </c>
      <c r="O23" s="20">
        <v>0</v>
      </c>
      <c r="P23" s="20"/>
      <c r="Q23" s="42" t="s">
        <v>53</v>
      </c>
      <c r="R23" s="42">
        <v>3144.6039999999998</v>
      </c>
      <c r="S23" s="20"/>
      <c r="T23" s="42" t="s">
        <v>53</v>
      </c>
      <c r="U23" s="19">
        <v>19250</v>
      </c>
    </row>
    <row r="24" spans="1:21">
      <c r="A24" s="25"/>
      <c r="B24" s="25"/>
      <c r="C24" s="20"/>
      <c r="D24" s="23"/>
      <c r="E24" s="20"/>
      <c r="F24" s="20"/>
      <c r="G24" s="20"/>
      <c r="H24" s="20"/>
      <c r="I24" s="20"/>
      <c r="J24" s="20"/>
      <c r="K24" s="20"/>
      <c r="L24" s="20"/>
      <c r="M24" s="20"/>
      <c r="N24" s="20"/>
      <c r="O24" s="20"/>
      <c r="P24" s="20"/>
      <c r="Q24" s="20"/>
      <c r="R24" s="42"/>
      <c r="S24" s="20"/>
      <c r="T24" s="20"/>
      <c r="U24" s="20"/>
    </row>
    <row r="25" spans="1:21">
      <c r="A25" s="25" t="s">
        <v>39</v>
      </c>
      <c r="B25" s="25"/>
      <c r="C25" s="20">
        <v>282373</v>
      </c>
      <c r="D25" s="20"/>
      <c r="E25" s="20">
        <v>253.69699999999997</v>
      </c>
      <c r="F25" s="20">
        <v>84162.270712121201</v>
      </c>
      <c r="G25" s="20"/>
      <c r="H25" s="20">
        <v>42.222999999999992</v>
      </c>
      <c r="I25" s="20">
        <v>3421.028939393942</v>
      </c>
      <c r="J25" s="20"/>
      <c r="K25" s="20">
        <v>141.19999999999999</v>
      </c>
      <c r="L25" s="20">
        <v>25253.924000000003</v>
      </c>
      <c r="M25" s="20"/>
      <c r="N25" s="20">
        <v>0</v>
      </c>
      <c r="O25" s="20">
        <v>7099.011459882583</v>
      </c>
      <c r="P25" s="20"/>
      <c r="Q25" s="42" t="s">
        <v>53</v>
      </c>
      <c r="R25" s="42">
        <v>79022.298999999999</v>
      </c>
      <c r="S25" s="20"/>
      <c r="T25" s="42" t="s">
        <v>53</v>
      </c>
      <c r="U25" s="19">
        <v>16285</v>
      </c>
    </row>
    <row r="26" spans="1:21">
      <c r="A26" s="25"/>
      <c r="B26" s="25"/>
      <c r="C26" s="20"/>
      <c r="D26" s="23"/>
      <c r="E26" s="20"/>
      <c r="F26" s="20"/>
      <c r="G26" s="20"/>
      <c r="H26" s="20"/>
      <c r="I26" s="20"/>
      <c r="J26" s="20"/>
      <c r="K26" s="20"/>
      <c r="L26" s="20"/>
      <c r="M26" s="20"/>
      <c r="N26" s="20"/>
      <c r="O26" s="20"/>
      <c r="P26" s="20"/>
      <c r="Q26" s="20"/>
      <c r="R26" s="42"/>
      <c r="S26" s="20"/>
      <c r="T26" s="20"/>
      <c r="U26" s="20"/>
    </row>
    <row r="27" spans="1:21">
      <c r="A27" s="25" t="s">
        <v>36</v>
      </c>
      <c r="B27" s="25"/>
      <c r="C27" s="20">
        <v>594163</v>
      </c>
      <c r="D27" s="20"/>
      <c r="E27" s="20">
        <v>7165.482</v>
      </c>
      <c r="F27" s="20">
        <v>5359.5501948051951</v>
      </c>
      <c r="G27" s="20"/>
      <c r="H27" s="20">
        <v>1033.884</v>
      </c>
      <c r="I27" s="20">
        <v>151.71522607022607</v>
      </c>
      <c r="J27" s="20"/>
      <c r="K27" s="20">
        <v>1146.9999999999998</v>
      </c>
      <c r="L27" s="20">
        <v>453.21200000000005</v>
      </c>
      <c r="M27" s="20"/>
      <c r="N27" s="20">
        <v>0</v>
      </c>
      <c r="O27" s="20">
        <v>347.63095238095229</v>
      </c>
      <c r="P27" s="20"/>
      <c r="Q27" s="42" t="s">
        <v>53</v>
      </c>
      <c r="R27" s="42">
        <v>0</v>
      </c>
      <c r="S27" s="20"/>
      <c r="T27" s="42" t="s">
        <v>53</v>
      </c>
      <c r="U27" s="19">
        <v>0</v>
      </c>
    </row>
    <row r="28" spans="1:21">
      <c r="A28" s="25"/>
      <c r="B28" s="25"/>
      <c r="C28" s="20"/>
      <c r="D28" s="20"/>
      <c r="E28" s="20"/>
      <c r="F28" s="20"/>
      <c r="G28" s="20"/>
      <c r="H28" s="20"/>
      <c r="I28" s="20"/>
      <c r="J28" s="20"/>
      <c r="K28" s="20"/>
      <c r="L28" s="20"/>
      <c r="M28" s="20"/>
      <c r="N28" s="20"/>
      <c r="O28" s="20"/>
      <c r="P28" s="20"/>
      <c r="Q28" s="20"/>
      <c r="R28" s="42"/>
      <c r="S28" s="20"/>
      <c r="T28" s="20"/>
      <c r="U28" s="20"/>
    </row>
    <row r="29" spans="1:21">
      <c r="A29" s="25" t="s">
        <v>37</v>
      </c>
      <c r="B29" s="25"/>
      <c r="C29" s="20">
        <v>618108</v>
      </c>
      <c r="D29" s="20"/>
      <c r="E29" s="20">
        <v>10</v>
      </c>
      <c r="F29" s="20">
        <v>903.08352713178306</v>
      </c>
      <c r="G29" s="20"/>
      <c r="H29" s="20">
        <v>0</v>
      </c>
      <c r="I29" s="20">
        <v>27.612697674418602</v>
      </c>
      <c r="J29" s="20"/>
      <c r="K29" s="20">
        <v>0</v>
      </c>
      <c r="L29" s="20">
        <v>251.12799999999996</v>
      </c>
      <c r="M29" s="20"/>
      <c r="N29" s="20">
        <v>0</v>
      </c>
      <c r="O29" s="20">
        <v>0</v>
      </c>
      <c r="P29" s="20"/>
      <c r="Q29" s="42" t="s">
        <v>53</v>
      </c>
      <c r="R29" s="42">
        <v>98.5</v>
      </c>
      <c r="S29" s="20"/>
      <c r="T29" s="42" t="s">
        <v>53</v>
      </c>
      <c r="U29" s="19">
        <v>0</v>
      </c>
    </row>
    <row r="30" spans="1:21">
      <c r="A30" s="25"/>
      <c r="B30" s="25"/>
      <c r="C30" s="20"/>
      <c r="D30" s="20"/>
      <c r="E30" s="20"/>
      <c r="F30" s="20"/>
      <c r="G30" s="20"/>
      <c r="H30" s="20"/>
      <c r="I30" s="20"/>
      <c r="J30" s="20"/>
      <c r="K30" s="20"/>
      <c r="L30" s="20"/>
      <c r="M30" s="20"/>
      <c r="N30" s="20"/>
      <c r="O30" s="20"/>
      <c r="P30" s="20"/>
      <c r="Q30" s="20"/>
      <c r="R30" s="42"/>
      <c r="S30" s="20"/>
      <c r="T30" s="20"/>
      <c r="U30" s="20"/>
    </row>
    <row r="31" spans="1:21">
      <c r="A31" s="25" t="s">
        <v>41</v>
      </c>
      <c r="B31" s="25"/>
      <c r="C31" s="20">
        <v>573529</v>
      </c>
      <c r="D31" s="20"/>
      <c r="E31" s="20">
        <v>22371.09</v>
      </c>
      <c r="F31" s="20">
        <v>0</v>
      </c>
      <c r="G31" s="20"/>
      <c r="H31" s="20">
        <v>6120</v>
      </c>
      <c r="I31" s="20">
        <v>1350</v>
      </c>
      <c r="J31" s="20"/>
      <c r="K31" s="20">
        <v>3810</v>
      </c>
      <c r="L31" s="20">
        <v>2019.3</v>
      </c>
      <c r="M31" s="20"/>
      <c r="N31" s="20">
        <v>60.344044072872045</v>
      </c>
      <c r="O31" s="20">
        <v>0</v>
      </c>
      <c r="P31" s="20"/>
      <c r="Q31" s="42" t="s">
        <v>53</v>
      </c>
      <c r="R31" s="42">
        <v>0</v>
      </c>
      <c r="S31" s="20"/>
      <c r="T31" s="42" t="s">
        <v>53</v>
      </c>
      <c r="U31" s="19">
        <v>0</v>
      </c>
    </row>
    <row r="32" spans="1:21">
      <c r="A32" s="25"/>
      <c r="B32" s="25"/>
      <c r="C32" s="20"/>
      <c r="D32" s="20"/>
      <c r="E32" s="20">
        <f>SUM(E5:E31)</f>
        <v>1621955.5280000002</v>
      </c>
      <c r="F32" s="20"/>
      <c r="G32" s="20"/>
      <c r="H32" s="20">
        <f>SUM(H5:H31)</f>
        <v>982773.71700000006</v>
      </c>
      <c r="I32" s="20"/>
      <c r="J32" s="20"/>
      <c r="K32" s="20">
        <f>SUM(K5:K31)</f>
        <v>525763.9439999999</v>
      </c>
      <c r="L32" s="20"/>
      <c r="M32" s="20"/>
      <c r="N32" s="20">
        <f>SUM(N5:N31)</f>
        <v>891360.02794520557</v>
      </c>
      <c r="O32" s="20"/>
      <c r="P32" s="20"/>
      <c r="Q32" s="20"/>
      <c r="R32" s="20"/>
      <c r="S32" s="20"/>
      <c r="T32" s="20"/>
      <c r="U32" s="20"/>
    </row>
    <row r="33" spans="1:22" ht="26.5" thickBot="1">
      <c r="A33" s="43" t="s">
        <v>54</v>
      </c>
      <c r="B33" s="44"/>
      <c r="C33" s="349" t="s">
        <v>116</v>
      </c>
      <c r="D33" s="29"/>
      <c r="E33" s="350" t="s">
        <v>117</v>
      </c>
      <c r="F33" s="350"/>
      <c r="G33" s="350"/>
      <c r="H33" s="350"/>
      <c r="I33" s="350"/>
      <c r="J33" s="350"/>
      <c r="K33" s="350"/>
      <c r="L33" s="350"/>
      <c r="M33" s="350"/>
      <c r="N33" s="350"/>
      <c r="O33" s="350"/>
      <c r="P33" s="350"/>
      <c r="Q33" s="350"/>
      <c r="R33" s="350"/>
      <c r="S33" s="350"/>
      <c r="T33" s="350"/>
      <c r="U33" s="350"/>
      <c r="V33" s="350"/>
    </row>
    <row r="34" spans="1:22">
      <c r="A34" s="27"/>
      <c r="B34" s="27"/>
      <c r="C34" s="349"/>
      <c r="D34" s="29"/>
      <c r="E34" s="347" t="s">
        <v>110</v>
      </c>
      <c r="F34" s="347"/>
      <c r="G34" s="46"/>
      <c r="H34" s="347" t="s">
        <v>111</v>
      </c>
      <c r="I34" s="347"/>
      <c r="J34" s="46"/>
      <c r="K34" s="348" t="s">
        <v>112</v>
      </c>
      <c r="L34" s="348"/>
      <c r="M34" s="46"/>
      <c r="N34" s="347" t="s">
        <v>113</v>
      </c>
      <c r="O34" s="347"/>
      <c r="P34" s="46"/>
      <c r="Q34" s="347" t="s">
        <v>114</v>
      </c>
      <c r="R34" s="347"/>
      <c r="S34" s="30"/>
      <c r="T34" s="347" t="s">
        <v>118</v>
      </c>
      <c r="U34" s="347"/>
      <c r="V34" s="29"/>
    </row>
    <row r="35" spans="1:22" ht="15" thickBot="1">
      <c r="A35" s="32"/>
      <c r="B35" s="32"/>
      <c r="C35" s="32"/>
      <c r="D35" s="33"/>
      <c r="E35" s="34">
        <v>2022</v>
      </c>
      <c r="F35" s="34">
        <v>2023</v>
      </c>
      <c r="G35" s="35"/>
      <c r="H35" s="34">
        <v>2022</v>
      </c>
      <c r="I35" s="34">
        <v>2023</v>
      </c>
      <c r="J35" s="35"/>
      <c r="K35" s="34">
        <v>2022</v>
      </c>
      <c r="L35" s="34">
        <v>2023</v>
      </c>
      <c r="M35" s="35"/>
      <c r="N35" s="34">
        <v>2022</v>
      </c>
      <c r="O35" s="34">
        <v>2023</v>
      </c>
      <c r="P35" s="34"/>
      <c r="Q35" s="34">
        <v>2022</v>
      </c>
      <c r="R35" s="34">
        <v>2023</v>
      </c>
      <c r="S35" s="34"/>
      <c r="T35" s="34">
        <v>2022</v>
      </c>
      <c r="U35" s="34">
        <v>2023</v>
      </c>
      <c r="V35" s="34"/>
    </row>
    <row r="36" spans="1:22">
      <c r="A36" s="47" t="s">
        <v>50</v>
      </c>
      <c r="B36" s="36"/>
      <c r="C36" s="37">
        <v>8046946</v>
      </c>
      <c r="D36" s="38"/>
      <c r="E36" s="39">
        <v>157392.70022828193</v>
      </c>
      <c r="F36" s="39">
        <v>168258.19477053755</v>
      </c>
      <c r="G36" s="39">
        <v>0</v>
      </c>
      <c r="H36" s="39">
        <v>18800.68930676231</v>
      </c>
      <c r="I36" s="39">
        <v>22326.88466528571</v>
      </c>
      <c r="J36" s="39">
        <v>0</v>
      </c>
      <c r="K36" s="39">
        <v>50302.314000000006</v>
      </c>
      <c r="L36" s="39">
        <v>53197.133973333344</v>
      </c>
      <c r="M36" s="39">
        <v>0</v>
      </c>
      <c r="N36" s="39">
        <v>8706.5946549249838</v>
      </c>
      <c r="O36" s="39">
        <v>10259.602419999999</v>
      </c>
      <c r="P36" s="39">
        <v>0</v>
      </c>
      <c r="Q36" s="39">
        <v>154515.47230000002</v>
      </c>
      <c r="R36" s="39">
        <v>120629.37481000001</v>
      </c>
      <c r="S36" s="39">
        <v>0</v>
      </c>
      <c r="T36" s="39">
        <v>636767.41968000005</v>
      </c>
      <c r="U36" s="39">
        <v>380741.95513999998</v>
      </c>
      <c r="V36" s="39"/>
    </row>
    <row r="37" spans="1:22">
      <c r="A37" s="47"/>
      <c r="B37" s="40"/>
      <c r="C37" s="39"/>
      <c r="D37" s="21"/>
      <c r="E37" s="39"/>
      <c r="F37" s="39"/>
      <c r="G37" s="41"/>
      <c r="H37" s="39"/>
      <c r="I37" s="39"/>
      <c r="J37" s="41"/>
      <c r="K37" s="39"/>
      <c r="L37" s="39"/>
      <c r="M37" s="41"/>
      <c r="N37" s="39"/>
      <c r="O37" s="39"/>
      <c r="P37" s="39"/>
      <c r="Q37" s="39"/>
      <c r="R37" s="39"/>
      <c r="S37" s="39"/>
      <c r="T37" s="39"/>
      <c r="U37" s="39"/>
      <c r="V37" s="39"/>
    </row>
    <row r="38" spans="1:22">
      <c r="A38" s="48" t="s">
        <v>27</v>
      </c>
      <c r="B38" s="25"/>
      <c r="C38" s="19">
        <v>1017727</v>
      </c>
      <c r="D38" s="21"/>
      <c r="E38" s="19">
        <v>611.01820728291318</v>
      </c>
      <c r="F38" s="19">
        <v>121906.48592577597</v>
      </c>
      <c r="G38" s="19"/>
      <c r="H38" s="19">
        <v>35.639702062643238</v>
      </c>
      <c r="I38" s="19">
        <v>15937.086115285714</v>
      </c>
      <c r="J38" s="19"/>
      <c r="K38" s="19">
        <v>46.591000000000001</v>
      </c>
      <c r="L38" s="19">
        <v>29774.761059999997</v>
      </c>
      <c r="M38" s="19"/>
      <c r="N38" s="19">
        <v>0</v>
      </c>
      <c r="O38" s="19">
        <v>10259.602419999999</v>
      </c>
      <c r="P38" s="19"/>
      <c r="Q38" s="42">
        <v>247.36</v>
      </c>
      <c r="R38" s="42">
        <v>25238.669000000002</v>
      </c>
      <c r="S38" s="19"/>
      <c r="T38" s="19">
        <v>38238.571219999998</v>
      </c>
      <c r="U38" s="19">
        <v>71845.449569999997</v>
      </c>
      <c r="V38" s="19"/>
    </row>
    <row r="39" spans="1:22">
      <c r="A39" s="48"/>
      <c r="B39" s="25"/>
      <c r="C39" s="19"/>
      <c r="D39" s="22"/>
      <c r="E39" s="19"/>
      <c r="F39" s="19"/>
      <c r="G39" s="26"/>
      <c r="H39" s="26"/>
      <c r="I39" s="26"/>
      <c r="J39" s="26"/>
      <c r="K39" s="26"/>
      <c r="L39" s="26"/>
      <c r="M39" s="26"/>
      <c r="N39" s="26"/>
      <c r="O39" s="26"/>
      <c r="P39" s="26"/>
      <c r="Q39" s="42"/>
      <c r="R39" s="42"/>
      <c r="S39" s="26"/>
      <c r="T39" s="26"/>
      <c r="U39" s="26"/>
      <c r="V39" s="26"/>
    </row>
    <row r="40" spans="1:22">
      <c r="A40" s="48" t="s">
        <v>28</v>
      </c>
      <c r="B40" s="25"/>
      <c r="C40" s="19">
        <v>528228</v>
      </c>
      <c r="D40" s="22"/>
      <c r="E40" s="19">
        <v>15272.05</v>
      </c>
      <c r="F40" s="19">
        <v>264.66666666666663</v>
      </c>
      <c r="G40" s="19"/>
      <c r="H40" s="19">
        <v>11547.54</v>
      </c>
      <c r="I40" s="19">
        <v>10.718550000000002</v>
      </c>
      <c r="J40" s="19"/>
      <c r="K40" s="19">
        <v>2777.1749999999997</v>
      </c>
      <c r="L40" s="19">
        <v>0</v>
      </c>
      <c r="M40" s="19"/>
      <c r="N40" s="19">
        <v>0</v>
      </c>
      <c r="O40" s="19">
        <v>0</v>
      </c>
      <c r="P40" s="19"/>
      <c r="Q40" s="42">
        <v>327.09999999999997</v>
      </c>
      <c r="R40" s="42">
        <v>416.2</v>
      </c>
      <c r="S40" s="19"/>
      <c r="T40" s="19">
        <v>24309.590990000001</v>
      </c>
      <c r="U40" s="19">
        <v>20746.419099999999</v>
      </c>
      <c r="V40" s="19"/>
    </row>
    <row r="41" spans="1:22">
      <c r="A41" s="48"/>
      <c r="B41" s="25"/>
      <c r="C41" s="19"/>
      <c r="D41" s="22"/>
      <c r="E41" s="19"/>
      <c r="F41" s="19"/>
      <c r="G41" s="26"/>
      <c r="H41" s="26"/>
      <c r="I41" s="26"/>
      <c r="J41" s="26"/>
      <c r="K41" s="26"/>
      <c r="L41" s="26"/>
      <c r="M41" s="26"/>
      <c r="N41" s="26"/>
      <c r="O41" s="26"/>
      <c r="P41" s="26"/>
      <c r="Q41" s="42"/>
      <c r="R41" s="42"/>
      <c r="S41" s="26"/>
      <c r="T41" s="26"/>
      <c r="U41" s="26"/>
      <c r="V41" s="26"/>
    </row>
    <row r="42" spans="1:22">
      <c r="A42" s="48" t="s">
        <v>29</v>
      </c>
      <c r="B42" s="25"/>
      <c r="C42" s="19">
        <v>363251</v>
      </c>
      <c r="D42" s="22"/>
      <c r="E42" s="19">
        <v>44434.408473304473</v>
      </c>
      <c r="F42" s="19">
        <v>15431.800333333334</v>
      </c>
      <c r="G42" s="19"/>
      <c r="H42" s="19">
        <v>2033.2880751301836</v>
      </c>
      <c r="I42" s="19">
        <v>430.92033333333325</v>
      </c>
      <c r="J42" s="19"/>
      <c r="K42" s="19">
        <v>18323.554</v>
      </c>
      <c r="L42" s="19">
        <v>19809.581000000006</v>
      </c>
      <c r="M42" s="19"/>
      <c r="N42" s="19">
        <v>1154.3262426614481</v>
      </c>
      <c r="O42" s="19">
        <v>0</v>
      </c>
      <c r="P42" s="19"/>
      <c r="Q42" s="42">
        <v>66034.690300000002</v>
      </c>
      <c r="R42" s="42">
        <v>52547.492299999998</v>
      </c>
      <c r="S42" s="19"/>
      <c r="T42" s="19">
        <v>61954.260340000001</v>
      </c>
      <c r="U42" s="19">
        <v>51458.661260000001</v>
      </c>
      <c r="V42" s="19"/>
    </row>
    <row r="43" spans="1:22">
      <c r="A43" s="48"/>
      <c r="B43" s="25"/>
      <c r="C43" s="20"/>
      <c r="D43" s="23"/>
      <c r="E43" s="20"/>
      <c r="F43" s="20"/>
      <c r="G43" s="20"/>
      <c r="H43" s="20"/>
      <c r="I43" s="20"/>
      <c r="J43" s="20"/>
      <c r="K43" s="20"/>
      <c r="L43" s="20"/>
      <c r="M43" s="20"/>
      <c r="N43" s="20"/>
      <c r="O43" s="20"/>
      <c r="P43" s="20"/>
      <c r="Q43" s="42"/>
      <c r="R43" s="42"/>
      <c r="S43" s="20"/>
      <c r="T43" s="20"/>
      <c r="U43" s="20"/>
      <c r="V43" s="20"/>
    </row>
    <row r="44" spans="1:22">
      <c r="A44" s="48" t="s">
        <v>30</v>
      </c>
      <c r="B44" s="25"/>
      <c r="C44" s="20">
        <v>267074</v>
      </c>
      <c r="D44" s="23"/>
      <c r="E44" s="20">
        <v>557.65250000000003</v>
      </c>
      <c r="F44" s="20">
        <v>540.85231981981985</v>
      </c>
      <c r="G44" s="20"/>
      <c r="H44" s="20">
        <v>45.685558587753704</v>
      </c>
      <c r="I44" s="20">
        <v>57.7</v>
      </c>
      <c r="J44" s="20"/>
      <c r="K44" s="20">
        <v>64.88</v>
      </c>
      <c r="L44" s="20">
        <v>0</v>
      </c>
      <c r="M44" s="20"/>
      <c r="N44" s="20">
        <v>0</v>
      </c>
      <c r="O44" s="20">
        <v>0</v>
      </c>
      <c r="P44" s="20"/>
      <c r="Q44" s="42">
        <v>98.3</v>
      </c>
      <c r="R44" s="42">
        <v>207.7424</v>
      </c>
      <c r="S44" s="19"/>
      <c r="T44" s="19">
        <v>16650.5429</v>
      </c>
      <c r="U44" s="19">
        <v>5000</v>
      </c>
      <c r="V44" s="19"/>
    </row>
    <row r="45" spans="1:22">
      <c r="A45" s="48"/>
      <c r="B45" s="25"/>
      <c r="C45" s="20"/>
      <c r="D45" s="23"/>
      <c r="E45" s="20"/>
      <c r="F45" s="20"/>
      <c r="G45" s="20"/>
      <c r="H45" s="20"/>
      <c r="I45" s="20"/>
      <c r="J45" s="20"/>
      <c r="K45" s="20"/>
      <c r="L45" s="20"/>
      <c r="M45" s="20"/>
      <c r="N45" s="20"/>
      <c r="O45" s="20"/>
      <c r="P45" s="20"/>
      <c r="Q45" s="42"/>
      <c r="R45" s="42"/>
      <c r="S45" s="20"/>
      <c r="T45" s="20"/>
      <c r="U45" s="20"/>
      <c r="V45" s="20"/>
    </row>
    <row r="46" spans="1:22">
      <c r="A46" s="48" t="s">
        <v>31</v>
      </c>
      <c r="B46" s="25"/>
      <c r="C46" s="20">
        <v>315497</v>
      </c>
      <c r="D46" s="23"/>
      <c r="E46" s="20">
        <v>37</v>
      </c>
      <c r="F46" s="20">
        <v>935.43999999999994</v>
      </c>
      <c r="G46" s="20"/>
      <c r="H46" s="20">
        <v>0</v>
      </c>
      <c r="I46" s="20">
        <v>12.45</v>
      </c>
      <c r="J46" s="20"/>
      <c r="K46" s="20">
        <v>56.5</v>
      </c>
      <c r="L46" s="20">
        <v>0</v>
      </c>
      <c r="M46" s="20"/>
      <c r="N46" s="20">
        <v>0</v>
      </c>
      <c r="O46" s="20">
        <v>0</v>
      </c>
      <c r="P46" s="20"/>
      <c r="Q46" s="42">
        <v>3007.1380000000004</v>
      </c>
      <c r="R46" s="42">
        <v>3023.6379999999999</v>
      </c>
      <c r="S46" s="19"/>
      <c r="T46" s="19">
        <v>35538.841050000003</v>
      </c>
      <c r="U46" s="19">
        <v>7579.9111499999999</v>
      </c>
      <c r="V46" s="19"/>
    </row>
    <row r="47" spans="1:22">
      <c r="A47" s="48"/>
      <c r="B47" s="25"/>
      <c r="C47" s="20"/>
      <c r="D47" s="23"/>
      <c r="E47" s="20"/>
      <c r="F47" s="20"/>
      <c r="G47" s="20"/>
      <c r="H47" s="20"/>
      <c r="I47" s="20"/>
      <c r="J47" s="20"/>
      <c r="K47" s="20"/>
      <c r="L47" s="20"/>
      <c r="M47" s="20"/>
      <c r="N47" s="20"/>
      <c r="O47" s="20"/>
      <c r="P47" s="20"/>
      <c r="Q47" s="42"/>
      <c r="R47" s="42"/>
      <c r="S47" s="20"/>
      <c r="T47" s="20"/>
      <c r="U47" s="20"/>
      <c r="V47" s="20"/>
    </row>
    <row r="48" spans="1:22">
      <c r="A48" s="48" t="s">
        <v>32</v>
      </c>
      <c r="B48" s="25"/>
      <c r="C48" s="20">
        <v>401534</v>
      </c>
      <c r="D48" s="23"/>
      <c r="E48" s="20">
        <v>1828.2157803030304</v>
      </c>
      <c r="F48" s="20">
        <v>6659.1094825174823</v>
      </c>
      <c r="G48" s="20"/>
      <c r="H48" s="20">
        <v>76.354441176470573</v>
      </c>
      <c r="I48" s="20">
        <v>1242.4066666666663</v>
      </c>
      <c r="J48" s="20"/>
      <c r="K48" s="20">
        <v>265.36400000000003</v>
      </c>
      <c r="L48" s="20">
        <v>98.343000000000004</v>
      </c>
      <c r="M48" s="20"/>
      <c r="N48" s="20">
        <v>0</v>
      </c>
      <c r="O48" s="20">
        <v>0</v>
      </c>
      <c r="P48" s="20"/>
      <c r="Q48" s="42">
        <v>1692.82</v>
      </c>
      <c r="R48" s="42">
        <v>3369.42</v>
      </c>
      <c r="S48" s="19"/>
      <c r="T48" s="19">
        <v>176064.81195</v>
      </c>
      <c r="U48" s="19">
        <v>63424.136960000003</v>
      </c>
      <c r="V48" s="19"/>
    </row>
    <row r="49" spans="1:22">
      <c r="A49" s="48"/>
      <c r="B49" s="25"/>
      <c r="C49" s="20"/>
      <c r="D49" s="23"/>
      <c r="E49" s="20"/>
      <c r="F49" s="20"/>
      <c r="G49" s="20"/>
      <c r="H49" s="20"/>
      <c r="I49" s="20"/>
      <c r="J49" s="20"/>
      <c r="K49" s="20"/>
      <c r="L49" s="20"/>
      <c r="M49" s="20"/>
      <c r="N49" s="20"/>
      <c r="O49" s="20"/>
      <c r="P49" s="20"/>
      <c r="Q49" s="42"/>
      <c r="R49" s="42"/>
      <c r="S49" s="20"/>
      <c r="T49" s="20"/>
      <c r="U49" s="20"/>
      <c r="V49" s="20"/>
    </row>
    <row r="50" spans="1:22">
      <c r="A50" s="48" t="s">
        <v>35</v>
      </c>
      <c r="B50" s="25"/>
      <c r="C50" s="20">
        <v>495347</v>
      </c>
      <c r="D50" s="20"/>
      <c r="E50" s="20">
        <v>97.704999999999998</v>
      </c>
      <c r="F50" s="20">
        <v>42.78142857142857</v>
      </c>
      <c r="G50" s="20"/>
      <c r="H50" s="20">
        <v>1.91</v>
      </c>
      <c r="I50" s="20">
        <v>8.0499999999999989</v>
      </c>
      <c r="J50" s="20"/>
      <c r="K50" s="20">
        <v>25.968</v>
      </c>
      <c r="L50" s="20">
        <v>0</v>
      </c>
      <c r="M50" s="20"/>
      <c r="N50" s="20">
        <v>0</v>
      </c>
      <c r="O50" s="20">
        <v>0</v>
      </c>
      <c r="P50" s="20"/>
      <c r="Q50" s="42">
        <v>74.847999999999999</v>
      </c>
      <c r="R50" s="42">
        <v>99.847999999999999</v>
      </c>
      <c r="S50" s="19"/>
      <c r="T50" s="19">
        <v>12499.627899999999</v>
      </c>
      <c r="U50" s="19">
        <v>8130.5333200000005</v>
      </c>
      <c r="V50" s="19"/>
    </row>
    <row r="51" spans="1:22">
      <c r="A51" s="48"/>
      <c r="B51" s="25"/>
      <c r="C51" s="20"/>
      <c r="D51" s="23"/>
      <c r="E51" s="20"/>
      <c r="F51" s="20"/>
      <c r="G51" s="20"/>
      <c r="H51" s="20"/>
      <c r="I51" s="20"/>
      <c r="J51" s="20"/>
      <c r="K51" s="20"/>
      <c r="L51" s="20"/>
      <c r="M51" s="20"/>
      <c r="N51" s="20"/>
      <c r="O51" s="20"/>
      <c r="P51" s="20"/>
      <c r="Q51" s="42"/>
      <c r="R51" s="42"/>
      <c r="S51" s="19"/>
      <c r="T51" s="19"/>
      <c r="U51" s="19"/>
      <c r="V51" s="19"/>
    </row>
    <row r="52" spans="1:22">
      <c r="A52" s="48" t="s">
        <v>33</v>
      </c>
      <c r="B52" s="25"/>
      <c r="C52" s="20">
        <v>672855</v>
      </c>
      <c r="D52" s="20"/>
      <c r="E52" s="20">
        <v>1575.3458333333333</v>
      </c>
      <c r="F52" s="20">
        <v>496.70442857142859</v>
      </c>
      <c r="G52" s="20"/>
      <c r="H52" s="20">
        <v>52.626666666666672</v>
      </c>
      <c r="I52" s="20">
        <v>119.71000000000001</v>
      </c>
      <c r="J52" s="20"/>
      <c r="K52" s="20">
        <v>246.11500000000001</v>
      </c>
      <c r="L52" s="20">
        <v>101.51</v>
      </c>
      <c r="M52" s="20"/>
      <c r="N52" s="20">
        <v>105.626</v>
      </c>
      <c r="O52" s="20">
        <v>0</v>
      </c>
      <c r="P52" s="20"/>
      <c r="Q52" s="42">
        <v>767.81299999999999</v>
      </c>
      <c r="R52" s="42">
        <v>767.81299999999999</v>
      </c>
      <c r="S52" s="19"/>
      <c r="T52" s="19">
        <v>30358.846310000001</v>
      </c>
      <c r="U52" s="19">
        <v>45368.082750000001</v>
      </c>
      <c r="V52" s="19"/>
    </row>
    <row r="53" spans="1:22">
      <c r="A53" s="48"/>
      <c r="B53" s="25"/>
      <c r="C53" s="20"/>
      <c r="D53" s="23"/>
      <c r="E53" s="20"/>
      <c r="F53" s="20"/>
      <c r="G53" s="20"/>
      <c r="H53" s="20"/>
      <c r="I53" s="20"/>
      <c r="J53" s="20"/>
      <c r="K53" s="20"/>
      <c r="L53" s="20"/>
      <c r="M53" s="20"/>
      <c r="N53" s="20"/>
      <c r="O53" s="20"/>
      <c r="P53" s="20"/>
      <c r="Q53" s="42"/>
      <c r="R53" s="42"/>
      <c r="S53" s="20"/>
      <c r="T53" s="20"/>
      <c r="U53" s="20"/>
      <c r="V53" s="20"/>
    </row>
    <row r="54" spans="1:22">
      <c r="A54" s="48" t="s">
        <v>34</v>
      </c>
      <c r="B54" s="25"/>
      <c r="C54" s="20">
        <v>80850</v>
      </c>
      <c r="D54" s="23"/>
      <c r="E54" s="20">
        <v>5.6</v>
      </c>
      <c r="F54" s="20">
        <v>60</v>
      </c>
      <c r="G54" s="20"/>
      <c r="H54" s="20">
        <v>0</v>
      </c>
      <c r="I54" s="20">
        <v>5.5</v>
      </c>
      <c r="J54" s="20"/>
      <c r="K54" s="20">
        <v>0</v>
      </c>
      <c r="L54" s="20">
        <v>0</v>
      </c>
      <c r="M54" s="20"/>
      <c r="N54" s="20">
        <v>0</v>
      </c>
      <c r="O54" s="20">
        <v>0</v>
      </c>
      <c r="P54" s="20"/>
      <c r="Q54" s="42">
        <v>0</v>
      </c>
      <c r="R54" s="42">
        <v>0</v>
      </c>
      <c r="S54" s="19"/>
      <c r="T54" s="19">
        <v>3584.8620500000006</v>
      </c>
      <c r="U54" s="19">
        <v>4664.3907799999997</v>
      </c>
      <c r="V54" s="19"/>
    </row>
    <row r="55" spans="1:22">
      <c r="A55" s="48"/>
      <c r="B55" s="25"/>
      <c r="C55" s="20"/>
      <c r="D55" s="23"/>
      <c r="E55" s="20"/>
      <c r="F55" s="20"/>
      <c r="G55" s="20"/>
      <c r="H55" s="20"/>
      <c r="I55" s="20"/>
      <c r="J55" s="20"/>
      <c r="K55" s="20"/>
      <c r="L55" s="20"/>
      <c r="M55" s="20"/>
      <c r="N55" s="20"/>
      <c r="O55" s="20"/>
      <c r="P55" s="20"/>
      <c r="Q55" s="42"/>
      <c r="R55" s="42"/>
      <c r="S55" s="20"/>
      <c r="T55" s="20"/>
      <c r="U55" s="20"/>
      <c r="V55" s="20"/>
    </row>
    <row r="56" spans="1:22">
      <c r="A56" s="48" t="s">
        <v>38</v>
      </c>
      <c r="B56" s="25"/>
      <c r="C56" s="20">
        <v>1836410</v>
      </c>
      <c r="D56" s="23"/>
      <c r="E56" s="20">
        <v>2548.8000000000002</v>
      </c>
      <c r="F56" s="20">
        <v>880.84999999999991</v>
      </c>
      <c r="G56" s="20"/>
      <c r="H56" s="20">
        <v>57.287999999999997</v>
      </c>
      <c r="I56" s="20">
        <v>1789</v>
      </c>
      <c r="J56" s="20"/>
      <c r="K56" s="20">
        <v>518.60299999999995</v>
      </c>
      <c r="L56" s="20">
        <v>0</v>
      </c>
      <c r="M56" s="20"/>
      <c r="N56" s="20">
        <v>0</v>
      </c>
      <c r="O56" s="20">
        <v>0</v>
      </c>
      <c r="P56" s="20"/>
      <c r="Q56" s="42">
        <v>3144.6039999999998</v>
      </c>
      <c r="R56" s="42">
        <v>3284.3829999999998</v>
      </c>
      <c r="S56" s="19"/>
      <c r="T56" s="19">
        <v>88778.224500000011</v>
      </c>
      <c r="U56" s="19">
        <v>7957.0007999999998</v>
      </c>
      <c r="V56" s="19"/>
    </row>
    <row r="57" spans="1:22">
      <c r="A57" s="48"/>
      <c r="B57" s="25"/>
      <c r="C57" s="20"/>
      <c r="D57" s="23"/>
      <c r="E57" s="20"/>
      <c r="F57" s="20"/>
      <c r="G57" s="20"/>
      <c r="H57" s="20"/>
      <c r="I57" s="20"/>
      <c r="J57" s="20"/>
      <c r="K57" s="20"/>
      <c r="L57" s="20"/>
      <c r="M57" s="20"/>
      <c r="N57" s="20"/>
      <c r="O57" s="20"/>
      <c r="P57" s="20"/>
      <c r="Q57" s="42"/>
      <c r="R57" s="42"/>
      <c r="S57" s="20"/>
      <c r="T57" s="20"/>
      <c r="U57" s="20"/>
      <c r="V57" s="20"/>
    </row>
    <row r="58" spans="1:22">
      <c r="A58" s="48" t="s">
        <v>39</v>
      </c>
      <c r="B58" s="25"/>
      <c r="C58" s="20">
        <v>282373</v>
      </c>
      <c r="D58" s="20"/>
      <c r="E58" s="20">
        <v>84162.270712121201</v>
      </c>
      <c r="F58" s="20">
        <v>9713.7460424242418</v>
      </c>
      <c r="G58" s="20"/>
      <c r="H58" s="20">
        <v>3421.028939393942</v>
      </c>
      <c r="I58" s="20">
        <v>1056.8499999999999</v>
      </c>
      <c r="J58" s="20"/>
      <c r="K58" s="20">
        <v>25253.924000000003</v>
      </c>
      <c r="L58" s="20">
        <v>2914.3115799999996</v>
      </c>
      <c r="M58" s="20"/>
      <c r="N58" s="20">
        <v>7099.011459882583</v>
      </c>
      <c r="O58" s="20">
        <v>0</v>
      </c>
      <c r="P58" s="20"/>
      <c r="Q58" s="42">
        <v>79022.298999999999</v>
      </c>
      <c r="R58" s="42">
        <v>31281.63911</v>
      </c>
      <c r="S58" s="19"/>
      <c r="T58" s="19">
        <v>41141.885060000001</v>
      </c>
      <c r="U58" s="19">
        <v>32711.429499999998</v>
      </c>
      <c r="V58" s="19"/>
    </row>
    <row r="59" spans="1:22">
      <c r="A59" s="48"/>
      <c r="B59" s="25"/>
      <c r="C59" s="20"/>
      <c r="D59" s="23"/>
      <c r="E59" s="20"/>
      <c r="F59" s="20"/>
      <c r="G59" s="20"/>
      <c r="H59" s="20"/>
      <c r="I59" s="20"/>
      <c r="J59" s="20"/>
      <c r="K59" s="20"/>
      <c r="L59" s="20"/>
      <c r="M59" s="20"/>
      <c r="N59" s="20"/>
      <c r="O59" s="20"/>
      <c r="P59" s="20"/>
      <c r="Q59" s="42"/>
      <c r="R59" s="42"/>
      <c r="S59" s="20"/>
      <c r="T59" s="20"/>
      <c r="U59" s="20"/>
      <c r="V59" s="20"/>
    </row>
    <row r="60" spans="1:22">
      <c r="A60" s="48" t="s">
        <v>36</v>
      </c>
      <c r="B60" s="25"/>
      <c r="C60" s="20">
        <v>594163</v>
      </c>
      <c r="D60" s="20"/>
      <c r="E60" s="20">
        <v>5359.5501948051951</v>
      </c>
      <c r="F60" s="20">
        <v>10997.194142857143</v>
      </c>
      <c r="G60" s="20"/>
      <c r="H60" s="20">
        <v>151.71522607022607</v>
      </c>
      <c r="I60" s="20">
        <v>1631.4770000000003</v>
      </c>
      <c r="J60" s="20"/>
      <c r="K60" s="20">
        <v>453.21200000000005</v>
      </c>
      <c r="L60" s="20">
        <v>480.58333333333337</v>
      </c>
      <c r="M60" s="20"/>
      <c r="N60" s="20">
        <v>347.63095238095229</v>
      </c>
      <c r="O60" s="20">
        <v>0</v>
      </c>
      <c r="P60" s="20"/>
      <c r="Q60" s="42">
        <v>0</v>
      </c>
      <c r="R60" s="42">
        <v>195.75</v>
      </c>
      <c r="S60" s="19"/>
      <c r="T60" s="19">
        <v>30776.1777</v>
      </c>
      <c r="U60" s="19">
        <v>12835.27564</v>
      </c>
      <c r="V60" s="19"/>
    </row>
    <row r="61" spans="1:22">
      <c r="A61" s="48"/>
      <c r="B61" s="25"/>
      <c r="C61" s="20"/>
      <c r="D61" s="20"/>
      <c r="E61" s="20"/>
      <c r="F61" s="20"/>
      <c r="G61" s="20"/>
      <c r="H61" s="20"/>
      <c r="I61" s="20"/>
      <c r="J61" s="20"/>
      <c r="K61" s="20"/>
      <c r="L61" s="20"/>
      <c r="M61" s="20"/>
      <c r="N61" s="20"/>
      <c r="O61" s="20"/>
      <c r="P61" s="20"/>
      <c r="Q61" s="42"/>
      <c r="R61" s="42"/>
      <c r="S61" s="20"/>
      <c r="T61" s="20"/>
      <c r="U61" s="20"/>
      <c r="V61" s="20"/>
    </row>
    <row r="62" spans="1:22">
      <c r="A62" s="48" t="s">
        <v>37</v>
      </c>
      <c r="B62" s="25"/>
      <c r="C62" s="20">
        <v>618108</v>
      </c>
      <c r="D62" s="20"/>
      <c r="E62" s="20">
        <v>903.08352713178306</v>
      </c>
      <c r="F62" s="20">
        <v>328.56400000000002</v>
      </c>
      <c r="G62" s="20"/>
      <c r="H62" s="20">
        <v>27.612697674418602</v>
      </c>
      <c r="I62" s="20">
        <v>25.016000000000002</v>
      </c>
      <c r="J62" s="20"/>
      <c r="K62" s="20">
        <v>251.12799999999996</v>
      </c>
      <c r="L62" s="20">
        <v>18.044</v>
      </c>
      <c r="M62" s="20"/>
      <c r="N62" s="20">
        <v>0</v>
      </c>
      <c r="O62" s="20">
        <v>0</v>
      </c>
      <c r="P62" s="20"/>
      <c r="Q62" s="42">
        <v>98.5</v>
      </c>
      <c r="R62" s="42">
        <v>196.78</v>
      </c>
      <c r="S62" s="19"/>
      <c r="T62" s="19">
        <v>31249.750250000005</v>
      </c>
      <c r="U62" s="19">
        <v>29215.445400000001</v>
      </c>
      <c r="V62" s="19"/>
    </row>
    <row r="63" spans="1:22">
      <c r="A63" s="48"/>
      <c r="B63" s="25"/>
      <c r="C63" s="20"/>
      <c r="D63" s="20"/>
      <c r="E63" s="20"/>
      <c r="F63" s="20"/>
      <c r="G63" s="20"/>
      <c r="H63" s="20"/>
      <c r="I63" s="20"/>
      <c r="J63" s="20"/>
      <c r="K63" s="20"/>
      <c r="L63" s="20"/>
      <c r="M63" s="20"/>
      <c r="N63" s="20"/>
      <c r="O63" s="20"/>
      <c r="P63" s="20"/>
      <c r="Q63" s="42"/>
      <c r="R63" s="42"/>
      <c r="S63" s="20"/>
      <c r="T63" s="20"/>
      <c r="U63" s="20"/>
      <c r="V63" s="20"/>
    </row>
    <row r="64" spans="1:22">
      <c r="A64" s="48" t="s">
        <v>41</v>
      </c>
      <c r="B64" s="25"/>
      <c r="C64" s="20">
        <v>573529</v>
      </c>
      <c r="D64" s="20"/>
      <c r="E64" s="20">
        <v>0</v>
      </c>
      <c r="F64" s="20">
        <v>0</v>
      </c>
      <c r="G64" s="20"/>
      <c r="H64" s="20">
        <v>1350</v>
      </c>
      <c r="I64" s="20">
        <v>0</v>
      </c>
      <c r="J64" s="20"/>
      <c r="K64" s="20">
        <v>2019.3</v>
      </c>
      <c r="L64" s="20">
        <v>0</v>
      </c>
      <c r="M64" s="20"/>
      <c r="N64" s="20">
        <v>0</v>
      </c>
      <c r="O64" s="20">
        <v>0</v>
      </c>
      <c r="P64" s="20"/>
      <c r="Q64" s="42">
        <v>0</v>
      </c>
      <c r="R64" s="42">
        <v>0</v>
      </c>
      <c r="S64" s="19"/>
      <c r="T64" s="19">
        <v>41731.647060000003</v>
      </c>
      <c r="U64" s="19">
        <v>15562.070309999999</v>
      </c>
      <c r="V64" s="19"/>
    </row>
    <row r="65" spans="1:22">
      <c r="A65" s="48"/>
      <c r="B65" s="25"/>
      <c r="C65" s="20"/>
      <c r="D65" s="20"/>
      <c r="E65" s="20"/>
      <c r="F65" s="20"/>
      <c r="G65" s="20"/>
      <c r="H65" s="20"/>
      <c r="I65" s="20"/>
      <c r="J65" s="20"/>
      <c r="K65" s="20"/>
      <c r="L65" s="20"/>
      <c r="M65" s="20"/>
      <c r="N65" s="20"/>
      <c r="O65" s="20"/>
      <c r="P65" s="20"/>
      <c r="Q65" s="42"/>
      <c r="R65" s="42"/>
      <c r="S65" s="20"/>
      <c r="T65" s="20"/>
      <c r="U65" s="20"/>
      <c r="V65" s="20"/>
    </row>
    <row r="66" spans="1:22">
      <c r="A66" s="48" t="s">
        <v>70</v>
      </c>
      <c r="B66" s="25"/>
      <c r="C66" s="20">
        <v>0</v>
      </c>
      <c r="D66" s="20"/>
      <c r="E66" s="20">
        <v>0</v>
      </c>
      <c r="F66" s="20">
        <v>0</v>
      </c>
      <c r="G66" s="20"/>
      <c r="H66" s="20">
        <v>0</v>
      </c>
      <c r="I66" s="20">
        <v>0</v>
      </c>
      <c r="J66" s="20"/>
      <c r="K66" s="20">
        <v>0</v>
      </c>
      <c r="L66" s="20">
        <v>0</v>
      </c>
      <c r="M66" s="20"/>
      <c r="N66" s="20">
        <v>0</v>
      </c>
      <c r="O66" s="20">
        <v>0</v>
      </c>
      <c r="P66" s="20"/>
      <c r="Q66" s="42">
        <v>0</v>
      </c>
      <c r="R66" s="42">
        <v>0</v>
      </c>
      <c r="S66" s="19"/>
      <c r="T66" s="19">
        <v>3599.8704000000002</v>
      </c>
      <c r="U66" s="19">
        <v>3443.3285999999998</v>
      </c>
      <c r="V66" s="19"/>
    </row>
    <row r="67" spans="1:22">
      <c r="A67" s="48"/>
      <c r="B67" s="25"/>
      <c r="C67" s="20"/>
      <c r="D67" s="20"/>
      <c r="E67" s="20"/>
      <c r="F67" s="20"/>
      <c r="G67" s="20"/>
      <c r="H67" s="20"/>
      <c r="I67" s="20"/>
      <c r="J67" s="20"/>
      <c r="K67" s="20"/>
      <c r="L67" s="20"/>
      <c r="M67" s="20"/>
      <c r="N67" s="20"/>
      <c r="O67" s="20"/>
      <c r="P67" s="20"/>
      <c r="Q67" s="42"/>
      <c r="R67" s="42"/>
      <c r="S67" s="20"/>
      <c r="T67" s="20"/>
      <c r="U67" s="20"/>
      <c r="V67" s="20"/>
    </row>
    <row r="68" spans="1:22">
      <c r="A68" s="48" t="s">
        <v>71</v>
      </c>
      <c r="B68" s="25"/>
      <c r="C68" s="20">
        <v>0</v>
      </c>
      <c r="D68" s="20"/>
      <c r="E68" s="20">
        <v>0</v>
      </c>
      <c r="F68" s="20">
        <v>0</v>
      </c>
      <c r="G68" s="20"/>
      <c r="H68" s="20">
        <v>0</v>
      </c>
      <c r="I68" s="20">
        <v>0</v>
      </c>
      <c r="J68" s="20"/>
      <c r="K68" s="20">
        <v>0</v>
      </c>
      <c r="L68" s="20">
        <v>0</v>
      </c>
      <c r="M68" s="20"/>
      <c r="N68" s="20">
        <v>0</v>
      </c>
      <c r="O68" s="20">
        <v>0</v>
      </c>
      <c r="P68" s="20"/>
      <c r="Q68" s="42">
        <v>0</v>
      </c>
      <c r="R68" s="42">
        <v>0</v>
      </c>
      <c r="S68" s="19"/>
      <c r="T68" s="19">
        <v>289.90999999999997</v>
      </c>
      <c r="U68" s="19">
        <v>799.82</v>
      </c>
      <c r="V68" s="19"/>
    </row>
    <row r="69" spans="1:22">
      <c r="C69" s="329">
        <f t="shared" ref="C69:D69" si="0">SUM(C38:C68)</f>
        <v>8046946</v>
      </c>
      <c r="D69" s="329">
        <f t="shared" si="0"/>
        <v>0</v>
      </c>
      <c r="E69" s="329">
        <f>SUM(E38:E68)</f>
        <v>157392.70022828193</v>
      </c>
      <c r="F69" s="329">
        <f t="shared" ref="F69:U69" si="1">SUM(F38:F68)</f>
        <v>168258.19477053755</v>
      </c>
      <c r="G69" s="329">
        <f t="shared" si="1"/>
        <v>0</v>
      </c>
      <c r="H69" s="329">
        <f t="shared" si="1"/>
        <v>18800.68930676231</v>
      </c>
      <c r="I69" s="329">
        <f t="shared" si="1"/>
        <v>22326.88466528571</v>
      </c>
      <c r="J69" s="329">
        <f t="shared" si="1"/>
        <v>0</v>
      </c>
      <c r="K69" s="329">
        <f t="shared" si="1"/>
        <v>50302.314000000006</v>
      </c>
      <c r="L69" s="329">
        <f t="shared" si="1"/>
        <v>53197.133973333344</v>
      </c>
      <c r="M69" s="329">
        <f t="shared" si="1"/>
        <v>0</v>
      </c>
      <c r="N69" s="329">
        <f t="shared" si="1"/>
        <v>8706.5946549249838</v>
      </c>
      <c r="O69" s="329">
        <f t="shared" si="1"/>
        <v>10259.602419999999</v>
      </c>
      <c r="P69" s="329">
        <f t="shared" si="1"/>
        <v>0</v>
      </c>
      <c r="Q69" s="329">
        <f t="shared" si="1"/>
        <v>154515.47230000002</v>
      </c>
      <c r="R69" s="329">
        <f t="shared" si="1"/>
        <v>120629.37481000001</v>
      </c>
      <c r="S69" s="329">
        <f t="shared" si="1"/>
        <v>0</v>
      </c>
      <c r="T69" s="329">
        <f t="shared" si="1"/>
        <v>636767.41968000005</v>
      </c>
      <c r="U69" s="329">
        <f t="shared" si="1"/>
        <v>380741.95513999998</v>
      </c>
    </row>
    <row r="70" spans="1:22" ht="29" thickBot="1">
      <c r="A70" s="49" t="s">
        <v>119</v>
      </c>
      <c r="B70" s="50"/>
      <c r="C70" s="351" t="s">
        <v>120</v>
      </c>
      <c r="D70" s="50"/>
      <c r="E70" s="352" t="s">
        <v>121</v>
      </c>
      <c r="F70" s="352"/>
      <c r="G70" s="352"/>
      <c r="H70" s="352"/>
      <c r="I70" s="352"/>
      <c r="J70" s="352"/>
      <c r="K70" s="352"/>
      <c r="L70" s="352"/>
      <c r="M70" s="352"/>
      <c r="N70" s="352"/>
      <c r="O70" s="352"/>
      <c r="P70" s="352"/>
      <c r="Q70" s="352"/>
      <c r="R70" s="352"/>
      <c r="S70" s="352"/>
      <c r="T70" s="352"/>
      <c r="U70" s="352"/>
    </row>
    <row r="71" spans="1:22" ht="15" thickTop="1">
      <c r="A71" s="51"/>
      <c r="B71" s="52"/>
      <c r="C71" s="351"/>
      <c r="D71" s="52"/>
      <c r="E71" s="353" t="s">
        <v>122</v>
      </c>
      <c r="F71" s="353"/>
      <c r="G71" s="50"/>
      <c r="H71" s="353" t="s">
        <v>123</v>
      </c>
      <c r="I71" s="353"/>
      <c r="J71" s="50"/>
      <c r="K71" s="354" t="s">
        <v>124</v>
      </c>
      <c r="L71" s="354"/>
      <c r="M71" s="50"/>
      <c r="N71" s="353" t="s">
        <v>125</v>
      </c>
      <c r="O71" s="353"/>
      <c r="P71" s="50"/>
      <c r="Q71" s="353" t="s">
        <v>126</v>
      </c>
      <c r="R71" s="353"/>
      <c r="S71" s="50"/>
      <c r="T71" s="353" t="s">
        <v>127</v>
      </c>
      <c r="U71" s="353"/>
    </row>
    <row r="72" spans="1:22" ht="15" thickBot="1">
      <c r="A72" s="54"/>
      <c r="B72" s="55"/>
      <c r="C72" s="54"/>
      <c r="D72" s="55"/>
      <c r="E72" s="1">
        <v>2024</v>
      </c>
      <c r="F72" s="1">
        <v>2025</v>
      </c>
      <c r="G72" s="55"/>
      <c r="H72" s="1">
        <v>2024</v>
      </c>
      <c r="I72" s="1">
        <v>2025</v>
      </c>
      <c r="J72" s="55"/>
      <c r="K72" s="1">
        <v>2024</v>
      </c>
      <c r="L72" s="1">
        <v>2025</v>
      </c>
      <c r="M72" s="55"/>
      <c r="N72" s="1">
        <v>2024</v>
      </c>
      <c r="O72" s="1">
        <v>2025</v>
      </c>
      <c r="P72" s="55"/>
      <c r="Q72" s="1">
        <v>2024</v>
      </c>
      <c r="R72" s="1">
        <v>2025</v>
      </c>
      <c r="S72" s="55"/>
      <c r="T72" s="1">
        <v>2024</v>
      </c>
      <c r="U72" s="1">
        <v>2025</v>
      </c>
    </row>
    <row r="73" spans="1:22" ht="15" thickTop="1">
      <c r="A73" s="2" t="s">
        <v>50</v>
      </c>
      <c r="B73" s="52">
        <v>0</v>
      </c>
      <c r="C73" s="56">
        <v>8046946</v>
      </c>
      <c r="D73" s="52">
        <v>0</v>
      </c>
      <c r="E73" s="57">
        <v>372231.79154263175</v>
      </c>
      <c r="F73" s="57">
        <v>183815.51662189595</v>
      </c>
      <c r="G73" s="52">
        <v>0</v>
      </c>
      <c r="H73" s="57">
        <v>17298.247910447</v>
      </c>
      <c r="I73" s="57">
        <v>6832.6792843833937</v>
      </c>
      <c r="J73" s="52">
        <v>0</v>
      </c>
      <c r="K73" s="57">
        <v>54059.442399999985</v>
      </c>
      <c r="L73" s="57">
        <v>13448.684466666668</v>
      </c>
      <c r="M73" s="52">
        <v>0</v>
      </c>
      <c r="N73" s="57">
        <v>1163.0909999999999</v>
      </c>
      <c r="O73" s="57">
        <v>75.599999999999994</v>
      </c>
      <c r="P73" s="52">
        <v>0</v>
      </c>
      <c r="Q73" s="57">
        <v>185221.80379766246</v>
      </c>
      <c r="R73" s="57">
        <v>52559.125660000005</v>
      </c>
      <c r="S73" s="52">
        <v>0</v>
      </c>
      <c r="T73" s="57">
        <v>303379.64765999996</v>
      </c>
      <c r="U73" s="57">
        <v>380181.71825999999</v>
      </c>
    </row>
    <row r="74" spans="1:22">
      <c r="A74" s="2"/>
      <c r="B74" s="58"/>
      <c r="C74" s="57"/>
      <c r="D74" s="58"/>
      <c r="E74" s="57"/>
      <c r="F74" s="57"/>
      <c r="G74" s="58"/>
      <c r="H74" s="57"/>
      <c r="I74" s="57"/>
      <c r="J74" s="58"/>
      <c r="K74" s="57"/>
      <c r="L74" s="57"/>
      <c r="M74" s="58"/>
      <c r="N74" s="57"/>
      <c r="O74" s="57"/>
      <c r="P74" s="58"/>
      <c r="Q74" s="57"/>
      <c r="R74" s="57"/>
      <c r="S74" s="58"/>
      <c r="T74" s="57"/>
      <c r="U74" s="57"/>
    </row>
    <row r="75" spans="1:22">
      <c r="A75" s="3" t="s">
        <v>27</v>
      </c>
      <c r="B75" s="59"/>
      <c r="C75" s="24">
        <v>1017727</v>
      </c>
      <c r="D75" s="59"/>
      <c r="E75" s="24">
        <v>21280.371206419499</v>
      </c>
      <c r="F75" s="24">
        <v>26188.953999999998</v>
      </c>
      <c r="G75" s="59"/>
      <c r="H75" s="24">
        <v>2072.3545516934041</v>
      </c>
      <c r="I75" s="24">
        <v>874.05295999999998</v>
      </c>
      <c r="J75" s="59"/>
      <c r="K75" s="24">
        <v>3433.8544000000002</v>
      </c>
      <c r="L75" s="24">
        <v>2143.3890000000001</v>
      </c>
      <c r="M75" s="59"/>
      <c r="N75" s="24">
        <v>0</v>
      </c>
      <c r="O75" s="24"/>
      <c r="P75" s="59"/>
      <c r="Q75" s="60">
        <v>2432.7901200000001</v>
      </c>
      <c r="R75" s="60">
        <v>13010.384</v>
      </c>
      <c r="S75" s="59"/>
      <c r="T75" s="24">
        <v>29748.446750000003</v>
      </c>
      <c r="U75" s="24">
        <v>29842.57674</v>
      </c>
    </row>
    <row r="76" spans="1:22">
      <c r="A76" s="3"/>
      <c r="B76" s="59"/>
      <c r="C76" s="24"/>
      <c r="D76" s="59"/>
      <c r="E76" s="24"/>
      <c r="F76" s="24"/>
      <c r="G76" s="59"/>
      <c r="H76" s="61"/>
      <c r="I76" s="24"/>
      <c r="J76" s="59"/>
      <c r="K76" s="61"/>
      <c r="L76" s="24"/>
      <c r="M76" s="59"/>
      <c r="N76" s="61"/>
      <c r="O76" s="61"/>
      <c r="P76" s="59"/>
      <c r="Q76" s="60"/>
      <c r="R76" s="60"/>
      <c r="S76" s="59"/>
      <c r="T76" s="24"/>
      <c r="U76" s="24"/>
    </row>
    <row r="77" spans="1:22">
      <c r="A77" s="3" t="s">
        <v>28</v>
      </c>
      <c r="B77" s="59"/>
      <c r="C77" s="24">
        <v>528228</v>
      </c>
      <c r="D77" s="59"/>
      <c r="E77" s="24">
        <v>54013.122000000003</v>
      </c>
      <c r="F77" s="24">
        <v>9773.9380000000019</v>
      </c>
      <c r="G77" s="59"/>
      <c r="H77" s="24">
        <v>2094.91</v>
      </c>
      <c r="I77" s="24">
        <v>416.70499999999998</v>
      </c>
      <c r="J77" s="59"/>
      <c r="K77" s="24">
        <v>4291.2029999999995</v>
      </c>
      <c r="L77" s="24">
        <v>1321.5250000000001</v>
      </c>
      <c r="M77" s="59"/>
      <c r="N77" s="24">
        <v>0</v>
      </c>
      <c r="O77" s="24"/>
      <c r="P77" s="59"/>
      <c r="Q77" s="60">
        <v>118210.03</v>
      </c>
      <c r="R77" s="60">
        <v>5039.9400000000005</v>
      </c>
      <c r="S77" s="59"/>
      <c r="T77" s="24">
        <v>15052.90372</v>
      </c>
      <c r="U77" s="24">
        <v>20113.4192</v>
      </c>
    </row>
    <row r="78" spans="1:22">
      <c r="A78" s="3"/>
      <c r="B78" s="24"/>
      <c r="C78" s="24"/>
      <c r="D78" s="24"/>
      <c r="E78" s="24"/>
      <c r="F78" s="24"/>
      <c r="G78" s="24"/>
      <c r="H78" s="61"/>
      <c r="I78" s="24"/>
      <c r="J78" s="24"/>
      <c r="K78" s="61"/>
      <c r="L78" s="24"/>
      <c r="M78" s="24"/>
      <c r="N78" s="61"/>
      <c r="O78" s="61"/>
      <c r="P78" s="24"/>
      <c r="Q78" s="60"/>
      <c r="R78" s="60"/>
      <c r="S78" s="24"/>
      <c r="T78" s="24"/>
      <c r="U78" s="24"/>
    </row>
    <row r="79" spans="1:22">
      <c r="A79" s="3" t="s">
        <v>29</v>
      </c>
      <c r="B79" s="24"/>
      <c r="C79" s="24">
        <v>363251</v>
      </c>
      <c r="D79" s="24"/>
      <c r="E79" s="24">
        <v>139014.9179598401</v>
      </c>
      <c r="F79" s="24">
        <v>15617.649955948042</v>
      </c>
      <c r="G79" s="24"/>
      <c r="H79" s="24">
        <v>3984.3637455546241</v>
      </c>
      <c r="I79" s="24">
        <v>497.97231746031736</v>
      </c>
      <c r="J79" s="24"/>
      <c r="K79" s="24">
        <v>27065.911999999997</v>
      </c>
      <c r="L79" s="24">
        <v>898.76499999999999</v>
      </c>
      <c r="M79" s="24"/>
      <c r="N79" s="24">
        <v>1091.271</v>
      </c>
      <c r="O79" s="24"/>
      <c r="P79" s="24"/>
      <c r="Q79" s="60">
        <v>43788.085926362503</v>
      </c>
      <c r="R79" s="60">
        <v>4383.692</v>
      </c>
      <c r="S79" s="24"/>
      <c r="T79" s="24">
        <v>48088.788849999997</v>
      </c>
      <c r="U79" s="24">
        <v>67139.93187</v>
      </c>
    </row>
    <row r="80" spans="1:22">
      <c r="A80" s="3"/>
      <c r="B80" s="24"/>
      <c r="C80" s="24"/>
      <c r="D80" s="24"/>
      <c r="E80" s="24"/>
      <c r="F80" s="24"/>
      <c r="G80" s="24"/>
      <c r="H80" s="24"/>
      <c r="I80" s="24"/>
      <c r="J80" s="24"/>
      <c r="K80" s="24"/>
      <c r="L80" s="24"/>
      <c r="M80" s="24"/>
      <c r="N80" s="24"/>
      <c r="O80" s="24"/>
      <c r="P80" s="24"/>
      <c r="Q80" s="60"/>
      <c r="R80" s="60"/>
      <c r="S80" s="24"/>
      <c r="T80" s="24"/>
      <c r="U80" s="24"/>
    </row>
    <row r="81" spans="1:21">
      <c r="A81" s="3" t="s">
        <v>30</v>
      </c>
      <c r="B81" s="24"/>
      <c r="C81" s="24">
        <v>267074</v>
      </c>
      <c r="D81" s="24"/>
      <c r="E81" s="24">
        <v>1047.566</v>
      </c>
      <c r="F81" s="24">
        <v>728.77200000000005</v>
      </c>
      <c r="G81" s="24"/>
      <c r="H81" s="24">
        <v>82.185000000000002</v>
      </c>
      <c r="I81" s="24">
        <v>44.3125</v>
      </c>
      <c r="J81" s="24"/>
      <c r="K81" s="24">
        <v>62.75</v>
      </c>
      <c r="L81" s="24">
        <v>21.8</v>
      </c>
      <c r="M81" s="24"/>
      <c r="N81" s="24">
        <v>0</v>
      </c>
      <c r="O81" s="24"/>
      <c r="P81" s="24"/>
      <c r="Q81" s="60">
        <v>471.6866</v>
      </c>
      <c r="R81" s="60">
        <v>512.298</v>
      </c>
      <c r="S81" s="24"/>
      <c r="T81" s="24">
        <v>7248.7260000000006</v>
      </c>
      <c r="U81" s="24">
        <v>12900.816999999999</v>
      </c>
    </row>
    <row r="82" spans="1:21">
      <c r="A82" s="3"/>
      <c r="B82" s="24"/>
      <c r="C82" s="24"/>
      <c r="D82" s="24"/>
      <c r="E82" s="24"/>
      <c r="F82" s="24"/>
      <c r="G82" s="24"/>
      <c r="H82" s="24"/>
      <c r="I82" s="24"/>
      <c r="J82" s="24"/>
      <c r="K82" s="24"/>
      <c r="L82" s="24"/>
      <c r="M82" s="24"/>
      <c r="N82" s="24"/>
      <c r="O82" s="24"/>
      <c r="P82" s="24"/>
      <c r="Q82" s="60"/>
      <c r="R82" s="60"/>
      <c r="S82" s="24"/>
      <c r="T82" s="24"/>
      <c r="U82" s="24"/>
    </row>
    <row r="83" spans="1:21">
      <c r="A83" s="3" t="s">
        <v>31</v>
      </c>
      <c r="B83" s="24"/>
      <c r="C83" s="24">
        <v>315497</v>
      </c>
      <c r="D83" s="24"/>
      <c r="E83" s="24">
        <v>2921.9576190476182</v>
      </c>
      <c r="F83" s="24">
        <v>839.96166666666693</v>
      </c>
      <c r="G83" s="24"/>
      <c r="H83" s="24">
        <v>76.580666666666389</v>
      </c>
      <c r="I83" s="24">
        <v>40.091666666666697</v>
      </c>
      <c r="J83" s="24"/>
      <c r="K83" s="24">
        <v>62.000000000000007</v>
      </c>
      <c r="L83" s="24">
        <v>30.443999999999999</v>
      </c>
      <c r="M83" s="24"/>
      <c r="N83" s="24">
        <v>0</v>
      </c>
      <c r="O83" s="24"/>
      <c r="P83" s="24"/>
      <c r="Q83" s="60">
        <v>1209.9190000000001</v>
      </c>
      <c r="R83" s="60">
        <v>2623.4051999999997</v>
      </c>
      <c r="S83" s="24"/>
      <c r="T83" s="24">
        <v>16180.5</v>
      </c>
      <c r="U83" s="24">
        <v>12902</v>
      </c>
    </row>
    <row r="84" spans="1:21">
      <c r="A84" s="3"/>
      <c r="B84" s="24"/>
      <c r="C84" s="24"/>
      <c r="D84" s="24"/>
      <c r="E84" s="24"/>
      <c r="F84" s="24"/>
      <c r="G84" s="24"/>
      <c r="H84" s="24"/>
      <c r="I84" s="24"/>
      <c r="J84" s="24"/>
      <c r="K84" s="24"/>
      <c r="L84" s="24"/>
      <c r="M84" s="24"/>
      <c r="N84" s="24"/>
      <c r="O84" s="24"/>
      <c r="P84" s="24"/>
      <c r="Q84" s="60"/>
      <c r="R84" s="60"/>
      <c r="S84" s="24"/>
      <c r="T84" s="24"/>
      <c r="U84" s="24"/>
    </row>
    <row r="85" spans="1:21">
      <c r="A85" s="3" t="s">
        <v>32</v>
      </c>
      <c r="B85" s="62"/>
      <c r="C85" s="24">
        <v>401534</v>
      </c>
      <c r="D85" s="62"/>
      <c r="E85" s="24">
        <v>10961.249924630923</v>
      </c>
      <c r="F85" s="24">
        <v>18775.599187428601</v>
      </c>
      <c r="G85" s="62"/>
      <c r="H85" s="24">
        <v>892.02092063492034</v>
      </c>
      <c r="I85" s="24">
        <v>702.16252999999995</v>
      </c>
      <c r="J85" s="62"/>
      <c r="K85" s="24">
        <v>392.77600000000001</v>
      </c>
      <c r="L85" s="24">
        <v>1307.1309999999999</v>
      </c>
      <c r="M85" s="62"/>
      <c r="N85" s="24">
        <v>0</v>
      </c>
      <c r="O85" s="24"/>
      <c r="P85" s="62"/>
      <c r="Q85" s="60">
        <v>8807.0689999999995</v>
      </c>
      <c r="R85" s="60">
        <v>4288.7643599999992</v>
      </c>
      <c r="S85" s="62"/>
      <c r="T85" s="24">
        <v>16219.957989999999</v>
      </c>
      <c r="U85" s="24">
        <v>19045.54349</v>
      </c>
    </row>
    <row r="86" spans="1:21">
      <c r="A86" s="3"/>
      <c r="B86" s="57"/>
      <c r="C86" s="24"/>
      <c r="D86" s="57"/>
      <c r="E86" s="24"/>
      <c r="F86" s="24"/>
      <c r="G86" s="57"/>
      <c r="H86" s="24"/>
      <c r="I86" s="24"/>
      <c r="J86" s="57"/>
      <c r="K86" s="24"/>
      <c r="L86" s="24"/>
      <c r="M86" s="57"/>
      <c r="N86" s="24"/>
      <c r="O86" s="24"/>
      <c r="P86" s="57"/>
      <c r="Q86" s="60"/>
      <c r="R86" s="60">
        <v>0</v>
      </c>
      <c r="S86" s="57"/>
      <c r="T86" s="24"/>
      <c r="U86" s="24"/>
    </row>
    <row r="87" spans="1:21">
      <c r="A87" s="3" t="s">
        <v>35</v>
      </c>
      <c r="B87" s="57"/>
      <c r="C87" s="24">
        <v>495347</v>
      </c>
      <c r="D87" s="57"/>
      <c r="E87" s="24">
        <v>886.93099999999902</v>
      </c>
      <c r="F87" s="24">
        <v>848.67389316239303</v>
      </c>
      <c r="G87" s="57"/>
      <c r="H87" s="24">
        <v>73.119999999999962</v>
      </c>
      <c r="I87" s="24">
        <v>60.56307692307692</v>
      </c>
      <c r="J87" s="57"/>
      <c r="K87" s="24">
        <v>34.090000000000003</v>
      </c>
      <c r="L87" s="24">
        <v>10.41</v>
      </c>
      <c r="M87" s="57"/>
      <c r="N87" s="24">
        <v>0</v>
      </c>
      <c r="O87" s="24"/>
      <c r="P87" s="57"/>
      <c r="Q87" s="60">
        <v>63</v>
      </c>
      <c r="R87" s="60">
        <v>2592.7346000000002</v>
      </c>
      <c r="S87" s="57"/>
      <c r="T87" s="24">
        <v>7660.9918799999996</v>
      </c>
      <c r="U87" s="24">
        <v>8741.9670600000009</v>
      </c>
    </row>
    <row r="88" spans="1:21">
      <c r="A88" s="3"/>
      <c r="B88" s="24"/>
      <c r="C88" s="24"/>
      <c r="D88" s="24"/>
      <c r="E88" s="24"/>
      <c r="F88" s="24"/>
      <c r="G88" s="24"/>
      <c r="H88" s="24"/>
      <c r="I88" s="24"/>
      <c r="J88" s="24"/>
      <c r="K88" s="24"/>
      <c r="L88" s="24"/>
      <c r="M88" s="24"/>
      <c r="N88" s="24"/>
      <c r="O88" s="24"/>
      <c r="P88" s="24"/>
      <c r="Q88" s="60"/>
      <c r="R88" s="60"/>
      <c r="S88" s="24"/>
      <c r="T88" s="24"/>
      <c r="U88" s="24"/>
    </row>
    <row r="89" spans="1:21">
      <c r="A89" s="3" t="s">
        <v>33</v>
      </c>
      <c r="B89" s="61"/>
      <c r="C89" s="24">
        <v>672855</v>
      </c>
      <c r="D89" s="61"/>
      <c r="E89" s="24">
        <v>12172.21976915183</v>
      </c>
      <c r="F89" s="24">
        <v>15337.203999999998</v>
      </c>
      <c r="G89" s="61"/>
      <c r="H89" s="24">
        <v>720.23799999999994</v>
      </c>
      <c r="I89" s="24">
        <v>615.42199999999991</v>
      </c>
      <c r="J89" s="61"/>
      <c r="K89" s="24">
        <v>636.62</v>
      </c>
      <c r="L89" s="24">
        <v>843.79000000000008</v>
      </c>
      <c r="M89" s="61"/>
      <c r="N89" s="24">
        <v>0</v>
      </c>
      <c r="O89" s="24"/>
      <c r="P89" s="61"/>
      <c r="Q89" s="60">
        <v>312.34100000000001</v>
      </c>
      <c r="R89" s="60">
        <v>4479.0749999999998</v>
      </c>
      <c r="S89" s="61"/>
      <c r="T89" s="24">
        <v>43398.063429999995</v>
      </c>
      <c r="U89" s="24">
        <v>15377.634000000002</v>
      </c>
    </row>
    <row r="90" spans="1:21">
      <c r="A90" s="3"/>
      <c r="B90" s="61"/>
      <c r="C90" s="24"/>
      <c r="D90" s="61"/>
      <c r="E90" s="24"/>
      <c r="F90" s="24"/>
      <c r="G90" s="61"/>
      <c r="H90" s="24"/>
      <c r="I90" s="24"/>
      <c r="J90" s="61"/>
      <c r="K90" s="24"/>
      <c r="L90" s="24"/>
      <c r="M90" s="61"/>
      <c r="N90" s="24"/>
      <c r="O90" s="24"/>
      <c r="P90" s="61"/>
      <c r="Q90" s="60"/>
      <c r="R90" s="60"/>
      <c r="S90" s="61"/>
      <c r="T90" s="24"/>
      <c r="U90" s="24"/>
    </row>
    <row r="91" spans="1:21">
      <c r="A91" s="3" t="s">
        <v>34</v>
      </c>
      <c r="B91" s="24"/>
      <c r="C91" s="24">
        <v>80850</v>
      </c>
      <c r="D91" s="24"/>
      <c r="E91" s="24">
        <v>529.85</v>
      </c>
      <c r="F91" s="24">
        <v>5207.01</v>
      </c>
      <c r="G91" s="24"/>
      <c r="H91" s="24">
        <v>202.52499999999998</v>
      </c>
      <c r="I91" s="24">
        <v>210.72000000000003</v>
      </c>
      <c r="J91" s="24"/>
      <c r="K91" s="24">
        <v>247.85499999999999</v>
      </c>
      <c r="L91" s="24">
        <v>366.06000000000006</v>
      </c>
      <c r="M91" s="24"/>
      <c r="N91" s="24">
        <v>0</v>
      </c>
      <c r="O91" s="24"/>
      <c r="P91" s="24"/>
      <c r="Q91" s="60">
        <v>176.15</v>
      </c>
      <c r="R91" s="60">
        <v>1221.9720000000002</v>
      </c>
      <c r="S91" s="24"/>
      <c r="T91" s="24">
        <v>3988.05573</v>
      </c>
      <c r="U91" s="24">
        <v>22995.032889999999</v>
      </c>
    </row>
    <row r="92" spans="1:21">
      <c r="A92" s="3"/>
      <c r="B92" s="24"/>
      <c r="C92" s="24"/>
      <c r="D92" s="24"/>
      <c r="E92" s="24"/>
      <c r="F92" s="24"/>
      <c r="G92" s="24"/>
      <c r="H92" s="24"/>
      <c r="I92" s="24"/>
      <c r="J92" s="24"/>
      <c r="K92" s="24"/>
      <c r="L92" s="24"/>
      <c r="M92" s="24"/>
      <c r="N92" s="24"/>
      <c r="O92" s="24"/>
      <c r="P92" s="24"/>
      <c r="Q92" s="60"/>
      <c r="R92" s="60"/>
      <c r="S92" s="24"/>
      <c r="T92" s="24"/>
      <c r="U92" s="24"/>
    </row>
    <row r="93" spans="1:21">
      <c r="A93" s="3" t="s">
        <v>38</v>
      </c>
      <c r="B93" s="24"/>
      <c r="C93" s="24">
        <v>1836410</v>
      </c>
      <c r="D93" s="24"/>
      <c r="E93" s="24">
        <v>6629.4919549704646</v>
      </c>
      <c r="F93" s="24">
        <v>15288.229418690262</v>
      </c>
      <c r="G93" s="24"/>
      <c r="H93" s="24">
        <v>270.88752589738215</v>
      </c>
      <c r="I93" s="24">
        <v>358.74999999999994</v>
      </c>
      <c r="J93" s="24"/>
      <c r="K93" s="24">
        <v>0</v>
      </c>
      <c r="L93" s="24">
        <v>1048.983666666667</v>
      </c>
      <c r="M93" s="24"/>
      <c r="N93" s="24">
        <v>0</v>
      </c>
      <c r="O93" s="24"/>
      <c r="P93" s="24"/>
      <c r="Q93" s="60">
        <v>1887.4806599999999</v>
      </c>
      <c r="R93" s="60">
        <v>9582.0305000000008</v>
      </c>
      <c r="S93" s="24"/>
      <c r="T93" s="24">
        <v>13787.81135</v>
      </c>
      <c r="U93" s="24">
        <v>26585.289000000001</v>
      </c>
    </row>
    <row r="94" spans="1:21">
      <c r="A94" s="3"/>
      <c r="B94" s="24"/>
      <c r="C94" s="24"/>
      <c r="D94" s="24"/>
      <c r="E94" s="24"/>
      <c r="F94" s="24"/>
      <c r="G94" s="24"/>
      <c r="H94" s="24"/>
      <c r="I94" s="24"/>
      <c r="J94" s="24"/>
      <c r="K94" s="24"/>
      <c r="L94" s="24"/>
      <c r="M94" s="24"/>
      <c r="N94" s="24"/>
      <c r="O94" s="24"/>
      <c r="P94" s="24"/>
      <c r="Q94" s="60"/>
      <c r="R94" s="60"/>
      <c r="S94" s="24"/>
      <c r="T94" s="24"/>
      <c r="U94" s="24"/>
    </row>
    <row r="95" spans="1:21">
      <c r="A95" s="3" t="s">
        <v>39</v>
      </c>
      <c r="B95" s="63"/>
      <c r="C95" s="24">
        <v>282373</v>
      </c>
      <c r="D95" s="63"/>
      <c r="E95" s="24">
        <v>103127.90539999999</v>
      </c>
      <c r="F95" s="24">
        <v>14946.5695</v>
      </c>
      <c r="G95" s="63"/>
      <c r="H95" s="24">
        <v>5814.2145</v>
      </c>
      <c r="I95" s="24">
        <v>430.35099999999994</v>
      </c>
      <c r="J95" s="63"/>
      <c r="K95" s="24">
        <v>16426.931999999997</v>
      </c>
      <c r="L95" s="24">
        <v>858.13000000000011</v>
      </c>
      <c r="M95" s="63"/>
      <c r="N95" s="24">
        <v>71.819999999999993</v>
      </c>
      <c r="O95" s="24">
        <v>75.599999999999994</v>
      </c>
      <c r="P95" s="63"/>
      <c r="Q95" s="60">
        <v>6661.2184913000001</v>
      </c>
      <c r="R95" s="60">
        <v>1012.3599999999999</v>
      </c>
      <c r="S95" s="63"/>
      <c r="T95" s="24">
        <v>49854.792570000005</v>
      </c>
      <c r="U95" s="24">
        <v>71849.380260000005</v>
      </c>
    </row>
    <row r="96" spans="1:21">
      <c r="A96" s="3"/>
      <c r="B96" s="57"/>
      <c r="C96" s="24"/>
      <c r="D96" s="57"/>
      <c r="E96" s="24"/>
      <c r="F96" s="24"/>
      <c r="G96" s="57"/>
      <c r="H96" s="24"/>
      <c r="I96" s="24"/>
      <c r="J96" s="57"/>
      <c r="K96" s="24"/>
      <c r="L96" s="24"/>
      <c r="M96" s="57"/>
      <c r="N96" s="24"/>
      <c r="O96" s="24"/>
      <c r="P96" s="57"/>
      <c r="Q96" s="60"/>
      <c r="R96" s="60"/>
      <c r="S96" s="57"/>
      <c r="T96" s="24"/>
      <c r="U96" s="24"/>
    </row>
    <row r="97" spans="1:21">
      <c r="A97" s="3" t="s">
        <v>36</v>
      </c>
      <c r="B97" s="57">
        <v>0</v>
      </c>
      <c r="C97" s="24">
        <v>594163</v>
      </c>
      <c r="D97" s="57">
        <v>0</v>
      </c>
      <c r="E97" s="24">
        <v>17317.746647619013</v>
      </c>
      <c r="F97" s="24">
        <v>27709.333999999999</v>
      </c>
      <c r="G97" s="57">
        <v>0</v>
      </c>
      <c r="H97" s="24">
        <v>687.74</v>
      </c>
      <c r="I97" s="24">
        <v>1253.9502333333335</v>
      </c>
      <c r="J97" s="57">
        <v>0</v>
      </c>
      <c r="K97" s="24">
        <v>1237.45</v>
      </c>
      <c r="L97" s="24">
        <v>1822.8157999999999</v>
      </c>
      <c r="M97" s="57">
        <v>0</v>
      </c>
      <c r="N97" s="24">
        <v>0</v>
      </c>
      <c r="O97" s="24"/>
      <c r="P97" s="57">
        <v>0</v>
      </c>
      <c r="Q97" s="60">
        <v>683.62699999999995</v>
      </c>
      <c r="R97" s="60">
        <v>3648.8219999999997</v>
      </c>
      <c r="S97" s="57">
        <v>0</v>
      </c>
      <c r="T97" s="24">
        <v>16913.876639999999</v>
      </c>
      <c r="U97" s="24">
        <v>23982.41577</v>
      </c>
    </row>
    <row r="98" spans="1:21">
      <c r="A98" s="3"/>
      <c r="B98" s="57"/>
      <c r="C98" s="24"/>
      <c r="D98" s="57"/>
      <c r="E98" s="24"/>
      <c r="F98" s="24"/>
      <c r="G98" s="57"/>
      <c r="H98" s="24"/>
      <c r="I98" s="24"/>
      <c r="J98" s="57"/>
      <c r="K98" s="24"/>
      <c r="L98" s="24"/>
      <c r="M98" s="57"/>
      <c r="N98" s="24"/>
      <c r="O98" s="24"/>
      <c r="P98" s="57"/>
      <c r="Q98" s="60"/>
      <c r="R98" s="60"/>
      <c r="S98" s="57"/>
      <c r="T98" s="24"/>
      <c r="U98" s="24"/>
    </row>
    <row r="99" spans="1:21">
      <c r="A99" s="3" t="s">
        <v>37</v>
      </c>
      <c r="B99" s="57"/>
      <c r="C99" s="24">
        <v>618108</v>
      </c>
      <c r="D99" s="57"/>
      <c r="E99" s="24">
        <v>2198.5730609523812</v>
      </c>
      <c r="F99" s="24">
        <v>32553.620999999999</v>
      </c>
      <c r="G99" s="57"/>
      <c r="H99" s="24">
        <v>192.21600000000001</v>
      </c>
      <c r="I99" s="24">
        <v>805.62600000000009</v>
      </c>
      <c r="J99" s="57"/>
      <c r="K99" s="24">
        <v>168</v>
      </c>
      <c r="L99" s="24">
        <v>2685.9410000000003</v>
      </c>
      <c r="M99" s="57"/>
      <c r="N99" s="24">
        <v>0</v>
      </c>
      <c r="O99" s="24"/>
      <c r="P99" s="57"/>
      <c r="Q99" s="60">
        <v>518.40599999999995</v>
      </c>
      <c r="R99" s="60">
        <v>163.648</v>
      </c>
      <c r="S99" s="57"/>
      <c r="T99" s="24">
        <v>24279.790649999999</v>
      </c>
      <c r="U99" s="24">
        <v>25024.90883</v>
      </c>
    </row>
    <row r="100" spans="1:21">
      <c r="A100" s="3"/>
      <c r="B100" s="57"/>
      <c r="C100" s="24"/>
      <c r="D100" s="57"/>
      <c r="E100" s="24"/>
      <c r="F100" s="24"/>
      <c r="G100" s="57"/>
      <c r="H100" s="24"/>
      <c r="I100" s="24"/>
      <c r="J100" s="57"/>
      <c r="K100" s="24"/>
      <c r="L100" s="24"/>
      <c r="M100" s="57"/>
      <c r="N100" s="24"/>
      <c r="O100" s="24"/>
      <c r="P100" s="57"/>
      <c r="Q100" s="60"/>
      <c r="R100" s="60"/>
      <c r="S100" s="57"/>
      <c r="T100" s="24"/>
      <c r="U100" s="24"/>
    </row>
    <row r="101" spans="1:21">
      <c r="A101" s="3" t="s">
        <v>41</v>
      </c>
      <c r="B101" s="57"/>
      <c r="C101" s="24">
        <v>573529</v>
      </c>
      <c r="D101" s="57"/>
      <c r="E101" s="24">
        <v>61.023000000000003</v>
      </c>
      <c r="F101" s="24">
        <v>0</v>
      </c>
      <c r="G101" s="57"/>
      <c r="H101" s="24">
        <v>124.892</v>
      </c>
      <c r="I101" s="24">
        <v>522</v>
      </c>
      <c r="J101" s="57"/>
      <c r="K101" s="24">
        <v>0</v>
      </c>
      <c r="L101" s="24">
        <v>89.5</v>
      </c>
      <c r="M101" s="57"/>
      <c r="N101" s="24">
        <v>0</v>
      </c>
      <c r="O101" s="24"/>
      <c r="P101" s="57"/>
      <c r="Q101" s="60">
        <v>0</v>
      </c>
      <c r="R101" s="60">
        <v>0</v>
      </c>
      <c r="S101" s="57"/>
      <c r="T101" s="24">
        <v>7960.22102</v>
      </c>
      <c r="U101" s="24">
        <v>20147.615600000001</v>
      </c>
    </row>
    <row r="102" spans="1:21">
      <c r="A102" s="3"/>
      <c r="B102" s="57"/>
      <c r="C102" s="24"/>
      <c r="D102" s="57"/>
      <c r="E102" s="24"/>
      <c r="F102" s="24"/>
      <c r="G102" s="57"/>
      <c r="H102" s="24"/>
      <c r="I102" s="24"/>
      <c r="J102" s="57"/>
      <c r="K102" s="24"/>
      <c r="L102" s="24"/>
      <c r="M102" s="57"/>
      <c r="N102" s="24"/>
      <c r="O102" s="24"/>
      <c r="P102" s="57"/>
      <c r="Q102" s="60"/>
      <c r="R102" s="60"/>
      <c r="S102" s="57"/>
      <c r="T102" s="24"/>
      <c r="U102" s="24"/>
    </row>
    <row r="103" spans="1:21">
      <c r="A103" s="3" t="s">
        <v>70</v>
      </c>
      <c r="B103" s="57"/>
      <c r="C103" s="24">
        <v>0</v>
      </c>
      <c r="D103" s="57"/>
      <c r="E103" s="24">
        <v>68.866</v>
      </c>
      <c r="F103" s="24">
        <v>0</v>
      </c>
      <c r="G103" s="57"/>
      <c r="H103" s="24">
        <v>0</v>
      </c>
      <c r="I103" s="24">
        <v>0</v>
      </c>
      <c r="J103" s="57"/>
      <c r="K103" s="24">
        <v>0</v>
      </c>
      <c r="L103" s="24">
        <v>0</v>
      </c>
      <c r="M103" s="57"/>
      <c r="N103" s="24">
        <v>0</v>
      </c>
      <c r="O103" s="24"/>
      <c r="P103" s="57"/>
      <c r="Q103" s="60">
        <v>0</v>
      </c>
      <c r="R103" s="60">
        <v>0</v>
      </c>
      <c r="S103" s="57"/>
      <c r="T103" s="24">
        <v>2299.6440000000002</v>
      </c>
      <c r="U103" s="24">
        <v>2254</v>
      </c>
    </row>
    <row r="104" spans="1:21">
      <c r="A104" s="3"/>
      <c r="B104" s="57"/>
      <c r="C104" s="24"/>
      <c r="D104" s="57"/>
      <c r="E104" s="24"/>
      <c r="F104" s="24"/>
      <c r="G104" s="57"/>
      <c r="H104" s="24"/>
      <c r="I104" s="24"/>
      <c r="J104" s="57"/>
      <c r="K104" s="24"/>
      <c r="L104" s="24"/>
      <c r="M104" s="57"/>
      <c r="N104" s="24"/>
      <c r="O104" s="24"/>
      <c r="P104" s="57"/>
      <c r="Q104" s="60"/>
      <c r="R104" s="60"/>
      <c r="S104" s="57"/>
      <c r="T104" s="24"/>
      <c r="U104" s="24"/>
    </row>
    <row r="105" spans="1:21">
      <c r="A105" s="3" t="s">
        <v>71</v>
      </c>
      <c r="B105" s="57"/>
      <c r="C105" s="24">
        <v>0</v>
      </c>
      <c r="D105" s="57"/>
      <c r="E105" s="24">
        <v>0</v>
      </c>
      <c r="F105" s="24">
        <v>0</v>
      </c>
      <c r="G105" s="57"/>
      <c r="H105" s="24">
        <v>10</v>
      </c>
      <c r="I105" s="24">
        <v>0</v>
      </c>
      <c r="J105" s="57"/>
      <c r="K105" s="24">
        <v>0</v>
      </c>
      <c r="L105" s="24">
        <v>0</v>
      </c>
      <c r="M105" s="57"/>
      <c r="N105" s="24">
        <v>0</v>
      </c>
      <c r="O105" s="24"/>
      <c r="P105" s="57"/>
      <c r="Q105" s="60">
        <v>0</v>
      </c>
      <c r="R105" s="60">
        <v>0</v>
      </c>
      <c r="S105" s="57"/>
      <c r="T105" s="24">
        <v>697.07708000000002</v>
      </c>
      <c r="U105" s="24">
        <v>1279.1865499999999</v>
      </c>
    </row>
    <row r="107" spans="1:21">
      <c r="C107" s="329">
        <f t="shared" ref="C107:D107" si="2">SUM(C75:C105)</f>
        <v>8046946</v>
      </c>
      <c r="D107" s="329">
        <f t="shared" si="2"/>
        <v>0</v>
      </c>
      <c r="E107" s="329">
        <f>SUM(E75:E105)</f>
        <v>372231.79154263175</v>
      </c>
      <c r="F107" s="329">
        <f t="shared" ref="F107:U107" si="3">SUM(F75:F105)</f>
        <v>183815.51662189595</v>
      </c>
      <c r="G107" s="329">
        <f t="shared" si="3"/>
        <v>0</v>
      </c>
      <c r="H107" s="329">
        <f t="shared" si="3"/>
        <v>17298.247910447</v>
      </c>
      <c r="I107" s="329">
        <f t="shared" si="3"/>
        <v>6832.6792843833937</v>
      </c>
      <c r="J107" s="329">
        <f t="shared" si="3"/>
        <v>0</v>
      </c>
      <c r="K107" s="329">
        <f t="shared" si="3"/>
        <v>54059.442399999985</v>
      </c>
      <c r="L107" s="329">
        <f t="shared" si="3"/>
        <v>13448.684466666668</v>
      </c>
      <c r="M107" s="329">
        <f t="shared" si="3"/>
        <v>0</v>
      </c>
      <c r="N107" s="329">
        <f t="shared" si="3"/>
        <v>1163.0909999999999</v>
      </c>
      <c r="O107" s="329">
        <f t="shared" si="3"/>
        <v>75.599999999999994</v>
      </c>
      <c r="P107" s="329">
        <f t="shared" si="3"/>
        <v>0</v>
      </c>
      <c r="Q107" s="329">
        <f t="shared" si="3"/>
        <v>185221.80379766246</v>
      </c>
      <c r="R107" s="329">
        <f t="shared" si="3"/>
        <v>52559.125660000005</v>
      </c>
      <c r="S107" s="329">
        <f t="shared" si="3"/>
        <v>0</v>
      </c>
      <c r="T107" s="329">
        <f t="shared" si="3"/>
        <v>303379.64765999996</v>
      </c>
      <c r="U107" s="329">
        <f t="shared" si="3"/>
        <v>380181.71825999999</v>
      </c>
    </row>
  </sheetData>
  <mergeCells count="22">
    <mergeCell ref="C70:C71"/>
    <mergeCell ref="E70:U70"/>
    <mergeCell ref="E71:F71"/>
    <mergeCell ref="H71:I71"/>
    <mergeCell ref="K71:L71"/>
    <mergeCell ref="N71:O71"/>
    <mergeCell ref="Q71:R71"/>
    <mergeCell ref="T71:U71"/>
    <mergeCell ref="C33:C34"/>
    <mergeCell ref="E33:V33"/>
    <mergeCell ref="E34:F34"/>
    <mergeCell ref="H34:I34"/>
    <mergeCell ref="K34:L34"/>
    <mergeCell ref="N34:O34"/>
    <mergeCell ref="Q34:R34"/>
    <mergeCell ref="T34:U34"/>
    <mergeCell ref="T1:U1"/>
    <mergeCell ref="E1:F1"/>
    <mergeCell ref="H1:I1"/>
    <mergeCell ref="K1:L1"/>
    <mergeCell ref="N1:O1"/>
    <mergeCell ref="Q1:R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07F83-28E9-4501-9A31-E79B34A8BA5D}">
  <sheetPr codeName="Sheet6"/>
  <dimension ref="A1:S18"/>
  <sheetViews>
    <sheetView zoomScale="58" workbookViewId="0">
      <selection activeCell="A2" sqref="A2"/>
    </sheetView>
  </sheetViews>
  <sheetFormatPr defaultRowHeight="14.5"/>
  <cols>
    <col min="1" max="1" width="17.81640625" bestFit="1" customWidth="1"/>
    <col min="2" max="2" width="15" bestFit="1" customWidth="1"/>
    <col min="3" max="4" width="13.7265625" bestFit="1" customWidth="1"/>
    <col min="5" max="6" width="13.26953125" bestFit="1" customWidth="1"/>
    <col min="7" max="7" width="15" bestFit="1" customWidth="1"/>
    <col min="8" max="8" width="15" customWidth="1"/>
    <col min="9" max="9" width="5.453125" bestFit="1" customWidth="1"/>
    <col min="10" max="10" width="15" bestFit="1" customWidth="1"/>
    <col min="11" max="12" width="13.7265625" bestFit="1" customWidth="1"/>
    <col min="13" max="13" width="12.54296875" bestFit="1" customWidth="1"/>
    <col min="14" max="14" width="12.54296875" customWidth="1"/>
    <col min="15" max="15" width="5.453125" bestFit="1" customWidth="1"/>
    <col min="16" max="16" width="7.1796875" bestFit="1" customWidth="1"/>
    <col min="17" max="18" width="8.26953125" bestFit="1" customWidth="1"/>
    <col min="19" max="19" width="6.1796875" bestFit="1" customWidth="1"/>
  </cols>
  <sheetData>
    <row r="1" spans="1:19">
      <c r="I1" s="346" t="s">
        <v>44</v>
      </c>
      <c r="J1" s="346"/>
      <c r="K1" s="346"/>
      <c r="L1" s="346"/>
      <c r="M1" s="346"/>
      <c r="N1" s="11"/>
      <c r="O1" s="346" t="s">
        <v>73</v>
      </c>
      <c r="P1" s="346"/>
      <c r="Q1" s="346"/>
      <c r="R1" s="346"/>
      <c r="S1" s="346"/>
    </row>
    <row r="2" spans="1:19">
      <c r="A2" s="11" t="s">
        <v>18</v>
      </c>
      <c r="B2" s="11" t="s">
        <v>97</v>
      </c>
      <c r="C2" s="11" t="s">
        <v>46</v>
      </c>
      <c r="D2" s="11" t="s">
        <v>47</v>
      </c>
      <c r="E2" s="11" t="s">
        <v>48</v>
      </c>
      <c r="F2" s="11" t="s">
        <v>49</v>
      </c>
      <c r="G2" s="11" t="s">
        <v>128</v>
      </c>
      <c r="H2" s="11"/>
      <c r="I2" s="320" t="s">
        <v>97</v>
      </c>
      <c r="J2" s="320" t="s">
        <v>46</v>
      </c>
      <c r="K2" s="320" t="s">
        <v>47</v>
      </c>
      <c r="L2" s="320" t="s">
        <v>48</v>
      </c>
      <c r="M2" s="323" t="s">
        <v>49</v>
      </c>
      <c r="N2" s="321"/>
      <c r="O2" s="323" t="s">
        <v>97</v>
      </c>
      <c r="P2" s="320" t="s">
        <v>46</v>
      </c>
      <c r="Q2" s="320" t="s">
        <v>47</v>
      </c>
      <c r="R2" s="320" t="s">
        <v>48</v>
      </c>
      <c r="S2" s="320" t="s">
        <v>49</v>
      </c>
    </row>
    <row r="3" spans="1:19">
      <c r="A3" s="278" t="s">
        <v>27</v>
      </c>
      <c r="B3" s="255">
        <v>16375.208000000001</v>
      </c>
      <c r="C3" s="255">
        <v>35.639702062643238</v>
      </c>
      <c r="D3" s="255">
        <v>15937.086115285714</v>
      </c>
      <c r="E3" s="256">
        <v>2072.3545516934041</v>
      </c>
      <c r="F3" s="256">
        <v>874.05295999999998</v>
      </c>
      <c r="G3" s="257">
        <f>SUM(Vehicles[[#This Row],[2021]:[2025]])</f>
        <v>35294.341329041767</v>
      </c>
      <c r="H3" s="257"/>
      <c r="I3" s="279" t="s">
        <v>51</v>
      </c>
      <c r="J3" s="279">
        <f>Vehicles[[#This Row],[2022]]-Vehicles[[#This Row],[2021]]</f>
        <v>-16339.568297937358</v>
      </c>
      <c r="K3" s="279">
        <f>Vehicles[[#This Row],[2023]]-Vehicles[[#This Row],[2022]]</f>
        <v>15901.446413223071</v>
      </c>
      <c r="L3" s="314">
        <f>Vehicles[[#This Row],[2024]]-Vehicles[[#This Row],[2023]]</f>
        <v>-13864.73156359231</v>
      </c>
      <c r="M3" s="279">
        <f>Vehicles[[#This Row],[2025]]-Vehicles[[#This Row],[2024]]</f>
        <v>-1198.3015916934041</v>
      </c>
      <c r="N3" s="258"/>
      <c r="O3" s="280" t="s">
        <v>51</v>
      </c>
      <c r="P3" s="315">
        <f t="shared" ref="P3:P17" si="0">IFERROR(J3/B3,"-")</f>
        <v>-0.99782355729083605</v>
      </c>
      <c r="Q3" s="280">
        <f t="shared" ref="Q3:Q17" si="1">IFERROR(K3/C3,"-")</f>
        <v>446.17225994968749</v>
      </c>
      <c r="R3" s="280">
        <f t="shared" ref="R3:R17" si="2">IFERROR(L3/D3,"-")</f>
        <v>-0.86996653361207921</v>
      </c>
      <c r="S3" s="280">
        <f t="shared" ref="S3:S17" si="3">IFERROR(M3/E3,"-")</f>
        <v>-0.57823193946915297</v>
      </c>
    </row>
    <row r="4" spans="1:19">
      <c r="A4" s="278" t="s">
        <v>28</v>
      </c>
      <c r="B4" s="255">
        <v>0</v>
      </c>
      <c r="C4" s="255">
        <v>11547.54</v>
      </c>
      <c r="D4" s="255">
        <v>10.718550000000002</v>
      </c>
      <c r="E4" s="256">
        <v>2094.91</v>
      </c>
      <c r="F4" s="256">
        <v>416.70499999999998</v>
      </c>
      <c r="G4" s="257">
        <f>SUM(Vehicles[[#This Row],[2021]:[2025]])</f>
        <v>14069.87355</v>
      </c>
      <c r="H4" s="257"/>
      <c r="I4" s="279" t="s">
        <v>51</v>
      </c>
      <c r="J4" s="279">
        <f>Vehicles[[#This Row],[2022]]-Vehicles[[#This Row],[2021]]</f>
        <v>11547.54</v>
      </c>
      <c r="K4" s="279">
        <f>Vehicles[[#This Row],[2023]]-Vehicles[[#This Row],[2022]]</f>
        <v>-11536.821450000001</v>
      </c>
      <c r="L4" s="314">
        <f>Vehicles[[#This Row],[2024]]-Vehicles[[#This Row],[2023]]</f>
        <v>2084.1914499999998</v>
      </c>
      <c r="M4" s="279">
        <f>Vehicles[[#This Row],[2025]]-Vehicles[[#This Row],[2024]]</f>
        <v>-1678.2049999999999</v>
      </c>
      <c r="N4" s="258"/>
      <c r="O4" s="280" t="s">
        <v>51</v>
      </c>
      <c r="P4" s="315" t="str">
        <f t="shared" si="0"/>
        <v>-</v>
      </c>
      <c r="Q4" s="280">
        <f t="shared" si="1"/>
        <v>-0.99907178931616603</v>
      </c>
      <c r="R4" s="280">
        <f t="shared" si="2"/>
        <v>194.44714536947623</v>
      </c>
      <c r="S4" s="280">
        <f t="shared" si="3"/>
        <v>-0.80108692020182248</v>
      </c>
    </row>
    <row r="5" spans="1:19">
      <c r="A5" s="278" t="s">
        <v>29</v>
      </c>
      <c r="B5" s="255">
        <v>1456.6060000000002</v>
      </c>
      <c r="C5" s="255">
        <v>2033.2880751301836</v>
      </c>
      <c r="D5" s="255">
        <v>430.92033333333325</v>
      </c>
      <c r="E5" s="256">
        <v>3984.3637455546241</v>
      </c>
      <c r="F5" s="256">
        <v>497.97231746031736</v>
      </c>
      <c r="G5" s="257">
        <f>SUM(Vehicles[[#This Row],[2021]:[2025]])</f>
        <v>8403.1504714784587</v>
      </c>
      <c r="H5" s="257"/>
      <c r="I5" s="279" t="s">
        <v>51</v>
      </c>
      <c r="J5" s="279">
        <f>Vehicles[[#This Row],[2022]]-Vehicles[[#This Row],[2021]]</f>
        <v>576.68207513018342</v>
      </c>
      <c r="K5" s="279">
        <f>Vehicles[[#This Row],[2023]]-Vehicles[[#This Row],[2022]]</f>
        <v>-1602.3677417968504</v>
      </c>
      <c r="L5" s="314">
        <f>Vehicles[[#This Row],[2024]]-Vehicles[[#This Row],[2023]]</f>
        <v>3553.4434122212906</v>
      </c>
      <c r="M5" s="279">
        <f>Vehicles[[#This Row],[2025]]-Vehicles[[#This Row],[2024]]</f>
        <v>-3486.3914280943068</v>
      </c>
      <c r="N5" s="258"/>
      <c r="O5" s="280" t="s">
        <v>51</v>
      </c>
      <c r="P5" s="315">
        <f t="shared" si="0"/>
        <v>0.39590807337755257</v>
      </c>
      <c r="Q5" s="280">
        <f t="shared" si="1"/>
        <v>-0.78806724998584221</v>
      </c>
      <c r="R5" s="280">
        <f t="shared" si="2"/>
        <v>8.2461725227353497</v>
      </c>
      <c r="S5" s="280">
        <f t="shared" si="3"/>
        <v>-0.87501835945176754</v>
      </c>
    </row>
    <row r="6" spans="1:19">
      <c r="A6" s="278" t="s">
        <v>30</v>
      </c>
      <c r="B6" s="258">
        <v>5768.58</v>
      </c>
      <c r="C6" s="258">
        <v>45.685558587753704</v>
      </c>
      <c r="D6" s="258">
        <v>57.7</v>
      </c>
      <c r="E6" s="256">
        <v>82.185000000000002</v>
      </c>
      <c r="F6" s="256">
        <v>44.3125</v>
      </c>
      <c r="G6" s="257">
        <f>SUM(Vehicles[[#This Row],[2021]:[2025]])</f>
        <v>5998.4630585877539</v>
      </c>
      <c r="H6" s="257"/>
      <c r="I6" s="279" t="s">
        <v>51</v>
      </c>
      <c r="J6" s="279">
        <f>Vehicles[[#This Row],[2022]]-Vehicles[[#This Row],[2021]]</f>
        <v>-5722.8944414122461</v>
      </c>
      <c r="K6" s="279">
        <f>Vehicles[[#This Row],[2023]]-Vehicles[[#This Row],[2022]]</f>
        <v>12.014441412246299</v>
      </c>
      <c r="L6" s="314">
        <f>Vehicles[[#This Row],[2024]]-Vehicles[[#This Row],[2023]]</f>
        <v>24.484999999999999</v>
      </c>
      <c r="M6" s="279">
        <f>Vehicles[[#This Row],[2025]]-Vehicles[[#This Row],[2024]]</f>
        <v>-37.872500000000002</v>
      </c>
      <c r="N6" s="258"/>
      <c r="O6" s="280" t="s">
        <v>51</v>
      </c>
      <c r="P6" s="315">
        <f t="shared" si="0"/>
        <v>-0.99208027649997854</v>
      </c>
      <c r="Q6" s="280">
        <f t="shared" si="1"/>
        <v>0.26298116480657074</v>
      </c>
      <c r="R6" s="280">
        <f t="shared" si="2"/>
        <v>0.42435008665511265</v>
      </c>
      <c r="S6" s="280">
        <f t="shared" si="3"/>
        <v>-0.46082010099166515</v>
      </c>
    </row>
    <row r="7" spans="1:19">
      <c r="A7" s="278" t="s">
        <v>31</v>
      </c>
      <c r="B7" s="258">
        <v>18271.479000000003</v>
      </c>
      <c r="C7" s="258">
        <v>0</v>
      </c>
      <c r="D7" s="258">
        <v>12.45</v>
      </c>
      <c r="E7" s="256">
        <v>76.580666666666389</v>
      </c>
      <c r="F7" s="256">
        <v>40.091666666666697</v>
      </c>
      <c r="G7" s="257">
        <f>SUM(Vehicles[[#This Row],[2021]:[2025]])</f>
        <v>18400.601333333336</v>
      </c>
      <c r="H7" s="257"/>
      <c r="I7" s="279" t="s">
        <v>51</v>
      </c>
      <c r="J7" s="279">
        <f>Vehicles[[#This Row],[2022]]-Vehicles[[#This Row],[2021]]</f>
        <v>-18271.479000000003</v>
      </c>
      <c r="K7" s="279">
        <f>Vehicles[[#This Row],[2023]]-Vehicles[[#This Row],[2022]]</f>
        <v>12.45</v>
      </c>
      <c r="L7" s="314">
        <f>Vehicles[[#This Row],[2024]]-Vehicles[[#This Row],[2023]]</f>
        <v>64.130666666666386</v>
      </c>
      <c r="M7" s="279">
        <f>Vehicles[[#This Row],[2025]]-Vehicles[[#This Row],[2024]]</f>
        <v>-36.488999999999692</v>
      </c>
      <c r="N7" s="258"/>
      <c r="O7" s="280" t="s">
        <v>51</v>
      </c>
      <c r="P7" s="315">
        <f t="shared" si="0"/>
        <v>-1</v>
      </c>
      <c r="Q7" s="280" t="str">
        <f t="shared" si="1"/>
        <v>-</v>
      </c>
      <c r="R7" s="280">
        <f t="shared" si="2"/>
        <v>5.1510575635876616</v>
      </c>
      <c r="S7" s="280">
        <f t="shared" si="3"/>
        <v>-0.47647796223589711</v>
      </c>
    </row>
    <row r="8" spans="1:19">
      <c r="A8" s="278" t="s">
        <v>32</v>
      </c>
      <c r="B8" s="258">
        <v>78223.944000000003</v>
      </c>
      <c r="C8" s="258">
        <v>76.354441176470573</v>
      </c>
      <c r="D8" s="258">
        <v>1242.4066666666663</v>
      </c>
      <c r="E8" s="256">
        <v>892.02092063492034</v>
      </c>
      <c r="F8" s="256">
        <v>702.16252999999995</v>
      </c>
      <c r="G8" s="257">
        <f>SUM(Vehicles[[#This Row],[2021]:[2025]])</f>
        <v>81136.888558478066</v>
      </c>
      <c r="H8" s="257"/>
      <c r="I8" s="279" t="s">
        <v>51</v>
      </c>
      <c r="J8" s="279">
        <f>Vehicles[[#This Row],[2022]]-Vehicles[[#This Row],[2021]]</f>
        <v>-78147.589558823529</v>
      </c>
      <c r="K8" s="279">
        <f>Vehicles[[#This Row],[2023]]-Vehicles[[#This Row],[2022]]</f>
        <v>1166.0522254901957</v>
      </c>
      <c r="L8" s="314">
        <f>Vehicles[[#This Row],[2024]]-Vehicles[[#This Row],[2023]]</f>
        <v>-350.38574603174595</v>
      </c>
      <c r="M8" s="279">
        <f>Vehicles[[#This Row],[2025]]-Vehicles[[#This Row],[2024]]</f>
        <v>-189.8583906349204</v>
      </c>
      <c r="N8" s="258"/>
      <c r="O8" s="280" t="s">
        <v>51</v>
      </c>
      <c r="P8" s="315">
        <f t="shared" si="0"/>
        <v>-0.99902389936799307</v>
      </c>
      <c r="Q8" s="280">
        <f t="shared" si="1"/>
        <v>15.271570422409523</v>
      </c>
      <c r="R8" s="280">
        <f t="shared" si="2"/>
        <v>-0.28202178516300036</v>
      </c>
      <c r="S8" s="280">
        <f t="shared" si="3"/>
        <v>-0.21284073752416421</v>
      </c>
    </row>
    <row r="9" spans="1:19">
      <c r="A9" s="278" t="s">
        <v>33</v>
      </c>
      <c r="B9" s="258">
        <v>463.5</v>
      </c>
      <c r="C9" s="258">
        <v>52.626666666666672</v>
      </c>
      <c r="D9" s="258">
        <v>119.71000000000001</v>
      </c>
      <c r="E9" s="256">
        <v>720.23799999999994</v>
      </c>
      <c r="F9" s="256">
        <v>615.42199999999991</v>
      </c>
      <c r="G9" s="257">
        <f>SUM(Vehicles[[#This Row],[2021]:[2025]])</f>
        <v>1971.4966666666664</v>
      </c>
      <c r="H9" s="257"/>
      <c r="I9" s="279" t="s">
        <v>51</v>
      </c>
      <c r="J9" s="279">
        <f>Vehicles[[#This Row],[2022]]-Vehicles[[#This Row],[2021]]</f>
        <v>-410.87333333333333</v>
      </c>
      <c r="K9" s="279">
        <f>Vehicles[[#This Row],[2023]]-Vehicles[[#This Row],[2022]]</f>
        <v>67.083333333333343</v>
      </c>
      <c r="L9" s="314">
        <f>Vehicles[[#This Row],[2024]]-Vehicles[[#This Row],[2023]]</f>
        <v>600.52799999999991</v>
      </c>
      <c r="M9" s="279">
        <f>Vehicles[[#This Row],[2025]]-Vehicles[[#This Row],[2024]]</f>
        <v>-104.81600000000003</v>
      </c>
      <c r="N9" s="258"/>
      <c r="O9" s="280" t="s">
        <v>51</v>
      </c>
      <c r="P9" s="315">
        <f t="shared" si="0"/>
        <v>-0.88645810859403096</v>
      </c>
      <c r="Q9" s="280">
        <f t="shared" si="1"/>
        <v>1.2747023055485178</v>
      </c>
      <c r="R9" s="280">
        <f t="shared" si="2"/>
        <v>5.0165232645560094</v>
      </c>
      <c r="S9" s="280">
        <f t="shared" si="3"/>
        <v>-0.14552967213615506</v>
      </c>
    </row>
    <row r="10" spans="1:19">
      <c r="A10" s="278" t="s">
        <v>34</v>
      </c>
      <c r="B10" s="258">
        <v>0</v>
      </c>
      <c r="C10" s="258">
        <v>0</v>
      </c>
      <c r="D10" s="258">
        <v>5.5</v>
      </c>
      <c r="E10" s="256">
        <v>202.52499999999998</v>
      </c>
      <c r="F10" s="256">
        <v>210.72000000000003</v>
      </c>
      <c r="G10" s="257">
        <f>SUM(Vehicles[[#This Row],[2021]:[2025]])</f>
        <v>418.745</v>
      </c>
      <c r="H10" s="257"/>
      <c r="I10" s="279" t="s">
        <v>51</v>
      </c>
      <c r="J10" s="279">
        <f>Vehicles[[#This Row],[2022]]-Vehicles[[#This Row],[2021]]</f>
        <v>0</v>
      </c>
      <c r="K10" s="279">
        <f>Vehicles[[#This Row],[2023]]-Vehicles[[#This Row],[2022]]</f>
        <v>5.5</v>
      </c>
      <c r="L10" s="314">
        <f>Vehicles[[#This Row],[2024]]-Vehicles[[#This Row],[2023]]</f>
        <v>197.02499999999998</v>
      </c>
      <c r="M10" s="279">
        <f>Vehicles[[#This Row],[2025]]-Vehicles[[#This Row],[2024]]</f>
        <v>8.19500000000005</v>
      </c>
      <c r="N10" s="258"/>
      <c r="O10" s="280" t="s">
        <v>51</v>
      </c>
      <c r="P10" s="315" t="str">
        <f t="shared" si="0"/>
        <v>-</v>
      </c>
      <c r="Q10" s="280" t="str">
        <f t="shared" si="1"/>
        <v>-</v>
      </c>
      <c r="R10" s="280">
        <f t="shared" si="2"/>
        <v>35.822727272727271</v>
      </c>
      <c r="S10" s="280">
        <f t="shared" si="3"/>
        <v>4.0464140229601535E-2</v>
      </c>
    </row>
    <row r="11" spans="1:19">
      <c r="A11" s="278" t="s">
        <v>35</v>
      </c>
      <c r="B11" s="258">
        <v>0</v>
      </c>
      <c r="C11" s="258">
        <v>1.91</v>
      </c>
      <c r="D11" s="258">
        <v>8.0499999999999989</v>
      </c>
      <c r="E11" s="256">
        <v>73.119999999999962</v>
      </c>
      <c r="F11" s="256">
        <v>60.56307692307692</v>
      </c>
      <c r="G11" s="257">
        <f>SUM(Vehicles[[#This Row],[2021]:[2025]])</f>
        <v>143.64307692307688</v>
      </c>
      <c r="H11" s="257"/>
      <c r="I11" s="279" t="s">
        <v>51</v>
      </c>
      <c r="J11" s="279">
        <f>Vehicles[[#This Row],[2022]]-Vehicles[[#This Row],[2021]]</f>
        <v>1.91</v>
      </c>
      <c r="K11" s="279">
        <f>Vehicles[[#This Row],[2023]]-Vehicles[[#This Row],[2022]]</f>
        <v>6.1399999999999988</v>
      </c>
      <c r="L11" s="314">
        <f>Vehicles[[#This Row],[2024]]-Vehicles[[#This Row],[2023]]</f>
        <v>65.069999999999965</v>
      </c>
      <c r="M11" s="279">
        <f>Vehicles[[#This Row],[2025]]-Vehicles[[#This Row],[2024]]</f>
        <v>-12.556923076923042</v>
      </c>
      <c r="N11" s="258"/>
      <c r="O11" s="280" t="s">
        <v>51</v>
      </c>
      <c r="P11" s="315" t="str">
        <f t="shared" si="0"/>
        <v>-</v>
      </c>
      <c r="Q11" s="280">
        <f t="shared" si="1"/>
        <v>3.2146596858638739</v>
      </c>
      <c r="R11" s="280">
        <f t="shared" si="2"/>
        <v>8.0832298136645928</v>
      </c>
      <c r="S11" s="280">
        <f t="shared" si="3"/>
        <v>-0.17173034842619048</v>
      </c>
    </row>
    <row r="12" spans="1:19">
      <c r="A12" s="278" t="s">
        <v>36</v>
      </c>
      <c r="B12" s="258">
        <v>1033.884</v>
      </c>
      <c r="C12" s="258">
        <v>151.71522607022607</v>
      </c>
      <c r="D12" s="258">
        <v>1631.4770000000003</v>
      </c>
      <c r="E12" s="256">
        <v>687.74</v>
      </c>
      <c r="F12" s="256">
        <v>1253.9502333333335</v>
      </c>
      <c r="G12" s="257">
        <f>SUM(Vehicles[[#This Row],[2021]:[2025]])</f>
        <v>4758.7664594035596</v>
      </c>
      <c r="H12" s="257"/>
      <c r="I12" s="279" t="s">
        <v>51</v>
      </c>
      <c r="J12" s="279">
        <f>Vehicles[[#This Row],[2022]]-Vehicles[[#This Row],[2021]]</f>
        <v>-882.16877392977392</v>
      </c>
      <c r="K12" s="279">
        <f>Vehicles[[#This Row],[2023]]-Vehicles[[#This Row],[2022]]</f>
        <v>1479.7617739297743</v>
      </c>
      <c r="L12" s="314">
        <f>Vehicles[[#This Row],[2024]]-Vehicles[[#This Row],[2023]]</f>
        <v>-943.73700000000031</v>
      </c>
      <c r="M12" s="279">
        <f>Vehicles[[#This Row],[2025]]-Vehicles[[#This Row],[2024]]</f>
        <v>566.21023333333346</v>
      </c>
      <c r="N12" s="258"/>
      <c r="O12" s="280" t="s">
        <v>51</v>
      </c>
      <c r="P12" s="315">
        <f t="shared" si="0"/>
        <v>-0.8532570132914078</v>
      </c>
      <c r="Q12" s="280">
        <f t="shared" si="1"/>
        <v>9.7535482249146241</v>
      </c>
      <c r="R12" s="280">
        <f t="shared" si="2"/>
        <v>-0.57845559575770922</v>
      </c>
      <c r="S12" s="280">
        <f t="shared" si="3"/>
        <v>0.82329111776737351</v>
      </c>
    </row>
    <row r="13" spans="1:19">
      <c r="A13" s="278" t="s">
        <v>37</v>
      </c>
      <c r="B13" s="258">
        <v>0</v>
      </c>
      <c r="C13" s="258">
        <v>27.612697674418602</v>
      </c>
      <c r="D13" s="258">
        <v>25.016000000000002</v>
      </c>
      <c r="E13" s="256">
        <v>192.21600000000001</v>
      </c>
      <c r="F13" s="256">
        <v>805.62600000000009</v>
      </c>
      <c r="G13" s="257">
        <f>SUM(Vehicles[[#This Row],[2021]:[2025]])</f>
        <v>1050.4706976744187</v>
      </c>
      <c r="H13" s="257"/>
      <c r="I13" s="279" t="s">
        <v>51</v>
      </c>
      <c r="J13" s="279">
        <f>Vehicles[[#This Row],[2022]]-Vehicles[[#This Row],[2021]]</f>
        <v>27.612697674418602</v>
      </c>
      <c r="K13" s="279">
        <f>Vehicles[[#This Row],[2023]]-Vehicles[[#This Row],[2022]]</f>
        <v>-2.5966976744185999</v>
      </c>
      <c r="L13" s="314">
        <f>Vehicles[[#This Row],[2024]]-Vehicles[[#This Row],[2023]]</f>
        <v>167.20000000000002</v>
      </c>
      <c r="M13" s="279">
        <f>Vehicles[[#This Row],[2025]]-Vehicles[[#This Row],[2024]]</f>
        <v>613.41000000000008</v>
      </c>
      <c r="N13" s="258"/>
      <c r="O13" s="280" t="s">
        <v>51</v>
      </c>
      <c r="P13" s="315" t="str">
        <f t="shared" si="0"/>
        <v>-</v>
      </c>
      <c r="Q13" s="280">
        <f t="shared" si="1"/>
        <v>-9.4039984974893423E-2</v>
      </c>
      <c r="R13" s="280">
        <f t="shared" si="2"/>
        <v>6.6837224176527021</v>
      </c>
      <c r="S13" s="280">
        <f t="shared" si="3"/>
        <v>3.1912535897115748</v>
      </c>
    </row>
    <row r="14" spans="1:19">
      <c r="A14" s="278" t="s">
        <v>38</v>
      </c>
      <c r="B14" s="258">
        <v>855018.29300000006</v>
      </c>
      <c r="C14" s="258">
        <v>57.287999999999997</v>
      </c>
      <c r="D14" s="258">
        <v>1789</v>
      </c>
      <c r="E14" s="256">
        <v>270.88752589738215</v>
      </c>
      <c r="F14" s="256">
        <v>358.74999999999994</v>
      </c>
      <c r="G14" s="257">
        <f>SUM(Vehicles[[#This Row],[2021]:[2025]])</f>
        <v>857494.21852589736</v>
      </c>
      <c r="H14" s="257"/>
      <c r="I14" s="279" t="s">
        <v>51</v>
      </c>
      <c r="J14" s="279">
        <f>Vehicles[[#This Row],[2022]]-Vehicles[[#This Row],[2021]]</f>
        <v>-854961.00500000012</v>
      </c>
      <c r="K14" s="279">
        <f>Vehicles[[#This Row],[2023]]-Vehicles[[#This Row],[2022]]</f>
        <v>1731.712</v>
      </c>
      <c r="L14" s="314">
        <f>Vehicles[[#This Row],[2024]]-Vehicles[[#This Row],[2023]]</f>
        <v>-1518.1124741026179</v>
      </c>
      <c r="M14" s="279">
        <f>Vehicles[[#This Row],[2025]]-Vehicles[[#This Row],[2024]]</f>
        <v>87.862474102617796</v>
      </c>
      <c r="N14" s="258"/>
      <c r="O14" s="280" t="s">
        <v>51</v>
      </c>
      <c r="P14" s="315">
        <f t="shared" si="0"/>
        <v>-0.99993299792475909</v>
      </c>
      <c r="Q14" s="280">
        <f t="shared" si="1"/>
        <v>30.228180421728812</v>
      </c>
      <c r="R14" s="280">
        <f t="shared" si="2"/>
        <v>-0.84858159536199995</v>
      </c>
      <c r="S14" s="280">
        <f t="shared" si="3"/>
        <v>0.32435038790195875</v>
      </c>
    </row>
    <row r="15" spans="1:19">
      <c r="A15" s="278" t="s">
        <v>39</v>
      </c>
      <c r="B15" s="258">
        <v>42.222999999999992</v>
      </c>
      <c r="C15" s="258">
        <v>3421.028939393942</v>
      </c>
      <c r="D15" s="258">
        <v>1056.8499999999999</v>
      </c>
      <c r="E15" s="256">
        <v>5814.2145</v>
      </c>
      <c r="F15" s="256">
        <v>430.35099999999994</v>
      </c>
      <c r="G15" s="257">
        <f>SUM(Vehicles[[#This Row],[2021]:[2025]])</f>
        <v>10764.667439393943</v>
      </c>
      <c r="H15" s="257"/>
      <c r="I15" s="279" t="s">
        <v>51</v>
      </c>
      <c r="J15" s="279">
        <f>Vehicles[[#This Row],[2022]]-Vehicles[[#This Row],[2021]]</f>
        <v>3378.805939393942</v>
      </c>
      <c r="K15" s="279">
        <f>Vehicles[[#This Row],[2023]]-Vehicles[[#This Row],[2022]]</f>
        <v>-2364.1789393939421</v>
      </c>
      <c r="L15" s="314">
        <f>Vehicles[[#This Row],[2024]]-Vehicles[[#This Row],[2023]]</f>
        <v>4757.3644999999997</v>
      </c>
      <c r="M15" s="279">
        <f>Vehicles[[#This Row],[2025]]-Vehicles[[#This Row],[2024]]</f>
        <v>-5383.8635000000004</v>
      </c>
      <c r="N15" s="258"/>
      <c r="O15" s="280" t="s">
        <v>51</v>
      </c>
      <c r="P15" s="315">
        <f t="shared" si="0"/>
        <v>80.022877090541712</v>
      </c>
      <c r="Q15" s="280">
        <f t="shared" si="1"/>
        <v>-0.69107247593549215</v>
      </c>
      <c r="R15" s="280">
        <f t="shared" si="2"/>
        <v>4.5014566873255433</v>
      </c>
      <c r="S15" s="280">
        <f t="shared" si="3"/>
        <v>-0.92598295092140137</v>
      </c>
    </row>
    <row r="16" spans="1:19">
      <c r="A16" s="278" t="s">
        <v>41</v>
      </c>
      <c r="B16" s="258">
        <v>6120</v>
      </c>
      <c r="C16" s="258">
        <v>1350</v>
      </c>
      <c r="D16" s="258">
        <v>0</v>
      </c>
      <c r="E16" s="256">
        <v>124.892</v>
      </c>
      <c r="F16" s="256">
        <v>522</v>
      </c>
      <c r="G16" s="257">
        <f>SUM(Vehicles[[#This Row],[2021]:[2025]])</f>
        <v>8116.8919999999998</v>
      </c>
      <c r="H16" s="257"/>
      <c r="I16" s="279" t="s">
        <v>51</v>
      </c>
      <c r="J16" s="279">
        <f>Vehicles[[#This Row],[2022]]-Vehicles[[#This Row],[2021]]</f>
        <v>-4770</v>
      </c>
      <c r="K16" s="279">
        <f>Vehicles[[#This Row],[2023]]-Vehicles[[#This Row],[2022]]</f>
        <v>-1350</v>
      </c>
      <c r="L16" s="314">
        <f>Vehicles[[#This Row],[2024]]-Vehicles[[#This Row],[2023]]</f>
        <v>124.892</v>
      </c>
      <c r="M16" s="279">
        <f>Vehicles[[#This Row],[2025]]-Vehicles[[#This Row],[2024]]</f>
        <v>397.108</v>
      </c>
      <c r="N16" s="258"/>
      <c r="O16" s="280" t="s">
        <v>51</v>
      </c>
      <c r="P16" s="315">
        <f t="shared" si="0"/>
        <v>-0.77941176470588236</v>
      </c>
      <c r="Q16" s="280">
        <f t="shared" si="1"/>
        <v>-1</v>
      </c>
      <c r="R16" s="280" t="str">
        <f t="shared" si="2"/>
        <v>-</v>
      </c>
      <c r="S16" s="280">
        <f t="shared" si="3"/>
        <v>3.1796111840630306</v>
      </c>
    </row>
    <row r="17" spans="1:19">
      <c r="A17" s="278" t="s">
        <v>70</v>
      </c>
      <c r="B17" s="277">
        <v>0</v>
      </c>
      <c r="C17" s="258">
        <v>0</v>
      </c>
      <c r="D17" s="258">
        <v>0</v>
      </c>
      <c r="E17" s="256">
        <v>0</v>
      </c>
      <c r="F17" s="256" cm="1">
        <f t="array" aca="1" ref="F17" ca="1">A14:F161</f>
        <v>0</v>
      </c>
      <c r="G17" s="257">
        <f ca="1">SUM(Vehicles[[#This Row],[2021]:[2025]])</f>
        <v>0</v>
      </c>
      <c r="H17" s="257"/>
      <c r="I17" s="279" t="s">
        <v>51</v>
      </c>
      <c r="J17" s="279">
        <f>Vehicles[[#This Row],[2022]]-Vehicles[[#This Row],[2021]]</f>
        <v>0</v>
      </c>
      <c r="K17" s="279">
        <f>Vehicles[[#This Row],[2023]]-Vehicles[[#This Row],[2022]]</f>
        <v>0</v>
      </c>
      <c r="L17" s="314">
        <f>Vehicles[[#This Row],[2024]]-Vehicles[[#This Row],[2023]]</f>
        <v>0</v>
      </c>
      <c r="M17" s="279">
        <f ca="1">Vehicles[[#This Row],[2025]]-Vehicles[[#This Row],[2024]]</f>
        <v>-189.8583906349204</v>
      </c>
      <c r="N17" s="258"/>
      <c r="O17" s="280" t="s">
        <v>51</v>
      </c>
      <c r="P17" s="315" t="str">
        <f t="shared" si="0"/>
        <v>-</v>
      </c>
      <c r="Q17" s="280" t="str">
        <f t="shared" si="1"/>
        <v>-</v>
      </c>
      <c r="R17" s="280" t="str">
        <f t="shared" si="2"/>
        <v>-</v>
      </c>
      <c r="S17" s="280">
        <f t="shared" ca="1" si="3"/>
        <v>-0.21284073752416421</v>
      </c>
    </row>
    <row r="18" spans="1:19">
      <c r="A18" s="278" t="s">
        <v>71</v>
      </c>
      <c r="B18" s="277">
        <v>0</v>
      </c>
      <c r="C18" s="258">
        <v>0</v>
      </c>
      <c r="D18" s="258">
        <v>0</v>
      </c>
      <c r="E18" s="256">
        <v>10</v>
      </c>
      <c r="F18" s="256" cm="1">
        <f t="array" aca="1" ref="F18" ca="1">A16:F162</f>
        <v>0</v>
      </c>
      <c r="G18" s="257">
        <f ca="1">SUM(Vehicles[[#This Row],[2021]:[2025]])</f>
        <v>0</v>
      </c>
      <c r="H18" s="257"/>
      <c r="I18" s="279" t="s">
        <v>51</v>
      </c>
      <c r="J18" s="279">
        <f>Vehicles[[#This Row],[2022]]-Vehicles[[#This Row],[2021]]</f>
        <v>0</v>
      </c>
      <c r="K18" s="279">
        <f>Vehicles[[#This Row],[2023]]-Vehicles[[#This Row],[2022]]</f>
        <v>0</v>
      </c>
      <c r="L18" s="314">
        <f>Vehicles[[#This Row],[2024]]-Vehicles[[#This Row],[2023]]</f>
        <v>10</v>
      </c>
      <c r="M18" s="279">
        <f ca="1">Vehicles[[#This Row],[2025]]-Vehicles[[#This Row],[2024]]</f>
        <v>87.862474102617796</v>
      </c>
      <c r="N18" s="258"/>
      <c r="O18" s="280" t="s">
        <v>51</v>
      </c>
      <c r="P18" s="315" t="str">
        <f>IFERROR(J18/B19,"-")</f>
        <v>-</v>
      </c>
      <c r="Q18" s="280" t="str">
        <f>IFERROR(K18/C19,"-")</f>
        <v>-</v>
      </c>
      <c r="R18" s="280" t="str">
        <f>IFERROR(L18/D19,"-")</f>
        <v>-</v>
      </c>
      <c r="S18" s="280" t="str">
        <f ca="1">IFERROR(M18/E19,"-")</f>
        <v>-</v>
      </c>
    </row>
  </sheetData>
  <mergeCells count="2">
    <mergeCell ref="I1:M1"/>
    <mergeCell ref="O1:S1"/>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214" r:id="rId3" name="Button 94">
              <controlPr defaultSize="0" print="0" autoFill="0" autoPict="0" macro="[0]!Sheet2.Go_Malaysia">
                <anchor moveWithCells="1" sizeWithCells="1">
                  <from>
                    <xdr:col>10</xdr:col>
                    <xdr:colOff>850900</xdr:colOff>
                    <xdr:row>20</xdr:row>
                    <xdr:rowOff>95250</xdr:rowOff>
                  </from>
                  <to>
                    <xdr:col>14</xdr:col>
                    <xdr:colOff>215900</xdr:colOff>
                    <xdr:row>24</xdr:row>
                    <xdr:rowOff>177800</xdr:rowOff>
                  </to>
                </anchor>
              </controlPr>
            </control>
          </mc:Choice>
        </mc:AlternateContent>
        <mc:AlternateContent xmlns:mc="http://schemas.openxmlformats.org/markup-compatibility/2006">
          <mc:Choice Requires="x14">
            <control shapeId="5667" r:id="rId4" name="Button 547">
              <controlPr defaultSize="0" print="0" autoFill="0" autoPict="0" macro="[0]!Sheet2.Go_Dashboard">
                <anchor moveWithCells="1" sizeWithCells="1">
                  <from>
                    <xdr:col>10</xdr:col>
                    <xdr:colOff>863600</xdr:colOff>
                    <xdr:row>25</xdr:row>
                    <xdr:rowOff>95250</xdr:rowOff>
                  </from>
                  <to>
                    <xdr:col>14</xdr:col>
                    <xdr:colOff>260350</xdr:colOff>
                    <xdr:row>29</xdr:row>
                    <xdr:rowOff>0</xdr:rowOff>
                  </to>
                </anchor>
              </controlPr>
            </control>
          </mc:Choice>
        </mc:AlternateContent>
      </controls>
    </mc:Choice>
  </mc:AlternateContent>
  <tableParts count="1">
    <tablePart r:id="rId5"/>
  </tablePart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49A07-0214-4A65-B2B5-02E480DD9636}">
  <sheetPr codeName="Sheet10"/>
  <dimension ref="A1:S18"/>
  <sheetViews>
    <sheetView zoomScale="65" workbookViewId="0">
      <selection activeCell="C14" sqref="C14"/>
    </sheetView>
  </sheetViews>
  <sheetFormatPr defaultColWidth="8.7265625" defaultRowHeight="14.5"/>
  <cols>
    <col min="1" max="1" width="18.26953125" style="236" bestFit="1" customWidth="1"/>
    <col min="2" max="2" width="11.81640625" style="236" bestFit="1" customWidth="1"/>
    <col min="3" max="3" width="14.1796875" style="236" bestFit="1" customWidth="1"/>
    <col min="4" max="4" width="13.1796875" style="236" bestFit="1" customWidth="1"/>
    <col min="5" max="6" width="14.453125" style="236" bestFit="1" customWidth="1"/>
    <col min="7" max="7" width="14.1796875" style="236" bestFit="1" customWidth="1"/>
    <col min="8" max="8" width="14.1796875" style="236" customWidth="1"/>
    <col min="9" max="11" width="4.81640625" style="236" bestFit="1" customWidth="1"/>
    <col min="12" max="12" width="14.1796875" style="236" bestFit="1" customWidth="1"/>
    <col min="13" max="13" width="13.1796875" style="236" bestFit="1" customWidth="1"/>
    <col min="14" max="14" width="13.1796875" style="236" customWidth="1"/>
    <col min="15" max="17" width="4.81640625" style="236" bestFit="1" customWidth="1"/>
    <col min="18" max="19" width="7.1796875" style="236" bestFit="1" customWidth="1"/>
    <col min="20" max="16384" width="8.7265625" style="236"/>
  </cols>
  <sheetData>
    <row r="1" spans="1:19">
      <c r="I1" s="345" t="s">
        <v>44</v>
      </c>
      <c r="J1" s="345"/>
      <c r="K1" s="345"/>
      <c r="L1" s="345"/>
      <c r="M1" s="345"/>
      <c r="O1" s="345" t="s">
        <v>73</v>
      </c>
      <c r="P1" s="345"/>
      <c r="Q1" s="345"/>
      <c r="R1" s="345"/>
      <c r="S1" s="345"/>
    </row>
    <row r="2" spans="1:19">
      <c r="A2" s="276" t="s">
        <v>18</v>
      </c>
      <c r="B2" s="276" t="s">
        <v>97</v>
      </c>
      <c r="C2" s="276" t="s">
        <v>46</v>
      </c>
      <c r="D2" s="276" t="s">
        <v>47</v>
      </c>
      <c r="E2" s="276" t="s">
        <v>48</v>
      </c>
      <c r="F2" s="276" t="s">
        <v>49</v>
      </c>
      <c r="G2" s="276" t="s">
        <v>107</v>
      </c>
      <c r="H2" s="316"/>
      <c r="I2" s="313">
        <v>2021</v>
      </c>
      <c r="J2" s="313" t="s">
        <v>46</v>
      </c>
      <c r="K2" s="313" t="s">
        <v>47</v>
      </c>
      <c r="L2" s="313" t="s">
        <v>48</v>
      </c>
      <c r="M2" s="313" t="s">
        <v>49</v>
      </c>
      <c r="N2" s="316"/>
      <c r="O2" s="318" t="s">
        <v>97</v>
      </c>
      <c r="P2" s="313" t="s">
        <v>46</v>
      </c>
      <c r="Q2" s="313" t="s">
        <v>47</v>
      </c>
      <c r="R2" s="313" t="s">
        <v>48</v>
      </c>
      <c r="S2" s="313" t="s">
        <v>49</v>
      </c>
    </row>
    <row r="3" spans="1:19">
      <c r="A3" s="265" t="s">
        <v>27</v>
      </c>
      <c r="B3" s="266" t="s">
        <v>53</v>
      </c>
      <c r="C3" s="266" t="s">
        <v>129</v>
      </c>
      <c r="D3" s="266" t="s">
        <v>130</v>
      </c>
      <c r="E3" s="267" t="s">
        <v>131</v>
      </c>
      <c r="F3" s="267" t="s">
        <v>132</v>
      </c>
      <c r="G3" s="268">
        <f>SUM(Infrastructure!$C3:$F3)</f>
        <v>0</v>
      </c>
      <c r="H3" s="319"/>
      <c r="I3" s="279" t="s">
        <v>51</v>
      </c>
      <c r="J3" s="279" t="str">
        <f>IF(OR(Infrastructure[[#This Row],[State]]="n.a",Infrastructure[[#This Row],[2021]]="n.a"),"-",Infrastructure[[#This Row],[2021]]-Infrastructure[[#This Row],[State]])</f>
        <v>-</v>
      </c>
      <c r="K3" s="279" t="str">
        <f>IF(OR(Infrastructure[[#This Row],[2021]]="n.a",Infrastructure[[#This Row],[2022]]="n.a"),"-",Infrastructure[[#This Row],[2022]]-Infrastructure[[#This Row],[2021]])</f>
        <v>-</v>
      </c>
      <c r="L3" s="279">
        <f>IF(OR(Infrastructure[[#This Row],[2022]]="n.a",Infrastructure[[#This Row],[2023]]="n.a"),"-",Infrastructure[[#This Row],[2023]]-Infrastructure[[#This Row],[2022]])</f>
        <v>33606</v>
      </c>
      <c r="M3" s="279">
        <f>IF(OR(Infrastructure[[#This Row],[2023]]="n.a",Infrastructure[[#This Row],[2024]]="n.a"),"-",Infrastructure[[#This Row],[2024]]-Infrastructure[[#This Row],[2023]])</f>
        <v>-42097</v>
      </c>
      <c r="N3" s="258"/>
      <c r="O3" s="280" t="s">
        <v>51</v>
      </c>
      <c r="P3" s="280" t="str">
        <f t="shared" ref="P3:P14" si="0">IFERROR(J3/B6,"-")</f>
        <v>-</v>
      </c>
      <c r="Q3" s="280" t="str">
        <f t="shared" ref="Q3:Q14" si="1">IFERROR(K3/C6,"-")</f>
        <v>-</v>
      </c>
      <c r="R3" s="280">
        <f t="shared" ref="R3:R14" si="2">IFERROR(L3/D6,"-")</f>
        <v>6.7211999999999996</v>
      </c>
      <c r="S3" s="280">
        <f t="shared" ref="S3:S14" si="3">IFERROR(M3/E6,"-")</f>
        <v>-5.8075032771275943</v>
      </c>
    </row>
    <row r="4" spans="1:19">
      <c r="A4" s="269" t="s">
        <v>28</v>
      </c>
      <c r="B4" s="266" t="s">
        <v>53</v>
      </c>
      <c r="C4" s="270">
        <v>24309.590990000001</v>
      </c>
      <c r="D4" s="270">
        <v>20746.419099999999</v>
      </c>
      <c r="E4" s="271">
        <v>15052.90372</v>
      </c>
      <c r="F4" s="271">
        <v>20113.4192</v>
      </c>
      <c r="G4" s="272">
        <f>SUM(Infrastructure!$C4:$F4)</f>
        <v>80222.333010000002</v>
      </c>
      <c r="H4" s="319"/>
      <c r="I4" s="279" t="s">
        <v>51</v>
      </c>
      <c r="J4" s="279" t="str">
        <f>IF(OR(Infrastructure[[#This Row],[State]]="n.a",Infrastructure[[#This Row],[2021]]="n.a"),"-",Infrastructure[[#This Row],[2021]]-Infrastructure[[#This Row],[State]])</f>
        <v>-</v>
      </c>
      <c r="K4" s="279" t="str">
        <f>IF(OR(Infrastructure[[#This Row],[2021]]="n.a",Infrastructure[[#This Row],[2022]]="n.a"),"-",Infrastructure[[#This Row],[2022]]-Infrastructure[[#This Row],[2021]])</f>
        <v>-</v>
      </c>
      <c r="L4" s="279">
        <f>IF(OR(Infrastructure[[#This Row],[2022]]="n.a",Infrastructure[[#This Row],[2023]]="n.a"),"-",Infrastructure[[#This Row],[2023]]-Infrastructure[[#This Row],[2022]])</f>
        <v>-3563.1718900000014</v>
      </c>
      <c r="M4" s="279">
        <f>IF(OR(Infrastructure[[#This Row],[2023]]="n.a",Infrastructure[[#This Row],[2024]]="n.a"),"-",Infrastructure[[#This Row],[2024]]-Infrastructure[[#This Row],[2023]])</f>
        <v>-5693.5153799999989</v>
      </c>
      <c r="N4" s="258"/>
      <c r="O4" s="280" t="s">
        <v>51</v>
      </c>
      <c r="P4" s="280" t="str">
        <f t="shared" si="0"/>
        <v>-</v>
      </c>
      <c r="Q4" s="280" t="str">
        <f t="shared" si="1"/>
        <v>-</v>
      </c>
      <c r="R4" s="280">
        <f t="shared" si="2"/>
        <v>-0.47008095734736965</v>
      </c>
      <c r="S4" s="280">
        <f t="shared" si="3"/>
        <v>-0.35187512005191429</v>
      </c>
    </row>
    <row r="5" spans="1:19">
      <c r="A5" s="273" t="s">
        <v>29</v>
      </c>
      <c r="B5" s="266" t="s">
        <v>53</v>
      </c>
      <c r="C5" s="274">
        <v>61954.260340000001</v>
      </c>
      <c r="D5" s="274">
        <v>51458.661260000001</v>
      </c>
      <c r="E5" s="275">
        <v>48088.788849999997</v>
      </c>
      <c r="F5" s="275">
        <v>67139.93187</v>
      </c>
      <c r="G5" s="272">
        <f>SUM(Infrastructure!$C5:$F5)</f>
        <v>228641.64232000001</v>
      </c>
      <c r="H5" s="319"/>
      <c r="I5" s="279" t="s">
        <v>51</v>
      </c>
      <c r="J5" s="279" t="str">
        <f>IF(OR(Infrastructure[[#This Row],[State]]="n.a",Infrastructure[[#This Row],[2021]]="n.a"),"-",Infrastructure[[#This Row],[2021]]-Infrastructure[[#This Row],[State]])</f>
        <v>-</v>
      </c>
      <c r="K5" s="279" t="str">
        <f>IF(OR(Infrastructure[[#This Row],[2021]]="n.a",Infrastructure[[#This Row],[2022]]="n.a"),"-",Infrastructure[[#This Row],[2022]]-Infrastructure[[#This Row],[2021]])</f>
        <v>-</v>
      </c>
      <c r="L5" s="279">
        <f>IF(OR(Infrastructure[[#This Row],[2022]]="n.a",Infrastructure[[#This Row],[2023]]="n.a"),"-",Infrastructure[[#This Row],[2023]]-Infrastructure[[#This Row],[2022]])</f>
        <v>-10495.59908</v>
      </c>
      <c r="M5" s="279">
        <f>IF(OR(Infrastructure[[#This Row],[2023]]="n.a",Infrastructure[[#This Row],[2024]]="n.a"),"-",Infrastructure[[#This Row],[2024]]-Infrastructure[[#This Row],[2023]])</f>
        <v>-3369.8724100000036</v>
      </c>
      <c r="N5" s="258"/>
      <c r="O5" s="280" t="s">
        <v>51</v>
      </c>
      <c r="P5" s="280" t="str">
        <f t="shared" si="0"/>
        <v>-</v>
      </c>
      <c r="Q5" s="280" t="str">
        <f t="shared" si="1"/>
        <v>-</v>
      </c>
      <c r="R5" s="280">
        <f t="shared" si="2"/>
        <v>-0.16548272602620212</v>
      </c>
      <c r="S5" s="280">
        <f t="shared" si="3"/>
        <v>-0.20776085931157234</v>
      </c>
    </row>
    <row r="6" spans="1:19">
      <c r="A6" s="269" t="s">
        <v>30</v>
      </c>
      <c r="B6" s="266" t="s">
        <v>53</v>
      </c>
      <c r="C6" s="270">
        <v>16650.5429</v>
      </c>
      <c r="D6" s="270">
        <v>5000</v>
      </c>
      <c r="E6" s="271">
        <v>7248.7260000000006</v>
      </c>
      <c r="F6" s="271">
        <v>12900.816999999999</v>
      </c>
      <c r="G6" s="272">
        <f>SUM(Infrastructure!$C6:$F6)</f>
        <v>41800.085900000005</v>
      </c>
      <c r="H6" s="319"/>
      <c r="I6" s="279" t="s">
        <v>51</v>
      </c>
      <c r="J6" s="279" t="str">
        <f>IF(OR(Infrastructure[[#This Row],[State]]="n.a",Infrastructure[[#This Row],[2021]]="n.a"),"-",Infrastructure[[#This Row],[2021]]-Infrastructure[[#This Row],[State]])</f>
        <v>-</v>
      </c>
      <c r="K6" s="279" t="str">
        <f>IF(OR(Infrastructure[[#This Row],[2021]]="n.a",Infrastructure[[#This Row],[2022]]="n.a"),"-",Infrastructure[[#This Row],[2022]]-Infrastructure[[#This Row],[2021]])</f>
        <v>-</v>
      </c>
      <c r="L6" s="279">
        <f>IF(OR(Infrastructure[[#This Row],[2022]]="n.a",Infrastructure[[#This Row],[2023]]="n.a"),"-",Infrastructure[[#This Row],[2023]]-Infrastructure[[#This Row],[2022]])</f>
        <v>-11650.5429</v>
      </c>
      <c r="M6" s="279">
        <f>IF(OR(Infrastructure[[#This Row],[2023]]="n.a",Infrastructure[[#This Row],[2024]]="n.a"),"-",Infrastructure[[#This Row],[2024]]-Infrastructure[[#This Row],[2023]])</f>
        <v>2248.7260000000006</v>
      </c>
      <c r="N6" s="258"/>
      <c r="O6" s="280" t="s">
        <v>51</v>
      </c>
      <c r="P6" s="280" t="str">
        <f t="shared" si="0"/>
        <v>-</v>
      </c>
      <c r="Q6" s="280" t="str">
        <f t="shared" si="1"/>
        <v>-</v>
      </c>
      <c r="R6" s="280">
        <f t="shared" si="2"/>
        <v>-1.432937107746826</v>
      </c>
      <c r="S6" s="280">
        <f t="shared" si="3"/>
        <v>0.29352935432167571</v>
      </c>
    </row>
    <row r="7" spans="1:19">
      <c r="A7" s="273" t="s">
        <v>31</v>
      </c>
      <c r="B7" s="266" t="s">
        <v>53</v>
      </c>
      <c r="C7" s="274">
        <v>35538.841050000003</v>
      </c>
      <c r="D7" s="274">
        <v>7579.9111499999999</v>
      </c>
      <c r="E7" s="275">
        <v>16180.5</v>
      </c>
      <c r="F7" s="275">
        <v>12902</v>
      </c>
      <c r="G7" s="272">
        <f>SUM(Infrastructure!$C7:$F7)</f>
        <v>72201.252200000003</v>
      </c>
      <c r="H7" s="319"/>
      <c r="I7" s="279" t="s">
        <v>51</v>
      </c>
      <c r="J7" s="279" t="str">
        <f>IF(OR(Infrastructure[[#This Row],[State]]="n.a",Infrastructure[[#This Row],[2021]]="n.a"),"-",Infrastructure[[#This Row],[2021]]-Infrastructure[[#This Row],[State]])</f>
        <v>-</v>
      </c>
      <c r="K7" s="279" t="str">
        <f>IF(OR(Infrastructure[[#This Row],[2021]]="n.a",Infrastructure[[#This Row],[2022]]="n.a"),"-",Infrastructure[[#This Row],[2022]]-Infrastructure[[#This Row],[2021]])</f>
        <v>-</v>
      </c>
      <c r="L7" s="279">
        <f>IF(OR(Infrastructure[[#This Row],[2022]]="n.a",Infrastructure[[#This Row],[2023]]="n.a"),"-",Infrastructure[[#This Row],[2023]]-Infrastructure[[#This Row],[2022]])</f>
        <v>-27958.929900000003</v>
      </c>
      <c r="M7" s="279">
        <f>IF(OR(Infrastructure[[#This Row],[2023]]="n.a",Infrastructure[[#This Row],[2024]]="n.a"),"-",Infrastructure[[#This Row],[2024]]-Infrastructure[[#This Row],[2023]])</f>
        <v>8600.5888500000001</v>
      </c>
      <c r="N7" s="258"/>
      <c r="O7" s="280" t="s">
        <v>51</v>
      </c>
      <c r="P7" s="280" t="str">
        <f t="shared" si="0"/>
        <v>-</v>
      </c>
      <c r="Q7" s="280" t="str">
        <f t="shared" si="1"/>
        <v>-</v>
      </c>
      <c r="R7" s="280">
        <f t="shared" si="2"/>
        <v>-0.61626871150952489</v>
      </c>
      <c r="S7" s="280">
        <f t="shared" si="3"/>
        <v>0.19817909303424419</v>
      </c>
    </row>
    <row r="8" spans="1:19">
      <c r="A8" s="269" t="s">
        <v>32</v>
      </c>
      <c r="B8" s="266" t="s">
        <v>53</v>
      </c>
      <c r="C8" s="270">
        <v>176064.81195</v>
      </c>
      <c r="D8" s="270">
        <v>63424.136960000003</v>
      </c>
      <c r="E8" s="271">
        <v>16219.957989999999</v>
      </c>
      <c r="F8" s="271">
        <v>19045.54349</v>
      </c>
      <c r="G8" s="272">
        <f>SUM(Infrastructure!$C8:$F8)</f>
        <v>274754.45039000001</v>
      </c>
      <c r="H8" s="319"/>
      <c r="I8" s="279" t="s">
        <v>51</v>
      </c>
      <c r="J8" s="279" t="str">
        <f>IF(OR(Infrastructure[[#This Row],[State]]="n.a",Infrastructure[[#This Row],[2021]]="n.a"),"-",Infrastructure[[#This Row],[2021]]-Infrastructure[[#This Row],[State]])</f>
        <v>-</v>
      </c>
      <c r="K8" s="279" t="str">
        <f>IF(OR(Infrastructure[[#This Row],[2021]]="n.a",Infrastructure[[#This Row],[2022]]="n.a"),"-",Infrastructure[[#This Row],[2022]]-Infrastructure[[#This Row],[2021]])</f>
        <v>-</v>
      </c>
      <c r="L8" s="279">
        <f>IF(OR(Infrastructure[[#This Row],[2022]]="n.a",Infrastructure[[#This Row],[2023]]="n.a"),"-",Infrastructure[[#This Row],[2023]]-Infrastructure[[#This Row],[2022]])</f>
        <v>-112640.67499</v>
      </c>
      <c r="M8" s="279">
        <f>IF(OR(Infrastructure[[#This Row],[2023]]="n.a",Infrastructure[[#This Row],[2024]]="n.a"),"-",Infrastructure[[#This Row],[2024]]-Infrastructure[[#This Row],[2023]])</f>
        <v>-47204.178970000008</v>
      </c>
      <c r="N8" s="258"/>
      <c r="O8" s="280" t="s">
        <v>51</v>
      </c>
      <c r="P8" s="280" t="str">
        <f t="shared" si="0"/>
        <v>-</v>
      </c>
      <c r="Q8" s="280" t="str">
        <f t="shared" si="1"/>
        <v>-</v>
      </c>
      <c r="R8" s="280">
        <f t="shared" si="2"/>
        <v>-24.149064755247633</v>
      </c>
      <c r="S8" s="280">
        <f t="shared" si="3"/>
        <v>-11.836388999007296</v>
      </c>
    </row>
    <row r="9" spans="1:19">
      <c r="A9" s="273" t="s">
        <v>35</v>
      </c>
      <c r="B9" s="266" t="s">
        <v>53</v>
      </c>
      <c r="C9" s="274">
        <v>12499.627899999999</v>
      </c>
      <c r="D9" s="274">
        <v>8130.5333200000005</v>
      </c>
      <c r="E9" s="275">
        <v>7660.9918799999996</v>
      </c>
      <c r="F9" s="275">
        <v>8741.9670600000009</v>
      </c>
      <c r="G9" s="272">
        <f>SUM(Infrastructure!$C9:$F9)</f>
        <v>37033.120160000006</v>
      </c>
      <c r="H9" s="319"/>
      <c r="I9" s="279" t="s">
        <v>51</v>
      </c>
      <c r="J9" s="279" t="str">
        <f>IF(OR(Infrastructure[[#This Row],[State]]="n.a",Infrastructure[[#This Row],[2021]]="n.a"),"-",Infrastructure[[#This Row],[2021]]-Infrastructure[[#This Row],[State]])</f>
        <v>-</v>
      </c>
      <c r="K9" s="279" t="str">
        <f>IF(OR(Infrastructure[[#This Row],[2021]]="n.a",Infrastructure[[#This Row],[2022]]="n.a"),"-",Infrastructure[[#This Row],[2022]]-Infrastructure[[#This Row],[2021]])</f>
        <v>-</v>
      </c>
      <c r="L9" s="279">
        <f>IF(OR(Infrastructure[[#This Row],[2022]]="n.a",Infrastructure[[#This Row],[2023]]="n.a"),"-",Infrastructure[[#This Row],[2023]]-Infrastructure[[#This Row],[2022]])</f>
        <v>-4369.094579999999</v>
      </c>
      <c r="M9" s="279">
        <f>IF(OR(Infrastructure[[#This Row],[2023]]="n.a",Infrastructure[[#This Row],[2024]]="n.a"),"-",Infrastructure[[#This Row],[2024]]-Infrastructure[[#This Row],[2023]])</f>
        <v>-469.54144000000088</v>
      </c>
      <c r="N9" s="258"/>
      <c r="O9" s="280" t="s">
        <v>51</v>
      </c>
      <c r="P9" s="280" t="str">
        <f t="shared" si="0"/>
        <v>-</v>
      </c>
      <c r="Q9" s="280" t="str">
        <f t="shared" si="1"/>
        <v>-</v>
      </c>
      <c r="R9" s="280">
        <f t="shared" si="2"/>
        <v>-0.54908811621584841</v>
      </c>
      <c r="S9" s="280">
        <f t="shared" si="3"/>
        <v>-3.4054820455604859E-2</v>
      </c>
    </row>
    <row r="10" spans="1:19">
      <c r="A10" s="269" t="s">
        <v>33</v>
      </c>
      <c r="B10" s="266" t="s">
        <v>53</v>
      </c>
      <c r="C10" s="270">
        <v>30358.846310000001</v>
      </c>
      <c r="D10" s="270">
        <v>45368.082750000001</v>
      </c>
      <c r="E10" s="271">
        <v>43398.063429999995</v>
      </c>
      <c r="F10" s="271">
        <v>15377.634000000002</v>
      </c>
      <c r="G10" s="272">
        <f>SUM(Infrastructure!$C10:$F10)</f>
        <v>134502.62649</v>
      </c>
      <c r="H10" s="319"/>
      <c r="I10" s="279" t="s">
        <v>51</v>
      </c>
      <c r="J10" s="279" t="str">
        <f>IF(OR(Infrastructure[[#This Row],[State]]="n.a",Infrastructure[[#This Row],[2021]]="n.a"),"-",Infrastructure[[#This Row],[2021]]-Infrastructure[[#This Row],[State]])</f>
        <v>-</v>
      </c>
      <c r="K10" s="279" t="str">
        <f>IF(OR(Infrastructure[[#This Row],[2021]]="n.a",Infrastructure[[#This Row],[2022]]="n.a"),"-",Infrastructure[[#This Row],[2022]]-Infrastructure[[#This Row],[2021]])</f>
        <v>-</v>
      </c>
      <c r="L10" s="279">
        <f>IF(OR(Infrastructure[[#This Row],[2022]]="n.a",Infrastructure[[#This Row],[2023]]="n.a"),"-",Infrastructure[[#This Row],[2023]]-Infrastructure[[#This Row],[2022]])</f>
        <v>15009.236440000001</v>
      </c>
      <c r="M10" s="279">
        <f>IF(OR(Infrastructure[[#This Row],[2023]]="n.a",Infrastructure[[#This Row],[2024]]="n.a"),"-",Infrastructure[[#This Row],[2024]]-Infrastructure[[#This Row],[2023]])</f>
        <v>-1970.0193200000067</v>
      </c>
      <c r="N10" s="258"/>
      <c r="O10" s="280" t="s">
        <v>51</v>
      </c>
      <c r="P10" s="280" t="str">
        <f t="shared" si="0"/>
        <v>-</v>
      </c>
      <c r="Q10" s="280" t="str">
        <f t="shared" si="1"/>
        <v>-</v>
      </c>
      <c r="R10" s="280">
        <f t="shared" si="2"/>
        <v>0.45883768057277968</v>
      </c>
      <c r="S10" s="280">
        <f t="shared" si="3"/>
        <v>-3.9515144250855047E-2</v>
      </c>
    </row>
    <row r="11" spans="1:19">
      <c r="A11" s="273" t="s">
        <v>34</v>
      </c>
      <c r="B11" s="266" t="s">
        <v>53</v>
      </c>
      <c r="C11" s="274">
        <v>3584.8620500000006</v>
      </c>
      <c r="D11" s="274">
        <v>4664.3907799999997</v>
      </c>
      <c r="E11" s="275">
        <v>3988.05573</v>
      </c>
      <c r="F11" s="275">
        <v>22995.032889999999</v>
      </c>
      <c r="G11" s="272">
        <f>SUM(Infrastructure!$C11:$F11)</f>
        <v>35232.34145</v>
      </c>
      <c r="H11" s="319"/>
      <c r="I11" s="279" t="s">
        <v>51</v>
      </c>
      <c r="J11" s="279" t="str">
        <f>IF(OR(Infrastructure[[#This Row],[State]]="n.a",Infrastructure[[#This Row],[2021]]="n.a"),"-",Infrastructure[[#This Row],[2021]]-Infrastructure[[#This Row],[State]])</f>
        <v>-</v>
      </c>
      <c r="K11" s="279" t="str">
        <f>IF(OR(Infrastructure[[#This Row],[2021]]="n.a",Infrastructure[[#This Row],[2022]]="n.a"),"-",Infrastructure[[#This Row],[2022]]-Infrastructure[[#This Row],[2021]])</f>
        <v>-</v>
      </c>
      <c r="L11" s="279">
        <f>IF(OR(Infrastructure[[#This Row],[2022]]="n.a",Infrastructure[[#This Row],[2023]]="n.a"),"-",Infrastructure[[#This Row],[2023]]-Infrastructure[[#This Row],[2022]])</f>
        <v>1079.5287299999991</v>
      </c>
      <c r="M11" s="279">
        <f>IF(OR(Infrastructure[[#This Row],[2023]]="n.a",Infrastructure[[#This Row],[2024]]="n.a"),"-",Infrastructure[[#This Row],[2024]]-Infrastructure[[#This Row],[2023]])</f>
        <v>-676.33504999999968</v>
      </c>
      <c r="N11" s="258"/>
      <c r="O11" s="280" t="s">
        <v>51</v>
      </c>
      <c r="P11" s="280" t="str">
        <f t="shared" si="0"/>
        <v>-</v>
      </c>
      <c r="Q11" s="280" t="str">
        <f t="shared" si="1"/>
        <v>-</v>
      </c>
      <c r="R11" s="280">
        <f t="shared" si="2"/>
        <v>8.4106392435838576E-2</v>
      </c>
      <c r="S11" s="280">
        <f t="shared" si="3"/>
        <v>-3.9986992006345846E-2</v>
      </c>
    </row>
    <row r="12" spans="1:19">
      <c r="A12" s="269" t="s">
        <v>38</v>
      </c>
      <c r="B12" s="266" t="s">
        <v>53</v>
      </c>
      <c r="C12" s="270">
        <v>88778.224500000011</v>
      </c>
      <c r="D12" s="270">
        <v>7957.0007999999998</v>
      </c>
      <c r="E12" s="271">
        <v>13787.81135</v>
      </c>
      <c r="F12" s="271">
        <v>26585.289000000001</v>
      </c>
      <c r="G12" s="272">
        <f>SUM(Infrastructure!$C12:$F12)</f>
        <v>137108.32565000001</v>
      </c>
      <c r="H12" s="319"/>
      <c r="I12" s="279" t="s">
        <v>51</v>
      </c>
      <c r="J12" s="279" t="str">
        <f>IF(OR(Infrastructure[[#This Row],[State]]="n.a",Infrastructure[[#This Row],[2021]]="n.a"),"-",Infrastructure[[#This Row],[2021]]-Infrastructure[[#This Row],[State]])</f>
        <v>-</v>
      </c>
      <c r="K12" s="279" t="str">
        <f>IF(OR(Infrastructure[[#This Row],[2021]]="n.a",Infrastructure[[#This Row],[2022]]="n.a"),"-",Infrastructure[[#This Row],[2022]]-Infrastructure[[#This Row],[2021]])</f>
        <v>-</v>
      </c>
      <c r="L12" s="279">
        <f>IF(OR(Infrastructure[[#This Row],[2022]]="n.a",Infrastructure[[#This Row],[2023]]="n.a"),"-",Infrastructure[[#This Row],[2023]]-Infrastructure[[#This Row],[2022]])</f>
        <v>-80821.223700000017</v>
      </c>
      <c r="M12" s="279">
        <f>IF(OR(Infrastructure[[#This Row],[2023]]="n.a",Infrastructure[[#This Row],[2024]]="n.a"),"-",Infrastructure[[#This Row],[2024]]-Infrastructure[[#This Row],[2023]])</f>
        <v>5830.8105500000001</v>
      </c>
      <c r="N12" s="258"/>
      <c r="O12" s="280" t="s">
        <v>51</v>
      </c>
      <c r="P12" s="280" t="str">
        <f t="shared" si="0"/>
        <v>-</v>
      </c>
      <c r="Q12" s="280" t="str">
        <f t="shared" si="1"/>
        <v>-</v>
      </c>
      <c r="R12" s="280">
        <f t="shared" si="2"/>
        <v>-2.7663868407085799</v>
      </c>
      <c r="S12" s="280">
        <f t="shared" si="3"/>
        <v>0.24015077535275209</v>
      </c>
    </row>
    <row r="13" spans="1:19">
      <c r="A13" s="273" t="s">
        <v>39</v>
      </c>
      <c r="B13" s="266" t="s">
        <v>53</v>
      </c>
      <c r="C13" s="274">
        <v>41141.885060000001</v>
      </c>
      <c r="D13" s="274">
        <v>32711.429499999998</v>
      </c>
      <c r="E13" s="275">
        <v>49854.792570000005</v>
      </c>
      <c r="F13" s="275">
        <v>71849.380260000005</v>
      </c>
      <c r="G13" s="272">
        <f>SUM(Infrastructure!$C13:$F13)</f>
        <v>195557.48739000002</v>
      </c>
      <c r="H13" s="319"/>
      <c r="I13" s="279" t="s">
        <v>51</v>
      </c>
      <c r="J13" s="279" t="str">
        <f>IF(OR(Infrastructure[[#This Row],[State]]="n.a",Infrastructure[[#This Row],[2021]]="n.a"),"-",Infrastructure[[#This Row],[2021]]-Infrastructure[[#This Row],[State]])</f>
        <v>-</v>
      </c>
      <c r="K13" s="279" t="str">
        <f>IF(OR(Infrastructure[[#This Row],[2021]]="n.a",Infrastructure[[#This Row],[2022]]="n.a"),"-",Infrastructure[[#This Row],[2022]]-Infrastructure[[#This Row],[2021]])</f>
        <v>-</v>
      </c>
      <c r="L13" s="279">
        <f>IF(OR(Infrastructure[[#This Row],[2022]]="n.a",Infrastructure[[#This Row],[2023]]="n.a"),"-",Infrastructure[[#This Row],[2023]]-Infrastructure[[#This Row],[2022]])</f>
        <v>-8430.4555600000022</v>
      </c>
      <c r="M13" s="279">
        <f>IF(OR(Infrastructure[[#This Row],[2023]]="n.a",Infrastructure[[#This Row],[2024]]="n.a"),"-",Infrastructure[[#This Row],[2024]]-Infrastructure[[#This Row],[2023]])</f>
        <v>17143.363070000007</v>
      </c>
      <c r="N13" s="258"/>
      <c r="O13" s="280" t="s">
        <v>51</v>
      </c>
      <c r="P13" s="280" t="str">
        <f t="shared" si="0"/>
        <v>-</v>
      </c>
      <c r="Q13" s="280" t="str">
        <f t="shared" si="1"/>
        <v>-</v>
      </c>
      <c r="R13" s="280">
        <f t="shared" si="2"/>
        <v>-0.54173097743830989</v>
      </c>
      <c r="S13" s="280">
        <f t="shared" si="3"/>
        <v>2.1536290295115457</v>
      </c>
    </row>
    <row r="14" spans="1:19">
      <c r="A14" s="269" t="s">
        <v>36</v>
      </c>
      <c r="B14" s="266" t="s">
        <v>53</v>
      </c>
      <c r="C14" s="270">
        <v>30776.1777</v>
      </c>
      <c r="D14" s="270">
        <v>12835.27564</v>
      </c>
      <c r="E14" s="271">
        <v>16913.876639999999</v>
      </c>
      <c r="F14" s="271">
        <v>23982.41577</v>
      </c>
      <c r="G14" s="272">
        <f>SUM(Infrastructure!$C14:$F14)</f>
        <v>84507.745750000002</v>
      </c>
      <c r="H14" s="319"/>
      <c r="I14" s="279" t="s">
        <v>51</v>
      </c>
      <c r="J14" s="279" t="str">
        <f>IF(OR(Infrastructure[[#This Row],[State]]="n.a",Infrastructure[[#This Row],[2021]]="n.a"),"-",Infrastructure[[#This Row],[2021]]-Infrastructure[[#This Row],[State]])</f>
        <v>-</v>
      </c>
      <c r="K14" s="279" t="str">
        <f>IF(OR(Infrastructure[[#This Row],[2021]]="n.a",Infrastructure[[#This Row],[2022]]="n.a"),"-",Infrastructure[[#This Row],[2022]]-Infrastructure[[#This Row],[2021]])</f>
        <v>-</v>
      </c>
      <c r="L14" s="279">
        <f>IF(OR(Infrastructure[[#This Row],[2022]]="n.a",Infrastructure[[#This Row],[2023]]="n.a"),"-",Infrastructure[[#This Row],[2023]]-Infrastructure[[#This Row],[2022]])</f>
        <v>-17940.90206</v>
      </c>
      <c r="M14" s="279">
        <f>IF(OR(Infrastructure[[#This Row],[2023]]="n.a",Infrastructure[[#This Row],[2024]]="n.a"),"-",Infrastructure[[#This Row],[2024]]-Infrastructure[[#This Row],[2023]])</f>
        <v>4078.6009999999987</v>
      </c>
      <c r="N14" s="258"/>
      <c r="O14" s="280" t="s">
        <v>51</v>
      </c>
      <c r="P14" s="280" t="str">
        <f t="shared" si="0"/>
        <v>-</v>
      </c>
      <c r="Q14" s="280" t="str">
        <f t="shared" si="1"/>
        <v>-</v>
      </c>
      <c r="R14" s="280" t="str">
        <f t="shared" si="2"/>
        <v>-</v>
      </c>
      <c r="S14" s="280" t="str">
        <f t="shared" si="3"/>
        <v>-</v>
      </c>
    </row>
    <row r="15" spans="1:19">
      <c r="A15" s="273" t="s">
        <v>37</v>
      </c>
      <c r="B15" s="266" t="s">
        <v>53</v>
      </c>
      <c r="C15" s="274">
        <v>31249.750250000005</v>
      </c>
      <c r="D15" s="274">
        <v>29215.445400000001</v>
      </c>
      <c r="E15" s="275">
        <v>24279.790649999999</v>
      </c>
      <c r="F15" s="275">
        <v>25024.90883</v>
      </c>
      <c r="G15" s="272">
        <f>SUM(Infrastructure!$C15:$F15)</f>
        <v>109769.89513</v>
      </c>
      <c r="H15" s="319"/>
      <c r="I15" s="279" t="s">
        <v>51</v>
      </c>
      <c r="J15" s="279" t="str">
        <f>IF(OR(Infrastructure[[#This Row],[State]]="n.a",Infrastructure[[#This Row],[2021]]="n.a"),"-",Infrastructure[[#This Row],[2021]]-Infrastructure[[#This Row],[State]])</f>
        <v>-</v>
      </c>
      <c r="K15" s="279" t="str">
        <f>IF(OR(Infrastructure[[#This Row],[2021]]="n.a",Infrastructure[[#This Row],[2022]]="n.a"),"-",Infrastructure[[#This Row],[2022]]-Infrastructure[[#This Row],[2021]])</f>
        <v>-</v>
      </c>
      <c r="L15" s="279">
        <f>IF(OR(Infrastructure[[#This Row],[2022]]="n.a",Infrastructure[[#This Row],[2023]]="n.a"),"-",Infrastructure[[#This Row],[2023]]-Infrastructure[[#This Row],[2022]])</f>
        <v>-2034.3048500000041</v>
      </c>
      <c r="M15" s="279">
        <f>IF(OR(Infrastructure[[#This Row],[2023]]="n.a",Infrastructure[[#This Row],[2024]]="n.a"),"-",Infrastructure[[#This Row],[2024]]-Infrastructure[[#This Row],[2023]])</f>
        <v>-4935.6547500000015</v>
      </c>
      <c r="N15" s="258"/>
      <c r="O15" s="280" t="s">
        <v>51</v>
      </c>
      <c r="P15" s="280" t="str">
        <f>IFERROR(J15/#REF!,"-")</f>
        <v>-</v>
      </c>
      <c r="Q15" s="280" t="str">
        <f>IFERROR(K15/#REF!,"-")</f>
        <v>-</v>
      </c>
      <c r="R15" s="280" t="str">
        <f>IFERROR(L15/#REF!,"-")</f>
        <v>-</v>
      </c>
      <c r="S15" s="280" t="str">
        <f>IFERROR(M15/#REF!,"-")</f>
        <v>-</v>
      </c>
    </row>
    <row r="16" spans="1:19">
      <c r="A16" s="269" t="s">
        <v>41</v>
      </c>
      <c r="B16" s="266" t="s">
        <v>53</v>
      </c>
      <c r="C16" s="270">
        <v>41731.647060000003</v>
      </c>
      <c r="D16" s="270">
        <v>15562.070309999999</v>
      </c>
      <c r="E16" s="271">
        <v>7960.22102</v>
      </c>
      <c r="F16" s="271">
        <v>20147.615600000001</v>
      </c>
      <c r="G16" s="272">
        <f>SUM(Infrastructure!$C16:$F16)</f>
        <v>85401.55399</v>
      </c>
      <c r="H16" s="319"/>
      <c r="I16" s="279" t="s">
        <v>51</v>
      </c>
      <c r="J16" s="279" t="str">
        <f>IF(OR(Infrastructure[[#This Row],[State]]="n.a",Infrastructure[[#This Row],[2021]]="n.a"),"-",Infrastructure[[#This Row],[2021]]-Infrastructure[[#This Row],[State]])</f>
        <v>-</v>
      </c>
      <c r="K16" s="279" t="str">
        <f>IF(OR(Infrastructure[[#This Row],[2021]]="n.a",Infrastructure[[#This Row],[2022]]="n.a"),"-",Infrastructure[[#This Row],[2022]]-Infrastructure[[#This Row],[2021]])</f>
        <v>-</v>
      </c>
      <c r="L16" s="279">
        <f>IF(OR(Infrastructure[[#This Row],[2022]]="n.a",Infrastructure[[#This Row],[2023]]="n.a"),"-",Infrastructure[[#This Row],[2023]]-Infrastructure[[#This Row],[2022]])</f>
        <v>-26169.576750000004</v>
      </c>
      <c r="M16" s="279">
        <f>IF(OR(Infrastructure[[#This Row],[2023]]="n.a",Infrastructure[[#This Row],[2024]]="n.a"),"-",Infrastructure[[#This Row],[2024]]-Infrastructure[[#This Row],[2023]])</f>
        <v>-7601.8492899999992</v>
      </c>
      <c r="N16" s="258"/>
      <c r="O16" s="280" t="s">
        <v>51</v>
      </c>
      <c r="P16" s="280" t="str">
        <f>IFERROR(J16/#REF!,"-")</f>
        <v>-</v>
      </c>
      <c r="Q16" s="280" t="str">
        <f>IFERROR(K16/#REF!,"-")</f>
        <v>-</v>
      </c>
      <c r="R16" s="280" t="str">
        <f>IFERROR(L16/#REF!,"-")</f>
        <v>-</v>
      </c>
      <c r="S16" s="280" t="str">
        <f>IFERROR(M16/#REF!,"-")</f>
        <v>-</v>
      </c>
    </row>
    <row r="17" spans="1:19">
      <c r="A17" s="273" t="s">
        <v>70</v>
      </c>
      <c r="B17" s="266" t="s">
        <v>53</v>
      </c>
      <c r="C17" s="274">
        <v>0</v>
      </c>
      <c r="D17" s="274">
        <v>0</v>
      </c>
      <c r="E17" s="275">
        <v>0</v>
      </c>
      <c r="F17" s="275">
        <v>0</v>
      </c>
      <c r="G17" s="272">
        <f>SUM(Infrastructure!$C17:$F17)</f>
        <v>0</v>
      </c>
      <c r="H17" s="319"/>
      <c r="I17" s="279" t="s">
        <v>51</v>
      </c>
      <c r="J17" s="279" t="str">
        <f>IF(OR(Infrastructure[[#This Row],[State]]="n.a",Infrastructure[[#This Row],[2021]]="n.a"),"-",Infrastructure[[#This Row],[2021]]-Infrastructure[[#This Row],[State]])</f>
        <v>-</v>
      </c>
      <c r="K17" s="279" t="str">
        <f>IF(OR(Infrastructure[[#This Row],[2021]]="n.a",Infrastructure[[#This Row],[2022]]="n.a"),"-",Infrastructure[[#This Row],[2022]]-Infrastructure[[#This Row],[2021]])</f>
        <v>-</v>
      </c>
      <c r="L17" s="279">
        <f>IF(OR(Infrastructure[[#This Row],[2022]]="n.a",Infrastructure[[#This Row],[2023]]="n.a"),"-",Infrastructure[[#This Row],[2023]]-Infrastructure[[#This Row],[2022]])</f>
        <v>0</v>
      </c>
      <c r="M17" s="279">
        <f>IF(OR(Infrastructure[[#This Row],[2023]]="n.a",Infrastructure[[#This Row],[2024]]="n.a"),"-",Infrastructure[[#This Row],[2024]]-Infrastructure[[#This Row],[2023]])</f>
        <v>0</v>
      </c>
      <c r="N17" s="258"/>
      <c r="O17" s="280" t="s">
        <v>51</v>
      </c>
      <c r="P17" s="280" t="str">
        <f>IFERROR(J17/#REF!,"-")</f>
        <v>-</v>
      </c>
      <c r="Q17" s="280" t="str">
        <f>IFERROR(K17/#REF!,"-")</f>
        <v>-</v>
      </c>
      <c r="R17" s="280" t="str">
        <f>IFERROR(L17/#REF!,"-")</f>
        <v>-</v>
      </c>
      <c r="S17" s="280" t="str">
        <f>IFERROR(M17/#REF!,"-")</f>
        <v>-</v>
      </c>
    </row>
    <row r="18" spans="1:19">
      <c r="A18" s="273" t="s">
        <v>71</v>
      </c>
      <c r="B18" s="266" t="s">
        <v>53</v>
      </c>
      <c r="C18" s="274">
        <v>0</v>
      </c>
      <c r="D18" s="274">
        <v>0</v>
      </c>
      <c r="E18" s="275">
        <v>0</v>
      </c>
      <c r="F18" s="275">
        <v>0</v>
      </c>
      <c r="G18" s="272">
        <f>SUM(Infrastructure!$C18:$F18)</f>
        <v>0</v>
      </c>
      <c r="H18" s="319"/>
      <c r="I18" s="279" t="s">
        <v>51</v>
      </c>
      <c r="J18" s="279" t="str">
        <f>IF(OR(Infrastructure[[#This Row],[State]]="n.a",Infrastructure[[#This Row],[2021]]="n.a"),"-",Infrastructure[[#This Row],[2021]]-Infrastructure[[#This Row],[State]])</f>
        <v>-</v>
      </c>
      <c r="K18" s="279" t="str">
        <f>IF(OR(Infrastructure[[#This Row],[2021]]="n.a",Infrastructure[[#This Row],[2022]]="n.a"),"-",Infrastructure[[#This Row],[2022]]-Infrastructure[[#This Row],[2021]])</f>
        <v>-</v>
      </c>
      <c r="L18" s="279">
        <f>IF(OR(Infrastructure[[#This Row],[2022]]="n.a",Infrastructure[[#This Row],[2023]]="n.a"),"-",Infrastructure[[#This Row],[2023]]-Infrastructure[[#This Row],[2022]])</f>
        <v>0</v>
      </c>
      <c r="M18" s="279">
        <f>IF(OR(Infrastructure[[#This Row],[2023]]="n.a",Infrastructure[[#This Row],[2024]]="n.a"),"-",Infrastructure[[#This Row],[2024]]-Infrastructure[[#This Row],[2023]])</f>
        <v>0</v>
      </c>
      <c r="N18" s="258"/>
      <c r="O18" s="280" t="s">
        <v>51</v>
      </c>
      <c r="P18" s="280" t="str">
        <f>IFERROR(J18/B19,"-")</f>
        <v>-</v>
      </c>
      <c r="Q18" s="280" t="str">
        <f>IFERROR(K18/C19,"-")</f>
        <v>-</v>
      </c>
      <c r="R18" s="280" t="str">
        <f>IFERROR(L18/D19,"-")</f>
        <v>-</v>
      </c>
      <c r="S18" s="280" t="str">
        <f>IFERROR(M18/E19,"-")</f>
        <v>-</v>
      </c>
    </row>
  </sheetData>
  <mergeCells count="2">
    <mergeCell ref="I1:M1"/>
    <mergeCell ref="O1:S1"/>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7" r:id="rId3" name="Button 1">
              <controlPr defaultSize="0" print="0" autoFill="0" autoPict="0" macro="[0]!Sheet2.Go_Malaysia">
                <anchor moveWithCells="1" sizeWithCells="1">
                  <from>
                    <xdr:col>4</xdr:col>
                    <xdr:colOff>577850</xdr:colOff>
                    <xdr:row>19</xdr:row>
                    <xdr:rowOff>127000</xdr:rowOff>
                  </from>
                  <to>
                    <xdr:col>6</xdr:col>
                    <xdr:colOff>730250</xdr:colOff>
                    <xdr:row>24</xdr:row>
                    <xdr:rowOff>25400</xdr:rowOff>
                  </to>
                </anchor>
              </controlPr>
            </control>
          </mc:Choice>
        </mc:AlternateContent>
        <mc:AlternateContent xmlns:mc="http://schemas.openxmlformats.org/markup-compatibility/2006">
          <mc:Choice Requires="x14">
            <control shapeId="9218" r:id="rId4" name="Button 2">
              <controlPr defaultSize="0" print="0" autoFill="0" autoPict="0" macro="[0]!Sheet2.Go_Dashboard">
                <anchor moveWithCells="1" sizeWithCells="1">
                  <from>
                    <xdr:col>4</xdr:col>
                    <xdr:colOff>596900</xdr:colOff>
                    <xdr:row>24</xdr:row>
                    <xdr:rowOff>95250</xdr:rowOff>
                  </from>
                  <to>
                    <xdr:col>6</xdr:col>
                    <xdr:colOff>800100</xdr:colOff>
                    <xdr:row>27</xdr:row>
                    <xdr:rowOff>95250</xdr:rowOff>
                  </to>
                </anchor>
              </controlPr>
            </control>
          </mc:Choice>
        </mc:AlternateContent>
      </controls>
    </mc:Choice>
  </mc:AlternateContent>
  <tableParts count="1">
    <tablePart r:id="rId5"/>
  </tableParts>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5C82A-0649-4C61-9959-259EDE421947}">
  <sheetPr codeName="Sheet8"/>
  <dimension ref="A1:S18"/>
  <sheetViews>
    <sheetView topLeftCell="G1" zoomScale="75" workbookViewId="0">
      <selection activeCell="G8" sqref="G8"/>
    </sheetView>
  </sheetViews>
  <sheetFormatPr defaultColWidth="35" defaultRowHeight="14.5"/>
  <cols>
    <col min="1" max="1" width="18.7265625" style="236" bestFit="1" customWidth="1"/>
    <col min="2" max="2" width="14.1796875" style="236" bestFit="1" customWidth="1"/>
    <col min="3" max="3" width="12" style="236" bestFit="1" customWidth="1"/>
    <col min="4" max="5" width="13.1796875" style="236" bestFit="1" customWidth="1"/>
    <col min="6" max="6" width="11.453125" style="236" bestFit="1" customWidth="1"/>
    <col min="7" max="7" width="14.1796875" style="236" bestFit="1" customWidth="1"/>
    <col min="8" max="8" width="4.453125" style="236" customWidth="1"/>
    <col min="9" max="9" width="5.453125" style="236" bestFit="1" customWidth="1"/>
    <col min="10" max="10" width="14.1796875" style="236" bestFit="1" customWidth="1"/>
    <col min="11" max="12" width="13.1796875" style="236" bestFit="1" customWidth="1"/>
    <col min="13" max="13" width="12" style="236" customWidth="1"/>
    <col min="14" max="14" width="4.1796875" style="236" customWidth="1"/>
    <col min="15" max="19" width="5.453125" style="236" bestFit="1" customWidth="1"/>
    <col min="20" max="16384" width="35" style="236"/>
  </cols>
  <sheetData>
    <row r="1" spans="1:19">
      <c r="I1" s="345" t="s">
        <v>44</v>
      </c>
      <c r="J1" s="345"/>
      <c r="K1" s="345"/>
      <c r="L1" s="345"/>
      <c r="M1" s="345"/>
      <c r="O1" s="345" t="s">
        <v>73</v>
      </c>
      <c r="P1" s="345"/>
      <c r="Q1" s="345"/>
      <c r="R1" s="345"/>
      <c r="S1" s="345"/>
    </row>
    <row r="2" spans="1:19">
      <c r="A2" s="236" t="s">
        <v>18</v>
      </c>
      <c r="B2" s="236" t="s">
        <v>97</v>
      </c>
      <c r="C2" s="236" t="s">
        <v>46</v>
      </c>
      <c r="D2" s="236" t="s">
        <v>47</v>
      </c>
      <c r="E2" s="236" t="s">
        <v>48</v>
      </c>
      <c r="F2" s="236" t="s">
        <v>49</v>
      </c>
      <c r="G2" s="236" t="s">
        <v>107</v>
      </c>
      <c r="I2" s="313" t="s">
        <v>97</v>
      </c>
      <c r="J2" s="313" t="s">
        <v>46</v>
      </c>
      <c r="K2" s="313" t="s">
        <v>47</v>
      </c>
      <c r="L2" s="313" t="s">
        <v>48</v>
      </c>
      <c r="M2" s="317" t="s">
        <v>49</v>
      </c>
      <c r="N2" s="316"/>
      <c r="O2" s="318" t="s">
        <v>97</v>
      </c>
      <c r="P2" s="313" t="s">
        <v>46</v>
      </c>
      <c r="Q2" s="313" t="s">
        <v>47</v>
      </c>
      <c r="R2" s="313" t="s">
        <v>48</v>
      </c>
      <c r="S2" s="313" t="s">
        <v>49</v>
      </c>
    </row>
    <row r="3" spans="1:19">
      <c r="A3" s="5" t="s">
        <v>27</v>
      </c>
      <c r="B3" s="255">
        <v>0</v>
      </c>
      <c r="C3" s="255">
        <v>0</v>
      </c>
      <c r="D3" s="255">
        <v>10259.602419999999</v>
      </c>
      <c r="E3" s="256">
        <v>0</v>
      </c>
      <c r="F3" s="256">
        <v>0</v>
      </c>
      <c r="G3" s="257">
        <f>SUM(Manufacturing[[#This Row],[2021]:[2025]])</f>
        <v>10259.602419999999</v>
      </c>
      <c r="H3" s="257"/>
      <c r="I3" s="279" t="s">
        <v>51</v>
      </c>
      <c r="J3" s="279">
        <f>Manufacturing[[#This Row],[2022]]-Manufacturing[[#This Row],[2021]]</f>
        <v>0</v>
      </c>
      <c r="K3" s="279">
        <f>Manufacturing[[#This Row],[2023]]-Manufacturing[[#This Row],[2022]]</f>
        <v>10259.602419999999</v>
      </c>
      <c r="L3" s="279">
        <f>Manufacturing[[#This Row],[2024]]-Manufacturing[[#This Row],[2023]]</f>
        <v>-10259.602419999999</v>
      </c>
      <c r="M3" s="279">
        <f>Manufacturing[[#This Row],[2025]]-Manufacturing[[#This Row],[2024]]</f>
        <v>0</v>
      </c>
      <c r="N3" s="258"/>
      <c r="O3" s="280" t="s">
        <v>51</v>
      </c>
      <c r="P3" s="280" t="str">
        <f t="shared" ref="P3:P15" si="0">IFERROR(J3/B5,"-")</f>
        <v>-</v>
      </c>
      <c r="Q3" s="280">
        <f t="shared" ref="Q3:Q15" si="1">IFERROR(K3/C5,"-")</f>
        <v>8.8879573562714498</v>
      </c>
      <c r="R3" s="280" t="str">
        <f t="shared" ref="R3:R15" si="2">IFERROR(L3/D5,"-")</f>
        <v>-</v>
      </c>
      <c r="S3" s="280">
        <f t="shared" ref="S3:S15" si="3">IFERROR(M3/E5,"-")</f>
        <v>0</v>
      </c>
    </row>
    <row r="4" spans="1:19">
      <c r="A4" s="5" t="s">
        <v>28</v>
      </c>
      <c r="B4" s="255">
        <v>0</v>
      </c>
      <c r="C4" s="255">
        <v>0</v>
      </c>
      <c r="D4" s="255">
        <v>0</v>
      </c>
      <c r="E4" s="256">
        <v>0</v>
      </c>
      <c r="F4" s="256">
        <v>0</v>
      </c>
      <c r="G4" s="257">
        <f>SUM(Manufacturing[[#This Row],[2021]:[2025]])</f>
        <v>0</v>
      </c>
      <c r="H4" s="257"/>
      <c r="I4" s="279" t="s">
        <v>51</v>
      </c>
      <c r="J4" s="279">
        <f>Manufacturing[[#This Row],[2022]]-Manufacturing[[#This Row],[2021]]</f>
        <v>0</v>
      </c>
      <c r="K4" s="279">
        <f>Manufacturing[[#This Row],[2023]]-Manufacturing[[#This Row],[2022]]</f>
        <v>0</v>
      </c>
      <c r="L4" s="279">
        <f>Manufacturing[[#This Row],[2024]]-Manufacturing[[#This Row],[2023]]</f>
        <v>0</v>
      </c>
      <c r="M4" s="279">
        <f>Manufacturing[[#This Row],[2025]]-Manufacturing[[#This Row],[2024]]</f>
        <v>0</v>
      </c>
      <c r="N4" s="258"/>
      <c r="O4" s="280" t="s">
        <v>51</v>
      </c>
      <c r="P4" s="280" t="str">
        <f t="shared" si="0"/>
        <v>-</v>
      </c>
      <c r="Q4" s="280" t="str">
        <f t="shared" si="1"/>
        <v>-</v>
      </c>
      <c r="R4" s="280" t="str">
        <f t="shared" si="2"/>
        <v>-</v>
      </c>
      <c r="S4" s="280" t="str">
        <f t="shared" si="3"/>
        <v>-</v>
      </c>
    </row>
    <row r="5" spans="1:19">
      <c r="A5" s="5" t="s">
        <v>29</v>
      </c>
      <c r="B5" s="255">
        <v>0</v>
      </c>
      <c r="C5" s="255">
        <v>1154.3262426614481</v>
      </c>
      <c r="D5" s="255">
        <v>0</v>
      </c>
      <c r="E5" s="256">
        <v>1091.271</v>
      </c>
      <c r="F5" s="256">
        <v>0</v>
      </c>
      <c r="G5" s="257">
        <f>SUM(Manufacturing[[#This Row],[2021]:[2025]])</f>
        <v>2245.597242661448</v>
      </c>
      <c r="H5" s="257"/>
      <c r="I5" s="279" t="s">
        <v>51</v>
      </c>
      <c r="J5" s="279">
        <f>Manufacturing[[#This Row],[2022]]-Manufacturing[[#This Row],[2021]]</f>
        <v>1154.3262426614481</v>
      </c>
      <c r="K5" s="279">
        <f>Manufacturing[[#This Row],[2023]]-Manufacturing[[#This Row],[2022]]</f>
        <v>-1154.3262426614481</v>
      </c>
      <c r="L5" s="279">
        <f>Manufacturing[[#This Row],[2024]]-Manufacturing[[#This Row],[2023]]</f>
        <v>1091.271</v>
      </c>
      <c r="M5" s="279">
        <f>Manufacturing[[#This Row],[2025]]-Manufacturing[[#This Row],[2024]]</f>
        <v>-1091.271</v>
      </c>
      <c r="N5" s="258"/>
      <c r="O5" s="280" t="s">
        <v>51</v>
      </c>
      <c r="P5" s="280">
        <f t="shared" si="0"/>
        <v>0.936997416839079</v>
      </c>
      <c r="Q5" s="280" t="str">
        <f t="shared" si="1"/>
        <v>-</v>
      </c>
      <c r="R5" s="280" t="str">
        <f t="shared" si="2"/>
        <v>-</v>
      </c>
      <c r="S5" s="280" t="str">
        <f t="shared" si="3"/>
        <v>-</v>
      </c>
    </row>
    <row r="6" spans="1:19">
      <c r="A6" s="5" t="s">
        <v>30</v>
      </c>
      <c r="B6" s="258">
        <v>0</v>
      </c>
      <c r="C6" s="258">
        <v>0</v>
      </c>
      <c r="D6" s="258">
        <v>0</v>
      </c>
      <c r="E6" s="256">
        <v>0</v>
      </c>
      <c r="F6" s="256">
        <v>0</v>
      </c>
      <c r="G6" s="257">
        <f>SUM(Manufacturing[[#This Row],[2021]:[2025]])</f>
        <v>0</v>
      </c>
      <c r="H6" s="257"/>
      <c r="I6" s="279" t="s">
        <v>51</v>
      </c>
      <c r="J6" s="279">
        <f>Manufacturing[[#This Row],[2022]]-Manufacturing[[#This Row],[2021]]</f>
        <v>0</v>
      </c>
      <c r="K6" s="279">
        <f>Manufacturing[[#This Row],[2023]]-Manufacturing[[#This Row],[2022]]</f>
        <v>0</v>
      </c>
      <c r="L6" s="279">
        <f>Manufacturing[[#This Row],[2024]]-Manufacturing[[#This Row],[2023]]</f>
        <v>0</v>
      </c>
      <c r="M6" s="279">
        <f>Manufacturing[[#This Row],[2025]]-Manufacturing[[#This Row],[2024]]</f>
        <v>0</v>
      </c>
      <c r="N6" s="258"/>
      <c r="O6" s="280" t="s">
        <v>51</v>
      </c>
      <c r="P6" s="280">
        <f t="shared" si="0"/>
        <v>0</v>
      </c>
      <c r="Q6" s="280" t="str">
        <f t="shared" si="1"/>
        <v>-</v>
      </c>
      <c r="R6" s="280" t="str">
        <f t="shared" si="2"/>
        <v>-</v>
      </c>
      <c r="S6" s="280" t="str">
        <f t="shared" si="3"/>
        <v>-</v>
      </c>
    </row>
    <row r="7" spans="1:19">
      <c r="A7" s="5" t="s">
        <v>31</v>
      </c>
      <c r="B7" s="258">
        <v>1231.9417555658997</v>
      </c>
      <c r="C7" s="258">
        <v>0</v>
      </c>
      <c r="D7" s="258">
        <v>0</v>
      </c>
      <c r="E7" s="256">
        <v>0</v>
      </c>
      <c r="F7" s="256">
        <v>0</v>
      </c>
      <c r="G7" s="257">
        <f>SUM(Manufacturing[[#This Row],[2021]:[2025]])</f>
        <v>1231.9417555658997</v>
      </c>
      <c r="H7" s="257"/>
      <c r="I7" s="279" t="s">
        <v>51</v>
      </c>
      <c r="J7" s="279">
        <f>Manufacturing[[#This Row],[2022]]-Manufacturing[[#This Row],[2021]]</f>
        <v>-1231.9417555658997</v>
      </c>
      <c r="K7" s="279">
        <f>Manufacturing[[#This Row],[2023]]-Manufacturing[[#This Row],[2022]]</f>
        <v>0</v>
      </c>
      <c r="L7" s="279">
        <f>Manufacturing[[#This Row],[2024]]-Manufacturing[[#This Row],[2023]]</f>
        <v>0</v>
      </c>
      <c r="M7" s="279">
        <f>Manufacturing[[#This Row],[2025]]-Manufacturing[[#This Row],[2024]]</f>
        <v>0</v>
      </c>
      <c r="N7" s="258"/>
      <c r="O7" s="280" t="s">
        <v>51</v>
      </c>
      <c r="P7" s="280" t="str">
        <f t="shared" si="0"/>
        <v>-</v>
      </c>
      <c r="Q7" s="280" t="str">
        <f t="shared" si="1"/>
        <v>-</v>
      </c>
      <c r="R7" s="280" t="str">
        <f t="shared" si="2"/>
        <v>-</v>
      </c>
      <c r="S7" s="280" t="str">
        <f t="shared" si="3"/>
        <v>-</v>
      </c>
    </row>
    <row r="8" spans="1:19">
      <c r="A8" s="5" t="s">
        <v>32</v>
      </c>
      <c r="B8" s="258">
        <v>5592.4902557504829</v>
      </c>
      <c r="C8" s="258">
        <v>0</v>
      </c>
      <c r="D8" s="258">
        <v>0</v>
      </c>
      <c r="E8" s="256">
        <v>0</v>
      </c>
      <c r="F8" s="256">
        <v>0</v>
      </c>
      <c r="G8" s="257">
        <f>SUM(Manufacturing[[#This Row],[2021]:[2025]])</f>
        <v>5592.4902557504829</v>
      </c>
      <c r="H8" s="257"/>
      <c r="I8" s="279" t="s">
        <v>51</v>
      </c>
      <c r="J8" s="279">
        <f>Manufacturing[[#This Row],[2022]]-Manufacturing[[#This Row],[2021]]</f>
        <v>-5592.4902557504829</v>
      </c>
      <c r="K8" s="279">
        <f>Manufacturing[[#This Row],[2023]]-Manufacturing[[#This Row],[2022]]</f>
        <v>0</v>
      </c>
      <c r="L8" s="279">
        <f>Manufacturing[[#This Row],[2024]]-Manufacturing[[#This Row],[2023]]</f>
        <v>0</v>
      </c>
      <c r="M8" s="279">
        <f>Manufacturing[[#This Row],[2025]]-Manufacturing[[#This Row],[2024]]</f>
        <v>0</v>
      </c>
      <c r="N8" s="258"/>
      <c r="O8" s="280" t="s">
        <v>51</v>
      </c>
      <c r="P8" s="280" t="str">
        <f t="shared" si="0"/>
        <v>-</v>
      </c>
      <c r="Q8" s="280">
        <f t="shared" si="1"/>
        <v>0</v>
      </c>
      <c r="R8" s="280" t="str">
        <f t="shared" si="2"/>
        <v>-</v>
      </c>
      <c r="S8" s="280" t="str">
        <f t="shared" si="3"/>
        <v>-</v>
      </c>
    </row>
    <row r="9" spans="1:19">
      <c r="A9" s="5" t="s">
        <v>35</v>
      </c>
      <c r="B9" s="258">
        <v>0</v>
      </c>
      <c r="C9" s="258">
        <v>0</v>
      </c>
      <c r="D9" s="258">
        <v>0</v>
      </c>
      <c r="E9" s="256">
        <v>0</v>
      </c>
      <c r="F9" s="256">
        <v>0</v>
      </c>
      <c r="G9" s="257">
        <f>SUM(Manufacturing[[#This Row],[2021]:[2025]])</f>
        <v>0</v>
      </c>
      <c r="H9" s="257"/>
      <c r="I9" s="279" t="s">
        <v>51</v>
      </c>
      <c r="J9" s="279">
        <f>Manufacturing[[#This Row],[2022]]-Manufacturing[[#This Row],[2021]]</f>
        <v>0</v>
      </c>
      <c r="K9" s="279">
        <f>Manufacturing[[#This Row],[2023]]-Manufacturing[[#This Row],[2022]]</f>
        <v>0</v>
      </c>
      <c r="L9" s="279">
        <f>Manufacturing[[#This Row],[2024]]-Manufacturing[[#This Row],[2023]]</f>
        <v>0</v>
      </c>
      <c r="M9" s="279">
        <f>Manufacturing[[#This Row],[2025]]-Manufacturing[[#This Row],[2024]]</f>
        <v>0</v>
      </c>
      <c r="N9" s="258"/>
      <c r="O9" s="280" t="s">
        <v>51</v>
      </c>
      <c r="P9" s="280" t="str">
        <f t="shared" si="0"/>
        <v>-</v>
      </c>
      <c r="Q9" s="280" t="str">
        <f t="shared" si="1"/>
        <v>-</v>
      </c>
      <c r="R9" s="280" t="str">
        <f t="shared" si="2"/>
        <v>-</v>
      </c>
      <c r="S9" s="280" t="str">
        <f t="shared" si="3"/>
        <v>-</v>
      </c>
    </row>
    <row r="10" spans="1:19">
      <c r="A10" s="5" t="s">
        <v>33</v>
      </c>
      <c r="B10" s="258">
        <v>0</v>
      </c>
      <c r="C10" s="258">
        <v>105.626</v>
      </c>
      <c r="D10" s="258">
        <v>0</v>
      </c>
      <c r="E10" s="256">
        <v>0</v>
      </c>
      <c r="F10" s="256">
        <v>0</v>
      </c>
      <c r="G10" s="257">
        <f>SUM(Manufacturing[[#This Row],[2021]:[2025]])</f>
        <v>105.626</v>
      </c>
      <c r="H10" s="257"/>
      <c r="I10" s="279" t="s">
        <v>51</v>
      </c>
      <c r="J10" s="279">
        <f>Manufacturing[[#This Row],[2022]]-Manufacturing[[#This Row],[2021]]</f>
        <v>105.626</v>
      </c>
      <c r="K10" s="279">
        <f>Manufacturing[[#This Row],[2023]]-Manufacturing[[#This Row],[2022]]</f>
        <v>-105.626</v>
      </c>
      <c r="L10" s="279">
        <f>Manufacturing[[#This Row],[2024]]-Manufacturing[[#This Row],[2023]]</f>
        <v>0</v>
      </c>
      <c r="M10" s="279">
        <f>Manufacturing[[#This Row],[2025]]-Manufacturing[[#This Row],[2024]]</f>
        <v>0</v>
      </c>
      <c r="N10" s="258"/>
      <c r="O10" s="280" t="s">
        <v>51</v>
      </c>
      <c r="P10" s="280">
        <f t="shared" si="0"/>
        <v>1.1942222213036934E-4</v>
      </c>
      <c r="Q10" s="280" t="str">
        <f t="shared" si="1"/>
        <v>-</v>
      </c>
      <c r="R10" s="280" t="str">
        <f t="shared" si="2"/>
        <v>-</v>
      </c>
      <c r="S10" s="280" t="str">
        <f t="shared" si="3"/>
        <v>-</v>
      </c>
    </row>
    <row r="11" spans="1:19">
      <c r="A11" s="5" t="s">
        <v>34</v>
      </c>
      <c r="B11" s="258">
        <v>0</v>
      </c>
      <c r="C11" s="258">
        <v>0</v>
      </c>
      <c r="D11" s="258">
        <v>0</v>
      </c>
      <c r="E11" s="256">
        <v>0</v>
      </c>
      <c r="F11" s="256">
        <v>0</v>
      </c>
      <c r="G11" s="257">
        <f>SUM(Manufacturing[[#This Row],[2021]:[2025]])</f>
        <v>0</v>
      </c>
      <c r="H11" s="257"/>
      <c r="I11" s="279" t="s">
        <v>51</v>
      </c>
      <c r="J11" s="279">
        <f>Manufacturing[[#This Row],[2022]]-Manufacturing[[#This Row],[2021]]</f>
        <v>0</v>
      </c>
      <c r="K11" s="279">
        <f>Manufacturing[[#This Row],[2023]]-Manufacturing[[#This Row],[2022]]</f>
        <v>0</v>
      </c>
      <c r="L11" s="279">
        <f>Manufacturing[[#This Row],[2024]]-Manufacturing[[#This Row],[2023]]</f>
        <v>0</v>
      </c>
      <c r="M11" s="279">
        <f>Manufacturing[[#This Row],[2025]]-Manufacturing[[#This Row],[2024]]</f>
        <v>0</v>
      </c>
      <c r="N11" s="258"/>
      <c r="O11" s="280" t="s">
        <v>51</v>
      </c>
      <c r="P11" s="280" t="str">
        <f t="shared" si="0"/>
        <v>-</v>
      </c>
      <c r="Q11" s="280">
        <f t="shared" si="1"/>
        <v>0</v>
      </c>
      <c r="R11" s="280" t="str">
        <f t="shared" si="2"/>
        <v>-</v>
      </c>
      <c r="S11" s="280">
        <f t="shared" si="3"/>
        <v>0</v>
      </c>
    </row>
    <row r="12" spans="1:19">
      <c r="A12" s="5" t="s">
        <v>38</v>
      </c>
      <c r="B12" s="258">
        <v>884475.25188981625</v>
      </c>
      <c r="C12" s="258">
        <v>0</v>
      </c>
      <c r="D12" s="258">
        <v>0</v>
      </c>
      <c r="E12" s="256">
        <v>0</v>
      </c>
      <c r="F12" s="256">
        <v>0</v>
      </c>
      <c r="G12" s="257">
        <f>SUM(Manufacturing[[#This Row],[2021]:[2025]])</f>
        <v>884475.25188981625</v>
      </c>
      <c r="H12" s="257"/>
      <c r="I12" s="279" t="s">
        <v>51</v>
      </c>
      <c r="J12" s="279">
        <f>Manufacturing[[#This Row],[2022]]-Manufacturing[[#This Row],[2021]]</f>
        <v>-884475.25188981625</v>
      </c>
      <c r="K12" s="279">
        <f>Manufacturing[[#This Row],[2023]]-Manufacturing[[#This Row],[2022]]</f>
        <v>0</v>
      </c>
      <c r="L12" s="279">
        <f>Manufacturing[[#This Row],[2024]]-Manufacturing[[#This Row],[2023]]</f>
        <v>0</v>
      </c>
      <c r="M12" s="279">
        <f>Manufacturing[[#This Row],[2025]]-Manufacturing[[#This Row],[2024]]</f>
        <v>0</v>
      </c>
      <c r="N12" s="258"/>
      <c r="O12" s="280" t="s">
        <v>51</v>
      </c>
      <c r="P12" s="280" t="str">
        <f t="shared" si="0"/>
        <v>-</v>
      </c>
      <c r="Q12" s="280">
        <f t="shared" si="1"/>
        <v>0</v>
      </c>
      <c r="R12" s="280" t="str">
        <f t="shared" si="2"/>
        <v>-</v>
      </c>
      <c r="S12" s="280" t="str">
        <f t="shared" si="3"/>
        <v>-</v>
      </c>
    </row>
    <row r="13" spans="1:19">
      <c r="A13" s="5" t="s">
        <v>39</v>
      </c>
      <c r="B13" s="258">
        <v>0</v>
      </c>
      <c r="C13" s="258">
        <v>7099.011459882583</v>
      </c>
      <c r="D13" s="258">
        <v>0</v>
      </c>
      <c r="E13" s="256">
        <v>71.819999999999993</v>
      </c>
      <c r="F13" s="256">
        <v>75.599999999999994</v>
      </c>
      <c r="G13" s="257">
        <f>SUM(Manufacturing[[#This Row],[2021]:[2025]])</f>
        <v>7246.4314598825831</v>
      </c>
      <c r="H13" s="257"/>
      <c r="I13" s="279" t="s">
        <v>51</v>
      </c>
      <c r="J13" s="279">
        <f>Manufacturing[[#This Row],[2022]]-Manufacturing[[#This Row],[2021]]</f>
        <v>7099.011459882583</v>
      </c>
      <c r="K13" s="279">
        <f>Manufacturing[[#This Row],[2023]]-Manufacturing[[#This Row],[2022]]</f>
        <v>-7099.011459882583</v>
      </c>
      <c r="L13" s="279">
        <f>Manufacturing[[#This Row],[2024]]-Manufacturing[[#This Row],[2023]]</f>
        <v>71.819999999999993</v>
      </c>
      <c r="M13" s="279">
        <f>Manufacturing[[#This Row],[2025]]-Manufacturing[[#This Row],[2024]]</f>
        <v>3.7800000000000011</v>
      </c>
      <c r="N13" s="258"/>
      <c r="O13" s="280" t="s">
        <v>51</v>
      </c>
      <c r="P13" s="280" t="str">
        <f t="shared" si="0"/>
        <v>-</v>
      </c>
      <c r="Q13" s="280" t="str">
        <f t="shared" si="1"/>
        <v>-</v>
      </c>
      <c r="R13" s="280" t="str">
        <f t="shared" si="2"/>
        <v>-</v>
      </c>
      <c r="S13" s="280" t="str">
        <f t="shared" si="3"/>
        <v>-</v>
      </c>
    </row>
    <row r="14" spans="1:19">
      <c r="A14" s="5" t="s">
        <v>36</v>
      </c>
      <c r="B14" s="258">
        <v>0</v>
      </c>
      <c r="C14" s="258">
        <v>347.63095238095229</v>
      </c>
      <c r="D14" s="258">
        <v>0</v>
      </c>
      <c r="E14" s="256">
        <v>0</v>
      </c>
      <c r="F14" s="256">
        <v>0</v>
      </c>
      <c r="G14" s="257">
        <f>SUM(Manufacturing[[#This Row],[2021]:[2025]])</f>
        <v>347.63095238095229</v>
      </c>
      <c r="H14" s="257"/>
      <c r="I14" s="279" t="s">
        <v>51</v>
      </c>
      <c r="J14" s="279">
        <f>Manufacturing[[#This Row],[2022]]-Manufacturing[[#This Row],[2021]]</f>
        <v>347.63095238095229</v>
      </c>
      <c r="K14" s="279">
        <f>Manufacturing[[#This Row],[2023]]-Manufacturing[[#This Row],[2022]]</f>
        <v>-347.63095238095229</v>
      </c>
      <c r="L14" s="279">
        <f>Manufacturing[[#This Row],[2024]]-Manufacturing[[#This Row],[2023]]</f>
        <v>0</v>
      </c>
      <c r="M14" s="279">
        <f>Manufacturing[[#This Row],[2025]]-Manufacturing[[#This Row],[2024]]</f>
        <v>0</v>
      </c>
      <c r="N14" s="258"/>
      <c r="O14" s="280" t="s">
        <v>51</v>
      </c>
      <c r="P14" s="280">
        <f t="shared" si="0"/>
        <v>5.7608162946644716</v>
      </c>
      <c r="Q14" s="280" t="str">
        <f t="shared" si="1"/>
        <v>-</v>
      </c>
      <c r="R14" s="280" t="str">
        <f t="shared" si="2"/>
        <v>-</v>
      </c>
      <c r="S14" s="280" t="str">
        <f t="shared" si="3"/>
        <v>-</v>
      </c>
    </row>
    <row r="15" spans="1:19">
      <c r="A15" s="5" t="s">
        <v>37</v>
      </c>
      <c r="B15" s="258">
        <v>0</v>
      </c>
      <c r="C15" s="258">
        <v>0</v>
      </c>
      <c r="D15" s="258">
        <v>0</v>
      </c>
      <c r="E15" s="256">
        <v>0</v>
      </c>
      <c r="F15" s="256">
        <v>0</v>
      </c>
      <c r="G15" s="257">
        <f>SUM(Manufacturing[[#This Row],[2021]:[2025]])</f>
        <v>0</v>
      </c>
      <c r="H15" s="257"/>
      <c r="I15" s="279" t="s">
        <v>51</v>
      </c>
      <c r="J15" s="279">
        <f>Manufacturing[[#This Row],[2022]]-Manufacturing[[#This Row],[2021]]</f>
        <v>0</v>
      </c>
      <c r="K15" s="279">
        <f>Manufacturing[[#This Row],[2023]]-Manufacturing[[#This Row],[2022]]</f>
        <v>0</v>
      </c>
      <c r="L15" s="279">
        <f>Manufacturing[[#This Row],[2024]]-Manufacturing[[#This Row],[2023]]</f>
        <v>0</v>
      </c>
      <c r="M15" s="279">
        <f>Manufacturing[[#This Row],[2025]]-Manufacturing[[#This Row],[2024]]</f>
        <v>0</v>
      </c>
      <c r="N15" s="258"/>
      <c r="O15" s="280" t="s">
        <v>51</v>
      </c>
      <c r="P15" s="280" t="str">
        <f t="shared" si="0"/>
        <v>-</v>
      </c>
      <c r="Q15" s="280" t="str">
        <f t="shared" si="1"/>
        <v>-</v>
      </c>
      <c r="R15" s="280" t="str">
        <f t="shared" si="2"/>
        <v>-</v>
      </c>
      <c r="S15" s="280" t="str">
        <f t="shared" si="3"/>
        <v>-</v>
      </c>
    </row>
    <row r="16" spans="1:19">
      <c r="A16" s="5" t="s">
        <v>41</v>
      </c>
      <c r="B16" s="258">
        <v>60.344044072872045</v>
      </c>
      <c r="C16" s="258">
        <v>0</v>
      </c>
      <c r="D16" s="258">
        <v>0</v>
      </c>
      <c r="E16" s="256">
        <v>0</v>
      </c>
      <c r="F16" s="256">
        <v>0</v>
      </c>
      <c r="G16" s="257">
        <f>SUM(Manufacturing[[#This Row],[2021]:[2025]])</f>
        <v>60.344044072872045</v>
      </c>
      <c r="H16" s="257"/>
      <c r="I16" s="279" t="s">
        <v>51</v>
      </c>
      <c r="J16" s="279">
        <f>Manufacturing[[#This Row],[2022]]-Manufacturing[[#This Row],[2021]]</f>
        <v>-60.344044072872045</v>
      </c>
      <c r="K16" s="279">
        <f>Manufacturing[[#This Row],[2023]]-Manufacturing[[#This Row],[2022]]</f>
        <v>0</v>
      </c>
      <c r="L16" s="279">
        <f>Manufacturing[[#This Row],[2024]]-Manufacturing[[#This Row],[2023]]</f>
        <v>0</v>
      </c>
      <c r="M16" s="279">
        <f>Manufacturing[[#This Row],[2025]]-Manufacturing[[#This Row],[2024]]</f>
        <v>0</v>
      </c>
      <c r="N16" s="258"/>
      <c r="O16" s="280" t="s">
        <v>51</v>
      </c>
      <c r="P16" s="280" t="str">
        <f>IFERROR(J16/#REF!,"-")</f>
        <v>-</v>
      </c>
      <c r="Q16" s="280" t="str">
        <f>IFERROR(K16/#REF!,"-")</f>
        <v>-</v>
      </c>
      <c r="R16" s="280" t="str">
        <f>IFERROR(L16/#REF!,"-")</f>
        <v>-</v>
      </c>
      <c r="S16" s="280" t="str">
        <f>IFERROR(M16/#REF!,"-")</f>
        <v>-</v>
      </c>
    </row>
    <row r="17" spans="1:19">
      <c r="A17" s="5" t="s">
        <v>71</v>
      </c>
      <c r="B17" s="259">
        <v>0</v>
      </c>
      <c r="C17" s="258">
        <v>0</v>
      </c>
      <c r="D17" s="258">
        <v>0</v>
      </c>
      <c r="E17" s="256">
        <v>0</v>
      </c>
      <c r="F17" s="256">
        <v>0</v>
      </c>
      <c r="G17" s="257">
        <f>SUM(Manufacturing[[#This Row],[2021]:[2025]])</f>
        <v>0</v>
      </c>
      <c r="H17" s="257"/>
      <c r="I17" s="279" t="s">
        <v>51</v>
      </c>
      <c r="J17" s="279">
        <f>Manufacturing[[#This Row],[2022]]-Manufacturing[[#This Row],[2021]]</f>
        <v>0</v>
      </c>
      <c r="K17" s="279">
        <f>Manufacturing[[#This Row],[2023]]-Manufacturing[[#This Row],[2022]]</f>
        <v>0</v>
      </c>
      <c r="L17" s="279">
        <f>Manufacturing[[#This Row],[2024]]-Manufacturing[[#This Row],[2023]]</f>
        <v>0</v>
      </c>
      <c r="M17" s="279">
        <f>Manufacturing[[#This Row],[2025]]-Manufacturing[[#This Row],[2024]]</f>
        <v>0</v>
      </c>
      <c r="N17" s="258"/>
      <c r="O17" s="280" t="s">
        <v>51</v>
      </c>
      <c r="P17" s="280" t="str">
        <f>IFERROR(J17/#REF!,"-")</f>
        <v>-</v>
      </c>
      <c r="Q17" s="280" t="str">
        <f>IFERROR(K17/#REF!,"-")</f>
        <v>-</v>
      </c>
      <c r="R17" s="280" t="str">
        <f>IFERROR(L17/#REF!,"-")</f>
        <v>-</v>
      </c>
      <c r="S17" s="280" t="str">
        <f>IFERROR(M17/#REF!,"-")</f>
        <v>-</v>
      </c>
    </row>
    <row r="18" spans="1:19">
      <c r="A18" s="5" t="s">
        <v>70</v>
      </c>
      <c r="B18" s="259">
        <v>0</v>
      </c>
      <c r="C18" s="258">
        <v>0</v>
      </c>
      <c r="D18" s="258">
        <v>0</v>
      </c>
      <c r="E18" s="256">
        <v>0</v>
      </c>
      <c r="F18" s="256">
        <v>0</v>
      </c>
      <c r="G18" s="257">
        <f>SUM(Manufacturing[[#This Row],[2021]:[2025]])</f>
        <v>0</v>
      </c>
      <c r="H18" s="257"/>
      <c r="I18" s="279" t="s">
        <v>51</v>
      </c>
      <c r="J18" s="279">
        <f>Manufacturing[[#This Row],[2022]]-Manufacturing[[#This Row],[2021]]</f>
        <v>0</v>
      </c>
      <c r="K18" s="279">
        <f>Manufacturing[[#This Row],[2023]]-Manufacturing[[#This Row],[2022]]</f>
        <v>0</v>
      </c>
      <c r="L18" s="279">
        <f>Manufacturing[[#This Row],[2024]]-Manufacturing[[#This Row],[2023]]</f>
        <v>0</v>
      </c>
      <c r="M18" s="279">
        <f>Manufacturing[[#This Row],[2025]]-Manufacturing[[#This Row],[2024]]</f>
        <v>0</v>
      </c>
      <c r="N18" s="258"/>
      <c r="O18" s="280" t="s">
        <v>51</v>
      </c>
      <c r="P18" s="280" t="str">
        <f>IFERROR(J18/B19,"-")</f>
        <v>-</v>
      </c>
      <c r="Q18" s="280" t="str">
        <f>IFERROR(K18/C19,"-")</f>
        <v>-</v>
      </c>
      <c r="R18" s="280" t="str">
        <f>IFERROR(L18/D19,"-")</f>
        <v>-</v>
      </c>
      <c r="S18" s="280" t="str">
        <f>IFERROR(M18/E19,"-")</f>
        <v>-</v>
      </c>
    </row>
  </sheetData>
  <mergeCells count="2">
    <mergeCell ref="I1:M1"/>
    <mergeCell ref="O1:S1"/>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7169" r:id="rId3" name="Button 1">
              <controlPr defaultSize="0" print="0" autoFill="0" autoPict="0" macro="[0]!Sheet2.Go_Malaysia">
                <anchor moveWithCells="1" sizeWithCells="1">
                  <from>
                    <xdr:col>8</xdr:col>
                    <xdr:colOff>57150</xdr:colOff>
                    <xdr:row>19</xdr:row>
                    <xdr:rowOff>95250</xdr:rowOff>
                  </from>
                  <to>
                    <xdr:col>9</xdr:col>
                    <xdr:colOff>819150</xdr:colOff>
                    <xdr:row>23</xdr:row>
                    <xdr:rowOff>6350</xdr:rowOff>
                  </to>
                </anchor>
              </controlPr>
            </control>
          </mc:Choice>
        </mc:AlternateContent>
        <mc:AlternateContent xmlns:mc="http://schemas.openxmlformats.org/markup-compatibility/2006">
          <mc:Choice Requires="x14">
            <control shapeId="7170" r:id="rId4" name="Button 2">
              <controlPr defaultSize="0" print="0" autoFill="0" autoPict="0" macro="[0]!Sheet2.Go_Dashboard">
                <anchor moveWithCells="1" sizeWithCells="1">
                  <from>
                    <xdr:col>8</xdr:col>
                    <xdr:colOff>44450</xdr:colOff>
                    <xdr:row>23</xdr:row>
                    <xdr:rowOff>88900</xdr:rowOff>
                  </from>
                  <to>
                    <xdr:col>9</xdr:col>
                    <xdr:colOff>812800</xdr:colOff>
                    <xdr:row>26</xdr:row>
                    <xdr:rowOff>95250</xdr:rowOff>
                  </to>
                </anchor>
              </controlPr>
            </control>
          </mc:Choice>
        </mc:AlternateContent>
      </controls>
    </mc:Choice>
  </mc:AlternateContent>
  <tableParts count="1">
    <tablePart r:id="rId5"/>
  </tableParts>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71C0C-9D99-4486-BDAF-F4AAC7ECCACF}">
  <sheetPr codeName="Sheet7"/>
  <dimension ref="A1:S18"/>
  <sheetViews>
    <sheetView zoomScale="62" workbookViewId="0">
      <selection activeCell="E8" sqref="E8"/>
    </sheetView>
  </sheetViews>
  <sheetFormatPr defaultColWidth="26.1796875" defaultRowHeight="14.5"/>
  <cols>
    <col min="1" max="1" width="19.1796875" bestFit="1" customWidth="1"/>
    <col min="2" max="2" width="14.1796875" bestFit="1" customWidth="1"/>
    <col min="3" max="4" width="13.1796875" bestFit="1" customWidth="1"/>
    <col min="5" max="5" width="15.1796875" bestFit="1" customWidth="1"/>
    <col min="6" max="6" width="13.81640625" bestFit="1" customWidth="1"/>
    <col min="7" max="7" width="14.1796875" bestFit="1" customWidth="1"/>
    <col min="9" max="9" width="5.1796875" bestFit="1" customWidth="1"/>
    <col min="10" max="10" width="14.1796875" bestFit="1" customWidth="1"/>
    <col min="11" max="13" width="13.1796875" bestFit="1" customWidth="1"/>
    <col min="15" max="15" width="5.1796875" bestFit="1" customWidth="1"/>
    <col min="16" max="16" width="9.453125" bestFit="1" customWidth="1"/>
    <col min="17" max="17" width="7.26953125" bestFit="1" customWidth="1"/>
    <col min="18" max="18" width="6.7265625" bestFit="1" customWidth="1"/>
    <col min="19" max="19" width="8.26953125" bestFit="1" customWidth="1"/>
  </cols>
  <sheetData>
    <row r="1" spans="1:19">
      <c r="A1" s="11"/>
      <c r="B1" s="11"/>
      <c r="C1" s="11"/>
      <c r="D1" s="11"/>
      <c r="E1" s="11"/>
      <c r="F1" s="11"/>
      <c r="G1" s="11"/>
      <c r="H1" s="11"/>
      <c r="I1" s="346" t="s">
        <v>44</v>
      </c>
      <c r="J1" s="346"/>
      <c r="K1" s="346"/>
      <c r="L1" s="346"/>
      <c r="M1" s="346"/>
      <c r="N1" s="11"/>
      <c r="O1" s="346" t="s">
        <v>73</v>
      </c>
      <c r="P1" s="346"/>
      <c r="Q1" s="346"/>
      <c r="R1" s="346"/>
      <c r="S1" s="346"/>
    </row>
    <row r="2" spans="1:19">
      <c r="A2" s="11" t="s">
        <v>18</v>
      </c>
      <c r="B2" s="11" t="s">
        <v>97</v>
      </c>
      <c r="C2" s="11" t="s">
        <v>46</v>
      </c>
      <c r="D2" s="11" t="s">
        <v>47</v>
      </c>
      <c r="E2" s="11" t="s">
        <v>48</v>
      </c>
      <c r="F2" s="11" t="s">
        <v>49</v>
      </c>
      <c r="G2" s="11" t="s">
        <v>107</v>
      </c>
      <c r="H2" s="11"/>
      <c r="I2" s="320" t="s">
        <v>97</v>
      </c>
      <c r="J2" s="320" t="s">
        <v>46</v>
      </c>
      <c r="K2" s="320" t="s">
        <v>47</v>
      </c>
      <c r="L2" s="323" t="s">
        <v>48</v>
      </c>
      <c r="M2" s="323" t="s">
        <v>49</v>
      </c>
      <c r="N2" s="321"/>
      <c r="O2" s="322" t="s">
        <v>97</v>
      </c>
      <c r="P2" s="320" t="s">
        <v>46</v>
      </c>
      <c r="Q2" s="320" t="s">
        <v>47</v>
      </c>
      <c r="R2" s="320" t="s">
        <v>48</v>
      </c>
      <c r="S2" s="320" t="s">
        <v>49</v>
      </c>
    </row>
    <row r="3" spans="1:19">
      <c r="A3" s="5" t="s">
        <v>27</v>
      </c>
      <c r="B3" s="255">
        <v>13814.442999999999</v>
      </c>
      <c r="C3" s="255">
        <v>46.591000000000001</v>
      </c>
      <c r="D3" s="255">
        <v>29774.761059999997</v>
      </c>
      <c r="E3" s="256">
        <v>3433.8544000000002</v>
      </c>
      <c r="F3" s="256">
        <v>2143.3890000000001</v>
      </c>
      <c r="G3" s="257">
        <f>SUM(Premises[[#This Row],[2021]:[2025]])</f>
        <v>49213.038460000003</v>
      </c>
      <c r="H3" s="257"/>
      <c r="I3" s="279" t="s">
        <v>51</v>
      </c>
      <c r="J3" s="279">
        <f>Premises[[#This Row],[2022]]-Premises[[#This Row],[2021]]</f>
        <v>-13767.851999999999</v>
      </c>
      <c r="K3" s="314">
        <f>Premises[[#This Row],[2023]]-Premises[[#This Row],[2022]]</f>
        <v>29728.170059999997</v>
      </c>
      <c r="L3" s="279">
        <f>Premises[[#This Row],[2024]]-Premises[[#This Row],[2023]]</f>
        <v>-26340.906659999997</v>
      </c>
      <c r="M3" s="279">
        <f>Premises[[#This Row],[2025]]-Premises[[#This Row],[2024]]</f>
        <v>-1290.4654</v>
      </c>
      <c r="N3" s="258"/>
      <c r="O3" s="280" t="s">
        <v>51</v>
      </c>
      <c r="P3" s="280" t="str">
        <f>IFERROR(J3/B4,"-")</f>
        <v>-</v>
      </c>
      <c r="Q3" s="280">
        <f>IFERROR(K3/C4,"-")</f>
        <v>10.704464090307596</v>
      </c>
      <c r="R3" s="280" t="str">
        <f>IFERROR(L3/D4,"-")</f>
        <v>-</v>
      </c>
      <c r="S3" s="280">
        <f>IFERROR(M3/E4,"-")</f>
        <v>-0.3007234568022068</v>
      </c>
    </row>
    <row r="4" spans="1:19">
      <c r="A4" s="5" t="s">
        <v>28</v>
      </c>
      <c r="B4" s="255">
        <v>0</v>
      </c>
      <c r="C4" s="255">
        <v>2777.1749999999997</v>
      </c>
      <c r="D4" s="255">
        <v>0</v>
      </c>
      <c r="E4" s="256">
        <v>4291.2029999999995</v>
      </c>
      <c r="F4" s="256">
        <v>1321.5250000000001</v>
      </c>
      <c r="G4" s="257">
        <f>SUM(Premises[[#This Row],[2021]:[2025]])</f>
        <v>8389.9029999999984</v>
      </c>
      <c r="H4" s="257"/>
      <c r="I4" s="279" t="s">
        <v>51</v>
      </c>
      <c r="J4" s="279">
        <f>Premises[[#This Row],[2022]]-Premises[[#This Row],[2021]]</f>
        <v>2777.1749999999997</v>
      </c>
      <c r="K4" s="314">
        <f>Premises[[#This Row],[2023]]-Premises[[#This Row],[2022]]</f>
        <v>-2777.1749999999997</v>
      </c>
      <c r="L4" s="279">
        <f>Premises[[#This Row],[2024]]-Premises[[#This Row],[2023]]</f>
        <v>4291.2029999999995</v>
      </c>
      <c r="M4" s="279">
        <f>Premises[[#This Row],[2025]]-Premises[[#This Row],[2024]]</f>
        <v>-2969.6779999999994</v>
      </c>
      <c r="N4" s="258"/>
      <c r="O4" s="280" t="s">
        <v>51</v>
      </c>
      <c r="P4" s="280">
        <f t="shared" ref="P4:P18" si="0">IFERROR(J4/B5,"-")</f>
        <v>0.61226143260588239</v>
      </c>
      <c r="Q4" s="280">
        <f t="shared" ref="Q4:Q18" si="1">IFERROR(K4/C5,"-")</f>
        <v>-0.15156311925077415</v>
      </c>
      <c r="R4" s="280">
        <f t="shared" ref="R4:R18" si="2">IFERROR(L4/D5,"-")</f>
        <v>0.21662260297176394</v>
      </c>
      <c r="S4" s="280">
        <f t="shared" ref="S4:S18" si="3">IFERROR(M4/E5,"-")</f>
        <v>-0.10972022668218236</v>
      </c>
    </row>
    <row r="5" spans="1:19">
      <c r="A5" s="5" t="s">
        <v>29</v>
      </c>
      <c r="B5" s="255">
        <v>4535.9299999999994</v>
      </c>
      <c r="C5" s="255">
        <v>18323.554</v>
      </c>
      <c r="D5" s="255">
        <v>19809.581000000006</v>
      </c>
      <c r="E5" s="256">
        <v>27065.911999999997</v>
      </c>
      <c r="F5" s="256">
        <v>898.76499999999999</v>
      </c>
      <c r="G5" s="257">
        <f>SUM(Premises[[#This Row],[2021]:[2025]])</f>
        <v>70633.741999999998</v>
      </c>
      <c r="H5" s="257"/>
      <c r="I5" s="279" t="s">
        <v>51</v>
      </c>
      <c r="J5" s="279">
        <f>Premises[[#This Row],[2022]]-Premises[[#This Row],[2021]]</f>
        <v>13787.624</v>
      </c>
      <c r="K5" s="314">
        <f>Premises[[#This Row],[2023]]-Premises[[#This Row],[2022]]</f>
        <v>1486.0270000000055</v>
      </c>
      <c r="L5" s="279">
        <f>Premises[[#This Row],[2024]]-Premises[[#This Row],[2023]]</f>
        <v>7256.330999999991</v>
      </c>
      <c r="M5" s="279">
        <f>Premises[[#This Row],[2025]]-Premises[[#This Row],[2024]]</f>
        <v>-26167.146999999997</v>
      </c>
      <c r="N5" s="258"/>
      <c r="O5" s="280" t="s">
        <v>51</v>
      </c>
      <c r="P5" s="280">
        <f t="shared" si="0"/>
        <v>1.4132881823211974</v>
      </c>
      <c r="Q5" s="280">
        <f t="shared" si="1"/>
        <v>22.904238594328078</v>
      </c>
      <c r="R5" s="280" t="str">
        <f t="shared" si="2"/>
        <v>-</v>
      </c>
      <c r="S5" s="280">
        <f t="shared" si="3"/>
        <v>-417.00632669322704</v>
      </c>
    </row>
    <row r="6" spans="1:19">
      <c r="A6" s="5" t="s">
        <v>30</v>
      </c>
      <c r="B6" s="258">
        <v>9755.7060000000001</v>
      </c>
      <c r="C6" s="258">
        <v>64.88</v>
      </c>
      <c r="D6" s="258">
        <v>0</v>
      </c>
      <c r="E6" s="256">
        <v>62.75</v>
      </c>
      <c r="F6" s="256">
        <v>21.8</v>
      </c>
      <c r="G6" s="257">
        <f>SUM(Premises[[#This Row],[2021]:[2025]])</f>
        <v>9905.1359999999986</v>
      </c>
      <c r="H6" s="257"/>
      <c r="I6" s="279" t="s">
        <v>51</v>
      </c>
      <c r="J6" s="279">
        <f>Premises[[#This Row],[2022]]-Premises[[#This Row],[2021]]</f>
        <v>-9690.8260000000009</v>
      </c>
      <c r="K6" s="314">
        <f>Premises[[#This Row],[2023]]-Premises[[#This Row],[2022]]</f>
        <v>-64.88</v>
      </c>
      <c r="L6" s="279">
        <f>Premises[[#This Row],[2024]]-Premises[[#This Row],[2023]]</f>
        <v>62.75</v>
      </c>
      <c r="M6" s="279">
        <f>Premises[[#This Row],[2025]]-Premises[[#This Row],[2024]]</f>
        <v>-40.950000000000003</v>
      </c>
      <c r="N6" s="258"/>
      <c r="O6" s="280" t="s">
        <v>51</v>
      </c>
      <c r="P6" s="280">
        <f t="shared" si="0"/>
        <v>-0.80242914094737527</v>
      </c>
      <c r="Q6" s="280">
        <f t="shared" si="1"/>
        <v>-1.1483185840707963</v>
      </c>
      <c r="R6" s="280" t="str">
        <f t="shared" si="2"/>
        <v>-</v>
      </c>
      <c r="S6" s="280">
        <f t="shared" si="3"/>
        <v>-0.66048387096774186</v>
      </c>
    </row>
    <row r="7" spans="1:19">
      <c r="A7" s="5" t="s">
        <v>31</v>
      </c>
      <c r="B7" s="258">
        <v>12076.862000000001</v>
      </c>
      <c r="C7" s="258">
        <v>56.5</v>
      </c>
      <c r="D7" s="258">
        <v>0</v>
      </c>
      <c r="E7" s="256">
        <v>62.000000000000007</v>
      </c>
      <c r="F7" s="256">
        <v>30.443999999999999</v>
      </c>
      <c r="G7" s="257">
        <f>SUM(Premises[[#This Row],[2021]:[2025]])</f>
        <v>12225.806</v>
      </c>
      <c r="H7" s="257"/>
      <c r="I7" s="279" t="s">
        <v>51</v>
      </c>
      <c r="J7" s="279">
        <f>Premises[[#This Row],[2022]]-Premises[[#This Row],[2021]]</f>
        <v>-12020.362000000001</v>
      </c>
      <c r="K7" s="314">
        <f>Premises[[#This Row],[2023]]-Premises[[#This Row],[2022]]</f>
        <v>-56.5</v>
      </c>
      <c r="L7" s="279">
        <f>Premises[[#This Row],[2024]]-Premises[[#This Row],[2023]]</f>
        <v>62.000000000000007</v>
      </c>
      <c r="M7" s="279">
        <f>Premises[[#This Row],[2025]]-Premises[[#This Row],[2024]]</f>
        <v>-31.556000000000008</v>
      </c>
      <c r="N7" s="258"/>
      <c r="O7" s="280" t="s">
        <v>51</v>
      </c>
      <c r="P7" s="280">
        <f t="shared" si="0"/>
        <v>-0.14336618995822603</v>
      </c>
      <c r="Q7" s="280">
        <f t="shared" si="1"/>
        <v>-0.21291509021570368</v>
      </c>
      <c r="R7" s="280">
        <f t="shared" si="2"/>
        <v>0.63044649847981049</v>
      </c>
      <c r="S7" s="280">
        <f t="shared" si="3"/>
        <v>-8.034095769598959E-2</v>
      </c>
    </row>
    <row r="8" spans="1:19">
      <c r="A8" s="5" t="s">
        <v>32</v>
      </c>
      <c r="B8" s="258">
        <v>83843.770999999979</v>
      </c>
      <c r="C8" s="258">
        <v>265.36400000000003</v>
      </c>
      <c r="D8" s="258">
        <v>98.343000000000004</v>
      </c>
      <c r="E8" s="256">
        <v>392.77600000000001</v>
      </c>
      <c r="F8" s="256">
        <v>1307.1309999999999</v>
      </c>
      <c r="G8" s="257">
        <f>SUM(Premises[[#This Row],[2021]:[2025]])</f>
        <v>85907.384999999966</v>
      </c>
      <c r="H8" s="257"/>
      <c r="I8" s="279" t="s">
        <v>51</v>
      </c>
      <c r="J8" s="279">
        <f>Premises[[#This Row],[2022]]-Premises[[#This Row],[2021]]</f>
        <v>-83578.406999999977</v>
      </c>
      <c r="K8" s="314">
        <f>Premises[[#This Row],[2023]]-Premises[[#This Row],[2022]]</f>
        <v>-167.02100000000002</v>
      </c>
      <c r="L8" s="279">
        <f>Premises[[#This Row],[2024]]-Premises[[#This Row],[2023]]</f>
        <v>294.43299999999999</v>
      </c>
      <c r="M8" s="279">
        <f>Premises[[#This Row],[2025]]-Premises[[#This Row],[2024]]</f>
        <v>914.35499999999979</v>
      </c>
      <c r="N8" s="258"/>
      <c r="O8" s="280" t="s">
        <v>51</v>
      </c>
      <c r="P8" s="280" t="str">
        <f t="shared" si="0"/>
        <v>-</v>
      </c>
      <c r="Q8" s="280">
        <f t="shared" si="1"/>
        <v>-6.4318006777572405</v>
      </c>
      <c r="R8" s="280" t="str">
        <f t="shared" si="2"/>
        <v>-</v>
      </c>
      <c r="S8" s="280">
        <f t="shared" si="3"/>
        <v>26.821795247873268</v>
      </c>
    </row>
    <row r="9" spans="1:19">
      <c r="A9" s="5" t="s">
        <v>35</v>
      </c>
      <c r="B9" s="258">
        <v>0</v>
      </c>
      <c r="C9" s="258">
        <v>25.968</v>
      </c>
      <c r="D9" s="258">
        <v>0</v>
      </c>
      <c r="E9" s="256">
        <v>34.090000000000003</v>
      </c>
      <c r="F9" s="256">
        <v>10.41</v>
      </c>
      <c r="G9" s="257">
        <f>SUM(Premises[[#This Row],[2021]:[2025]])</f>
        <v>70.468000000000004</v>
      </c>
      <c r="H9" s="257"/>
      <c r="I9" s="279" t="s">
        <v>51</v>
      </c>
      <c r="J9" s="279">
        <f>Premises[[#This Row],[2022]]-Premises[[#This Row],[2021]]</f>
        <v>25.968</v>
      </c>
      <c r="K9" s="314">
        <f>Premises[[#This Row],[2023]]-Premises[[#This Row],[2022]]</f>
        <v>-25.968</v>
      </c>
      <c r="L9" s="279">
        <f>Premises[[#This Row],[2024]]-Premises[[#This Row],[2023]]</f>
        <v>34.090000000000003</v>
      </c>
      <c r="M9" s="279">
        <f>Premises[[#This Row],[2025]]-Premises[[#This Row],[2024]]</f>
        <v>-23.680000000000003</v>
      </c>
      <c r="N9" s="258"/>
      <c r="O9" s="280" t="s">
        <v>51</v>
      </c>
      <c r="P9" s="280">
        <f t="shared" si="0"/>
        <v>0.10387200000000001</v>
      </c>
      <c r="Q9" s="280">
        <f t="shared" si="1"/>
        <v>-0.1055116510574325</v>
      </c>
      <c r="R9" s="280">
        <f t="shared" si="2"/>
        <v>0.33582898236626935</v>
      </c>
      <c r="S9" s="280">
        <f t="shared" si="3"/>
        <v>-3.7196443718387741E-2</v>
      </c>
    </row>
    <row r="10" spans="1:19">
      <c r="A10" s="5" t="s">
        <v>33</v>
      </c>
      <c r="B10" s="258">
        <v>250</v>
      </c>
      <c r="C10" s="258">
        <v>246.11500000000001</v>
      </c>
      <c r="D10" s="258">
        <v>101.51</v>
      </c>
      <c r="E10" s="256">
        <v>636.62</v>
      </c>
      <c r="F10" s="256">
        <v>843.79000000000008</v>
      </c>
      <c r="G10" s="257">
        <f>SUM(Premises[[#This Row],[2021]:[2025]])</f>
        <v>2078.0349999999999</v>
      </c>
      <c r="H10" s="257"/>
      <c r="I10" s="279" t="s">
        <v>51</v>
      </c>
      <c r="J10" s="279">
        <f>Premises[[#This Row],[2022]]-Premises[[#This Row],[2021]]</f>
        <v>-3.8849999999999909</v>
      </c>
      <c r="K10" s="314">
        <f>Premises[[#This Row],[2023]]-Premises[[#This Row],[2022]]</f>
        <v>-144.60500000000002</v>
      </c>
      <c r="L10" s="279">
        <f>Premises[[#This Row],[2024]]-Premises[[#This Row],[2023]]</f>
        <v>535.11</v>
      </c>
      <c r="M10" s="279">
        <f>Premises[[#This Row],[2025]]-Premises[[#This Row],[2024]]</f>
        <v>207.17000000000007</v>
      </c>
      <c r="N10" s="258"/>
      <c r="O10" s="280" t="s">
        <v>51</v>
      </c>
      <c r="P10" s="280" t="str">
        <f t="shared" si="0"/>
        <v>-</v>
      </c>
      <c r="Q10" s="280" t="str">
        <f t="shared" si="1"/>
        <v>-</v>
      </c>
      <c r="R10" s="280" t="str">
        <f t="shared" si="2"/>
        <v>-</v>
      </c>
      <c r="S10" s="280">
        <f t="shared" si="3"/>
        <v>0.83585160678622616</v>
      </c>
    </row>
    <row r="11" spans="1:19">
      <c r="A11" s="5" t="s">
        <v>34</v>
      </c>
      <c r="B11" s="258">
        <v>0</v>
      </c>
      <c r="C11" s="258">
        <v>0</v>
      </c>
      <c r="D11" s="258">
        <v>0</v>
      </c>
      <c r="E11" s="256">
        <v>247.85499999999999</v>
      </c>
      <c r="F11" s="256">
        <v>366.06000000000006</v>
      </c>
      <c r="G11" s="257">
        <f>SUM(Premises[[#This Row],[2021]:[2025]])</f>
        <v>613.91500000000008</v>
      </c>
      <c r="H11" s="257"/>
      <c r="I11" s="279" t="s">
        <v>51</v>
      </c>
      <c r="J11" s="279">
        <f>Premises[[#This Row],[2022]]-Premises[[#This Row],[2021]]</f>
        <v>0</v>
      </c>
      <c r="K11" s="314">
        <f>Premises[[#This Row],[2023]]-Premises[[#This Row],[2022]]</f>
        <v>0</v>
      </c>
      <c r="L11" s="279">
        <f>Premises[[#This Row],[2024]]-Premises[[#This Row],[2023]]</f>
        <v>247.85499999999999</v>
      </c>
      <c r="M11" s="279">
        <f>Premises[[#This Row],[2025]]-Premises[[#This Row],[2024]]</f>
        <v>118.20500000000007</v>
      </c>
      <c r="N11" s="258"/>
      <c r="O11" s="280" t="s">
        <v>51</v>
      </c>
      <c r="P11" s="280">
        <f t="shared" si="0"/>
        <v>0</v>
      </c>
      <c r="Q11" s="280">
        <f t="shared" si="1"/>
        <v>0</v>
      </c>
      <c r="R11" s="280" t="str">
        <f t="shared" si="2"/>
        <v>-</v>
      </c>
      <c r="S11" s="280" t="str">
        <f t="shared" si="3"/>
        <v>-</v>
      </c>
    </row>
    <row r="12" spans="1:19">
      <c r="A12" s="5" t="s">
        <v>38</v>
      </c>
      <c r="B12" s="258">
        <v>396389.03200000001</v>
      </c>
      <c r="C12" s="258">
        <v>518.60299999999995</v>
      </c>
      <c r="D12" s="258">
        <v>0</v>
      </c>
      <c r="E12" s="256">
        <v>0</v>
      </c>
      <c r="F12" s="256">
        <v>1048.983666666667</v>
      </c>
      <c r="G12" s="257">
        <f>SUM(Premises[[#This Row],[2021]:[2025]])</f>
        <v>397956.61866666668</v>
      </c>
      <c r="H12" s="257"/>
      <c r="I12" s="279" t="s">
        <v>51</v>
      </c>
      <c r="J12" s="279">
        <f>Premises[[#This Row],[2022]]-Premises[[#This Row],[2021]]</f>
        <v>-395870.429</v>
      </c>
      <c r="K12" s="314">
        <f>Premises[[#This Row],[2023]]-Premises[[#This Row],[2022]]</f>
        <v>-518.60299999999995</v>
      </c>
      <c r="L12" s="279">
        <f>Premises[[#This Row],[2024]]-Premises[[#This Row],[2023]]</f>
        <v>0</v>
      </c>
      <c r="M12" s="279">
        <f>Premises[[#This Row],[2025]]-Premises[[#This Row],[2024]]</f>
        <v>1048.983666666667</v>
      </c>
      <c r="N12" s="258"/>
      <c r="O12" s="280" t="s">
        <v>51</v>
      </c>
      <c r="P12" s="280">
        <f t="shared" si="0"/>
        <v>-2803.6149362606234</v>
      </c>
      <c r="Q12" s="280">
        <f t="shared" si="1"/>
        <v>-2.0535541328151614E-2</v>
      </c>
      <c r="R12" s="280">
        <f t="shared" si="2"/>
        <v>0</v>
      </c>
      <c r="S12" s="280">
        <f t="shared" si="3"/>
        <v>6.3857552138565324E-2</v>
      </c>
    </row>
    <row r="13" spans="1:19">
      <c r="A13" s="5" t="s">
        <v>39</v>
      </c>
      <c r="B13" s="258">
        <v>141.19999999999999</v>
      </c>
      <c r="C13" s="258">
        <v>25253.924000000003</v>
      </c>
      <c r="D13" s="258">
        <v>2914.3115799999996</v>
      </c>
      <c r="E13" s="256">
        <v>16426.931999999997</v>
      </c>
      <c r="F13" s="256">
        <v>858.13000000000011</v>
      </c>
      <c r="G13" s="257">
        <f>SUM(Premises[[#This Row],[2021]:[2025]])</f>
        <v>45594.497580000003</v>
      </c>
      <c r="H13" s="257"/>
      <c r="I13" s="279" t="s">
        <v>51</v>
      </c>
      <c r="J13" s="279">
        <f>Premises[[#This Row],[2022]]-Premises[[#This Row],[2021]]</f>
        <v>25112.724000000002</v>
      </c>
      <c r="K13" s="314">
        <f>Premises[[#This Row],[2023]]-Premises[[#This Row],[2022]]</f>
        <v>-22339.612420000005</v>
      </c>
      <c r="L13" s="279">
        <f>Premises[[#This Row],[2024]]-Premises[[#This Row],[2023]]</f>
        <v>13512.620419999997</v>
      </c>
      <c r="M13" s="279">
        <f>Premises[[#This Row],[2025]]-Premises[[#This Row],[2024]]</f>
        <v>-15568.801999999996</v>
      </c>
      <c r="N13" s="258"/>
      <c r="O13" s="280" t="s">
        <v>51</v>
      </c>
      <c r="P13" s="280">
        <f t="shared" si="0"/>
        <v>21.894266782911949</v>
      </c>
      <c r="Q13" s="280">
        <f t="shared" si="1"/>
        <v>-49.291749600628407</v>
      </c>
      <c r="R13" s="280">
        <f t="shared" si="2"/>
        <v>28.117122427605334</v>
      </c>
      <c r="S13" s="280">
        <f t="shared" si="3"/>
        <v>-12.581358438724793</v>
      </c>
    </row>
    <row r="14" spans="1:19">
      <c r="A14" s="5" t="s">
        <v>36</v>
      </c>
      <c r="B14" s="258">
        <v>1146.9999999999998</v>
      </c>
      <c r="C14" s="258">
        <v>453.21200000000005</v>
      </c>
      <c r="D14" s="258">
        <v>480.58333333333337</v>
      </c>
      <c r="E14" s="256">
        <v>1237.45</v>
      </c>
      <c r="F14" s="256">
        <v>1822.8157999999999</v>
      </c>
      <c r="G14" s="257">
        <f>SUM(Premises[[#This Row],[2021]:[2025]])</f>
        <v>5141.0611333333327</v>
      </c>
      <c r="H14" s="257"/>
      <c r="I14" s="279" t="s">
        <v>51</v>
      </c>
      <c r="J14" s="279">
        <f>Premises[[#This Row],[2022]]-Premises[[#This Row],[2021]]</f>
        <v>-693.78799999999978</v>
      </c>
      <c r="K14" s="314">
        <f>Premises[[#This Row],[2023]]-Premises[[#This Row],[2022]]</f>
        <v>27.371333333333325</v>
      </c>
      <c r="L14" s="279">
        <f>Premises[[#This Row],[2024]]-Premises[[#This Row],[2023]]</f>
        <v>756.86666666666667</v>
      </c>
      <c r="M14" s="279">
        <f>Premises[[#This Row],[2025]]-Premises[[#This Row],[2024]]</f>
        <v>585.36579999999981</v>
      </c>
      <c r="N14" s="258"/>
      <c r="O14" s="280" t="s">
        <v>51</v>
      </c>
      <c r="P14" s="280" t="str">
        <f t="shared" si="0"/>
        <v>-</v>
      </c>
      <c r="Q14" s="280">
        <f t="shared" si="1"/>
        <v>0.10899355441580919</v>
      </c>
      <c r="R14" s="280">
        <f t="shared" si="2"/>
        <v>41.945614424000588</v>
      </c>
      <c r="S14" s="280">
        <f t="shared" si="3"/>
        <v>3.4843202380952372</v>
      </c>
    </row>
    <row r="15" spans="1:19">
      <c r="A15" s="5" t="s">
        <v>37</v>
      </c>
      <c r="B15" s="258">
        <v>0</v>
      </c>
      <c r="C15" s="258">
        <v>251.12799999999996</v>
      </c>
      <c r="D15" s="258">
        <v>18.044</v>
      </c>
      <c r="E15" s="256">
        <v>168</v>
      </c>
      <c r="F15" s="256">
        <v>2685.9410000000003</v>
      </c>
      <c r="G15" s="257">
        <f>SUM(Premises[[#This Row],[2021]:[2025]])</f>
        <v>3123.1130000000003</v>
      </c>
      <c r="H15" s="257"/>
      <c r="I15" s="279" t="s">
        <v>51</v>
      </c>
      <c r="J15" s="279">
        <f>Premises[[#This Row],[2022]]-Premises[[#This Row],[2021]]</f>
        <v>251.12799999999996</v>
      </c>
      <c r="K15" s="314">
        <f>Premises[[#This Row],[2023]]-Premises[[#This Row],[2022]]</f>
        <v>-233.08399999999995</v>
      </c>
      <c r="L15" s="279">
        <f>Premises[[#This Row],[2024]]-Premises[[#This Row],[2023]]</f>
        <v>149.95599999999999</v>
      </c>
      <c r="M15" s="279">
        <f>Premises[[#This Row],[2025]]-Premises[[#This Row],[2024]]</f>
        <v>2517.9410000000003</v>
      </c>
      <c r="N15" s="258"/>
      <c r="O15" s="280" t="s">
        <v>51</v>
      </c>
      <c r="P15" s="280">
        <f t="shared" si="0"/>
        <v>6.5912860892388445E-2</v>
      </c>
      <c r="Q15" s="280">
        <f t="shared" si="1"/>
        <v>-0.11542811865497943</v>
      </c>
      <c r="R15" s="280" t="str">
        <f t="shared" si="2"/>
        <v>-</v>
      </c>
      <c r="S15" s="280" t="str">
        <f t="shared" si="3"/>
        <v>-</v>
      </c>
    </row>
    <row r="16" spans="1:19">
      <c r="A16" s="5" t="s">
        <v>41</v>
      </c>
      <c r="B16" s="258">
        <v>3810</v>
      </c>
      <c r="C16" s="258">
        <v>2019.3</v>
      </c>
      <c r="D16" s="258">
        <v>0</v>
      </c>
      <c r="E16" s="256">
        <v>0</v>
      </c>
      <c r="F16" s="256">
        <v>89.5</v>
      </c>
      <c r="G16" s="257">
        <f>SUM(Premises[[#This Row],[2021]:[2025]])</f>
        <v>5918.8</v>
      </c>
      <c r="H16" s="257"/>
      <c r="I16" s="279" t="s">
        <v>51</v>
      </c>
      <c r="J16" s="279">
        <f>Premises[[#This Row],[2022]]-Premises[[#This Row],[2021]]</f>
        <v>-1790.7</v>
      </c>
      <c r="K16" s="314">
        <f>Premises[[#This Row],[2023]]-Premises[[#This Row],[2022]]</f>
        <v>-2019.3</v>
      </c>
      <c r="L16" s="279">
        <f>Premises[[#This Row],[2024]]-Premises[[#This Row],[2023]]</f>
        <v>0</v>
      </c>
      <c r="M16" s="279">
        <f>Premises[[#This Row],[2025]]-Premises[[#This Row],[2024]]</f>
        <v>89.5</v>
      </c>
      <c r="N16" s="258"/>
      <c r="O16" s="280" t="s">
        <v>51</v>
      </c>
      <c r="P16" s="280" t="str">
        <f t="shared" si="0"/>
        <v>-</v>
      </c>
      <c r="Q16" s="280" t="str">
        <f t="shared" si="1"/>
        <v>-</v>
      </c>
      <c r="R16" s="280" t="str">
        <f t="shared" si="2"/>
        <v>-</v>
      </c>
      <c r="S16" s="280" t="str">
        <f t="shared" si="3"/>
        <v>-</v>
      </c>
    </row>
    <row r="17" spans="1:19">
      <c r="A17" s="5" t="s">
        <v>71</v>
      </c>
      <c r="B17" s="277">
        <v>0</v>
      </c>
      <c r="C17" s="258">
        <v>0</v>
      </c>
      <c r="D17" s="258">
        <v>0</v>
      </c>
      <c r="E17" s="256">
        <v>0</v>
      </c>
      <c r="F17" s="256">
        <v>0</v>
      </c>
      <c r="G17" s="257">
        <f>SUM(Premises[[#This Row],[2021]:[2025]])</f>
        <v>0</v>
      </c>
      <c r="H17" s="257"/>
      <c r="I17" s="279" t="s">
        <v>51</v>
      </c>
      <c r="J17" s="279">
        <f>Premises[[#This Row],[2022]]-Premises[[#This Row],[2021]]</f>
        <v>0</v>
      </c>
      <c r="K17" s="314">
        <f>Premises[[#This Row],[2023]]-Premises[[#This Row],[2022]]</f>
        <v>0</v>
      </c>
      <c r="L17" s="279">
        <f>Premises[[#This Row],[2024]]-Premises[[#This Row],[2023]]</f>
        <v>0</v>
      </c>
      <c r="M17" s="279">
        <f>Premises[[#This Row],[2025]]-Premises[[#This Row],[2024]]</f>
        <v>0</v>
      </c>
      <c r="N17" s="258"/>
      <c r="O17" s="280" t="s">
        <v>51</v>
      </c>
      <c r="P17" s="280" t="str">
        <f t="shared" si="0"/>
        <v>-</v>
      </c>
      <c r="Q17" s="280" t="str">
        <f t="shared" si="1"/>
        <v>-</v>
      </c>
      <c r="R17" s="280" t="str">
        <f t="shared" si="2"/>
        <v>-</v>
      </c>
      <c r="S17" s="280" t="str">
        <f t="shared" si="3"/>
        <v>-</v>
      </c>
    </row>
    <row r="18" spans="1:19">
      <c r="A18" s="5" t="s">
        <v>70</v>
      </c>
      <c r="B18" s="277">
        <v>0</v>
      </c>
      <c r="C18" s="258">
        <v>0</v>
      </c>
      <c r="D18" s="258">
        <v>0</v>
      </c>
      <c r="E18" s="256">
        <v>0</v>
      </c>
      <c r="F18" s="256">
        <v>0</v>
      </c>
      <c r="G18" s="257">
        <f>SUM(Premises[[#This Row],[2021]:[2025]])</f>
        <v>0</v>
      </c>
      <c r="H18" s="257"/>
      <c r="I18" s="279" t="s">
        <v>51</v>
      </c>
      <c r="J18" s="279">
        <f>Premises[[#This Row],[2022]]-Premises[[#This Row],[2021]]</f>
        <v>0</v>
      </c>
      <c r="K18" s="314">
        <f>Premises[[#This Row],[2023]]-Premises[[#This Row],[2022]]</f>
        <v>0</v>
      </c>
      <c r="L18" s="279">
        <f>Premises[[#This Row],[2024]]-Premises[[#This Row],[2023]]</f>
        <v>0</v>
      </c>
      <c r="M18" s="279">
        <f>Premises[[#This Row],[2025]]-Premises[[#This Row],[2024]]</f>
        <v>0</v>
      </c>
      <c r="N18" s="258"/>
      <c r="O18" s="280" t="s">
        <v>51</v>
      </c>
      <c r="P18" s="280" t="str">
        <f t="shared" si="0"/>
        <v>-</v>
      </c>
      <c r="Q18" s="280" t="str">
        <f t="shared" si="1"/>
        <v>-</v>
      </c>
      <c r="R18" s="280" t="str">
        <f t="shared" si="2"/>
        <v>-</v>
      </c>
      <c r="S18" s="280" t="str">
        <f t="shared" si="3"/>
        <v>-</v>
      </c>
    </row>
  </sheetData>
  <mergeCells count="2">
    <mergeCell ref="I1:M1"/>
    <mergeCell ref="O1:S1"/>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45" r:id="rId3" name="Button 1">
              <controlPr defaultSize="0" print="0" autoFill="0" autoPict="0" macro="[0]!Sheet2.Go_Malaysia">
                <anchor moveWithCells="1" sizeWithCells="1">
                  <from>
                    <xdr:col>5</xdr:col>
                    <xdr:colOff>82550</xdr:colOff>
                    <xdr:row>19</xdr:row>
                    <xdr:rowOff>127000</xdr:rowOff>
                  </from>
                  <to>
                    <xdr:col>7</xdr:col>
                    <xdr:colOff>311150</xdr:colOff>
                    <xdr:row>24</xdr:row>
                    <xdr:rowOff>25400</xdr:rowOff>
                  </to>
                </anchor>
              </controlPr>
            </control>
          </mc:Choice>
        </mc:AlternateContent>
        <mc:AlternateContent xmlns:mc="http://schemas.openxmlformats.org/markup-compatibility/2006">
          <mc:Choice Requires="x14">
            <control shapeId="6146" r:id="rId4" name="Button 2">
              <controlPr defaultSize="0" print="0" autoFill="0" autoPict="0" macro="[0]!Sheet2.Go_Dashboard">
                <anchor moveWithCells="1" sizeWithCells="1">
                  <from>
                    <xdr:col>5</xdr:col>
                    <xdr:colOff>69850</xdr:colOff>
                    <xdr:row>24</xdr:row>
                    <xdr:rowOff>101600</xdr:rowOff>
                  </from>
                  <to>
                    <xdr:col>7</xdr:col>
                    <xdr:colOff>247650</xdr:colOff>
                    <xdr:row>28</xdr:row>
                    <xdr:rowOff>19050</xdr:rowOff>
                  </to>
                </anchor>
              </controlPr>
            </control>
          </mc:Choice>
        </mc:AlternateContent>
      </controls>
    </mc:Choice>
  </mc:AlternateContent>
  <tableParts count="1">
    <tablePart r:id="rId5"/>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0B2A8-9F2C-43C8-A7C0-FA93214082F5}">
  <sheetPr codeName="Sheet18"/>
  <dimension ref="A1:AJ36"/>
  <sheetViews>
    <sheetView zoomScale="109" workbookViewId="0">
      <selection activeCell="E6" sqref="E6:F6"/>
    </sheetView>
  </sheetViews>
  <sheetFormatPr defaultRowHeight="14.5"/>
  <cols>
    <col min="5" max="6" width="8.54296875" bestFit="1" customWidth="1"/>
    <col min="8" max="8" width="5.81640625" bestFit="1" customWidth="1"/>
    <col min="9" max="9" width="6.54296875" bestFit="1" customWidth="1"/>
    <col min="11" max="12" width="8.54296875" bestFit="1" customWidth="1"/>
    <col min="17" max="18" width="8.54296875" bestFit="1" customWidth="1"/>
    <col min="20" max="20" width="6.54296875" bestFit="1" customWidth="1"/>
    <col min="21" max="21" width="7.54296875" bestFit="1" customWidth="1"/>
    <col min="23" max="24" width="8.54296875" bestFit="1" customWidth="1"/>
    <col min="27" max="27" width="8.81640625" bestFit="1" customWidth="1"/>
    <col min="29" max="29" width="9.54296875" bestFit="1" customWidth="1"/>
    <col min="30" max="30" width="8.453125" bestFit="1" customWidth="1"/>
    <col min="32" max="32" width="8.453125" bestFit="1" customWidth="1"/>
    <col min="33" max="33" width="6.7265625" bestFit="1" customWidth="1"/>
    <col min="35" max="35" width="9.54296875" bestFit="1" customWidth="1"/>
    <col min="36" max="36" width="8.453125" bestFit="1" customWidth="1"/>
  </cols>
  <sheetData>
    <row r="1" spans="1:36">
      <c r="A1" s="361" t="s">
        <v>133</v>
      </c>
      <c r="B1" s="361"/>
      <c r="C1" s="361"/>
      <c r="D1" s="361"/>
      <c r="E1" s="361"/>
      <c r="F1" s="361"/>
      <c r="G1" s="361"/>
      <c r="H1" s="361"/>
      <c r="I1" s="361"/>
      <c r="J1" s="361"/>
      <c r="K1" s="361"/>
      <c r="L1" s="361"/>
      <c r="N1" s="361" t="s">
        <v>134</v>
      </c>
      <c r="O1" s="361"/>
      <c r="P1" s="361"/>
      <c r="Q1" s="361"/>
      <c r="R1" s="361"/>
      <c r="S1" s="361"/>
      <c r="T1" s="361"/>
      <c r="U1" s="361"/>
      <c r="V1" s="361"/>
      <c r="W1" s="361"/>
      <c r="X1" s="361"/>
      <c r="Z1" s="355" t="s">
        <v>135</v>
      </c>
      <c r="AA1" s="355"/>
      <c r="AB1" s="355"/>
      <c r="AC1" s="355"/>
      <c r="AD1" s="355"/>
      <c r="AE1" s="355"/>
      <c r="AF1" s="355"/>
      <c r="AG1" s="355"/>
      <c r="AH1" s="355"/>
      <c r="AI1" s="355"/>
      <c r="AJ1" s="355"/>
    </row>
    <row r="2" spans="1:36">
      <c r="A2" s="362" t="s">
        <v>136</v>
      </c>
      <c r="B2" s="362"/>
      <c r="C2" s="362"/>
      <c r="D2" s="362"/>
      <c r="E2" s="362"/>
      <c r="F2" s="362"/>
      <c r="G2" s="362"/>
      <c r="H2" s="362"/>
      <c r="I2" s="362"/>
      <c r="J2" s="362"/>
      <c r="K2" s="362"/>
      <c r="L2" s="362"/>
      <c r="N2" s="362" t="s">
        <v>137</v>
      </c>
      <c r="O2" s="362"/>
      <c r="P2" s="362"/>
      <c r="Q2" s="362"/>
      <c r="R2" s="362"/>
      <c r="S2" s="362"/>
      <c r="T2" s="362"/>
      <c r="U2" s="362"/>
      <c r="V2" s="362"/>
      <c r="W2" s="362"/>
      <c r="X2" s="362"/>
      <c r="Z2" s="356" t="s">
        <v>138</v>
      </c>
      <c r="AA2" s="356"/>
      <c r="AB2" s="356"/>
      <c r="AC2" s="356"/>
      <c r="AD2" s="356"/>
      <c r="AE2" s="356"/>
      <c r="AF2" s="356"/>
      <c r="AG2" s="356"/>
      <c r="AH2" s="356"/>
      <c r="AI2" s="356"/>
      <c r="AJ2" s="356"/>
    </row>
    <row r="3" spans="1:36" ht="15" thickBot="1">
      <c r="A3" s="85"/>
      <c r="B3" s="85"/>
      <c r="C3" s="85"/>
      <c r="D3" s="86"/>
      <c r="E3" s="86"/>
      <c r="F3" s="86"/>
      <c r="G3" s="86"/>
      <c r="H3" s="86"/>
      <c r="I3" s="86"/>
      <c r="J3" s="86"/>
      <c r="K3" s="86"/>
      <c r="L3" s="86"/>
      <c r="N3" s="85"/>
      <c r="O3" s="85"/>
      <c r="P3" s="85"/>
      <c r="Q3" s="86"/>
      <c r="R3" s="86"/>
      <c r="S3" s="86"/>
      <c r="T3" s="86"/>
      <c r="U3" s="86"/>
      <c r="V3" s="86"/>
      <c r="W3" s="86"/>
      <c r="X3" s="86"/>
      <c r="Z3" s="155"/>
      <c r="AA3" s="155"/>
      <c r="AB3" s="155"/>
      <c r="AC3" s="156"/>
      <c r="AD3" s="156"/>
      <c r="AE3" s="156"/>
      <c r="AF3" s="156"/>
      <c r="AG3" s="156"/>
      <c r="AH3" s="156"/>
      <c r="AI3" s="156"/>
      <c r="AJ3" s="156"/>
    </row>
    <row r="4" spans="1:36" ht="15" thickTop="1">
      <c r="A4" s="87"/>
      <c r="B4" s="87"/>
      <c r="C4" s="87"/>
      <c r="D4" s="87"/>
      <c r="E4" s="87"/>
      <c r="F4" s="87"/>
      <c r="G4" s="88"/>
      <c r="H4" s="88"/>
      <c r="I4" s="88"/>
      <c r="J4" s="88"/>
      <c r="K4" s="88"/>
      <c r="L4" s="88"/>
      <c r="N4" s="136"/>
      <c r="O4" s="136"/>
      <c r="P4" s="136"/>
      <c r="Q4" s="363" t="s">
        <v>139</v>
      </c>
      <c r="R4" s="363"/>
      <c r="S4" s="363"/>
      <c r="T4" s="363"/>
      <c r="U4" s="363"/>
      <c r="V4" s="137"/>
      <c r="W4" s="137"/>
      <c r="X4" s="137"/>
      <c r="Z4" s="157"/>
      <c r="AA4" s="157"/>
      <c r="AB4" s="157"/>
      <c r="AC4" s="357" t="s">
        <v>140</v>
      </c>
      <c r="AD4" s="357"/>
      <c r="AE4" s="357"/>
      <c r="AF4" s="357"/>
      <c r="AG4" s="357"/>
      <c r="AJ4" s="158"/>
    </row>
    <row r="5" spans="1:36" ht="15" thickBot="1">
      <c r="A5" s="87"/>
      <c r="B5" s="368" t="s">
        <v>54</v>
      </c>
      <c r="C5" s="87"/>
      <c r="D5" s="88"/>
      <c r="E5" s="369" t="s">
        <v>139</v>
      </c>
      <c r="F5" s="369"/>
      <c r="G5" s="369"/>
      <c r="H5" s="369"/>
      <c r="I5" s="369"/>
      <c r="J5" s="88"/>
      <c r="K5" s="370" t="s">
        <v>141</v>
      </c>
      <c r="L5" s="370"/>
      <c r="N5" s="136"/>
      <c r="O5" s="365" t="s">
        <v>142</v>
      </c>
      <c r="P5" s="136"/>
      <c r="Q5" s="364"/>
      <c r="R5" s="364"/>
      <c r="S5" s="364"/>
      <c r="T5" s="364"/>
      <c r="U5" s="364"/>
      <c r="V5" s="137"/>
      <c r="W5" s="366" t="s">
        <v>143</v>
      </c>
      <c r="X5" s="366"/>
      <c r="Z5" s="157"/>
      <c r="AA5" s="359" t="s">
        <v>119</v>
      </c>
      <c r="AB5" s="157"/>
      <c r="AC5" s="358"/>
      <c r="AD5" s="358"/>
      <c r="AE5" s="358"/>
      <c r="AF5" s="358"/>
      <c r="AG5" s="358"/>
      <c r="AI5" s="360" t="s">
        <v>144</v>
      </c>
      <c r="AJ5" s="360"/>
    </row>
    <row r="6" spans="1:36">
      <c r="A6" s="29"/>
      <c r="B6" s="368"/>
      <c r="C6" s="29"/>
      <c r="D6" s="31"/>
      <c r="E6" s="370" t="s">
        <v>145</v>
      </c>
      <c r="F6" s="370"/>
      <c r="G6" s="120"/>
      <c r="H6" s="370" t="s">
        <v>146</v>
      </c>
      <c r="I6" s="370"/>
      <c r="J6" s="31"/>
      <c r="K6" s="370"/>
      <c r="L6" s="370"/>
      <c r="N6" s="139"/>
      <c r="O6" s="365"/>
      <c r="P6" s="139"/>
      <c r="Q6" s="367" t="s">
        <v>147</v>
      </c>
      <c r="R6" s="367"/>
      <c r="S6" s="140"/>
      <c r="T6" s="367" t="s">
        <v>148</v>
      </c>
      <c r="U6" s="367"/>
      <c r="V6" s="141"/>
      <c r="W6" s="366"/>
      <c r="X6" s="366"/>
      <c r="Z6" s="53"/>
      <c r="AA6" s="359"/>
      <c r="AB6" s="53"/>
      <c r="AC6" s="353" t="s">
        <v>149</v>
      </c>
      <c r="AD6" s="353"/>
      <c r="AE6" s="160"/>
      <c r="AF6" s="353" t="s">
        <v>150</v>
      </c>
      <c r="AG6" s="353"/>
      <c r="AH6" s="161"/>
      <c r="AI6" s="360"/>
      <c r="AJ6" s="360"/>
    </row>
    <row r="7" spans="1:36" ht="15" thickBot="1">
      <c r="A7" s="33"/>
      <c r="B7" s="127"/>
      <c r="C7" s="33"/>
      <c r="D7" s="91"/>
      <c r="E7" s="122">
        <v>2022</v>
      </c>
      <c r="F7" s="122">
        <v>2023</v>
      </c>
      <c r="G7" s="123"/>
      <c r="H7" s="122">
        <v>2022</v>
      </c>
      <c r="I7" s="122">
        <v>2023</v>
      </c>
      <c r="J7" s="91"/>
      <c r="K7" s="122">
        <v>2022</v>
      </c>
      <c r="L7" s="122">
        <v>2023</v>
      </c>
      <c r="N7" s="142"/>
      <c r="O7" s="143"/>
      <c r="P7" s="142"/>
      <c r="Q7" s="144">
        <v>2023</v>
      </c>
      <c r="R7" s="144">
        <v>2024</v>
      </c>
      <c r="S7" s="145"/>
      <c r="T7" s="144">
        <v>2023</v>
      </c>
      <c r="U7" s="144">
        <v>2024</v>
      </c>
      <c r="V7" s="146"/>
      <c r="W7" s="144">
        <v>2023</v>
      </c>
      <c r="X7" s="144">
        <v>2024</v>
      </c>
      <c r="Z7" s="162"/>
      <c r="AA7" s="163"/>
      <c r="AB7" s="162"/>
      <c r="AC7" s="1">
        <v>2024</v>
      </c>
      <c r="AD7" s="1">
        <v>2025</v>
      </c>
      <c r="AE7" s="164"/>
      <c r="AF7" s="1">
        <v>2024</v>
      </c>
      <c r="AG7" s="1">
        <v>2025</v>
      </c>
      <c r="AH7" s="165"/>
      <c r="AI7" s="1">
        <v>2024</v>
      </c>
      <c r="AJ7" s="1">
        <v>2025</v>
      </c>
    </row>
    <row r="8" spans="1:36" ht="28">
      <c r="A8" s="94"/>
      <c r="B8" s="134" t="s">
        <v>50</v>
      </c>
      <c r="C8" s="95"/>
      <c r="D8" s="99"/>
      <c r="E8" s="96">
        <v>154515.47230000002</v>
      </c>
      <c r="F8" s="96">
        <v>119504.6747</v>
      </c>
      <c r="G8" s="99"/>
      <c r="H8" s="135" t="s">
        <v>53</v>
      </c>
      <c r="I8" s="124">
        <v>1124.70011</v>
      </c>
      <c r="J8" s="99"/>
      <c r="K8" s="96">
        <v>154515.47230000002</v>
      </c>
      <c r="L8" s="96">
        <v>120629.37481000001</v>
      </c>
      <c r="N8" s="147"/>
      <c r="O8" s="148" t="s">
        <v>50</v>
      </c>
      <c r="P8" s="101"/>
      <c r="Q8" s="149">
        <v>119504.6747</v>
      </c>
      <c r="R8" s="150">
        <v>162623.78359999997</v>
      </c>
      <c r="S8" s="100"/>
      <c r="T8" s="151">
        <v>1124.70011</v>
      </c>
      <c r="U8" s="152">
        <v>22598.020197662507</v>
      </c>
      <c r="V8" s="100"/>
      <c r="W8" s="149">
        <v>120629.37481000001</v>
      </c>
      <c r="X8" s="149">
        <v>185221.80379766246</v>
      </c>
      <c r="Z8" s="166"/>
      <c r="AA8" s="2" t="s">
        <v>50</v>
      </c>
      <c r="AB8" s="67"/>
      <c r="AC8" s="167">
        <v>162623.78359999997</v>
      </c>
      <c r="AD8" s="167">
        <v>52486.977660000004</v>
      </c>
      <c r="AE8" s="168"/>
      <c r="AF8" s="169">
        <v>22598.020197662507</v>
      </c>
      <c r="AG8" s="167">
        <v>72.147999999999996</v>
      </c>
      <c r="AH8" s="168"/>
      <c r="AI8" s="57">
        <v>185221.80379766246</v>
      </c>
      <c r="AJ8" s="167">
        <v>52558.477660000004</v>
      </c>
    </row>
    <row r="9" spans="1:36">
      <c r="A9" s="100"/>
      <c r="B9" s="47"/>
      <c r="C9" s="101"/>
      <c r="D9" s="100"/>
      <c r="E9" s="101"/>
      <c r="F9" s="101"/>
      <c r="G9" s="100"/>
      <c r="H9" s="26"/>
      <c r="I9" s="106"/>
      <c r="J9" s="100"/>
      <c r="K9" s="101"/>
      <c r="L9" s="101"/>
      <c r="N9" s="100"/>
      <c r="O9" s="148"/>
      <c r="P9" s="101"/>
      <c r="Q9" s="101"/>
      <c r="R9" s="125"/>
      <c r="S9" s="100"/>
      <c r="T9" s="153"/>
      <c r="U9" s="64"/>
      <c r="V9" s="100"/>
      <c r="W9" s="101"/>
      <c r="X9" s="101"/>
      <c r="Z9" s="168"/>
      <c r="AA9" s="2"/>
      <c r="AB9" s="67"/>
      <c r="AC9" s="170"/>
      <c r="AD9" s="170"/>
      <c r="AE9" s="168"/>
      <c r="AF9" s="61"/>
      <c r="AG9" s="61"/>
      <c r="AH9" s="168"/>
      <c r="AI9" s="67"/>
      <c r="AJ9" s="168"/>
    </row>
    <row r="10" spans="1:36">
      <c r="A10" s="100"/>
      <c r="B10" s="48" t="s">
        <v>27</v>
      </c>
      <c r="C10" s="101"/>
      <c r="D10" s="100"/>
      <c r="E10" s="103">
        <v>247.36</v>
      </c>
      <c r="F10" s="125">
        <v>25196.239000000001</v>
      </c>
      <c r="G10" s="118"/>
      <c r="H10" s="65" t="s">
        <v>53</v>
      </c>
      <c r="I10" s="102">
        <v>42.43</v>
      </c>
      <c r="J10" s="100"/>
      <c r="K10" s="103">
        <v>247.36</v>
      </c>
      <c r="L10" s="103">
        <v>25238.669000000002</v>
      </c>
      <c r="N10" s="100"/>
      <c r="O10" s="154" t="s">
        <v>27</v>
      </c>
      <c r="P10" s="101"/>
      <c r="Q10" s="125">
        <v>25196.239000000001</v>
      </c>
      <c r="R10" s="125">
        <v>2429.7150000000001</v>
      </c>
      <c r="S10" s="118"/>
      <c r="T10" s="68">
        <v>42.43</v>
      </c>
      <c r="U10" s="20">
        <v>3.0751200000000001</v>
      </c>
      <c r="V10" s="100"/>
      <c r="W10" s="103">
        <v>25238.669000000002</v>
      </c>
      <c r="X10" s="125">
        <v>2432.7901200000001</v>
      </c>
      <c r="Z10" s="168"/>
      <c r="AA10" s="3" t="s">
        <v>27</v>
      </c>
      <c r="AB10" s="67"/>
      <c r="AC10" s="170">
        <v>2429.7150000000001</v>
      </c>
      <c r="AD10" s="170">
        <v>13010.384</v>
      </c>
      <c r="AE10" s="171"/>
      <c r="AF10" s="24">
        <v>3.0751200000000001</v>
      </c>
      <c r="AG10" s="24"/>
      <c r="AH10" s="168"/>
      <c r="AI10" s="170">
        <v>2432.7901200000001</v>
      </c>
      <c r="AJ10" s="172">
        <v>13010.384</v>
      </c>
    </row>
    <row r="11" spans="1:36">
      <c r="A11" s="100"/>
      <c r="B11" s="48"/>
      <c r="C11" s="101"/>
      <c r="D11" s="100"/>
      <c r="E11" s="101"/>
      <c r="F11" s="125"/>
      <c r="G11" s="118"/>
      <c r="H11" s="65"/>
      <c r="I11" s="102"/>
      <c r="J11" s="100"/>
      <c r="K11" s="101"/>
      <c r="L11" s="125"/>
      <c r="N11" s="100"/>
      <c r="O11" s="154"/>
      <c r="P11" s="101"/>
      <c r="Q11" s="125"/>
      <c r="R11" s="125"/>
      <c r="S11" s="118"/>
      <c r="T11" s="68"/>
      <c r="U11" s="20"/>
      <c r="V11" s="100"/>
      <c r="W11" s="125"/>
      <c r="X11" s="125"/>
      <c r="Z11" s="168"/>
      <c r="AA11" s="3"/>
      <c r="AB11" s="67"/>
      <c r="AC11" s="170"/>
      <c r="AD11" s="170"/>
      <c r="AE11" s="171"/>
      <c r="AF11" s="24"/>
      <c r="AG11" s="24"/>
      <c r="AH11" s="168"/>
      <c r="AI11" s="170"/>
      <c r="AJ11" s="171"/>
    </row>
    <row r="12" spans="1:36">
      <c r="A12" s="100"/>
      <c r="B12" s="48" t="s">
        <v>28</v>
      </c>
      <c r="C12" s="101"/>
      <c r="D12" s="100"/>
      <c r="E12" s="103">
        <v>327.09999999999997</v>
      </c>
      <c r="F12" s="125">
        <v>416.2</v>
      </c>
      <c r="G12" s="118"/>
      <c r="H12" s="65" t="s">
        <v>53</v>
      </c>
      <c r="I12" s="102">
        <v>0</v>
      </c>
      <c r="J12" s="100"/>
      <c r="K12" s="103">
        <v>327.09999999999997</v>
      </c>
      <c r="L12" s="103">
        <v>416.2</v>
      </c>
      <c r="N12" s="100"/>
      <c r="O12" s="154" t="s">
        <v>28</v>
      </c>
      <c r="P12" s="101"/>
      <c r="Q12" s="125">
        <v>416.2</v>
      </c>
      <c r="R12" s="125">
        <v>118210.03</v>
      </c>
      <c r="S12" s="118"/>
      <c r="T12" s="68">
        <v>0</v>
      </c>
      <c r="U12" s="68">
        <v>0</v>
      </c>
      <c r="V12" s="100"/>
      <c r="W12" s="103">
        <v>416.2</v>
      </c>
      <c r="X12" s="125">
        <v>118210.03</v>
      </c>
      <c r="Z12" s="168"/>
      <c r="AA12" s="3" t="s">
        <v>28</v>
      </c>
      <c r="AB12" s="67"/>
      <c r="AC12" s="170">
        <v>118210.03</v>
      </c>
      <c r="AD12" s="170">
        <v>5039.9400000000005</v>
      </c>
      <c r="AE12" s="171"/>
      <c r="AF12" s="69">
        <v>0</v>
      </c>
      <c r="AG12" s="69"/>
      <c r="AH12" s="168"/>
      <c r="AI12" s="170">
        <v>118210.03</v>
      </c>
      <c r="AJ12" s="172">
        <v>5039.9400000000005</v>
      </c>
    </row>
    <row r="13" spans="1:36">
      <c r="A13" s="100"/>
      <c r="B13" s="48"/>
      <c r="C13" s="101"/>
      <c r="D13" s="100"/>
      <c r="E13" s="101"/>
      <c r="F13" s="125"/>
      <c r="G13" s="118"/>
      <c r="H13" s="65"/>
      <c r="I13" s="106"/>
      <c r="J13" s="100"/>
      <c r="K13" s="101"/>
      <c r="L13" s="125"/>
      <c r="N13" s="100"/>
      <c r="O13" s="154"/>
      <c r="P13" s="101"/>
      <c r="Q13" s="125"/>
      <c r="R13" s="125"/>
      <c r="S13" s="118"/>
      <c r="T13" s="153"/>
      <c r="U13" s="20"/>
      <c r="V13" s="100"/>
      <c r="W13" s="125"/>
      <c r="X13" s="125"/>
      <c r="Z13" s="168"/>
      <c r="AA13" s="3"/>
      <c r="AB13" s="67"/>
      <c r="AC13" s="170"/>
      <c r="AD13" s="170"/>
      <c r="AE13" s="171"/>
      <c r="AF13" s="24"/>
      <c r="AG13" s="24"/>
      <c r="AH13" s="168"/>
      <c r="AI13" s="170"/>
      <c r="AJ13" s="171"/>
    </row>
    <row r="14" spans="1:36" ht="28">
      <c r="A14" s="100"/>
      <c r="B14" s="48" t="s">
        <v>29</v>
      </c>
      <c r="C14" s="101"/>
      <c r="D14" s="100"/>
      <c r="E14" s="103">
        <v>66034.690300000002</v>
      </c>
      <c r="F14" s="125">
        <v>52525.092299999997</v>
      </c>
      <c r="G14" s="118"/>
      <c r="H14" s="65" t="s">
        <v>53</v>
      </c>
      <c r="I14" s="102">
        <v>22.4</v>
      </c>
      <c r="J14" s="100"/>
      <c r="K14" s="103">
        <v>66034.690300000002</v>
      </c>
      <c r="L14" s="103">
        <v>52547.492299999998</v>
      </c>
      <c r="N14" s="100"/>
      <c r="O14" s="154" t="s">
        <v>29</v>
      </c>
      <c r="P14" s="101"/>
      <c r="Q14" s="125">
        <v>52525.092299999997</v>
      </c>
      <c r="R14" s="125">
        <v>22443.979500000001</v>
      </c>
      <c r="S14" s="118"/>
      <c r="T14" s="68">
        <v>22.4</v>
      </c>
      <c r="U14" s="20">
        <v>21344.106426362501</v>
      </c>
      <c r="V14" s="100"/>
      <c r="W14" s="103">
        <v>52547.492299999998</v>
      </c>
      <c r="X14" s="125">
        <v>43788.085926362503</v>
      </c>
      <c r="Z14" s="168"/>
      <c r="AA14" s="3" t="s">
        <v>29</v>
      </c>
      <c r="AB14" s="67"/>
      <c r="AC14" s="170">
        <v>22443.979500000001</v>
      </c>
      <c r="AD14" s="170">
        <v>4383.692</v>
      </c>
      <c r="AE14" s="171"/>
      <c r="AF14" s="24">
        <v>21344.106426362501</v>
      </c>
      <c r="AG14" s="24"/>
      <c r="AH14" s="168"/>
      <c r="AI14" s="170">
        <v>43788.085926362503</v>
      </c>
      <c r="AJ14" s="172">
        <v>4383.692</v>
      </c>
    </row>
    <row r="15" spans="1:36">
      <c r="A15" s="100"/>
      <c r="B15" s="48"/>
      <c r="C15" s="101"/>
      <c r="D15" s="100"/>
      <c r="E15" s="101"/>
      <c r="F15" s="125"/>
      <c r="G15" s="118"/>
      <c r="H15" s="65"/>
      <c r="I15" s="106"/>
      <c r="J15" s="100"/>
      <c r="K15" s="101"/>
      <c r="L15" s="125"/>
      <c r="N15" s="100"/>
      <c r="O15" s="154"/>
      <c r="P15" s="101"/>
      <c r="Q15" s="125"/>
      <c r="R15" s="125"/>
      <c r="S15" s="118"/>
      <c r="T15" s="153"/>
      <c r="U15" s="20"/>
      <c r="V15" s="100"/>
      <c r="W15" s="125"/>
      <c r="X15" s="125"/>
      <c r="Z15" s="168"/>
      <c r="AA15" s="3"/>
      <c r="AB15" s="67"/>
      <c r="AC15" s="170"/>
      <c r="AD15" s="170"/>
      <c r="AE15" s="171"/>
      <c r="AF15" s="24"/>
      <c r="AG15" s="24"/>
      <c r="AH15" s="168"/>
      <c r="AI15" s="170"/>
      <c r="AJ15" s="171"/>
    </row>
    <row r="16" spans="1:36">
      <c r="A16" s="100"/>
      <c r="B16" s="48" t="s">
        <v>30</v>
      </c>
      <c r="C16" s="101"/>
      <c r="D16" s="100"/>
      <c r="E16" s="103">
        <v>98.3</v>
      </c>
      <c r="F16" s="125">
        <v>206.44239999999999</v>
      </c>
      <c r="G16" s="118"/>
      <c r="H16" s="65" t="s">
        <v>53</v>
      </c>
      <c r="I16" s="102">
        <v>1.3</v>
      </c>
      <c r="J16" s="100"/>
      <c r="K16" s="103">
        <v>98.3</v>
      </c>
      <c r="L16" s="103">
        <v>207.7424</v>
      </c>
      <c r="N16" s="100"/>
      <c r="O16" s="154" t="s">
        <v>30</v>
      </c>
      <c r="P16" s="101"/>
      <c r="Q16" s="125">
        <v>206.44239999999999</v>
      </c>
      <c r="R16" s="125">
        <v>471.6866</v>
      </c>
      <c r="S16" s="118"/>
      <c r="T16" s="68">
        <v>1.3</v>
      </c>
      <c r="U16" s="20">
        <v>0</v>
      </c>
      <c r="V16" s="100"/>
      <c r="W16" s="103">
        <v>207.7424</v>
      </c>
      <c r="X16" s="125">
        <v>471.6866</v>
      </c>
      <c r="Z16" s="168"/>
      <c r="AA16" s="3" t="s">
        <v>30</v>
      </c>
      <c r="AB16" s="67"/>
      <c r="AC16" s="170">
        <v>471.6866</v>
      </c>
      <c r="AD16" s="170">
        <v>512.298</v>
      </c>
      <c r="AE16" s="171"/>
      <c r="AF16" s="24">
        <v>0</v>
      </c>
      <c r="AG16" s="24"/>
      <c r="AH16" s="168"/>
      <c r="AI16" s="170">
        <v>471.6866</v>
      </c>
      <c r="AJ16" s="172">
        <v>512.298</v>
      </c>
    </row>
    <row r="17" spans="1:36">
      <c r="A17" s="100"/>
      <c r="B17" s="48"/>
      <c r="C17" s="101"/>
      <c r="D17" s="100"/>
      <c r="E17" s="101"/>
      <c r="F17" s="125"/>
      <c r="G17" s="118"/>
      <c r="H17" s="65"/>
      <c r="I17" s="106"/>
      <c r="J17" s="100"/>
      <c r="K17" s="101"/>
      <c r="L17" s="125"/>
      <c r="N17" s="100"/>
      <c r="O17" s="154"/>
      <c r="P17" s="101"/>
      <c r="Q17" s="125"/>
      <c r="R17" s="125"/>
      <c r="S17" s="118"/>
      <c r="T17" s="153"/>
      <c r="U17" s="20"/>
      <c r="V17" s="100"/>
      <c r="W17" s="125"/>
      <c r="X17" s="125"/>
      <c r="Z17" s="168"/>
      <c r="AA17" s="3"/>
      <c r="AB17" s="67"/>
      <c r="AC17" s="170"/>
      <c r="AD17" s="170"/>
      <c r="AE17" s="171"/>
      <c r="AF17" s="24"/>
      <c r="AG17" s="24"/>
      <c r="AH17" s="168"/>
      <c r="AI17" s="170"/>
      <c r="AJ17" s="171"/>
    </row>
    <row r="18" spans="1:36" ht="42">
      <c r="A18" s="100"/>
      <c r="B18" s="48" t="s">
        <v>31</v>
      </c>
      <c r="C18" s="101"/>
      <c r="D18" s="100"/>
      <c r="E18" s="103">
        <v>3007.1380000000004</v>
      </c>
      <c r="F18" s="125">
        <v>3023.6379999999999</v>
      </c>
      <c r="G18" s="118"/>
      <c r="H18" s="65" t="s">
        <v>53</v>
      </c>
      <c r="I18" s="102">
        <v>0</v>
      </c>
      <c r="J18" s="100"/>
      <c r="K18" s="103">
        <v>3007.1380000000004</v>
      </c>
      <c r="L18" s="103">
        <v>3023.6379999999999</v>
      </c>
      <c r="N18" s="100"/>
      <c r="O18" s="154" t="s">
        <v>31</v>
      </c>
      <c r="P18" s="101"/>
      <c r="Q18" s="125">
        <v>3023.6379999999999</v>
      </c>
      <c r="R18" s="125">
        <v>1209.9190000000001</v>
      </c>
      <c r="S18" s="118"/>
      <c r="T18" s="68">
        <v>0</v>
      </c>
      <c r="U18" s="20">
        <v>0</v>
      </c>
      <c r="V18" s="100"/>
      <c r="W18" s="103">
        <v>3023.6379999999999</v>
      </c>
      <c r="X18" s="125">
        <v>1209.9190000000001</v>
      </c>
      <c r="Z18" s="168"/>
      <c r="AA18" s="3" t="s">
        <v>31</v>
      </c>
      <c r="AB18" s="67"/>
      <c r="AC18" s="170">
        <v>1209.9190000000001</v>
      </c>
      <c r="AD18" s="170">
        <v>2623.4051999999997</v>
      </c>
      <c r="AE18" s="171"/>
      <c r="AF18" s="24">
        <v>0</v>
      </c>
      <c r="AG18" s="24"/>
      <c r="AH18" s="168"/>
      <c r="AI18" s="170">
        <v>1209.9190000000001</v>
      </c>
      <c r="AJ18" s="172">
        <v>2623.4051999999997</v>
      </c>
    </row>
    <row r="19" spans="1:36">
      <c r="A19" s="100"/>
      <c r="B19" s="48"/>
      <c r="C19" s="101"/>
      <c r="D19" s="100"/>
      <c r="E19" s="101"/>
      <c r="F19" s="125"/>
      <c r="G19" s="118"/>
      <c r="H19" s="65"/>
      <c r="I19" s="106"/>
      <c r="J19" s="100"/>
      <c r="K19" s="101"/>
      <c r="L19" s="125"/>
      <c r="N19" s="100"/>
      <c r="O19" s="154"/>
      <c r="P19" s="101"/>
      <c r="Q19" s="125"/>
      <c r="R19" s="125"/>
      <c r="S19" s="118"/>
      <c r="T19" s="153"/>
      <c r="U19" s="20"/>
      <c r="V19" s="100"/>
      <c r="W19" s="125"/>
      <c r="X19" s="125"/>
      <c r="Z19" s="168"/>
      <c r="AA19" s="3"/>
      <c r="AB19" s="67"/>
      <c r="AC19" s="170"/>
      <c r="AD19" s="170"/>
      <c r="AE19" s="171"/>
      <c r="AF19" s="24"/>
      <c r="AG19" s="24"/>
      <c r="AH19" s="168"/>
      <c r="AI19" s="170"/>
      <c r="AJ19" s="171"/>
    </row>
    <row r="20" spans="1:36">
      <c r="A20" s="100"/>
      <c r="B20" s="48" t="s">
        <v>32</v>
      </c>
      <c r="C20" s="101"/>
      <c r="D20" s="100"/>
      <c r="E20" s="103">
        <v>1692.82</v>
      </c>
      <c r="F20" s="125">
        <v>2694.02</v>
      </c>
      <c r="G20" s="118"/>
      <c r="H20" s="65" t="s">
        <v>53</v>
      </c>
      <c r="I20" s="102">
        <v>675.4</v>
      </c>
      <c r="J20" s="100"/>
      <c r="K20" s="103">
        <v>1692.82</v>
      </c>
      <c r="L20" s="103">
        <v>3369.42</v>
      </c>
      <c r="N20" s="100"/>
      <c r="O20" s="154" t="s">
        <v>32</v>
      </c>
      <c r="P20" s="101"/>
      <c r="Q20" s="125">
        <v>2694.02</v>
      </c>
      <c r="R20" s="125">
        <v>8807.0689999999995</v>
      </c>
      <c r="S20" s="118"/>
      <c r="T20" s="68">
        <v>675.4</v>
      </c>
      <c r="U20" s="20">
        <v>0</v>
      </c>
      <c r="V20" s="100"/>
      <c r="W20" s="103">
        <v>3369.42</v>
      </c>
      <c r="X20" s="125">
        <v>8807.0689999999995</v>
      </c>
      <c r="Z20" s="168"/>
      <c r="AA20" s="3" t="s">
        <v>32</v>
      </c>
      <c r="AB20" s="67"/>
      <c r="AC20" s="170">
        <v>8807.0689999999995</v>
      </c>
      <c r="AD20" s="170">
        <v>4288.7643599999992</v>
      </c>
      <c r="AE20" s="171"/>
      <c r="AF20" s="24">
        <v>0</v>
      </c>
      <c r="AG20" s="24"/>
      <c r="AH20" s="168"/>
      <c r="AI20" s="170">
        <v>8807.0689999999995</v>
      </c>
      <c r="AJ20" s="172">
        <v>4288.7643599999992</v>
      </c>
    </row>
    <row r="21" spans="1:36">
      <c r="A21" s="100"/>
      <c r="B21" s="48"/>
      <c r="C21" s="101"/>
      <c r="D21" s="100"/>
      <c r="E21" s="101"/>
      <c r="F21" s="125"/>
      <c r="G21" s="118"/>
      <c r="H21" s="65"/>
      <c r="I21" s="106"/>
      <c r="J21" s="100"/>
      <c r="K21" s="101"/>
      <c r="L21" s="125"/>
      <c r="N21" s="100"/>
      <c r="O21" s="154"/>
      <c r="P21" s="101"/>
      <c r="Q21" s="125"/>
      <c r="R21" s="125"/>
      <c r="S21" s="118"/>
      <c r="T21" s="153"/>
      <c r="U21" s="20"/>
      <c r="V21" s="100"/>
      <c r="W21" s="125"/>
      <c r="X21" s="125"/>
      <c r="Z21" s="168"/>
      <c r="AA21" s="3"/>
      <c r="AB21" s="67"/>
      <c r="AC21" s="170"/>
      <c r="AD21" s="170"/>
      <c r="AE21" s="171"/>
      <c r="AF21" s="24"/>
      <c r="AG21" s="24"/>
      <c r="AH21" s="168"/>
      <c r="AI21" s="170"/>
      <c r="AJ21" s="171"/>
    </row>
    <row r="22" spans="1:36" ht="28">
      <c r="A22" s="100"/>
      <c r="B22" s="48" t="s">
        <v>35</v>
      </c>
      <c r="C22" s="101"/>
      <c r="D22" s="100"/>
      <c r="E22" s="103">
        <v>74.847999999999999</v>
      </c>
      <c r="F22" s="125">
        <v>99.847999999999999</v>
      </c>
      <c r="G22" s="118"/>
      <c r="H22" s="65" t="s">
        <v>53</v>
      </c>
      <c r="I22" s="102">
        <v>0</v>
      </c>
      <c r="J22" s="100"/>
      <c r="K22" s="103">
        <v>74.847999999999999</v>
      </c>
      <c r="L22" s="103">
        <v>99.847999999999999</v>
      </c>
      <c r="N22" s="100"/>
      <c r="O22" s="154" t="s">
        <v>35</v>
      </c>
      <c r="P22" s="101"/>
      <c r="Q22" s="125">
        <v>99.847999999999999</v>
      </c>
      <c r="R22" s="125">
        <v>63</v>
      </c>
      <c r="S22" s="118"/>
      <c r="T22" s="68">
        <v>0</v>
      </c>
      <c r="U22" s="68">
        <v>0</v>
      </c>
      <c r="V22" s="100"/>
      <c r="W22" s="103">
        <v>99.847999999999999</v>
      </c>
      <c r="X22" s="125">
        <v>63</v>
      </c>
      <c r="Z22" s="168"/>
      <c r="AA22" s="3" t="s">
        <v>35</v>
      </c>
      <c r="AB22" s="67"/>
      <c r="AC22" s="170">
        <v>63</v>
      </c>
      <c r="AD22" s="170">
        <v>2592.7346000000002</v>
      </c>
      <c r="AE22" s="171"/>
      <c r="AF22" s="69">
        <v>0</v>
      </c>
      <c r="AG22" s="69"/>
      <c r="AH22" s="168"/>
      <c r="AI22" s="170">
        <v>63</v>
      </c>
      <c r="AJ22" s="172">
        <v>2592.7346000000002</v>
      </c>
    </row>
    <row r="23" spans="1:36">
      <c r="A23" s="100"/>
      <c r="B23" s="48"/>
      <c r="C23" s="101"/>
      <c r="D23" s="100"/>
      <c r="E23" s="101"/>
      <c r="F23" s="125"/>
      <c r="G23" s="118"/>
      <c r="H23" s="65"/>
      <c r="I23" s="106"/>
      <c r="J23" s="100"/>
      <c r="K23" s="101"/>
      <c r="L23" s="125"/>
      <c r="N23" s="100"/>
      <c r="O23" s="154"/>
      <c r="P23" s="101"/>
      <c r="Q23" s="125"/>
      <c r="R23" s="125"/>
      <c r="S23" s="118"/>
      <c r="T23" s="153"/>
      <c r="U23" s="20"/>
      <c r="V23" s="100"/>
      <c r="W23" s="125"/>
      <c r="X23" s="125"/>
      <c r="Z23" s="168"/>
      <c r="AA23" s="3"/>
      <c r="AB23" s="67"/>
      <c r="AC23" s="170"/>
      <c r="AD23" s="170"/>
      <c r="AE23" s="171"/>
      <c r="AF23" s="24"/>
      <c r="AG23" s="24"/>
      <c r="AH23" s="168"/>
      <c r="AI23" s="170"/>
      <c r="AJ23" s="171"/>
    </row>
    <row r="24" spans="1:36">
      <c r="A24" s="100"/>
      <c r="B24" s="48" t="s">
        <v>33</v>
      </c>
      <c r="C24" s="101"/>
      <c r="D24" s="100"/>
      <c r="E24" s="103">
        <v>767.81299999999999</v>
      </c>
      <c r="F24" s="125">
        <v>767.81299999999999</v>
      </c>
      <c r="G24" s="118"/>
      <c r="H24" s="65" t="s">
        <v>53</v>
      </c>
      <c r="I24" s="102">
        <v>0</v>
      </c>
      <c r="J24" s="100"/>
      <c r="K24" s="103">
        <v>767.81299999999999</v>
      </c>
      <c r="L24" s="103">
        <v>767.81299999999999</v>
      </c>
      <c r="N24" s="100"/>
      <c r="O24" s="154" t="s">
        <v>33</v>
      </c>
      <c r="P24" s="101"/>
      <c r="Q24" s="125">
        <v>767.81299999999999</v>
      </c>
      <c r="R24" s="125">
        <v>312.34100000000001</v>
      </c>
      <c r="S24" s="118"/>
      <c r="T24" s="68">
        <v>0</v>
      </c>
      <c r="U24" s="20">
        <v>0</v>
      </c>
      <c r="V24" s="100"/>
      <c r="W24" s="103">
        <v>767.81299999999999</v>
      </c>
      <c r="X24" s="125">
        <v>312.34100000000001</v>
      </c>
      <c r="Z24" s="168"/>
      <c r="AA24" s="3" t="s">
        <v>33</v>
      </c>
      <c r="AB24" s="67"/>
      <c r="AC24" s="170">
        <v>312.34100000000001</v>
      </c>
      <c r="AD24" s="170">
        <v>4479.0749999999998</v>
      </c>
      <c r="AE24" s="171"/>
      <c r="AF24" s="24">
        <v>0</v>
      </c>
      <c r="AG24" s="24"/>
      <c r="AH24" s="168"/>
      <c r="AI24" s="170">
        <v>312.34100000000001</v>
      </c>
      <c r="AJ24" s="172">
        <v>4479.0749999999998</v>
      </c>
    </row>
    <row r="25" spans="1:36">
      <c r="A25" s="100"/>
      <c r="B25" s="48"/>
      <c r="C25" s="101"/>
      <c r="D25" s="100"/>
      <c r="E25" s="101"/>
      <c r="F25" s="125"/>
      <c r="G25" s="118"/>
      <c r="H25" s="65"/>
      <c r="I25" s="106"/>
      <c r="J25" s="100"/>
      <c r="K25" s="101"/>
      <c r="L25" s="125"/>
      <c r="N25" s="100"/>
      <c r="O25" s="154"/>
      <c r="P25" s="101"/>
      <c r="Q25" s="125"/>
      <c r="R25" s="125"/>
      <c r="S25" s="118"/>
      <c r="T25" s="153"/>
      <c r="U25" s="20"/>
      <c r="V25" s="100"/>
      <c r="W25" s="125"/>
      <c r="X25" s="125"/>
      <c r="Z25" s="168"/>
      <c r="AA25" s="3"/>
      <c r="AB25" s="67"/>
      <c r="AC25" s="170"/>
      <c r="AD25" s="170"/>
      <c r="AE25" s="171"/>
      <c r="AF25" s="24"/>
      <c r="AG25" s="24"/>
      <c r="AH25" s="168"/>
      <c r="AI25" s="170"/>
      <c r="AJ25" s="171"/>
    </row>
    <row r="26" spans="1:36" ht="25">
      <c r="A26" s="100"/>
      <c r="B26" s="48" t="s">
        <v>38</v>
      </c>
      <c r="C26" s="101"/>
      <c r="D26" s="100"/>
      <c r="E26" s="103">
        <v>3144.6039999999998</v>
      </c>
      <c r="F26" s="125">
        <v>3284.3829999999998</v>
      </c>
      <c r="G26" s="118"/>
      <c r="H26" s="65" t="s">
        <v>53</v>
      </c>
      <c r="I26" s="102">
        <v>0</v>
      </c>
      <c r="J26" s="100"/>
      <c r="K26" s="103">
        <v>3144.6039999999998</v>
      </c>
      <c r="L26" s="103">
        <v>3284.3829999999998</v>
      </c>
      <c r="N26" s="100"/>
      <c r="O26" s="154" t="s">
        <v>34</v>
      </c>
      <c r="P26" s="101"/>
      <c r="Q26" s="125">
        <v>0</v>
      </c>
      <c r="R26" s="125">
        <v>176.15</v>
      </c>
      <c r="S26" s="118"/>
      <c r="T26" s="68">
        <v>0</v>
      </c>
      <c r="U26" s="68">
        <v>0</v>
      </c>
      <c r="V26" s="100"/>
      <c r="W26" s="125"/>
      <c r="X26" s="125">
        <v>176.15</v>
      </c>
      <c r="Z26" s="168"/>
      <c r="AA26" s="3" t="s">
        <v>34</v>
      </c>
      <c r="AB26" s="67"/>
      <c r="AC26" s="170">
        <v>176.15</v>
      </c>
      <c r="AD26" s="170">
        <v>1221.9720000000002</v>
      </c>
      <c r="AE26" s="171"/>
      <c r="AF26" s="69">
        <v>0</v>
      </c>
      <c r="AG26" s="69"/>
      <c r="AH26" s="168"/>
      <c r="AI26" s="170">
        <v>176.15</v>
      </c>
      <c r="AJ26" s="172">
        <v>1221.9720000000002</v>
      </c>
    </row>
    <row r="27" spans="1:36">
      <c r="A27" s="100"/>
      <c r="B27" s="48"/>
      <c r="C27" s="101"/>
      <c r="D27" s="100"/>
      <c r="E27" s="101"/>
      <c r="F27" s="125"/>
      <c r="G27" s="118"/>
      <c r="H27" s="65"/>
      <c r="I27" s="106"/>
      <c r="J27" s="100"/>
      <c r="K27" s="101"/>
      <c r="L27" s="125"/>
      <c r="N27" s="100"/>
      <c r="O27" s="154"/>
      <c r="P27" s="101"/>
      <c r="Q27" s="125"/>
      <c r="R27" s="125"/>
      <c r="S27" s="118"/>
      <c r="T27" s="153"/>
      <c r="U27" s="20"/>
      <c r="V27" s="100"/>
      <c r="W27" s="125"/>
      <c r="X27" s="125"/>
      <c r="Z27" s="168"/>
      <c r="AA27" s="3"/>
      <c r="AB27" s="67"/>
      <c r="AC27" s="170"/>
      <c r="AD27" s="170"/>
      <c r="AE27" s="171"/>
      <c r="AF27" s="24"/>
      <c r="AG27" s="24"/>
      <c r="AH27" s="168"/>
      <c r="AI27" s="170"/>
      <c r="AJ27" s="171"/>
    </row>
    <row r="28" spans="1:36" ht="28">
      <c r="A28" s="100"/>
      <c r="B28" s="48" t="s">
        <v>39</v>
      </c>
      <c r="C28" s="101"/>
      <c r="D28" s="100"/>
      <c r="E28" s="103">
        <v>79022.298999999999</v>
      </c>
      <c r="F28" s="125">
        <v>31186.999</v>
      </c>
      <c r="G28" s="118"/>
      <c r="H28" s="65" t="s">
        <v>53</v>
      </c>
      <c r="I28" s="102">
        <v>94.640109999999993</v>
      </c>
      <c r="J28" s="100"/>
      <c r="K28" s="103">
        <v>79022.298999999999</v>
      </c>
      <c r="L28" s="103">
        <v>31281.63911</v>
      </c>
      <c r="N28" s="100"/>
      <c r="O28" s="154" t="s">
        <v>38</v>
      </c>
      <c r="P28" s="101"/>
      <c r="Q28" s="125">
        <v>3284.3829999999998</v>
      </c>
      <c r="R28" s="125">
        <v>1870.1579999999999</v>
      </c>
      <c r="S28" s="118"/>
      <c r="T28" s="68">
        <v>0</v>
      </c>
      <c r="U28" s="20">
        <v>17.322659999999999</v>
      </c>
      <c r="V28" s="100"/>
      <c r="W28" s="103">
        <v>3284.3829999999998</v>
      </c>
      <c r="X28" s="125">
        <v>1887.4806599999999</v>
      </c>
      <c r="Z28" s="168"/>
      <c r="AA28" s="3" t="s">
        <v>38</v>
      </c>
      <c r="AB28" s="67"/>
      <c r="AC28" s="170">
        <v>1870.1579999999999</v>
      </c>
      <c r="AD28" s="170">
        <v>9582.0305000000008</v>
      </c>
      <c r="AE28" s="171"/>
      <c r="AF28" s="24">
        <v>17.322659999999999</v>
      </c>
      <c r="AG28" s="24"/>
      <c r="AH28" s="168"/>
      <c r="AI28" s="170">
        <v>1887.4806599999999</v>
      </c>
      <c r="AJ28" s="172">
        <v>9582.0305000000008</v>
      </c>
    </row>
    <row r="29" spans="1:36">
      <c r="A29" s="100"/>
      <c r="B29" s="48"/>
      <c r="C29" s="101"/>
      <c r="D29" s="100"/>
      <c r="E29" s="101"/>
      <c r="F29" s="125"/>
      <c r="G29" s="118"/>
      <c r="H29" s="65"/>
      <c r="I29" s="106"/>
      <c r="J29" s="100"/>
      <c r="K29" s="101"/>
      <c r="L29" s="125"/>
      <c r="N29" s="100"/>
      <c r="O29" s="154"/>
      <c r="P29" s="101"/>
      <c r="Q29" s="125"/>
      <c r="R29" s="125"/>
      <c r="S29" s="118"/>
      <c r="T29" s="153"/>
      <c r="U29" s="20"/>
      <c r="V29" s="100"/>
      <c r="W29" s="125"/>
      <c r="X29" s="125"/>
      <c r="Z29" s="168"/>
      <c r="AA29" s="3"/>
      <c r="AB29" s="67"/>
      <c r="AC29" s="170"/>
      <c r="AD29" s="170"/>
      <c r="AE29" s="171"/>
      <c r="AF29" s="24"/>
      <c r="AG29" s="24"/>
      <c r="AH29" s="168"/>
      <c r="AI29" s="170"/>
      <c r="AJ29" s="171"/>
    </row>
    <row r="30" spans="1:36" ht="28">
      <c r="A30" s="100"/>
      <c r="B30" s="48" t="s">
        <v>36</v>
      </c>
      <c r="C30" s="101"/>
      <c r="D30" s="100"/>
      <c r="E30" s="103">
        <v>0</v>
      </c>
      <c r="F30" s="125">
        <v>5.5</v>
      </c>
      <c r="G30" s="118"/>
      <c r="H30" s="65" t="s">
        <v>53</v>
      </c>
      <c r="I30" s="102">
        <v>190.25</v>
      </c>
      <c r="J30" s="100"/>
      <c r="K30" s="103">
        <v>0</v>
      </c>
      <c r="L30" s="103">
        <v>195.75</v>
      </c>
      <c r="N30" s="100"/>
      <c r="O30" s="154" t="s">
        <v>39</v>
      </c>
      <c r="P30" s="101"/>
      <c r="Q30" s="125">
        <v>31186.999</v>
      </c>
      <c r="R30" s="125">
        <v>6132.1365000000005</v>
      </c>
      <c r="S30" s="118"/>
      <c r="T30" s="68">
        <v>94.640109999999993</v>
      </c>
      <c r="U30" s="20">
        <v>529.08199130000003</v>
      </c>
      <c r="V30" s="100"/>
      <c r="W30" s="103">
        <v>31281.63911</v>
      </c>
      <c r="X30" s="125">
        <v>6661.2184913000001</v>
      </c>
      <c r="Z30" s="168"/>
      <c r="AA30" s="3" t="s">
        <v>39</v>
      </c>
      <c r="AB30" s="67"/>
      <c r="AC30" s="170">
        <v>6132.1365000000005</v>
      </c>
      <c r="AD30" s="170">
        <v>1012.3599999999999</v>
      </c>
      <c r="AE30" s="171"/>
      <c r="AF30" s="24">
        <v>529.08199130000003</v>
      </c>
      <c r="AG30" s="24"/>
      <c r="AH30" s="168"/>
      <c r="AI30" s="170">
        <v>6661.2184913000001</v>
      </c>
      <c r="AJ30" s="172">
        <v>1012.3599999999999</v>
      </c>
    </row>
    <row r="31" spans="1:36">
      <c r="A31" s="100"/>
      <c r="B31" s="48"/>
      <c r="C31" s="101"/>
      <c r="D31" s="100"/>
      <c r="E31" s="101"/>
      <c r="F31" s="125"/>
      <c r="G31" s="118"/>
      <c r="H31" s="65"/>
      <c r="I31" s="106"/>
      <c r="J31" s="100"/>
      <c r="K31" s="101"/>
      <c r="L31" s="125"/>
      <c r="N31" s="100"/>
      <c r="O31" s="154"/>
      <c r="P31" s="101"/>
      <c r="Q31" s="125"/>
      <c r="R31" s="125"/>
      <c r="S31" s="118"/>
      <c r="T31" s="153"/>
      <c r="U31" s="20"/>
      <c r="V31" s="100"/>
      <c r="W31" s="125"/>
      <c r="X31" s="125"/>
      <c r="Z31" s="168"/>
      <c r="AA31" s="3"/>
      <c r="AB31" s="67"/>
      <c r="AC31" s="170"/>
      <c r="AD31" s="170"/>
      <c r="AE31" s="171"/>
      <c r="AF31" s="24"/>
      <c r="AG31" s="24"/>
      <c r="AH31" s="168"/>
      <c r="AI31" s="170"/>
      <c r="AJ31" s="171"/>
    </row>
    <row r="32" spans="1:36" ht="25">
      <c r="A32" s="100"/>
      <c r="B32" s="48" t="s">
        <v>37</v>
      </c>
      <c r="C32" s="101"/>
      <c r="D32" s="100"/>
      <c r="E32" s="103">
        <v>98.5</v>
      </c>
      <c r="F32" s="125">
        <v>98.5</v>
      </c>
      <c r="G32" s="118"/>
      <c r="H32" s="65" t="s">
        <v>53</v>
      </c>
      <c r="I32" s="102">
        <v>98.28</v>
      </c>
      <c r="J32" s="100"/>
      <c r="K32" s="103">
        <v>98.5</v>
      </c>
      <c r="L32" s="103">
        <v>196.78</v>
      </c>
      <c r="N32" s="100"/>
      <c r="O32" s="154" t="s">
        <v>36</v>
      </c>
      <c r="P32" s="101"/>
      <c r="Q32" s="125">
        <v>5.5</v>
      </c>
      <c r="R32" s="125">
        <v>44.377000000000002</v>
      </c>
      <c r="S32" s="118"/>
      <c r="T32" s="68">
        <v>190.25</v>
      </c>
      <c r="U32" s="20">
        <v>639.25</v>
      </c>
      <c r="V32" s="100"/>
      <c r="W32" s="103">
        <v>195.75</v>
      </c>
      <c r="X32" s="125">
        <v>683.62699999999995</v>
      </c>
      <c r="Z32" s="168"/>
      <c r="AA32" s="3" t="s">
        <v>36</v>
      </c>
      <c r="AB32" s="67"/>
      <c r="AC32" s="170">
        <v>44.377000000000002</v>
      </c>
      <c r="AD32" s="170">
        <v>3646.3219999999997</v>
      </c>
      <c r="AE32" s="171"/>
      <c r="AF32" s="24">
        <v>639.25</v>
      </c>
      <c r="AG32" s="24">
        <v>2.5</v>
      </c>
      <c r="AH32" s="168"/>
      <c r="AI32" s="170">
        <v>683.62699999999995</v>
      </c>
      <c r="AJ32" s="172">
        <v>3648.8219999999997</v>
      </c>
    </row>
    <row r="33" spans="1:36">
      <c r="A33" s="100"/>
      <c r="B33" s="101"/>
      <c r="C33" s="101"/>
      <c r="D33" s="100"/>
      <c r="E33" s="100"/>
      <c r="F33" s="100"/>
      <c r="G33" s="100"/>
      <c r="H33" s="100"/>
      <c r="I33" s="100"/>
      <c r="J33" s="100"/>
      <c r="K33" s="100"/>
      <c r="L33" s="100"/>
      <c r="N33" s="100"/>
      <c r="O33" s="154"/>
      <c r="P33" s="101"/>
      <c r="Q33" s="125"/>
      <c r="R33" s="125"/>
      <c r="S33" s="118"/>
      <c r="T33" s="153"/>
      <c r="U33" s="20"/>
      <c r="V33" s="100"/>
      <c r="W33" s="125"/>
      <c r="X33" s="125"/>
      <c r="Z33" s="168"/>
      <c r="AA33" s="3"/>
      <c r="AB33" s="67"/>
      <c r="AC33" s="170"/>
      <c r="AD33" s="170"/>
      <c r="AE33" s="171"/>
      <c r="AF33" s="24"/>
      <c r="AG33" s="24"/>
      <c r="AH33" s="168"/>
      <c r="AI33" s="170"/>
      <c r="AJ33" s="171"/>
    </row>
    <row r="34" spans="1:36" ht="28.5" thickBot="1">
      <c r="A34" s="86"/>
      <c r="B34" s="86"/>
      <c r="C34" s="86"/>
      <c r="D34" s="86"/>
      <c r="E34" s="86"/>
      <c r="F34" s="86"/>
      <c r="G34" s="86"/>
      <c r="H34" s="86"/>
      <c r="I34" s="86"/>
      <c r="J34" s="86"/>
      <c r="K34" s="86"/>
      <c r="L34" s="86"/>
      <c r="N34" s="100"/>
      <c r="O34" s="154" t="s">
        <v>37</v>
      </c>
      <c r="P34" s="101"/>
      <c r="Q34" s="125">
        <v>98.5</v>
      </c>
      <c r="R34" s="125">
        <v>453.22199999999998</v>
      </c>
      <c r="S34" s="118"/>
      <c r="T34" s="68">
        <v>98.28</v>
      </c>
      <c r="U34" s="20">
        <v>65.183999999999997</v>
      </c>
      <c r="V34" s="100"/>
      <c r="W34" s="103">
        <v>196.78</v>
      </c>
      <c r="X34" s="125">
        <v>518.40599999999995</v>
      </c>
      <c r="Z34" s="168"/>
      <c r="AA34" s="3" t="s">
        <v>37</v>
      </c>
      <c r="AB34" s="67"/>
      <c r="AC34" s="170">
        <v>453.22199999999998</v>
      </c>
      <c r="AD34" s="170">
        <v>94</v>
      </c>
      <c r="AE34" s="171"/>
      <c r="AF34" s="24">
        <v>65.183999999999997</v>
      </c>
      <c r="AG34" s="24">
        <v>69</v>
      </c>
      <c r="AH34" s="168"/>
      <c r="AI34" s="170">
        <v>518.40599999999995</v>
      </c>
      <c r="AJ34" s="172">
        <v>163</v>
      </c>
    </row>
    <row r="35" spans="1:36">
      <c r="A35" s="111"/>
      <c r="B35" s="111"/>
      <c r="C35" s="111"/>
      <c r="D35" s="111"/>
      <c r="E35" s="111"/>
      <c r="F35" s="111"/>
      <c r="G35" s="111"/>
      <c r="H35" s="111"/>
      <c r="I35" s="111"/>
      <c r="J35" s="111"/>
      <c r="K35" s="111"/>
      <c r="L35" s="111"/>
      <c r="N35" s="100"/>
      <c r="O35" s="101"/>
      <c r="P35" s="101"/>
      <c r="Q35" s="100"/>
      <c r="R35" s="100"/>
      <c r="S35" s="100"/>
      <c r="T35" s="100"/>
      <c r="U35" s="100"/>
      <c r="V35" s="100"/>
      <c r="W35" s="100"/>
      <c r="X35" s="100"/>
      <c r="Z35" s="168"/>
      <c r="AA35" s="67"/>
      <c r="AB35" s="67"/>
      <c r="AC35" s="168"/>
      <c r="AD35" s="168"/>
      <c r="AE35" s="168"/>
      <c r="AF35" s="168"/>
      <c r="AG35" s="168"/>
      <c r="AH35" s="168"/>
      <c r="AI35" s="168"/>
      <c r="AJ35" s="168"/>
    </row>
    <row r="36" spans="1:36" ht="15" thickBot="1">
      <c r="N36" s="86"/>
      <c r="O36" s="86"/>
      <c r="P36" s="86"/>
      <c r="Q36" s="86"/>
      <c r="R36" s="86"/>
      <c r="S36" s="86"/>
      <c r="T36" s="86"/>
      <c r="U36" s="86"/>
      <c r="V36" s="86"/>
      <c r="W36" s="86"/>
      <c r="X36" s="86"/>
      <c r="Z36" s="156"/>
      <c r="AA36" s="156"/>
      <c r="AB36" s="156"/>
      <c r="AC36" s="156"/>
      <c r="AD36" s="156"/>
      <c r="AE36" s="156"/>
      <c r="AF36" s="156"/>
      <c r="AG36" s="156"/>
      <c r="AH36" s="156"/>
      <c r="AI36" s="156"/>
      <c r="AJ36" s="156"/>
    </row>
  </sheetData>
  <mergeCells count="21">
    <mergeCell ref="A1:L1"/>
    <mergeCell ref="A2:L2"/>
    <mergeCell ref="B5:B6"/>
    <mergeCell ref="E5:I5"/>
    <mergeCell ref="K5:L6"/>
    <mergeCell ref="E6:F6"/>
    <mergeCell ref="H6:I6"/>
    <mergeCell ref="N1:X1"/>
    <mergeCell ref="N2:X2"/>
    <mergeCell ref="Q4:U5"/>
    <mergeCell ref="O5:O6"/>
    <mergeCell ref="W5:X6"/>
    <mergeCell ref="Q6:R6"/>
    <mergeCell ref="T6:U6"/>
    <mergeCell ref="Z1:AJ1"/>
    <mergeCell ref="Z2:AJ2"/>
    <mergeCell ref="AC4:AG5"/>
    <mergeCell ref="AA5:AA6"/>
    <mergeCell ref="AI5:AJ6"/>
    <mergeCell ref="AC6:AD6"/>
    <mergeCell ref="AF6:AG6"/>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FD47E-8DBC-4D6D-BDA8-13A95B527E45}">
  <sheetPr codeName="Sheet19"/>
  <dimension ref="A1:CQ77"/>
  <sheetViews>
    <sheetView topLeftCell="AF1" zoomScale="72" workbookViewId="0">
      <selection activeCell="CN7" sqref="CN7"/>
    </sheetView>
  </sheetViews>
  <sheetFormatPr defaultRowHeight="14.5"/>
  <cols>
    <col min="2" max="2" width="14.1796875" bestFit="1" customWidth="1"/>
    <col min="4" max="4" width="8.54296875" bestFit="1" customWidth="1"/>
    <col min="5" max="5" width="7.54296875" bestFit="1" customWidth="1"/>
    <col min="7" max="7" width="7.54296875" bestFit="1" customWidth="1"/>
    <col min="8" max="8" width="8.54296875" bestFit="1" customWidth="1"/>
    <col min="10" max="10" width="8.54296875" bestFit="1" customWidth="1"/>
    <col min="11" max="11" width="6.54296875" bestFit="1" customWidth="1"/>
    <col min="13" max="13" width="7.54296875" bestFit="1" customWidth="1"/>
    <col min="14" max="14" width="8.54296875" bestFit="1" customWidth="1"/>
    <col min="16" max="16" width="8.54296875" bestFit="1" customWidth="1"/>
    <col min="17" max="17" width="5.81640625" bestFit="1" customWidth="1"/>
    <col min="19" max="19" width="14.1796875" bestFit="1" customWidth="1"/>
    <col min="20" max="20" width="5.81640625" bestFit="1" customWidth="1"/>
    <col min="21" max="21" width="7.54296875" bestFit="1" customWidth="1"/>
    <col min="22" max="23" width="8.54296875" bestFit="1" customWidth="1"/>
    <col min="24" max="25" width="7.54296875" bestFit="1" customWidth="1"/>
    <col min="27" max="28" width="6.54296875" bestFit="1" customWidth="1"/>
    <col min="30" max="31" width="7.54296875" bestFit="1" customWidth="1"/>
    <col min="33" max="34" width="5.81640625" bestFit="1" customWidth="1"/>
    <col min="36" max="37" width="5.81640625" bestFit="1" customWidth="1"/>
    <col min="39" max="40" width="8.54296875" bestFit="1" customWidth="1"/>
    <col min="44" max="44" width="8.54296875" bestFit="1" customWidth="1"/>
    <col min="46" max="46" width="7.54296875" bestFit="1" customWidth="1"/>
    <col min="47" max="47" width="8.54296875" bestFit="1" customWidth="1"/>
    <col min="49" max="50" width="7.54296875" bestFit="1" customWidth="1"/>
    <col min="52" max="52" width="6.54296875" bestFit="1" customWidth="1"/>
    <col min="53" max="53" width="7.54296875" bestFit="1" customWidth="1"/>
    <col min="55" max="55" width="7.54296875" bestFit="1" customWidth="1"/>
    <col min="56" max="56" width="6.54296875" bestFit="1" customWidth="1"/>
    <col min="58" max="59" width="5.81640625" bestFit="1" customWidth="1"/>
    <col min="61" max="62" width="5.81640625" bestFit="1" customWidth="1"/>
    <col min="64" max="65" width="5.81640625" bestFit="1" customWidth="1"/>
    <col min="67" max="68" width="8.54296875" bestFit="1" customWidth="1"/>
    <col min="71" max="71" width="8.81640625" bestFit="1" customWidth="1"/>
    <col min="73" max="73" width="9.453125" bestFit="1" customWidth="1"/>
    <col min="74" max="74" width="6.453125" bestFit="1" customWidth="1"/>
    <col min="76" max="77" width="8.453125" bestFit="1" customWidth="1"/>
    <col min="79" max="80" width="8.453125" bestFit="1" customWidth="1"/>
    <col min="82" max="83" width="7.26953125" bestFit="1" customWidth="1"/>
    <col min="85" max="86" width="6.453125" bestFit="1" customWidth="1"/>
    <col min="88" max="89" width="6.453125" bestFit="1" customWidth="1"/>
    <col min="91" max="92" width="6.453125" bestFit="1" customWidth="1"/>
    <col min="94" max="94" width="9.453125" bestFit="1" customWidth="1"/>
    <col min="95" max="95" width="8.453125" bestFit="1" customWidth="1"/>
  </cols>
  <sheetData>
    <row r="1" spans="1:95">
      <c r="A1" s="361" t="s">
        <v>151</v>
      </c>
      <c r="B1" s="361"/>
      <c r="C1" s="361"/>
      <c r="D1" s="361"/>
      <c r="E1" s="361"/>
      <c r="F1" s="361"/>
      <c r="G1" s="361"/>
      <c r="H1" s="361"/>
      <c r="I1" s="361"/>
      <c r="J1" s="361"/>
      <c r="K1" s="361"/>
      <c r="L1" s="361"/>
      <c r="M1" s="361"/>
      <c r="N1" s="361"/>
      <c r="O1" s="361"/>
      <c r="P1" s="361"/>
      <c r="R1" s="361" t="s">
        <v>152</v>
      </c>
      <c r="S1" s="361"/>
      <c r="T1" s="361"/>
      <c r="U1" s="361"/>
      <c r="V1" s="361"/>
      <c r="W1" s="361"/>
      <c r="X1" s="361"/>
      <c r="Y1" s="361"/>
      <c r="Z1" s="361"/>
      <c r="AA1" s="361"/>
      <c r="AB1" s="361"/>
      <c r="AC1" s="361"/>
      <c r="AD1" s="361"/>
      <c r="AE1" s="361"/>
      <c r="AF1" s="361"/>
      <c r="AG1" s="361"/>
      <c r="AH1" s="361"/>
      <c r="AI1" s="361"/>
      <c r="AJ1" s="361"/>
      <c r="AK1" s="361"/>
      <c r="AL1" s="361"/>
      <c r="AM1" s="361"/>
      <c r="AN1" s="361"/>
      <c r="AO1" s="361"/>
      <c r="AQ1" s="361" t="s">
        <v>153</v>
      </c>
      <c r="AR1" s="361"/>
      <c r="AS1" s="361"/>
      <c r="AT1" s="361"/>
      <c r="AU1" s="361"/>
      <c r="AV1" s="361"/>
      <c r="AW1" s="361"/>
      <c r="AX1" s="361"/>
      <c r="AY1" s="361"/>
      <c r="AZ1" s="361"/>
      <c r="BA1" s="361"/>
      <c r="BB1" s="361"/>
      <c r="BC1" s="361"/>
      <c r="BD1" s="361"/>
      <c r="BE1" s="361"/>
      <c r="BF1" s="361"/>
      <c r="BG1" s="361"/>
      <c r="BH1" s="361"/>
      <c r="BI1" s="361"/>
      <c r="BJ1" s="361"/>
      <c r="BK1" s="361"/>
      <c r="BL1" s="361"/>
      <c r="BM1" s="361"/>
      <c r="BN1" s="361"/>
      <c r="BO1" s="361"/>
      <c r="BP1" s="361"/>
      <c r="BQ1" s="361"/>
      <c r="BS1" s="355" t="s">
        <v>154</v>
      </c>
      <c r="BT1" s="355"/>
      <c r="BU1" s="355"/>
      <c r="BV1" s="355"/>
      <c r="BW1" s="355"/>
      <c r="BX1" s="355"/>
      <c r="BY1" s="355"/>
      <c r="BZ1" s="355"/>
      <c r="CA1" s="355"/>
      <c r="CB1" s="355"/>
      <c r="CC1" s="355"/>
      <c r="CD1" s="355"/>
      <c r="CE1" s="355"/>
      <c r="CF1" s="355"/>
      <c r="CG1" s="355"/>
      <c r="CH1" s="355"/>
      <c r="CI1" s="355"/>
      <c r="CJ1" s="355"/>
      <c r="CK1" s="355"/>
      <c r="CL1" s="355"/>
      <c r="CM1" s="355"/>
      <c r="CN1" s="355"/>
      <c r="CO1" s="355"/>
      <c r="CP1" s="355"/>
      <c r="CQ1" s="355"/>
    </row>
    <row r="2" spans="1:95">
      <c r="A2" s="362" t="s">
        <v>155</v>
      </c>
      <c r="B2" s="362"/>
      <c r="C2" s="362"/>
      <c r="D2" s="362"/>
      <c r="E2" s="362"/>
      <c r="F2" s="362"/>
      <c r="G2" s="362"/>
      <c r="H2" s="362"/>
      <c r="I2" s="362"/>
      <c r="J2" s="362"/>
      <c r="K2" s="362"/>
      <c r="L2" s="362"/>
      <c r="M2" s="362"/>
      <c r="N2" s="362"/>
      <c r="O2" s="362"/>
      <c r="P2" s="362"/>
      <c r="R2" s="376" t="s">
        <v>156</v>
      </c>
      <c r="S2" s="376"/>
      <c r="T2" s="376"/>
      <c r="U2" s="376"/>
      <c r="V2" s="376"/>
      <c r="W2" s="376"/>
      <c r="X2" s="376"/>
      <c r="Y2" s="376"/>
      <c r="Z2" s="376"/>
      <c r="AA2" s="376"/>
      <c r="AB2" s="376"/>
      <c r="AC2" s="376"/>
      <c r="AD2" s="376"/>
      <c r="AE2" s="376"/>
      <c r="AF2" s="376"/>
      <c r="AG2" s="376"/>
      <c r="AH2" s="376"/>
      <c r="AI2" s="376"/>
      <c r="AJ2" s="376"/>
      <c r="AK2" s="376"/>
      <c r="AL2" s="376"/>
      <c r="AM2" s="376"/>
      <c r="AN2" s="376"/>
      <c r="AO2" s="376"/>
      <c r="AQ2" s="376" t="s">
        <v>157</v>
      </c>
      <c r="AR2" s="376"/>
      <c r="AS2" s="376"/>
      <c r="AT2" s="376"/>
      <c r="AU2" s="376"/>
      <c r="AV2" s="376"/>
      <c r="AW2" s="376"/>
      <c r="AX2" s="376"/>
      <c r="AY2" s="376"/>
      <c r="AZ2" s="376"/>
      <c r="BA2" s="376"/>
      <c r="BB2" s="376"/>
      <c r="BC2" s="376"/>
      <c r="BD2" s="376"/>
      <c r="BE2" s="376"/>
      <c r="BF2" s="376"/>
      <c r="BG2" s="376"/>
      <c r="BH2" s="376"/>
      <c r="BI2" s="376"/>
      <c r="BJ2" s="376"/>
      <c r="BK2" s="376"/>
      <c r="BL2" s="376"/>
      <c r="BM2" s="376"/>
      <c r="BN2" s="376"/>
      <c r="BO2" s="376"/>
      <c r="BP2" s="376"/>
      <c r="BQ2" s="376"/>
      <c r="BS2" s="373" t="s">
        <v>158</v>
      </c>
      <c r="BT2" s="373"/>
      <c r="BU2" s="373"/>
      <c r="BV2" s="373"/>
      <c r="BW2" s="373"/>
      <c r="BX2" s="373"/>
      <c r="BY2" s="373"/>
      <c r="BZ2" s="373"/>
      <c r="CA2" s="373"/>
      <c r="CB2" s="373"/>
      <c r="CC2" s="373"/>
      <c r="CD2" s="373"/>
      <c r="CE2" s="373"/>
      <c r="CF2" s="373"/>
      <c r="CG2" s="373"/>
      <c r="CH2" s="373"/>
      <c r="CI2" s="373"/>
      <c r="CJ2" s="373"/>
      <c r="CK2" s="373"/>
      <c r="CL2" s="373"/>
      <c r="CM2" s="373"/>
      <c r="CN2" s="373"/>
      <c r="CO2" s="373"/>
      <c r="CP2" s="373"/>
      <c r="CQ2" s="373"/>
    </row>
    <row r="3" spans="1:95" ht="15" thickBot="1">
      <c r="A3" s="85"/>
      <c r="B3" s="85"/>
      <c r="C3" s="85"/>
      <c r="D3" s="85"/>
      <c r="E3" s="85"/>
      <c r="F3" s="86"/>
      <c r="G3" s="86"/>
      <c r="H3" s="86"/>
      <c r="I3" s="86"/>
      <c r="J3" s="86"/>
      <c r="K3" s="86"/>
      <c r="L3" s="86"/>
      <c r="M3" s="86"/>
      <c r="N3" s="86"/>
      <c r="O3" s="86"/>
      <c r="P3" s="86"/>
      <c r="R3" s="85"/>
      <c r="S3" s="85"/>
      <c r="T3" s="85"/>
      <c r="U3" s="85"/>
      <c r="V3" s="85"/>
      <c r="W3" s="85"/>
      <c r="X3" s="86"/>
      <c r="Y3" s="86"/>
      <c r="Z3" s="86"/>
      <c r="AA3" s="86"/>
      <c r="AB3" s="86"/>
      <c r="AC3" s="86"/>
      <c r="AD3" s="86"/>
      <c r="AE3" s="86"/>
      <c r="AF3" s="86"/>
      <c r="AG3" s="86"/>
      <c r="AH3" s="86"/>
      <c r="AI3" s="86"/>
      <c r="AJ3" s="86"/>
      <c r="AK3" s="86"/>
      <c r="AL3" s="86"/>
      <c r="AM3" s="86"/>
      <c r="AN3" s="86"/>
      <c r="AO3" s="86"/>
      <c r="AQ3" s="85"/>
      <c r="AR3" s="85"/>
      <c r="AS3" s="85"/>
      <c r="AT3" s="85"/>
      <c r="AU3" s="85"/>
      <c r="AV3" s="85"/>
      <c r="AW3" s="86"/>
      <c r="AX3" s="86"/>
      <c r="AY3" s="86"/>
      <c r="AZ3" s="86"/>
      <c r="BA3" s="86"/>
      <c r="BB3" s="86"/>
      <c r="BC3" s="86"/>
      <c r="BD3" s="86"/>
      <c r="BE3" s="86"/>
      <c r="BF3" s="86"/>
      <c r="BG3" s="86"/>
      <c r="BH3" s="86"/>
      <c r="BI3" s="86"/>
      <c r="BJ3" s="86"/>
      <c r="BK3" s="86"/>
      <c r="BL3" s="86"/>
      <c r="BM3" s="86"/>
      <c r="BN3" s="86"/>
      <c r="BO3" s="86"/>
      <c r="BP3" s="86"/>
      <c r="BQ3" s="86"/>
      <c r="BS3" s="155"/>
      <c r="BT3" s="155"/>
      <c r="BU3" s="155"/>
      <c r="BV3" s="155"/>
      <c r="BW3" s="155"/>
      <c r="BX3" s="183"/>
      <c r="BY3" s="183"/>
      <c r="BZ3" s="155"/>
      <c r="CA3" s="183"/>
      <c r="CB3" s="183"/>
      <c r="CC3" s="155"/>
      <c r="CD3" s="183"/>
      <c r="CE3" s="183"/>
      <c r="CF3" s="155"/>
      <c r="CG3" s="183"/>
      <c r="CH3" s="183"/>
      <c r="CI3" s="155"/>
      <c r="CJ3" s="183"/>
      <c r="CK3" s="183"/>
      <c r="CL3" s="155"/>
      <c r="CM3" s="183"/>
      <c r="CN3" s="183"/>
      <c r="CO3" s="183"/>
      <c r="CP3" s="183"/>
      <c r="CQ3" s="183"/>
    </row>
    <row r="4" spans="1:95">
      <c r="A4" s="87"/>
      <c r="B4" s="87"/>
      <c r="C4" s="87"/>
      <c r="D4" s="87"/>
      <c r="E4" s="87"/>
      <c r="F4" s="88"/>
      <c r="G4" s="88"/>
      <c r="H4" s="88"/>
      <c r="I4" s="88"/>
      <c r="J4" s="88"/>
      <c r="K4" s="88"/>
      <c r="L4" s="88"/>
      <c r="M4" s="88"/>
      <c r="N4" s="88"/>
      <c r="O4" s="88"/>
      <c r="P4" s="88"/>
      <c r="R4" s="87"/>
      <c r="S4" s="87"/>
      <c r="T4" s="87"/>
      <c r="U4" s="87"/>
      <c r="V4" s="87"/>
      <c r="W4" s="87"/>
      <c r="X4" s="88"/>
      <c r="Y4" s="88"/>
      <c r="Z4" s="88"/>
      <c r="AA4" s="88"/>
      <c r="AB4" s="88"/>
      <c r="AC4" s="88"/>
      <c r="AD4" s="88"/>
      <c r="AE4" s="88"/>
      <c r="AF4" s="88"/>
      <c r="AG4" s="88"/>
      <c r="AH4" s="88"/>
      <c r="AI4" s="88"/>
      <c r="AJ4" s="88"/>
      <c r="AK4" s="88"/>
      <c r="AL4" s="88"/>
      <c r="AM4" s="88"/>
      <c r="AN4" s="88"/>
      <c r="AO4" s="88"/>
      <c r="AQ4" s="136"/>
      <c r="AR4" s="136"/>
      <c r="AS4" s="136"/>
      <c r="AT4" s="363"/>
      <c r="AU4" s="363"/>
      <c r="AV4" s="363"/>
      <c r="AW4" s="363"/>
      <c r="AX4" s="363"/>
      <c r="AY4" s="363"/>
      <c r="AZ4" s="363"/>
      <c r="BA4" s="363"/>
      <c r="BB4" s="363"/>
      <c r="BC4" s="363"/>
      <c r="BD4" s="363"/>
      <c r="BE4" s="363"/>
      <c r="BF4" s="363"/>
      <c r="BG4" s="363"/>
      <c r="BH4" s="363"/>
      <c r="BI4" s="363"/>
      <c r="BJ4" s="363"/>
      <c r="BK4" s="363"/>
      <c r="BL4" s="363"/>
      <c r="BM4" s="363"/>
      <c r="BN4" s="137"/>
      <c r="BO4" s="137"/>
      <c r="BP4" s="137"/>
      <c r="BQ4" s="137"/>
      <c r="BS4" s="157"/>
      <c r="BT4" s="157"/>
      <c r="BU4" s="374"/>
      <c r="BV4" s="374"/>
      <c r="BW4" s="374"/>
      <c r="BX4" s="374"/>
      <c r="BY4" s="374"/>
      <c r="BZ4" s="374"/>
      <c r="CA4" s="374"/>
      <c r="CB4" s="374"/>
      <c r="CC4" s="374"/>
      <c r="CD4" s="374"/>
      <c r="CE4" s="374"/>
      <c r="CF4" s="374"/>
      <c r="CG4" s="374"/>
      <c r="CH4" s="374"/>
      <c r="CI4" s="374"/>
      <c r="CJ4" s="374"/>
      <c r="CK4" s="374"/>
      <c r="CL4" s="374"/>
      <c r="CM4" s="374"/>
      <c r="CN4" s="158"/>
      <c r="CO4" s="4"/>
      <c r="CP4" s="4"/>
      <c r="CQ4" s="158"/>
    </row>
    <row r="5" spans="1:95" ht="78">
      <c r="A5" s="29"/>
      <c r="B5" s="44" t="s">
        <v>54</v>
      </c>
      <c r="C5" s="29"/>
      <c r="D5" s="29" t="s">
        <v>159</v>
      </c>
      <c r="E5" s="29"/>
      <c r="F5" s="29" t="s">
        <v>160</v>
      </c>
      <c r="G5" s="45"/>
      <c r="H5" s="89" t="s">
        <v>161</v>
      </c>
      <c r="I5" s="45"/>
      <c r="J5" s="29" t="s">
        <v>162</v>
      </c>
      <c r="K5" s="29"/>
      <c r="L5" s="89" t="s">
        <v>163</v>
      </c>
      <c r="M5" s="29"/>
      <c r="N5" s="29" t="s">
        <v>164</v>
      </c>
      <c r="O5" s="31"/>
      <c r="P5" s="31" t="s">
        <v>165</v>
      </c>
      <c r="R5" s="29"/>
      <c r="S5" s="44" t="s">
        <v>54</v>
      </c>
      <c r="T5" s="29"/>
      <c r="U5" s="370" t="s">
        <v>55</v>
      </c>
      <c r="V5" s="370"/>
      <c r="W5" s="29"/>
      <c r="X5" s="370" t="s">
        <v>57</v>
      </c>
      <c r="Y5" s="370"/>
      <c r="Z5" s="45"/>
      <c r="AA5" s="377" t="s">
        <v>58</v>
      </c>
      <c r="AB5" s="377"/>
      <c r="AC5" s="45"/>
      <c r="AD5" s="370" t="s">
        <v>59</v>
      </c>
      <c r="AE5" s="370"/>
      <c r="AF5" s="29"/>
      <c r="AG5" s="377" t="s">
        <v>60</v>
      </c>
      <c r="AH5" s="377"/>
      <c r="AI5" s="29"/>
      <c r="AJ5" s="370" t="s">
        <v>61</v>
      </c>
      <c r="AK5" s="370"/>
      <c r="AL5" s="31"/>
      <c r="AM5" s="370" t="s">
        <v>166</v>
      </c>
      <c r="AN5" s="370"/>
      <c r="AO5" s="120"/>
      <c r="AQ5" s="173"/>
      <c r="AR5" s="174" t="s">
        <v>142</v>
      </c>
      <c r="AS5" s="173"/>
      <c r="AT5" s="371" t="s">
        <v>167</v>
      </c>
      <c r="AU5" s="371"/>
      <c r="AV5" s="173"/>
      <c r="AW5" s="371" t="s">
        <v>168</v>
      </c>
      <c r="AX5" s="371"/>
      <c r="AY5" s="173"/>
      <c r="AZ5" s="372" t="s">
        <v>169</v>
      </c>
      <c r="BA5" s="372"/>
      <c r="BB5" s="173"/>
      <c r="BC5" s="371" t="s">
        <v>170</v>
      </c>
      <c r="BD5" s="371"/>
      <c r="BE5" s="173"/>
      <c r="BF5" s="372" t="s">
        <v>171</v>
      </c>
      <c r="BG5" s="372"/>
      <c r="BH5" s="173"/>
      <c r="BI5" s="372" t="s">
        <v>172</v>
      </c>
      <c r="BJ5" s="372"/>
      <c r="BK5" s="173"/>
      <c r="BL5" s="371" t="s">
        <v>173</v>
      </c>
      <c r="BM5" s="371"/>
      <c r="BN5" s="175"/>
      <c r="BO5" s="371" t="s">
        <v>174</v>
      </c>
      <c r="BP5" s="371"/>
      <c r="BQ5" s="176"/>
      <c r="BS5" s="2" t="s">
        <v>119</v>
      </c>
      <c r="BT5" s="159"/>
      <c r="BU5" s="360" t="s">
        <v>175</v>
      </c>
      <c r="BV5" s="360"/>
      <c r="BW5" s="159"/>
      <c r="BX5" s="360" t="s">
        <v>176</v>
      </c>
      <c r="BY5" s="360"/>
      <c r="BZ5" s="159"/>
      <c r="CA5" s="375" t="s">
        <v>177</v>
      </c>
      <c r="CB5" s="375"/>
      <c r="CC5" s="159"/>
      <c r="CD5" s="360" t="s">
        <v>178</v>
      </c>
      <c r="CE5" s="360"/>
      <c r="CF5" s="159"/>
      <c r="CG5" s="375" t="s">
        <v>179</v>
      </c>
      <c r="CH5" s="375"/>
      <c r="CI5" s="159"/>
      <c r="CJ5" s="375" t="s">
        <v>61</v>
      </c>
      <c r="CK5" s="375"/>
      <c r="CL5" s="159"/>
      <c r="CM5" s="360" t="s">
        <v>62</v>
      </c>
      <c r="CN5" s="360"/>
      <c r="CO5" s="184"/>
      <c r="CP5" s="360" t="s">
        <v>144</v>
      </c>
      <c r="CQ5" s="360"/>
    </row>
    <row r="6" spans="1:95" ht="15" thickBot="1">
      <c r="A6" s="27"/>
      <c r="B6" s="90"/>
      <c r="C6" s="27"/>
      <c r="D6" s="90"/>
      <c r="E6" s="27"/>
      <c r="F6" s="28"/>
      <c r="G6" s="28"/>
      <c r="H6" s="28"/>
      <c r="I6" s="28"/>
      <c r="J6" s="28"/>
      <c r="K6" s="28"/>
      <c r="L6" s="28"/>
      <c r="M6" s="28"/>
      <c r="N6" s="28"/>
      <c r="O6" s="28"/>
      <c r="P6" s="28"/>
      <c r="R6" s="27"/>
      <c r="S6" s="90"/>
      <c r="T6" s="27"/>
      <c r="U6" s="90"/>
      <c r="V6" s="90"/>
      <c r="W6" s="27"/>
      <c r="X6" s="28"/>
      <c r="Y6" s="28"/>
      <c r="Z6" s="28"/>
      <c r="AA6" s="28"/>
      <c r="AB6" s="28"/>
      <c r="AC6" s="28"/>
      <c r="AD6" s="28"/>
      <c r="AE6" s="28"/>
      <c r="AF6" s="28"/>
      <c r="AG6" s="28"/>
      <c r="AH6" s="28"/>
      <c r="AI6" s="28"/>
      <c r="AJ6" s="28"/>
      <c r="AK6" s="28"/>
      <c r="AL6" s="28"/>
      <c r="AM6" s="28"/>
      <c r="AN6" s="28"/>
      <c r="AO6" s="121"/>
      <c r="AQ6" s="142"/>
      <c r="AR6" s="177"/>
      <c r="AS6" s="142"/>
      <c r="AT6" s="144">
        <v>2023</v>
      </c>
      <c r="AU6" s="144">
        <v>2024</v>
      </c>
      <c r="AV6" s="178"/>
      <c r="AW6" s="144">
        <v>2023</v>
      </c>
      <c r="AX6" s="144">
        <v>2024</v>
      </c>
      <c r="AY6" s="179"/>
      <c r="AZ6" s="144">
        <v>2023</v>
      </c>
      <c r="BA6" s="144">
        <v>2024</v>
      </c>
      <c r="BB6" s="179"/>
      <c r="BC6" s="144">
        <v>2023</v>
      </c>
      <c r="BD6" s="144">
        <v>2024</v>
      </c>
      <c r="BE6" s="146"/>
      <c r="BF6" s="144">
        <v>2023</v>
      </c>
      <c r="BG6" s="144">
        <v>2024</v>
      </c>
      <c r="BH6" s="146"/>
      <c r="BI6" s="144">
        <v>2023</v>
      </c>
      <c r="BJ6" s="144">
        <v>2024</v>
      </c>
      <c r="BK6" s="144"/>
      <c r="BL6" s="144">
        <v>2023</v>
      </c>
      <c r="BM6" s="144">
        <v>2024</v>
      </c>
      <c r="BN6" s="146"/>
      <c r="BO6" s="144">
        <v>2023</v>
      </c>
      <c r="BP6" s="144">
        <v>2024</v>
      </c>
      <c r="BQ6" s="145"/>
      <c r="BS6" s="163"/>
      <c r="BT6" s="162"/>
      <c r="BU6" s="1">
        <v>2024</v>
      </c>
      <c r="BV6" s="1">
        <v>2025</v>
      </c>
      <c r="BW6" s="162"/>
      <c r="BX6" s="1">
        <v>2024</v>
      </c>
      <c r="BY6" s="1">
        <v>2025</v>
      </c>
      <c r="BZ6" s="162"/>
      <c r="CA6" s="1">
        <v>2024</v>
      </c>
      <c r="CB6" s="1">
        <v>2025</v>
      </c>
      <c r="CC6" s="162"/>
      <c r="CD6" s="1">
        <v>2024</v>
      </c>
      <c r="CE6" s="1">
        <v>2025</v>
      </c>
      <c r="CF6" s="162"/>
      <c r="CG6" s="1">
        <v>2024</v>
      </c>
      <c r="CH6" s="1">
        <v>2025</v>
      </c>
      <c r="CI6" s="162"/>
      <c r="CJ6" s="1">
        <v>2024</v>
      </c>
      <c r="CK6" s="1">
        <v>2025</v>
      </c>
      <c r="CL6" s="162"/>
      <c r="CM6" s="1">
        <v>2024</v>
      </c>
      <c r="CN6" s="1">
        <v>2025</v>
      </c>
      <c r="CO6" s="165"/>
      <c r="CP6" s="1">
        <v>2024</v>
      </c>
      <c r="CQ6" s="1">
        <v>2025</v>
      </c>
    </row>
    <row r="7" spans="1:95" ht="28.5" thickBot="1">
      <c r="A7" s="33"/>
      <c r="B7" s="32"/>
      <c r="C7" s="33"/>
      <c r="D7" s="91" t="s">
        <v>180</v>
      </c>
      <c r="E7" s="92"/>
      <c r="F7" s="91" t="s">
        <v>180</v>
      </c>
      <c r="G7" s="93"/>
      <c r="H7" s="91" t="s">
        <v>180</v>
      </c>
      <c r="I7" s="93"/>
      <c r="J7" s="91" t="s">
        <v>180</v>
      </c>
      <c r="K7" s="91"/>
      <c r="L7" s="91" t="s">
        <v>180</v>
      </c>
      <c r="M7" s="91"/>
      <c r="N7" s="91" t="s">
        <v>180</v>
      </c>
      <c r="O7" s="91"/>
      <c r="P7" s="91" t="s">
        <v>180</v>
      </c>
      <c r="R7" s="33"/>
      <c r="S7" s="32"/>
      <c r="T7" s="33"/>
      <c r="U7" s="122">
        <v>2022</v>
      </c>
      <c r="V7" s="122">
        <v>2023</v>
      </c>
      <c r="W7" s="92"/>
      <c r="X7" s="122">
        <v>2022</v>
      </c>
      <c r="Y7" s="122">
        <v>2023</v>
      </c>
      <c r="Z7" s="93"/>
      <c r="AA7" s="122">
        <v>2022</v>
      </c>
      <c r="AB7" s="122">
        <v>2023</v>
      </c>
      <c r="AC7" s="93"/>
      <c r="AD7" s="122">
        <v>2022</v>
      </c>
      <c r="AE7" s="122">
        <v>2023</v>
      </c>
      <c r="AF7" s="91"/>
      <c r="AG7" s="122">
        <v>2022</v>
      </c>
      <c r="AH7" s="122">
        <v>2023</v>
      </c>
      <c r="AI7" s="91"/>
      <c r="AJ7" s="122">
        <v>2022</v>
      </c>
      <c r="AK7" s="122">
        <v>2023</v>
      </c>
      <c r="AL7" s="91"/>
      <c r="AM7" s="122">
        <v>2022</v>
      </c>
      <c r="AN7" s="122">
        <v>2023</v>
      </c>
      <c r="AO7" s="123"/>
      <c r="AQ7" s="147"/>
      <c r="AR7" s="180" t="s">
        <v>50</v>
      </c>
      <c r="AS7" s="101"/>
      <c r="AT7" s="151">
        <v>59701.604200000002</v>
      </c>
      <c r="AU7" s="151">
        <v>127848.01999999999</v>
      </c>
      <c r="AV7" s="103"/>
      <c r="AW7" s="151">
        <v>42142.945500000002</v>
      </c>
      <c r="AX7" s="151">
        <v>17227.695500000002</v>
      </c>
      <c r="AY7" s="149"/>
      <c r="AZ7" s="151">
        <v>2141.19</v>
      </c>
      <c r="BA7" s="151">
        <v>12881.3511</v>
      </c>
      <c r="BB7" s="149"/>
      <c r="BC7" s="151">
        <v>15461.934999999999</v>
      </c>
      <c r="BD7" s="151">
        <v>4198.6550000000007</v>
      </c>
      <c r="BE7" s="153"/>
      <c r="BF7" s="151">
        <v>16.5</v>
      </c>
      <c r="BG7" s="151">
        <v>0</v>
      </c>
      <c r="BH7" s="153"/>
      <c r="BI7" s="151">
        <v>40.5</v>
      </c>
      <c r="BJ7" s="151">
        <v>378.73200000000003</v>
      </c>
      <c r="BK7" s="151"/>
      <c r="BL7" s="20" t="s">
        <v>53</v>
      </c>
      <c r="BM7" s="151">
        <v>89.33</v>
      </c>
      <c r="BN7" s="100"/>
      <c r="BO7" s="149">
        <v>119504.6747</v>
      </c>
      <c r="BP7" s="151">
        <v>162623.78359999997</v>
      </c>
      <c r="BQ7" s="100"/>
      <c r="BS7" s="2" t="s">
        <v>50</v>
      </c>
      <c r="BT7" s="67"/>
      <c r="BU7" s="185">
        <v>127848.01999999999</v>
      </c>
      <c r="BV7" s="185">
        <v>0</v>
      </c>
      <c r="BW7" s="67"/>
      <c r="BX7" s="185">
        <v>17227.695500000002</v>
      </c>
      <c r="BY7" s="185">
        <v>14376.018999999998</v>
      </c>
      <c r="BZ7" s="67"/>
      <c r="CA7" s="185">
        <v>12881.3511</v>
      </c>
      <c r="CB7" s="185">
        <v>34339.984600000003</v>
      </c>
      <c r="CC7" s="67"/>
      <c r="CD7" s="185">
        <v>4198.6550000000007</v>
      </c>
      <c r="CE7" s="185">
        <v>3121.4590599999997</v>
      </c>
      <c r="CF7" s="67"/>
      <c r="CG7" s="185">
        <v>0</v>
      </c>
      <c r="CH7" s="185">
        <v>0</v>
      </c>
      <c r="CI7" s="67"/>
      <c r="CJ7" s="185">
        <v>378.73200000000003</v>
      </c>
      <c r="CK7" s="185">
        <v>649.51499999999999</v>
      </c>
      <c r="CL7" s="67"/>
      <c r="CM7" s="185">
        <v>89.33</v>
      </c>
      <c r="CN7" s="185">
        <v>0</v>
      </c>
      <c r="CO7" s="67"/>
      <c r="CP7" s="185">
        <v>162623.78359999997</v>
      </c>
      <c r="CQ7" s="185">
        <v>52486.977660000004</v>
      </c>
    </row>
    <row r="8" spans="1:95">
      <c r="A8" s="94"/>
      <c r="B8" s="94" t="s">
        <v>50</v>
      </c>
      <c r="C8" s="95"/>
      <c r="D8" s="96">
        <v>81403.955300000001</v>
      </c>
      <c r="E8" s="97"/>
      <c r="F8" s="96">
        <v>33226.752999999997</v>
      </c>
      <c r="G8" s="96"/>
      <c r="H8" s="96">
        <v>2709.4540000000002</v>
      </c>
      <c r="I8" s="96"/>
      <c r="J8" s="96">
        <v>36898.81</v>
      </c>
      <c r="K8" s="98"/>
      <c r="L8" s="96">
        <v>16.5</v>
      </c>
      <c r="M8" s="98"/>
      <c r="N8" s="96">
        <v>260</v>
      </c>
      <c r="O8" s="99"/>
      <c r="P8" s="96">
        <v>154515.47230000002</v>
      </c>
      <c r="R8" s="94"/>
      <c r="S8" s="94" t="s">
        <v>50</v>
      </c>
      <c r="T8" s="95"/>
      <c r="U8" s="96">
        <v>81403.955300000001</v>
      </c>
      <c r="V8" s="124">
        <v>59701.604200000002</v>
      </c>
      <c r="W8" s="97"/>
      <c r="X8" s="96">
        <v>33226.752999999997</v>
      </c>
      <c r="Y8" s="124">
        <v>42142.945500000002</v>
      </c>
      <c r="Z8" s="96"/>
      <c r="AA8" s="96">
        <v>2709.4540000000002</v>
      </c>
      <c r="AB8" s="124">
        <v>2141.19</v>
      </c>
      <c r="AC8" s="96"/>
      <c r="AD8" s="96">
        <v>36898.81</v>
      </c>
      <c r="AE8" s="124">
        <v>15461.934999999999</v>
      </c>
      <c r="AF8" s="98"/>
      <c r="AG8" s="96">
        <v>16.5</v>
      </c>
      <c r="AH8" s="124">
        <v>16.5</v>
      </c>
      <c r="AI8" s="98"/>
      <c r="AJ8" s="96">
        <v>260</v>
      </c>
      <c r="AK8" s="124">
        <v>40.5</v>
      </c>
      <c r="AL8" s="99"/>
      <c r="AM8" s="96">
        <v>154515.47230000002</v>
      </c>
      <c r="AN8" s="96">
        <v>119504.6747</v>
      </c>
      <c r="AO8" s="99"/>
      <c r="AQ8" s="100"/>
      <c r="AR8" s="180"/>
      <c r="AS8" s="101"/>
      <c r="AT8" s="68"/>
      <c r="AU8" s="68"/>
      <c r="AV8" s="103"/>
      <c r="AW8" s="20"/>
      <c r="AX8" s="20"/>
      <c r="AY8" s="20"/>
      <c r="AZ8" s="70"/>
      <c r="BA8" s="70"/>
      <c r="BB8" s="20"/>
      <c r="BC8" s="153"/>
      <c r="BD8" s="153"/>
      <c r="BE8" s="153"/>
      <c r="BF8" s="153"/>
      <c r="BG8" s="153"/>
      <c r="BH8" s="153"/>
      <c r="BI8" s="153"/>
      <c r="BJ8" s="153"/>
      <c r="BK8" s="153"/>
      <c r="BL8" s="153"/>
      <c r="BM8" s="153"/>
      <c r="BN8" s="100"/>
      <c r="BO8" s="101"/>
      <c r="BP8" s="101"/>
      <c r="BQ8" s="100"/>
      <c r="BS8" s="2"/>
      <c r="BT8" s="67"/>
      <c r="BU8" s="69"/>
      <c r="BV8" s="63"/>
      <c r="BW8" s="67"/>
      <c r="BX8" s="24"/>
      <c r="BY8" s="24"/>
      <c r="BZ8" s="67"/>
      <c r="CA8" s="63"/>
      <c r="CB8" s="63"/>
      <c r="CC8" s="67"/>
      <c r="CD8" s="63"/>
      <c r="CE8" s="63"/>
      <c r="CF8" s="67"/>
      <c r="CG8" s="63"/>
      <c r="CH8" s="63"/>
      <c r="CI8" s="67"/>
      <c r="CJ8" s="63"/>
      <c r="CK8" s="63"/>
      <c r="CL8" s="67"/>
      <c r="CM8" s="63"/>
      <c r="CN8" s="63"/>
      <c r="CO8" s="67"/>
      <c r="CP8" s="67"/>
      <c r="CQ8" s="67"/>
    </row>
    <row r="9" spans="1:95">
      <c r="A9" s="100"/>
      <c r="B9" s="40"/>
      <c r="C9" s="101"/>
      <c r="D9" s="102"/>
      <c r="E9" s="103"/>
      <c r="F9" s="65"/>
      <c r="G9" s="104"/>
      <c r="H9" s="105"/>
      <c r="I9" s="104"/>
      <c r="J9" s="106"/>
      <c r="K9" s="106"/>
      <c r="L9" s="106"/>
      <c r="M9" s="106"/>
      <c r="N9" s="106"/>
      <c r="O9" s="100"/>
      <c r="P9" s="101"/>
      <c r="R9" s="100"/>
      <c r="S9" s="40"/>
      <c r="T9" s="101"/>
      <c r="U9" s="102"/>
      <c r="V9" s="102"/>
      <c r="W9" s="103"/>
      <c r="X9" s="65"/>
      <c r="Y9" s="65"/>
      <c r="Z9" s="104"/>
      <c r="AA9" s="105"/>
      <c r="AB9" s="105"/>
      <c r="AC9" s="104"/>
      <c r="AD9" s="106"/>
      <c r="AE9" s="106"/>
      <c r="AF9" s="106"/>
      <c r="AG9" s="106"/>
      <c r="AH9" s="106"/>
      <c r="AI9" s="106"/>
      <c r="AJ9" s="106"/>
      <c r="AK9" s="106"/>
      <c r="AL9" s="100"/>
      <c r="AM9" s="101"/>
      <c r="AN9" s="101"/>
      <c r="AO9" s="100"/>
      <c r="AQ9" s="100"/>
      <c r="AR9" s="181" t="s">
        <v>27</v>
      </c>
      <c r="AS9" s="101"/>
      <c r="AT9" s="20" t="s">
        <v>53</v>
      </c>
      <c r="AU9" s="20">
        <v>0</v>
      </c>
      <c r="AV9" s="103"/>
      <c r="AW9" s="20" t="s">
        <v>53</v>
      </c>
      <c r="AX9" s="20">
        <v>724.61900000000003</v>
      </c>
      <c r="AY9" s="64"/>
      <c r="AZ9" s="20" t="s">
        <v>53</v>
      </c>
      <c r="BA9" s="20">
        <v>1634.7460000000001</v>
      </c>
      <c r="BB9" s="64"/>
      <c r="BC9" s="20" t="s">
        <v>53</v>
      </c>
      <c r="BD9" s="20">
        <v>52.35</v>
      </c>
      <c r="BE9" s="153"/>
      <c r="BF9" s="20" t="s">
        <v>53</v>
      </c>
      <c r="BG9" s="20">
        <v>0</v>
      </c>
      <c r="BH9" s="153"/>
      <c r="BI9" s="20" t="s">
        <v>53</v>
      </c>
      <c r="BJ9" s="20">
        <v>18</v>
      </c>
      <c r="BK9" s="20"/>
      <c r="BL9" s="20" t="s">
        <v>53</v>
      </c>
      <c r="BM9" s="20">
        <v>0</v>
      </c>
      <c r="BN9" s="100"/>
      <c r="BO9" s="125">
        <v>25196.239000000001</v>
      </c>
      <c r="BP9" s="125">
        <v>2429.7150000000001</v>
      </c>
      <c r="BQ9" s="118"/>
      <c r="BS9" s="3" t="s">
        <v>27</v>
      </c>
      <c r="BT9" s="67"/>
      <c r="BU9" s="24">
        <v>0</v>
      </c>
      <c r="BV9" s="24">
        <v>0</v>
      </c>
      <c r="BW9" s="67"/>
      <c r="BX9" s="24">
        <v>724.61900000000003</v>
      </c>
      <c r="BY9" s="24">
        <v>719.93499999999995</v>
      </c>
      <c r="BZ9" s="67"/>
      <c r="CA9" s="24">
        <v>1634.7460000000001</v>
      </c>
      <c r="CB9" s="24">
        <v>12236.12</v>
      </c>
      <c r="CC9" s="67"/>
      <c r="CD9" s="24">
        <v>52.35</v>
      </c>
      <c r="CE9" s="24">
        <v>54.329000000000001</v>
      </c>
      <c r="CF9" s="67"/>
      <c r="CG9" s="24">
        <v>0</v>
      </c>
      <c r="CH9" s="24">
        <v>0</v>
      </c>
      <c r="CI9" s="67"/>
      <c r="CJ9" s="24">
        <v>18</v>
      </c>
      <c r="CK9" s="24">
        <v>0</v>
      </c>
      <c r="CL9" s="67"/>
      <c r="CM9" s="24">
        <v>0</v>
      </c>
      <c r="CN9" s="24">
        <v>0</v>
      </c>
      <c r="CO9" s="67"/>
      <c r="CP9" s="170">
        <v>2429.7150000000001</v>
      </c>
      <c r="CQ9" s="172">
        <v>13010.384</v>
      </c>
    </row>
    <row r="10" spans="1:95">
      <c r="A10" s="100"/>
      <c r="B10" s="25" t="s">
        <v>27</v>
      </c>
      <c r="C10" s="101"/>
      <c r="D10" s="102">
        <v>16</v>
      </c>
      <c r="E10" s="103"/>
      <c r="F10" s="102">
        <v>111</v>
      </c>
      <c r="G10" s="26"/>
      <c r="H10" s="102">
        <v>120.36</v>
      </c>
      <c r="I10" s="26"/>
      <c r="J10" s="102">
        <v>0</v>
      </c>
      <c r="K10" s="106"/>
      <c r="L10" s="102">
        <v>0</v>
      </c>
      <c r="M10" s="106"/>
      <c r="N10" s="102">
        <v>0</v>
      </c>
      <c r="O10" s="100"/>
      <c r="P10" s="103">
        <v>247.36</v>
      </c>
      <c r="R10" s="100"/>
      <c r="S10" s="25" t="s">
        <v>27</v>
      </c>
      <c r="T10" s="101"/>
      <c r="U10" s="102">
        <v>16</v>
      </c>
      <c r="V10" s="65" t="s">
        <v>53</v>
      </c>
      <c r="W10" s="103"/>
      <c r="X10" s="102">
        <v>111</v>
      </c>
      <c r="Y10" s="65" t="s">
        <v>53</v>
      </c>
      <c r="Z10" s="26"/>
      <c r="AA10" s="102">
        <v>120.36</v>
      </c>
      <c r="AB10" s="65" t="s">
        <v>53</v>
      </c>
      <c r="AC10" s="26"/>
      <c r="AD10" s="102">
        <v>0</v>
      </c>
      <c r="AE10" s="65" t="s">
        <v>53</v>
      </c>
      <c r="AF10" s="106"/>
      <c r="AG10" s="102">
        <v>0</v>
      </c>
      <c r="AH10" s="65" t="s">
        <v>53</v>
      </c>
      <c r="AI10" s="106"/>
      <c r="AJ10" s="102">
        <v>0</v>
      </c>
      <c r="AK10" s="65" t="s">
        <v>53</v>
      </c>
      <c r="AL10" s="100"/>
      <c r="AM10" s="103">
        <v>247.36</v>
      </c>
      <c r="AN10" s="125">
        <v>25196.239000000001</v>
      </c>
      <c r="AO10" s="118"/>
      <c r="AQ10" s="100"/>
      <c r="AR10" s="181"/>
      <c r="AS10" s="101"/>
      <c r="AT10" s="20"/>
      <c r="AU10" s="20"/>
      <c r="AV10" s="103"/>
      <c r="AW10" s="20"/>
      <c r="AX10" s="20"/>
      <c r="AY10" s="64"/>
      <c r="AZ10" s="20"/>
      <c r="BA10" s="20"/>
      <c r="BB10" s="64"/>
      <c r="BC10" s="20"/>
      <c r="BD10" s="20"/>
      <c r="BE10" s="153"/>
      <c r="BF10" s="20"/>
      <c r="BG10" s="20"/>
      <c r="BH10" s="153"/>
      <c r="BI10" s="20"/>
      <c r="BJ10" s="20"/>
      <c r="BK10" s="20"/>
      <c r="BL10" s="20"/>
      <c r="BM10" s="20"/>
      <c r="BN10" s="100"/>
      <c r="BO10" s="125"/>
      <c r="BP10" s="125"/>
      <c r="BQ10" s="118"/>
      <c r="BS10" s="3"/>
      <c r="BT10" s="67"/>
      <c r="BU10" s="24"/>
      <c r="BV10" s="24"/>
      <c r="BW10" s="67"/>
      <c r="BX10" s="24"/>
      <c r="BY10" s="24"/>
      <c r="BZ10" s="67"/>
      <c r="CA10" s="24"/>
      <c r="CB10" s="24"/>
      <c r="CC10" s="67"/>
      <c r="CD10" s="24"/>
      <c r="CE10" s="24"/>
      <c r="CF10" s="67"/>
      <c r="CG10" s="24"/>
      <c r="CH10" s="24"/>
      <c r="CI10" s="67"/>
      <c r="CJ10" s="24"/>
      <c r="CK10" s="24"/>
      <c r="CL10" s="67"/>
      <c r="CM10" s="24"/>
      <c r="CN10" s="24"/>
      <c r="CO10" s="67"/>
      <c r="CP10" s="170"/>
      <c r="CQ10" s="172"/>
    </row>
    <row r="11" spans="1:95">
      <c r="A11" s="100"/>
      <c r="B11" s="25"/>
      <c r="C11" s="101"/>
      <c r="D11" s="102"/>
      <c r="E11" s="103"/>
      <c r="F11" s="65"/>
      <c r="G11" s="26"/>
      <c r="H11" s="105"/>
      <c r="I11" s="26"/>
      <c r="J11" s="106"/>
      <c r="K11" s="106"/>
      <c r="L11" s="106"/>
      <c r="M11" s="106"/>
      <c r="N11" s="102"/>
      <c r="O11" s="100"/>
      <c r="P11" s="101"/>
      <c r="R11" s="100"/>
      <c r="S11" s="25"/>
      <c r="T11" s="101"/>
      <c r="U11" s="102"/>
      <c r="V11" s="65"/>
      <c r="W11" s="103"/>
      <c r="X11" s="65"/>
      <c r="Y11" s="65"/>
      <c r="Z11" s="26"/>
      <c r="AA11" s="105"/>
      <c r="AB11" s="65"/>
      <c r="AC11" s="26"/>
      <c r="AD11" s="106"/>
      <c r="AE11" s="65"/>
      <c r="AF11" s="106"/>
      <c r="AG11" s="106"/>
      <c r="AH11" s="65"/>
      <c r="AI11" s="106"/>
      <c r="AJ11" s="102"/>
      <c r="AK11" s="65"/>
      <c r="AL11" s="100"/>
      <c r="AM11" s="101"/>
      <c r="AN11" s="125"/>
      <c r="AO11" s="118"/>
      <c r="AQ11" s="100"/>
      <c r="AR11" s="181" t="s">
        <v>28</v>
      </c>
      <c r="AS11" s="101"/>
      <c r="AT11" s="20" t="s">
        <v>53</v>
      </c>
      <c r="AU11" s="20">
        <v>117473.68799999999</v>
      </c>
      <c r="AV11" s="103"/>
      <c r="AW11" s="20" t="s">
        <v>53</v>
      </c>
      <c r="AX11" s="20">
        <v>346.85</v>
      </c>
      <c r="AY11" s="64"/>
      <c r="AZ11" s="20" t="s">
        <v>53</v>
      </c>
      <c r="BA11" s="20">
        <v>27.114999999999998</v>
      </c>
      <c r="BB11" s="64"/>
      <c r="BC11" s="20" t="s">
        <v>53</v>
      </c>
      <c r="BD11" s="20">
        <v>268.71499999999997</v>
      </c>
      <c r="BE11" s="153"/>
      <c r="BF11" s="20" t="s">
        <v>53</v>
      </c>
      <c r="BG11" s="20">
        <v>0</v>
      </c>
      <c r="BH11" s="153"/>
      <c r="BI11" s="20" t="s">
        <v>53</v>
      </c>
      <c r="BJ11" s="20">
        <v>4.3319999999999999</v>
      </c>
      <c r="BK11" s="20"/>
      <c r="BL11" s="20" t="s">
        <v>53</v>
      </c>
      <c r="BM11" s="20">
        <v>89.33</v>
      </c>
      <c r="BN11" s="100"/>
      <c r="BO11" s="125">
        <v>416.2</v>
      </c>
      <c r="BP11" s="125">
        <v>118210.03</v>
      </c>
      <c r="BQ11" s="118"/>
      <c r="BS11" s="3" t="s">
        <v>28</v>
      </c>
      <c r="BT11" s="67"/>
      <c r="BU11" s="24">
        <v>117473.68799999999</v>
      </c>
      <c r="BV11" s="24">
        <v>0</v>
      </c>
      <c r="BW11" s="67"/>
      <c r="BX11" s="24">
        <v>346.85</v>
      </c>
      <c r="BY11" s="24">
        <v>222.85</v>
      </c>
      <c r="BZ11" s="67"/>
      <c r="CA11" s="24">
        <v>27.114999999999998</v>
      </c>
      <c r="CB11" s="24">
        <v>4238</v>
      </c>
      <c r="CC11" s="67"/>
      <c r="CD11" s="24">
        <v>268.71499999999997</v>
      </c>
      <c r="CE11" s="24">
        <v>579.09</v>
      </c>
      <c r="CF11" s="67"/>
      <c r="CG11" s="24">
        <v>0</v>
      </c>
      <c r="CH11" s="24">
        <v>0</v>
      </c>
      <c r="CI11" s="67"/>
      <c r="CJ11" s="24">
        <v>4.3319999999999999</v>
      </c>
      <c r="CK11" s="24">
        <v>0</v>
      </c>
      <c r="CL11" s="67"/>
      <c r="CM11" s="24">
        <v>89.33</v>
      </c>
      <c r="CN11" s="24">
        <v>0</v>
      </c>
      <c r="CO11" s="67"/>
      <c r="CP11" s="170">
        <v>118210.03</v>
      </c>
      <c r="CQ11" s="172">
        <v>5039.9400000000005</v>
      </c>
    </row>
    <row r="12" spans="1:95">
      <c r="A12" s="100"/>
      <c r="B12" s="25" t="s">
        <v>28</v>
      </c>
      <c r="C12" s="101"/>
      <c r="D12" s="102">
        <v>305.89999999999998</v>
      </c>
      <c r="E12" s="103"/>
      <c r="F12" s="102">
        <v>14.2</v>
      </c>
      <c r="G12" s="26"/>
      <c r="H12" s="102">
        <v>7</v>
      </c>
      <c r="I12" s="26"/>
      <c r="J12" s="102">
        <v>0</v>
      </c>
      <c r="K12" s="106"/>
      <c r="L12" s="102">
        <v>0</v>
      </c>
      <c r="M12" s="106"/>
      <c r="N12" s="102">
        <v>0</v>
      </c>
      <c r="O12" s="100"/>
      <c r="P12" s="103">
        <v>327.09999999999997</v>
      </c>
      <c r="R12" s="100"/>
      <c r="S12" s="25" t="s">
        <v>28</v>
      </c>
      <c r="T12" s="101"/>
      <c r="U12" s="102">
        <v>305.89999999999998</v>
      </c>
      <c r="V12" s="65" t="s">
        <v>53</v>
      </c>
      <c r="W12" s="103"/>
      <c r="X12" s="102">
        <v>14.2</v>
      </c>
      <c r="Y12" s="65" t="s">
        <v>53</v>
      </c>
      <c r="Z12" s="26"/>
      <c r="AA12" s="102">
        <v>7</v>
      </c>
      <c r="AB12" s="65" t="s">
        <v>53</v>
      </c>
      <c r="AC12" s="26"/>
      <c r="AD12" s="102">
        <v>0</v>
      </c>
      <c r="AE12" s="65" t="s">
        <v>53</v>
      </c>
      <c r="AF12" s="106"/>
      <c r="AG12" s="102">
        <v>0</v>
      </c>
      <c r="AH12" s="65" t="s">
        <v>53</v>
      </c>
      <c r="AI12" s="106"/>
      <c r="AJ12" s="102">
        <v>0</v>
      </c>
      <c r="AK12" s="65" t="s">
        <v>53</v>
      </c>
      <c r="AL12" s="100"/>
      <c r="AM12" s="103">
        <v>327.09999999999997</v>
      </c>
      <c r="AN12" s="125">
        <v>416.2</v>
      </c>
      <c r="AO12" s="118"/>
      <c r="AQ12" s="100"/>
      <c r="AR12" s="181"/>
      <c r="AS12" s="101"/>
      <c r="AT12" s="20"/>
      <c r="AU12" s="20"/>
      <c r="AV12" s="103"/>
      <c r="AW12" s="20"/>
      <c r="AX12" s="20"/>
      <c r="AY12" s="64"/>
      <c r="AZ12" s="20"/>
      <c r="BA12" s="20"/>
      <c r="BB12" s="64"/>
      <c r="BC12" s="20"/>
      <c r="BD12" s="20"/>
      <c r="BE12" s="153"/>
      <c r="BF12" s="20"/>
      <c r="BG12" s="20"/>
      <c r="BH12" s="153"/>
      <c r="BI12" s="20"/>
      <c r="BJ12" s="20"/>
      <c r="BK12" s="20"/>
      <c r="BL12" s="20"/>
      <c r="BM12" s="20"/>
      <c r="BN12" s="100"/>
      <c r="BO12" s="125"/>
      <c r="BP12" s="125"/>
      <c r="BQ12" s="118"/>
      <c r="BS12" s="3"/>
      <c r="BT12" s="67"/>
      <c r="BU12" s="24"/>
      <c r="BV12" s="24"/>
      <c r="BW12" s="67"/>
      <c r="BX12" s="24"/>
      <c r="BY12" s="24"/>
      <c r="BZ12" s="67"/>
      <c r="CA12" s="24"/>
      <c r="CB12" s="24"/>
      <c r="CC12" s="67"/>
      <c r="CD12" s="24"/>
      <c r="CE12" s="24"/>
      <c r="CF12" s="67"/>
      <c r="CG12" s="24"/>
      <c r="CH12" s="24"/>
      <c r="CI12" s="67"/>
      <c r="CJ12" s="24"/>
      <c r="CK12" s="24"/>
      <c r="CL12" s="67"/>
      <c r="CM12" s="24"/>
      <c r="CN12" s="24"/>
      <c r="CO12" s="67"/>
      <c r="CP12" s="170"/>
      <c r="CQ12" s="172"/>
    </row>
    <row r="13" spans="1:95" ht="28">
      <c r="A13" s="100"/>
      <c r="B13" s="25"/>
      <c r="C13" s="101"/>
      <c r="D13" s="107"/>
      <c r="E13" s="103"/>
      <c r="F13" s="65"/>
      <c r="G13" s="26"/>
      <c r="H13" s="105"/>
      <c r="I13" s="26"/>
      <c r="J13" s="106"/>
      <c r="K13" s="106"/>
      <c r="L13" s="106"/>
      <c r="M13" s="106"/>
      <c r="N13" s="106"/>
      <c r="O13" s="100"/>
      <c r="P13" s="101"/>
      <c r="R13" s="100"/>
      <c r="S13" s="25"/>
      <c r="T13" s="101"/>
      <c r="U13" s="107"/>
      <c r="V13" s="65"/>
      <c r="W13" s="103"/>
      <c r="X13" s="65"/>
      <c r="Y13" s="65"/>
      <c r="Z13" s="26"/>
      <c r="AA13" s="105"/>
      <c r="AB13" s="65"/>
      <c r="AC13" s="26"/>
      <c r="AD13" s="106"/>
      <c r="AE13" s="65"/>
      <c r="AF13" s="106"/>
      <c r="AG13" s="106"/>
      <c r="AH13" s="65"/>
      <c r="AI13" s="106"/>
      <c r="AJ13" s="106"/>
      <c r="AK13" s="65"/>
      <c r="AL13" s="100"/>
      <c r="AM13" s="101"/>
      <c r="AN13" s="125"/>
      <c r="AO13" s="118"/>
      <c r="AQ13" s="100"/>
      <c r="AR13" s="181" t="s">
        <v>29</v>
      </c>
      <c r="AS13" s="101"/>
      <c r="AT13" s="20" t="s">
        <v>53</v>
      </c>
      <c r="AU13" s="20">
        <v>10374.332</v>
      </c>
      <c r="AV13" s="103"/>
      <c r="AW13" s="20" t="s">
        <v>53</v>
      </c>
      <c r="AX13" s="20">
        <v>8544.4495000000006</v>
      </c>
      <c r="AY13" s="64"/>
      <c r="AZ13" s="20" t="s">
        <v>53</v>
      </c>
      <c r="BA13" s="20">
        <v>1020.4</v>
      </c>
      <c r="BB13" s="64"/>
      <c r="BC13" s="20" t="s">
        <v>53</v>
      </c>
      <c r="BD13" s="20">
        <v>2158.7979999999998</v>
      </c>
      <c r="BE13" s="153"/>
      <c r="BF13" s="20" t="s">
        <v>53</v>
      </c>
      <c r="BG13" s="20">
        <v>0</v>
      </c>
      <c r="BH13" s="153"/>
      <c r="BI13" s="20" t="s">
        <v>53</v>
      </c>
      <c r="BJ13" s="20">
        <v>346</v>
      </c>
      <c r="BK13" s="20"/>
      <c r="BL13" s="20" t="s">
        <v>53</v>
      </c>
      <c r="BM13" s="20">
        <v>0</v>
      </c>
      <c r="BN13" s="100"/>
      <c r="BO13" s="125">
        <v>52525.092299999997</v>
      </c>
      <c r="BP13" s="125">
        <v>22443.979500000001</v>
      </c>
      <c r="BQ13" s="118"/>
      <c r="BS13" s="3" t="s">
        <v>29</v>
      </c>
      <c r="BT13" s="67"/>
      <c r="BU13" s="24">
        <v>10374.332</v>
      </c>
      <c r="BV13" s="24">
        <v>0</v>
      </c>
      <c r="BW13" s="67"/>
      <c r="BX13" s="24">
        <v>8544.4495000000006</v>
      </c>
      <c r="BY13" s="24">
        <v>2322.9899999999998</v>
      </c>
      <c r="BZ13" s="67"/>
      <c r="CA13" s="24">
        <v>1020.4</v>
      </c>
      <c r="CB13" s="24">
        <v>1276</v>
      </c>
      <c r="CC13" s="67"/>
      <c r="CD13" s="24">
        <v>2158.7979999999998</v>
      </c>
      <c r="CE13" s="24">
        <v>780.60199999999998</v>
      </c>
      <c r="CF13" s="67"/>
      <c r="CG13" s="24">
        <v>0</v>
      </c>
      <c r="CH13" s="24">
        <v>0</v>
      </c>
      <c r="CI13" s="67"/>
      <c r="CJ13" s="24">
        <v>346</v>
      </c>
      <c r="CK13" s="24">
        <v>4.0999999999999996</v>
      </c>
      <c r="CL13" s="67"/>
      <c r="CM13" s="24">
        <v>0</v>
      </c>
      <c r="CN13" s="24">
        <v>0</v>
      </c>
      <c r="CO13" s="67"/>
      <c r="CP13" s="170">
        <v>22443.979500000001</v>
      </c>
      <c r="CQ13" s="172">
        <v>4383.692</v>
      </c>
    </row>
    <row r="14" spans="1:95">
      <c r="A14" s="100"/>
      <c r="B14" s="25" t="s">
        <v>29</v>
      </c>
      <c r="C14" s="101"/>
      <c r="D14" s="102">
        <v>61654.010299999994</v>
      </c>
      <c r="E14" s="103"/>
      <c r="F14" s="102">
        <v>2121.98</v>
      </c>
      <c r="G14" s="26"/>
      <c r="H14" s="102">
        <v>1841.0640000000001</v>
      </c>
      <c r="I14" s="26"/>
      <c r="J14" s="102">
        <v>352.63600000000002</v>
      </c>
      <c r="K14" s="106"/>
      <c r="L14" s="102">
        <v>0</v>
      </c>
      <c r="M14" s="106"/>
      <c r="N14" s="102">
        <v>65</v>
      </c>
      <c r="O14" s="100"/>
      <c r="P14" s="103">
        <v>66034.690300000002</v>
      </c>
      <c r="R14" s="100"/>
      <c r="S14" s="25" t="s">
        <v>29</v>
      </c>
      <c r="T14" s="101"/>
      <c r="U14" s="102">
        <v>61654.010299999994</v>
      </c>
      <c r="V14" s="65" t="s">
        <v>53</v>
      </c>
      <c r="W14" s="103"/>
      <c r="X14" s="102">
        <v>2121.98</v>
      </c>
      <c r="Y14" s="65" t="s">
        <v>53</v>
      </c>
      <c r="Z14" s="26"/>
      <c r="AA14" s="102">
        <v>1841.0640000000001</v>
      </c>
      <c r="AB14" s="65" t="s">
        <v>53</v>
      </c>
      <c r="AC14" s="26"/>
      <c r="AD14" s="102">
        <v>352.63600000000002</v>
      </c>
      <c r="AE14" s="65" t="s">
        <v>53</v>
      </c>
      <c r="AF14" s="106"/>
      <c r="AG14" s="102">
        <v>0</v>
      </c>
      <c r="AH14" s="65" t="s">
        <v>53</v>
      </c>
      <c r="AI14" s="106"/>
      <c r="AJ14" s="102">
        <v>65</v>
      </c>
      <c r="AK14" s="65" t="s">
        <v>53</v>
      </c>
      <c r="AL14" s="100"/>
      <c r="AM14" s="103">
        <v>66034.690300000002</v>
      </c>
      <c r="AN14" s="125">
        <v>52525.092299999997</v>
      </c>
      <c r="AO14" s="118"/>
      <c r="AQ14" s="100"/>
      <c r="AR14" s="181"/>
      <c r="AS14" s="101"/>
      <c r="AT14" s="20"/>
      <c r="AU14" s="20"/>
      <c r="AV14" s="103"/>
      <c r="AW14" s="20"/>
      <c r="AX14" s="20"/>
      <c r="AY14" s="20"/>
      <c r="AZ14" s="20"/>
      <c r="BA14" s="20"/>
      <c r="BB14" s="20"/>
      <c r="BC14" s="20"/>
      <c r="BD14" s="20"/>
      <c r="BE14" s="153"/>
      <c r="BF14" s="20"/>
      <c r="BG14" s="20"/>
      <c r="BH14" s="153"/>
      <c r="BI14" s="20"/>
      <c r="BJ14" s="20"/>
      <c r="BK14" s="20"/>
      <c r="BL14" s="20"/>
      <c r="BM14" s="20"/>
      <c r="BN14" s="100"/>
      <c r="BO14" s="125"/>
      <c r="BP14" s="125"/>
      <c r="BQ14" s="118"/>
      <c r="BS14" s="3"/>
      <c r="BT14" s="67"/>
      <c r="BU14" s="24"/>
      <c r="BV14" s="24"/>
      <c r="BW14" s="67"/>
      <c r="BX14" s="24"/>
      <c r="BY14" s="24"/>
      <c r="BZ14" s="67"/>
      <c r="CA14" s="24"/>
      <c r="CB14" s="24"/>
      <c r="CC14" s="67"/>
      <c r="CD14" s="24"/>
      <c r="CE14" s="24"/>
      <c r="CF14" s="67"/>
      <c r="CG14" s="24"/>
      <c r="CH14" s="24"/>
      <c r="CI14" s="67"/>
      <c r="CJ14" s="24"/>
      <c r="CK14" s="24"/>
      <c r="CL14" s="67"/>
      <c r="CM14" s="24"/>
      <c r="CN14" s="24"/>
      <c r="CO14" s="67"/>
      <c r="CP14" s="170"/>
      <c r="CQ14" s="172"/>
    </row>
    <row r="15" spans="1:95">
      <c r="A15" s="100"/>
      <c r="B15" s="25"/>
      <c r="C15" s="101"/>
      <c r="D15" s="102"/>
      <c r="E15" s="103"/>
      <c r="F15" s="65"/>
      <c r="G15" s="104"/>
      <c r="H15" s="65"/>
      <c r="I15" s="104"/>
      <c r="J15" s="106"/>
      <c r="K15" s="106"/>
      <c r="L15" s="106"/>
      <c r="M15" s="106"/>
      <c r="N15" s="106"/>
      <c r="O15" s="100"/>
      <c r="P15" s="101"/>
      <c r="R15" s="100"/>
      <c r="S15" s="25"/>
      <c r="T15" s="101"/>
      <c r="U15" s="102"/>
      <c r="V15" s="65"/>
      <c r="W15" s="103"/>
      <c r="X15" s="65"/>
      <c r="Y15" s="65"/>
      <c r="Z15" s="104"/>
      <c r="AA15" s="65"/>
      <c r="AB15" s="65"/>
      <c r="AC15" s="104"/>
      <c r="AD15" s="106"/>
      <c r="AE15" s="65"/>
      <c r="AF15" s="106"/>
      <c r="AG15" s="106"/>
      <c r="AH15" s="65"/>
      <c r="AI15" s="106"/>
      <c r="AJ15" s="106"/>
      <c r="AK15" s="65"/>
      <c r="AL15" s="100"/>
      <c r="AM15" s="101"/>
      <c r="AN15" s="125"/>
      <c r="AO15" s="118"/>
      <c r="AQ15" s="100"/>
      <c r="AR15" s="181" t="s">
        <v>30</v>
      </c>
      <c r="AS15" s="101"/>
      <c r="AT15" s="20" t="s">
        <v>53</v>
      </c>
      <c r="AU15" s="20">
        <v>0</v>
      </c>
      <c r="AV15" s="103"/>
      <c r="AW15" s="20" t="s">
        <v>53</v>
      </c>
      <c r="AX15" s="20">
        <v>229.95</v>
      </c>
      <c r="AY15" s="64"/>
      <c r="AZ15" s="20" t="s">
        <v>53</v>
      </c>
      <c r="BA15" s="20">
        <v>144.8366</v>
      </c>
      <c r="BB15" s="64"/>
      <c r="BC15" s="20" t="s">
        <v>53</v>
      </c>
      <c r="BD15" s="20">
        <v>96.9</v>
      </c>
      <c r="BE15" s="153"/>
      <c r="BF15" s="20" t="s">
        <v>53</v>
      </c>
      <c r="BG15" s="20">
        <v>0</v>
      </c>
      <c r="BH15" s="153"/>
      <c r="BI15" s="20" t="s">
        <v>53</v>
      </c>
      <c r="BJ15" s="20">
        <v>0</v>
      </c>
      <c r="BK15" s="20"/>
      <c r="BL15" s="20" t="s">
        <v>53</v>
      </c>
      <c r="BM15" s="20">
        <v>0</v>
      </c>
      <c r="BN15" s="100"/>
      <c r="BO15" s="125">
        <v>206.44239999999999</v>
      </c>
      <c r="BP15" s="125">
        <v>471.6866</v>
      </c>
      <c r="BQ15" s="118"/>
      <c r="BS15" s="3" t="s">
        <v>30</v>
      </c>
      <c r="BT15" s="67"/>
      <c r="BU15" s="24">
        <v>0</v>
      </c>
      <c r="BV15" s="24">
        <v>0</v>
      </c>
      <c r="BW15" s="67"/>
      <c r="BX15" s="24">
        <v>229.95</v>
      </c>
      <c r="BY15" s="24">
        <v>232</v>
      </c>
      <c r="BZ15" s="67"/>
      <c r="CA15" s="24">
        <v>144.8366</v>
      </c>
      <c r="CB15" s="24">
        <v>0</v>
      </c>
      <c r="CC15" s="67"/>
      <c r="CD15" s="24">
        <v>96.9</v>
      </c>
      <c r="CE15" s="24">
        <v>280.298</v>
      </c>
      <c r="CF15" s="67"/>
      <c r="CG15" s="24">
        <v>0</v>
      </c>
      <c r="CH15" s="24">
        <v>0</v>
      </c>
      <c r="CI15" s="67"/>
      <c r="CJ15" s="24">
        <v>0</v>
      </c>
      <c r="CK15" s="24">
        <v>0</v>
      </c>
      <c r="CL15" s="67"/>
      <c r="CM15" s="24">
        <v>0</v>
      </c>
      <c r="CN15" s="24">
        <v>0</v>
      </c>
      <c r="CO15" s="67"/>
      <c r="CP15" s="170">
        <v>471.6866</v>
      </c>
      <c r="CQ15" s="172">
        <v>512.298</v>
      </c>
    </row>
    <row r="16" spans="1:95">
      <c r="A16" s="100"/>
      <c r="B16" s="25" t="s">
        <v>30</v>
      </c>
      <c r="C16" s="101"/>
      <c r="D16" s="102">
        <v>0</v>
      </c>
      <c r="E16" s="103"/>
      <c r="F16" s="102">
        <v>0</v>
      </c>
      <c r="G16" s="26"/>
      <c r="H16" s="102">
        <v>98.3</v>
      </c>
      <c r="I16" s="26"/>
      <c r="J16" s="102">
        <v>0</v>
      </c>
      <c r="K16" s="106"/>
      <c r="L16" s="102">
        <v>0</v>
      </c>
      <c r="M16" s="106"/>
      <c r="N16" s="102">
        <v>0</v>
      </c>
      <c r="O16" s="100"/>
      <c r="P16" s="103">
        <v>98.3</v>
      </c>
      <c r="R16" s="100"/>
      <c r="S16" s="25" t="s">
        <v>30</v>
      </c>
      <c r="T16" s="101"/>
      <c r="U16" s="102">
        <v>0</v>
      </c>
      <c r="V16" s="65" t="s">
        <v>53</v>
      </c>
      <c r="W16" s="103"/>
      <c r="X16" s="102">
        <v>0</v>
      </c>
      <c r="Y16" s="65" t="s">
        <v>53</v>
      </c>
      <c r="Z16" s="26"/>
      <c r="AA16" s="102">
        <v>98.3</v>
      </c>
      <c r="AB16" s="65" t="s">
        <v>53</v>
      </c>
      <c r="AC16" s="26"/>
      <c r="AD16" s="102">
        <v>0</v>
      </c>
      <c r="AE16" s="65" t="s">
        <v>53</v>
      </c>
      <c r="AF16" s="106"/>
      <c r="AG16" s="102">
        <v>0</v>
      </c>
      <c r="AH16" s="65" t="s">
        <v>53</v>
      </c>
      <c r="AI16" s="106"/>
      <c r="AJ16" s="102">
        <v>0</v>
      </c>
      <c r="AK16" s="65" t="s">
        <v>53</v>
      </c>
      <c r="AL16" s="100"/>
      <c r="AM16" s="103">
        <v>98.3</v>
      </c>
      <c r="AN16" s="125">
        <v>206.44239999999999</v>
      </c>
      <c r="AO16" s="118"/>
      <c r="AQ16" s="100"/>
      <c r="AR16" s="181"/>
      <c r="AS16" s="101"/>
      <c r="AT16" s="20"/>
      <c r="AU16" s="20"/>
      <c r="AV16" s="103"/>
      <c r="AW16" s="20"/>
      <c r="AX16" s="20"/>
      <c r="AY16" s="20"/>
      <c r="AZ16" s="20"/>
      <c r="BA16" s="20"/>
      <c r="BB16" s="20"/>
      <c r="BC16" s="20"/>
      <c r="BD16" s="20"/>
      <c r="BE16" s="153"/>
      <c r="BF16" s="20"/>
      <c r="BG16" s="20"/>
      <c r="BH16" s="153"/>
      <c r="BI16" s="20"/>
      <c r="BJ16" s="20"/>
      <c r="BK16" s="20"/>
      <c r="BL16" s="20"/>
      <c r="BM16" s="20"/>
      <c r="BN16" s="100"/>
      <c r="BO16" s="125"/>
      <c r="BP16" s="125"/>
      <c r="BQ16" s="118"/>
      <c r="BS16" s="3"/>
      <c r="BT16" s="67"/>
      <c r="BU16" s="24"/>
      <c r="BV16" s="24"/>
      <c r="BW16" s="67"/>
      <c r="BX16" s="24"/>
      <c r="BY16" s="24"/>
      <c r="BZ16" s="67"/>
      <c r="CA16" s="24"/>
      <c r="CB16" s="24"/>
      <c r="CC16" s="67"/>
      <c r="CD16" s="24"/>
      <c r="CE16" s="24"/>
      <c r="CF16" s="67"/>
      <c r="CG16" s="24"/>
      <c r="CH16" s="24"/>
      <c r="CI16" s="67"/>
      <c r="CJ16" s="24"/>
      <c r="CK16" s="24"/>
      <c r="CL16" s="67"/>
      <c r="CM16" s="24"/>
      <c r="CN16" s="24"/>
      <c r="CO16" s="67"/>
      <c r="CP16" s="170"/>
      <c r="CQ16" s="172"/>
    </row>
    <row r="17" spans="1:95" ht="42">
      <c r="A17" s="100"/>
      <c r="B17" s="25"/>
      <c r="C17" s="101"/>
      <c r="D17" s="102"/>
      <c r="E17" s="103"/>
      <c r="F17" s="65"/>
      <c r="G17" s="104"/>
      <c r="H17" s="65"/>
      <c r="I17" s="104"/>
      <c r="J17" s="106"/>
      <c r="K17" s="106"/>
      <c r="L17" s="106"/>
      <c r="M17" s="106"/>
      <c r="N17" s="106"/>
      <c r="O17" s="100"/>
      <c r="P17" s="101"/>
      <c r="R17" s="100"/>
      <c r="S17" s="25"/>
      <c r="T17" s="101"/>
      <c r="U17" s="102"/>
      <c r="V17" s="65"/>
      <c r="W17" s="103"/>
      <c r="X17" s="65"/>
      <c r="Y17" s="65"/>
      <c r="Z17" s="104"/>
      <c r="AA17" s="65"/>
      <c r="AB17" s="65"/>
      <c r="AC17" s="104"/>
      <c r="AD17" s="106"/>
      <c r="AE17" s="65"/>
      <c r="AF17" s="106"/>
      <c r="AG17" s="106"/>
      <c r="AH17" s="65"/>
      <c r="AI17" s="106"/>
      <c r="AJ17" s="106"/>
      <c r="AK17" s="65"/>
      <c r="AL17" s="100"/>
      <c r="AM17" s="101"/>
      <c r="AN17" s="125"/>
      <c r="AO17" s="118"/>
      <c r="AQ17" s="100"/>
      <c r="AR17" s="181" t="s">
        <v>31</v>
      </c>
      <c r="AS17" s="101"/>
      <c r="AT17" s="20" t="s">
        <v>53</v>
      </c>
      <c r="AU17" s="20">
        <v>0</v>
      </c>
      <c r="AV17" s="103"/>
      <c r="AW17" s="20" t="s">
        <v>53</v>
      </c>
      <c r="AX17" s="20">
        <v>698.69899999999996</v>
      </c>
      <c r="AY17" s="64"/>
      <c r="AZ17" s="20" t="s">
        <v>53</v>
      </c>
      <c r="BA17" s="20">
        <v>442.83</v>
      </c>
      <c r="BB17" s="64"/>
      <c r="BC17" s="20" t="s">
        <v>53</v>
      </c>
      <c r="BD17" s="20">
        <v>68.39</v>
      </c>
      <c r="BE17" s="153"/>
      <c r="BF17" s="20" t="s">
        <v>53</v>
      </c>
      <c r="BG17" s="20">
        <v>0</v>
      </c>
      <c r="BH17" s="153"/>
      <c r="BI17" s="20" t="s">
        <v>53</v>
      </c>
      <c r="BJ17" s="20">
        <v>0</v>
      </c>
      <c r="BK17" s="20"/>
      <c r="BL17" s="20" t="s">
        <v>53</v>
      </c>
      <c r="BM17" s="20">
        <v>0</v>
      </c>
      <c r="BN17" s="100"/>
      <c r="BO17" s="125">
        <v>3023.6379999999999</v>
      </c>
      <c r="BP17" s="125">
        <v>1209.9190000000001</v>
      </c>
      <c r="BQ17" s="118"/>
      <c r="BS17" s="3" t="s">
        <v>31</v>
      </c>
      <c r="BT17" s="67"/>
      <c r="BU17" s="24">
        <v>0</v>
      </c>
      <c r="BV17" s="24">
        <v>0</v>
      </c>
      <c r="BW17" s="67"/>
      <c r="BX17" s="24">
        <v>698.69899999999996</v>
      </c>
      <c r="BY17" s="24">
        <v>395.45</v>
      </c>
      <c r="BZ17" s="67"/>
      <c r="CA17" s="24">
        <v>442.83</v>
      </c>
      <c r="CB17" s="24">
        <v>1957.82</v>
      </c>
      <c r="CC17" s="67"/>
      <c r="CD17" s="24">
        <v>68.39</v>
      </c>
      <c r="CE17" s="24">
        <v>21.5352</v>
      </c>
      <c r="CF17" s="67"/>
      <c r="CG17" s="24">
        <v>0</v>
      </c>
      <c r="CH17" s="24">
        <v>0</v>
      </c>
      <c r="CI17" s="67"/>
      <c r="CJ17" s="24">
        <v>0</v>
      </c>
      <c r="CK17" s="24">
        <v>248.6</v>
      </c>
      <c r="CL17" s="67"/>
      <c r="CM17" s="24">
        <v>0</v>
      </c>
      <c r="CN17" s="24">
        <v>0</v>
      </c>
      <c r="CO17" s="67"/>
      <c r="CP17" s="170">
        <v>1209.9190000000001</v>
      </c>
      <c r="CQ17" s="172">
        <v>2623.4051999999997</v>
      </c>
    </row>
    <row r="18" spans="1:95">
      <c r="A18" s="100"/>
      <c r="B18" s="25" t="s">
        <v>31</v>
      </c>
      <c r="C18" s="101"/>
      <c r="D18" s="102">
        <v>16.038</v>
      </c>
      <c r="E18" s="103"/>
      <c r="F18" s="102">
        <v>2930.55</v>
      </c>
      <c r="G18" s="26"/>
      <c r="H18" s="102">
        <v>60.55</v>
      </c>
      <c r="I18" s="26"/>
      <c r="J18" s="102">
        <v>0</v>
      </c>
      <c r="K18" s="106"/>
      <c r="L18" s="102">
        <v>0</v>
      </c>
      <c r="M18" s="106"/>
      <c r="N18" s="102">
        <v>0</v>
      </c>
      <c r="O18" s="100"/>
      <c r="P18" s="103">
        <v>3007.1380000000004</v>
      </c>
      <c r="R18" s="100"/>
      <c r="S18" s="25" t="s">
        <v>31</v>
      </c>
      <c r="T18" s="101"/>
      <c r="U18" s="102">
        <v>16.038</v>
      </c>
      <c r="V18" s="65" t="s">
        <v>53</v>
      </c>
      <c r="W18" s="103"/>
      <c r="X18" s="102">
        <v>2930.55</v>
      </c>
      <c r="Y18" s="65" t="s">
        <v>53</v>
      </c>
      <c r="Z18" s="26"/>
      <c r="AA18" s="102">
        <v>60.55</v>
      </c>
      <c r="AB18" s="65" t="s">
        <v>53</v>
      </c>
      <c r="AC18" s="26"/>
      <c r="AD18" s="102">
        <v>0</v>
      </c>
      <c r="AE18" s="65" t="s">
        <v>53</v>
      </c>
      <c r="AF18" s="106"/>
      <c r="AG18" s="102">
        <v>0</v>
      </c>
      <c r="AH18" s="65" t="s">
        <v>53</v>
      </c>
      <c r="AI18" s="106"/>
      <c r="AJ18" s="102">
        <v>0</v>
      </c>
      <c r="AK18" s="65" t="s">
        <v>53</v>
      </c>
      <c r="AL18" s="100"/>
      <c r="AM18" s="103">
        <v>3007.1380000000004</v>
      </c>
      <c r="AN18" s="125">
        <v>3023.6379999999999</v>
      </c>
      <c r="AO18" s="118"/>
      <c r="AQ18" s="100"/>
      <c r="AR18" s="181"/>
      <c r="AS18" s="101"/>
      <c r="AT18" s="20"/>
      <c r="AU18" s="20"/>
      <c r="AV18" s="103"/>
      <c r="AW18" s="20"/>
      <c r="AX18" s="20"/>
      <c r="AY18" s="20"/>
      <c r="AZ18" s="20"/>
      <c r="BA18" s="20"/>
      <c r="BB18" s="20"/>
      <c r="BC18" s="20"/>
      <c r="BD18" s="20"/>
      <c r="BE18" s="153"/>
      <c r="BF18" s="20"/>
      <c r="BG18" s="20"/>
      <c r="BH18" s="153"/>
      <c r="BI18" s="20"/>
      <c r="BJ18" s="20"/>
      <c r="BK18" s="20"/>
      <c r="BL18" s="20"/>
      <c r="BM18" s="20"/>
      <c r="BN18" s="100"/>
      <c r="BO18" s="125"/>
      <c r="BP18" s="125"/>
      <c r="BQ18" s="118"/>
      <c r="BS18" s="3"/>
      <c r="BT18" s="67"/>
      <c r="BU18" s="24"/>
      <c r="BV18" s="24"/>
      <c r="BW18" s="67"/>
      <c r="BX18" s="24"/>
      <c r="BY18" s="24"/>
      <c r="BZ18" s="67"/>
      <c r="CA18" s="24"/>
      <c r="CB18" s="24"/>
      <c r="CC18" s="67"/>
      <c r="CD18" s="24"/>
      <c r="CE18" s="24"/>
      <c r="CF18" s="67"/>
      <c r="CG18" s="24"/>
      <c r="CH18" s="24"/>
      <c r="CI18" s="67"/>
      <c r="CJ18" s="24"/>
      <c r="CK18" s="24"/>
      <c r="CL18" s="67"/>
      <c r="CM18" s="24"/>
      <c r="CN18" s="24"/>
      <c r="CO18" s="67"/>
      <c r="CP18" s="170"/>
      <c r="CQ18" s="172"/>
    </row>
    <row r="19" spans="1:95">
      <c r="A19" s="100"/>
      <c r="B19" s="25"/>
      <c r="C19" s="101"/>
      <c r="D19" s="102"/>
      <c r="E19" s="103"/>
      <c r="F19" s="65"/>
      <c r="G19" s="104"/>
      <c r="H19" s="65"/>
      <c r="I19" s="104"/>
      <c r="J19" s="106"/>
      <c r="K19" s="106"/>
      <c r="L19" s="106"/>
      <c r="M19" s="106"/>
      <c r="N19" s="106"/>
      <c r="O19" s="100"/>
      <c r="P19" s="101"/>
      <c r="R19" s="100"/>
      <c r="S19" s="25"/>
      <c r="T19" s="101"/>
      <c r="U19" s="102"/>
      <c r="V19" s="65"/>
      <c r="W19" s="103"/>
      <c r="X19" s="65"/>
      <c r="Y19" s="65"/>
      <c r="Z19" s="104"/>
      <c r="AA19" s="65"/>
      <c r="AB19" s="65"/>
      <c r="AC19" s="104"/>
      <c r="AD19" s="106"/>
      <c r="AE19" s="65"/>
      <c r="AF19" s="106"/>
      <c r="AG19" s="106"/>
      <c r="AH19" s="65"/>
      <c r="AI19" s="106"/>
      <c r="AJ19" s="106"/>
      <c r="AK19" s="65"/>
      <c r="AL19" s="100"/>
      <c r="AM19" s="101"/>
      <c r="AN19" s="125"/>
      <c r="AO19" s="118"/>
      <c r="AQ19" s="100"/>
      <c r="AR19" s="181" t="s">
        <v>32</v>
      </c>
      <c r="AS19" s="101"/>
      <c r="AT19" s="20" t="s">
        <v>53</v>
      </c>
      <c r="AU19" s="20">
        <v>0</v>
      </c>
      <c r="AV19" s="103"/>
      <c r="AW19" s="20" t="s">
        <v>53</v>
      </c>
      <c r="AX19" s="20">
        <v>2155.8690000000001</v>
      </c>
      <c r="AY19" s="64"/>
      <c r="AZ19" s="20" t="s">
        <v>53</v>
      </c>
      <c r="BA19" s="20">
        <v>6461.7</v>
      </c>
      <c r="BB19" s="64"/>
      <c r="BC19" s="20" t="s">
        <v>53</v>
      </c>
      <c r="BD19" s="20">
        <v>189.5</v>
      </c>
      <c r="BE19" s="153"/>
      <c r="BF19" s="20" t="s">
        <v>53</v>
      </c>
      <c r="BG19" s="20">
        <v>0</v>
      </c>
      <c r="BH19" s="153"/>
      <c r="BI19" s="20" t="s">
        <v>53</v>
      </c>
      <c r="BJ19" s="20">
        <v>0</v>
      </c>
      <c r="BK19" s="20"/>
      <c r="BL19" s="20" t="s">
        <v>53</v>
      </c>
      <c r="BM19" s="20">
        <v>0</v>
      </c>
      <c r="BN19" s="100"/>
      <c r="BO19" s="125">
        <v>2694.02</v>
      </c>
      <c r="BP19" s="125">
        <v>8807.0689999999995</v>
      </c>
      <c r="BQ19" s="118"/>
      <c r="BS19" s="3" t="s">
        <v>32</v>
      </c>
      <c r="BT19" s="67"/>
      <c r="BU19" s="24">
        <v>0</v>
      </c>
      <c r="BV19" s="24">
        <v>0</v>
      </c>
      <c r="BW19" s="67"/>
      <c r="BX19" s="24">
        <v>2155.8690000000001</v>
      </c>
      <c r="BY19" s="24">
        <v>2413.9499999999998</v>
      </c>
      <c r="BZ19" s="67"/>
      <c r="CA19" s="24">
        <v>6461.7</v>
      </c>
      <c r="CB19" s="24">
        <v>1570</v>
      </c>
      <c r="CC19" s="67"/>
      <c r="CD19" s="24">
        <v>189.5</v>
      </c>
      <c r="CE19" s="24">
        <v>281.49935999999997</v>
      </c>
      <c r="CF19" s="67"/>
      <c r="CG19" s="24">
        <v>0</v>
      </c>
      <c r="CH19" s="24">
        <v>0</v>
      </c>
      <c r="CI19" s="67"/>
      <c r="CJ19" s="24">
        <v>0</v>
      </c>
      <c r="CK19" s="24">
        <v>23.315000000000001</v>
      </c>
      <c r="CL19" s="67"/>
      <c r="CM19" s="24">
        <v>0</v>
      </c>
      <c r="CN19" s="24">
        <v>0</v>
      </c>
      <c r="CO19" s="67"/>
      <c r="CP19" s="170">
        <v>8807.0689999999995</v>
      </c>
      <c r="CQ19" s="172">
        <v>4288.7643599999992</v>
      </c>
    </row>
    <row r="20" spans="1:95">
      <c r="A20" s="100"/>
      <c r="B20" s="25" t="s">
        <v>32</v>
      </c>
      <c r="C20" s="101"/>
      <c r="D20" s="102">
        <v>301.5</v>
      </c>
      <c r="E20" s="103"/>
      <c r="F20" s="108">
        <v>1267.32</v>
      </c>
      <c r="G20" s="26"/>
      <c r="H20" s="102">
        <v>111</v>
      </c>
      <c r="I20" s="26"/>
      <c r="J20" s="102">
        <v>10</v>
      </c>
      <c r="K20" s="106"/>
      <c r="L20" s="102">
        <v>0</v>
      </c>
      <c r="M20" s="106"/>
      <c r="N20" s="102">
        <v>3</v>
      </c>
      <c r="O20" s="100"/>
      <c r="P20" s="103">
        <v>1692.82</v>
      </c>
      <c r="R20" s="100"/>
      <c r="S20" s="25" t="s">
        <v>32</v>
      </c>
      <c r="T20" s="101"/>
      <c r="U20" s="102">
        <v>301.5</v>
      </c>
      <c r="V20" s="65" t="s">
        <v>53</v>
      </c>
      <c r="W20" s="103"/>
      <c r="X20" s="108">
        <v>1267.32</v>
      </c>
      <c r="Y20" s="65" t="s">
        <v>53</v>
      </c>
      <c r="Z20" s="26"/>
      <c r="AA20" s="102">
        <v>111</v>
      </c>
      <c r="AB20" s="65" t="s">
        <v>53</v>
      </c>
      <c r="AC20" s="26"/>
      <c r="AD20" s="102">
        <v>10</v>
      </c>
      <c r="AE20" s="65" t="s">
        <v>53</v>
      </c>
      <c r="AF20" s="106"/>
      <c r="AG20" s="102">
        <v>0</v>
      </c>
      <c r="AH20" s="65" t="s">
        <v>53</v>
      </c>
      <c r="AI20" s="106"/>
      <c r="AJ20" s="102">
        <v>3</v>
      </c>
      <c r="AK20" s="65" t="s">
        <v>53</v>
      </c>
      <c r="AL20" s="100"/>
      <c r="AM20" s="103">
        <v>1692.82</v>
      </c>
      <c r="AN20" s="125">
        <v>2694.02</v>
      </c>
      <c r="AO20" s="118"/>
      <c r="AQ20" s="100"/>
      <c r="AR20" s="181"/>
      <c r="AS20" s="101"/>
      <c r="AT20" s="20"/>
      <c r="AU20" s="20"/>
      <c r="AV20" s="103"/>
      <c r="AW20" s="20"/>
      <c r="AX20" s="20"/>
      <c r="AY20" s="20"/>
      <c r="AZ20" s="20"/>
      <c r="BA20" s="20"/>
      <c r="BB20" s="20"/>
      <c r="BC20" s="20"/>
      <c r="BD20" s="20"/>
      <c r="BE20" s="153"/>
      <c r="BF20" s="20"/>
      <c r="BG20" s="20"/>
      <c r="BH20" s="153"/>
      <c r="BI20" s="20"/>
      <c r="BJ20" s="20"/>
      <c r="BK20" s="20"/>
      <c r="BL20" s="20"/>
      <c r="BM20" s="20"/>
      <c r="BN20" s="100"/>
      <c r="BO20" s="125"/>
      <c r="BP20" s="125"/>
      <c r="BQ20" s="118"/>
      <c r="BS20" s="3"/>
      <c r="BT20" s="67"/>
      <c r="BU20" s="24"/>
      <c r="BV20" s="24"/>
      <c r="BW20" s="67"/>
      <c r="BX20" s="24"/>
      <c r="BY20" s="24"/>
      <c r="BZ20" s="67"/>
      <c r="CA20" s="24"/>
      <c r="CB20" s="24"/>
      <c r="CC20" s="67"/>
      <c r="CD20" s="24"/>
      <c r="CE20" s="24"/>
      <c r="CF20" s="67"/>
      <c r="CG20" s="24"/>
      <c r="CH20" s="24"/>
      <c r="CI20" s="67"/>
      <c r="CJ20" s="24"/>
      <c r="CK20" s="24"/>
      <c r="CL20" s="67"/>
      <c r="CM20" s="24"/>
      <c r="CN20" s="24"/>
      <c r="CO20" s="67"/>
      <c r="CP20" s="170"/>
      <c r="CQ20" s="172"/>
    </row>
    <row r="21" spans="1:95" ht="28">
      <c r="A21" s="100"/>
      <c r="B21" s="25"/>
      <c r="C21" s="101"/>
      <c r="D21" s="102"/>
      <c r="E21" s="103"/>
      <c r="F21" s="65"/>
      <c r="G21" s="104"/>
      <c r="H21" s="65"/>
      <c r="I21" s="104"/>
      <c r="J21" s="106"/>
      <c r="K21" s="106"/>
      <c r="L21" s="106"/>
      <c r="M21" s="106"/>
      <c r="N21" s="106"/>
      <c r="O21" s="100"/>
      <c r="P21" s="101"/>
      <c r="R21" s="100"/>
      <c r="S21" s="25"/>
      <c r="T21" s="101"/>
      <c r="U21" s="102"/>
      <c r="V21" s="65"/>
      <c r="W21" s="103"/>
      <c r="X21" s="65"/>
      <c r="Y21" s="65"/>
      <c r="Z21" s="104"/>
      <c r="AA21" s="65"/>
      <c r="AB21" s="65"/>
      <c r="AC21" s="104"/>
      <c r="AD21" s="106"/>
      <c r="AE21" s="65"/>
      <c r="AF21" s="106"/>
      <c r="AG21" s="106"/>
      <c r="AH21" s="65"/>
      <c r="AI21" s="106"/>
      <c r="AJ21" s="106"/>
      <c r="AK21" s="65"/>
      <c r="AL21" s="100"/>
      <c r="AM21" s="101"/>
      <c r="AN21" s="125"/>
      <c r="AO21" s="118"/>
      <c r="AQ21" s="100"/>
      <c r="AR21" s="181" t="s">
        <v>35</v>
      </c>
      <c r="AS21" s="101"/>
      <c r="AT21" s="20" t="s">
        <v>53</v>
      </c>
      <c r="AU21" s="20">
        <v>0</v>
      </c>
      <c r="AV21" s="103"/>
      <c r="AW21" s="20" t="s">
        <v>53</v>
      </c>
      <c r="AX21" s="20">
        <v>11.4</v>
      </c>
      <c r="AY21" s="64"/>
      <c r="AZ21" s="20" t="s">
        <v>53</v>
      </c>
      <c r="BA21" s="20">
        <v>50</v>
      </c>
      <c r="BB21" s="64"/>
      <c r="BC21" s="20" t="s">
        <v>53</v>
      </c>
      <c r="BD21" s="20">
        <v>0</v>
      </c>
      <c r="BE21" s="153"/>
      <c r="BF21" s="20" t="s">
        <v>53</v>
      </c>
      <c r="BG21" s="20">
        <v>0</v>
      </c>
      <c r="BH21" s="153"/>
      <c r="BI21" s="20" t="s">
        <v>53</v>
      </c>
      <c r="BJ21" s="20">
        <v>1.6</v>
      </c>
      <c r="BK21" s="20"/>
      <c r="BL21" s="20" t="s">
        <v>53</v>
      </c>
      <c r="BM21" s="20">
        <v>0</v>
      </c>
      <c r="BN21" s="100"/>
      <c r="BO21" s="125">
        <v>99.847999999999999</v>
      </c>
      <c r="BP21" s="125">
        <v>63</v>
      </c>
      <c r="BQ21" s="118"/>
      <c r="BS21" s="3" t="s">
        <v>35</v>
      </c>
      <c r="BT21" s="67"/>
      <c r="BU21" s="24">
        <v>0</v>
      </c>
      <c r="BV21" s="24">
        <v>0</v>
      </c>
      <c r="BW21" s="67"/>
      <c r="BX21" s="24">
        <v>11.4</v>
      </c>
      <c r="BY21" s="24">
        <v>251.65</v>
      </c>
      <c r="BZ21" s="67"/>
      <c r="CA21" s="24">
        <v>50</v>
      </c>
      <c r="CB21" s="24">
        <v>2334.4746</v>
      </c>
      <c r="CC21" s="67"/>
      <c r="CD21" s="24">
        <v>0</v>
      </c>
      <c r="CE21" s="24">
        <v>6.61</v>
      </c>
      <c r="CF21" s="67"/>
      <c r="CG21" s="24">
        <v>0</v>
      </c>
      <c r="CH21" s="24">
        <v>0</v>
      </c>
      <c r="CI21" s="67"/>
      <c r="CJ21" s="24">
        <v>1.6</v>
      </c>
      <c r="CK21" s="24">
        <v>0</v>
      </c>
      <c r="CL21" s="67"/>
      <c r="CM21" s="24">
        <v>0</v>
      </c>
      <c r="CN21" s="24">
        <v>0</v>
      </c>
      <c r="CO21" s="67"/>
      <c r="CP21" s="170">
        <v>63</v>
      </c>
      <c r="CQ21" s="172">
        <v>2592.7346000000002</v>
      </c>
    </row>
    <row r="22" spans="1:95">
      <c r="A22" s="100"/>
      <c r="B22" s="25" t="s">
        <v>35</v>
      </c>
      <c r="C22" s="101"/>
      <c r="D22" s="102">
        <v>71.847999999999999</v>
      </c>
      <c r="E22" s="103"/>
      <c r="F22" s="102">
        <v>0</v>
      </c>
      <c r="G22" s="26"/>
      <c r="H22" s="102">
        <v>3</v>
      </c>
      <c r="I22" s="26"/>
      <c r="J22" s="102">
        <v>0</v>
      </c>
      <c r="K22" s="106"/>
      <c r="L22" s="102">
        <v>0</v>
      </c>
      <c r="M22" s="106"/>
      <c r="N22" s="102">
        <v>0</v>
      </c>
      <c r="O22" s="100"/>
      <c r="P22" s="103">
        <v>74.847999999999999</v>
      </c>
      <c r="R22" s="100"/>
      <c r="S22" s="25" t="s">
        <v>35</v>
      </c>
      <c r="T22" s="101"/>
      <c r="U22" s="102">
        <v>71.847999999999999</v>
      </c>
      <c r="V22" s="65" t="s">
        <v>53</v>
      </c>
      <c r="W22" s="103"/>
      <c r="X22" s="102">
        <v>0</v>
      </c>
      <c r="Y22" s="65" t="s">
        <v>53</v>
      </c>
      <c r="Z22" s="26"/>
      <c r="AA22" s="102">
        <v>3</v>
      </c>
      <c r="AB22" s="65" t="s">
        <v>53</v>
      </c>
      <c r="AC22" s="26"/>
      <c r="AD22" s="102">
        <v>0</v>
      </c>
      <c r="AE22" s="65" t="s">
        <v>53</v>
      </c>
      <c r="AF22" s="106"/>
      <c r="AG22" s="102">
        <v>0</v>
      </c>
      <c r="AH22" s="65" t="s">
        <v>53</v>
      </c>
      <c r="AI22" s="106"/>
      <c r="AJ22" s="102">
        <v>0</v>
      </c>
      <c r="AK22" s="65" t="s">
        <v>53</v>
      </c>
      <c r="AL22" s="100"/>
      <c r="AM22" s="103">
        <v>74.847999999999999</v>
      </c>
      <c r="AN22" s="125">
        <v>99.847999999999999</v>
      </c>
      <c r="AO22" s="118"/>
      <c r="AQ22" s="100"/>
      <c r="AR22" s="181"/>
      <c r="AS22" s="101"/>
      <c r="AT22" s="20"/>
      <c r="AU22" s="20"/>
      <c r="AV22" s="103"/>
      <c r="AW22" s="20"/>
      <c r="AX22" s="20"/>
      <c r="AY22" s="20"/>
      <c r="AZ22" s="20"/>
      <c r="BA22" s="20"/>
      <c r="BB22" s="20"/>
      <c r="BC22" s="20"/>
      <c r="BD22" s="20"/>
      <c r="BE22" s="153"/>
      <c r="BF22" s="20"/>
      <c r="BG22" s="20"/>
      <c r="BH22" s="153"/>
      <c r="BI22" s="20"/>
      <c r="BJ22" s="20"/>
      <c r="BK22" s="20"/>
      <c r="BL22" s="20"/>
      <c r="BM22" s="20"/>
      <c r="BN22" s="100"/>
      <c r="BO22" s="125"/>
      <c r="BP22" s="125"/>
      <c r="BQ22" s="118"/>
      <c r="BS22" s="3"/>
      <c r="BT22" s="67"/>
      <c r="BU22" s="24"/>
      <c r="BV22" s="24"/>
      <c r="BW22" s="67"/>
      <c r="BX22" s="24"/>
      <c r="BY22" s="24"/>
      <c r="BZ22" s="67"/>
      <c r="CA22" s="24"/>
      <c r="CB22" s="24"/>
      <c r="CC22" s="67"/>
      <c r="CD22" s="24"/>
      <c r="CE22" s="24"/>
      <c r="CF22" s="67"/>
      <c r="CG22" s="24"/>
      <c r="CH22" s="24"/>
      <c r="CI22" s="67"/>
      <c r="CJ22" s="24"/>
      <c r="CK22" s="24"/>
      <c r="CL22" s="67"/>
      <c r="CM22" s="24"/>
      <c r="CN22" s="24"/>
      <c r="CO22" s="67"/>
      <c r="CP22" s="170"/>
      <c r="CQ22" s="172"/>
    </row>
    <row r="23" spans="1:95">
      <c r="A23" s="100"/>
      <c r="B23" s="25"/>
      <c r="C23" s="101"/>
      <c r="D23" s="102"/>
      <c r="E23" s="103"/>
      <c r="F23" s="65"/>
      <c r="G23" s="104"/>
      <c r="H23" s="65"/>
      <c r="I23" s="104"/>
      <c r="J23" s="106"/>
      <c r="K23" s="106"/>
      <c r="L23" s="106"/>
      <c r="M23" s="106"/>
      <c r="N23" s="106"/>
      <c r="O23" s="100"/>
      <c r="P23" s="101"/>
      <c r="R23" s="100"/>
      <c r="S23" s="25"/>
      <c r="T23" s="101"/>
      <c r="U23" s="102"/>
      <c r="V23" s="65"/>
      <c r="W23" s="103"/>
      <c r="X23" s="65"/>
      <c r="Y23" s="65"/>
      <c r="Z23" s="104"/>
      <c r="AA23" s="65"/>
      <c r="AB23" s="65"/>
      <c r="AC23" s="104"/>
      <c r="AD23" s="106"/>
      <c r="AE23" s="65"/>
      <c r="AF23" s="106"/>
      <c r="AG23" s="106"/>
      <c r="AH23" s="65"/>
      <c r="AI23" s="106"/>
      <c r="AJ23" s="106"/>
      <c r="AK23" s="65"/>
      <c r="AL23" s="100"/>
      <c r="AM23" s="101"/>
      <c r="AN23" s="125"/>
      <c r="AO23" s="118"/>
      <c r="AQ23" s="100"/>
      <c r="AR23" s="181" t="s">
        <v>33</v>
      </c>
      <c r="AS23" s="101"/>
      <c r="AT23" s="20" t="s">
        <v>53</v>
      </c>
      <c r="AU23" s="20">
        <v>0</v>
      </c>
      <c r="AV23" s="103"/>
      <c r="AW23" s="20" t="s">
        <v>53</v>
      </c>
      <c r="AX23" s="20">
        <v>136.84100000000001</v>
      </c>
      <c r="AY23" s="64"/>
      <c r="AZ23" s="20" t="s">
        <v>53</v>
      </c>
      <c r="BA23" s="20">
        <v>150</v>
      </c>
      <c r="BB23" s="64"/>
      <c r="BC23" s="20" t="s">
        <v>53</v>
      </c>
      <c r="BD23" s="20">
        <v>25.5</v>
      </c>
      <c r="BE23" s="153"/>
      <c r="BF23" s="20" t="s">
        <v>53</v>
      </c>
      <c r="BG23" s="20">
        <v>0</v>
      </c>
      <c r="BH23" s="153"/>
      <c r="BI23" s="20" t="s">
        <v>53</v>
      </c>
      <c r="BJ23" s="20">
        <v>0</v>
      </c>
      <c r="BK23" s="20"/>
      <c r="BL23" s="20" t="s">
        <v>53</v>
      </c>
      <c r="BM23" s="20">
        <v>0</v>
      </c>
      <c r="BN23" s="100"/>
      <c r="BO23" s="125">
        <v>767.81299999999999</v>
      </c>
      <c r="BP23" s="125">
        <v>312.34100000000001</v>
      </c>
      <c r="BQ23" s="118"/>
      <c r="BS23" s="3" t="s">
        <v>33</v>
      </c>
      <c r="BT23" s="67"/>
      <c r="BU23" s="24">
        <v>0</v>
      </c>
      <c r="BV23" s="24">
        <v>0</v>
      </c>
      <c r="BW23" s="67"/>
      <c r="BX23" s="24">
        <v>136.84100000000001</v>
      </c>
      <c r="BY23" s="24">
        <v>2426.4349999999999</v>
      </c>
      <c r="BZ23" s="67"/>
      <c r="CA23" s="24">
        <v>150</v>
      </c>
      <c r="CB23" s="24">
        <v>1986.64</v>
      </c>
      <c r="CC23" s="67"/>
      <c r="CD23" s="24">
        <v>25.5</v>
      </c>
      <c r="CE23" s="24">
        <v>0</v>
      </c>
      <c r="CF23" s="67"/>
      <c r="CG23" s="24">
        <v>0</v>
      </c>
      <c r="CH23" s="24">
        <v>0</v>
      </c>
      <c r="CI23" s="67"/>
      <c r="CJ23" s="24">
        <v>0</v>
      </c>
      <c r="CK23" s="24">
        <v>66</v>
      </c>
      <c r="CL23" s="67"/>
      <c r="CM23" s="24">
        <v>0</v>
      </c>
      <c r="CN23" s="24">
        <v>0</v>
      </c>
      <c r="CO23" s="67"/>
      <c r="CP23" s="170">
        <v>312.34100000000001</v>
      </c>
      <c r="CQ23" s="172">
        <v>4479.0749999999998</v>
      </c>
    </row>
    <row r="24" spans="1:95">
      <c r="A24" s="100"/>
      <c r="B24" s="25" t="s">
        <v>33</v>
      </c>
      <c r="C24" s="101"/>
      <c r="D24" s="102">
        <v>85.813000000000002</v>
      </c>
      <c r="E24" s="103"/>
      <c r="F24" s="102">
        <v>519</v>
      </c>
      <c r="G24" s="26"/>
      <c r="H24" s="102">
        <v>153</v>
      </c>
      <c r="I24" s="26"/>
      <c r="J24" s="102">
        <v>10</v>
      </c>
      <c r="K24" s="106"/>
      <c r="L24" s="102">
        <v>0</v>
      </c>
      <c r="M24" s="106"/>
      <c r="N24" s="102">
        <v>0</v>
      </c>
      <c r="O24" s="100"/>
      <c r="P24" s="103">
        <v>767.81299999999999</v>
      </c>
      <c r="R24" s="100"/>
      <c r="S24" s="25" t="s">
        <v>33</v>
      </c>
      <c r="T24" s="101"/>
      <c r="U24" s="102">
        <v>85.813000000000002</v>
      </c>
      <c r="V24" s="65" t="s">
        <v>53</v>
      </c>
      <c r="W24" s="103"/>
      <c r="X24" s="102">
        <v>519</v>
      </c>
      <c r="Y24" s="65" t="s">
        <v>53</v>
      </c>
      <c r="Z24" s="26"/>
      <c r="AA24" s="102">
        <v>153</v>
      </c>
      <c r="AB24" s="65" t="s">
        <v>53</v>
      </c>
      <c r="AC24" s="26"/>
      <c r="AD24" s="102">
        <v>10</v>
      </c>
      <c r="AE24" s="65" t="s">
        <v>53</v>
      </c>
      <c r="AF24" s="106"/>
      <c r="AG24" s="102">
        <v>0</v>
      </c>
      <c r="AH24" s="65" t="s">
        <v>53</v>
      </c>
      <c r="AI24" s="106"/>
      <c r="AJ24" s="102">
        <v>0</v>
      </c>
      <c r="AK24" s="65" t="s">
        <v>53</v>
      </c>
      <c r="AL24" s="100"/>
      <c r="AM24" s="103">
        <v>767.81299999999999</v>
      </c>
      <c r="AN24" s="125">
        <v>767.81299999999999</v>
      </c>
      <c r="AO24" s="118"/>
      <c r="AQ24" s="100"/>
      <c r="AR24" s="181"/>
      <c r="AS24" s="101"/>
      <c r="AT24" s="20"/>
      <c r="AU24" s="20"/>
      <c r="AV24" s="103"/>
      <c r="AW24" s="20"/>
      <c r="AX24" s="20"/>
      <c r="AY24" s="20"/>
      <c r="AZ24" s="20"/>
      <c r="BA24" s="20"/>
      <c r="BB24" s="20"/>
      <c r="BC24" s="20"/>
      <c r="BD24" s="20"/>
      <c r="BE24" s="153"/>
      <c r="BF24" s="20"/>
      <c r="BG24" s="20"/>
      <c r="BH24" s="153"/>
      <c r="BI24" s="20"/>
      <c r="BJ24" s="20"/>
      <c r="BK24" s="20"/>
      <c r="BL24" s="20"/>
      <c r="BM24" s="20"/>
      <c r="BN24" s="100"/>
      <c r="BO24" s="125"/>
      <c r="BP24" s="125"/>
      <c r="BQ24" s="118"/>
      <c r="BS24" s="3"/>
      <c r="BT24" s="67"/>
      <c r="BU24" s="24"/>
      <c r="BV24" s="24"/>
      <c r="BW24" s="67"/>
      <c r="BX24" s="24"/>
      <c r="BY24" s="24"/>
      <c r="BZ24" s="67"/>
      <c r="CA24" s="24"/>
      <c r="CB24" s="24"/>
      <c r="CC24" s="67"/>
      <c r="CD24" s="24"/>
      <c r="CE24" s="24"/>
      <c r="CF24" s="67"/>
      <c r="CG24" s="24"/>
      <c r="CH24" s="24"/>
      <c r="CI24" s="67"/>
      <c r="CJ24" s="24"/>
      <c r="CK24" s="24"/>
      <c r="CL24" s="67"/>
      <c r="CM24" s="24"/>
      <c r="CN24" s="24"/>
      <c r="CO24" s="67"/>
      <c r="CP24" s="170"/>
      <c r="CQ24" s="172"/>
    </row>
    <row r="25" spans="1:95">
      <c r="A25" s="100"/>
      <c r="B25" s="25"/>
      <c r="C25" s="101"/>
      <c r="D25" s="102"/>
      <c r="E25" s="103"/>
      <c r="F25" s="65"/>
      <c r="G25" s="104"/>
      <c r="H25" s="65"/>
      <c r="I25" s="104"/>
      <c r="J25" s="106"/>
      <c r="K25" s="106"/>
      <c r="L25" s="106"/>
      <c r="M25" s="106"/>
      <c r="N25" s="106"/>
      <c r="O25" s="100"/>
      <c r="P25" s="101"/>
      <c r="R25" s="100"/>
      <c r="S25" s="25"/>
      <c r="T25" s="101"/>
      <c r="U25" s="102"/>
      <c r="V25" s="65"/>
      <c r="W25" s="103"/>
      <c r="X25" s="65"/>
      <c r="Y25" s="65"/>
      <c r="Z25" s="104"/>
      <c r="AA25" s="65"/>
      <c r="AB25" s="65"/>
      <c r="AC25" s="104"/>
      <c r="AD25" s="106"/>
      <c r="AE25" s="65"/>
      <c r="AF25" s="106"/>
      <c r="AG25" s="106"/>
      <c r="AH25" s="65"/>
      <c r="AI25" s="106"/>
      <c r="AJ25" s="106"/>
      <c r="AK25" s="65"/>
      <c r="AL25" s="100"/>
      <c r="AM25" s="101"/>
      <c r="AN25" s="125"/>
      <c r="AO25" s="118"/>
      <c r="AQ25" s="100"/>
      <c r="AR25" s="181" t="s">
        <v>34</v>
      </c>
      <c r="AS25" s="101"/>
      <c r="AT25" s="20" t="s">
        <v>53</v>
      </c>
      <c r="AU25" s="20">
        <v>0</v>
      </c>
      <c r="AV25" s="103"/>
      <c r="AW25" s="20" t="s">
        <v>53</v>
      </c>
      <c r="AX25" s="20">
        <v>167.35</v>
      </c>
      <c r="AY25" s="64"/>
      <c r="AZ25" s="20" t="s">
        <v>53</v>
      </c>
      <c r="BA25" s="20">
        <v>0</v>
      </c>
      <c r="BB25" s="64"/>
      <c r="BC25" s="20" t="s">
        <v>53</v>
      </c>
      <c r="BD25" s="20">
        <v>0</v>
      </c>
      <c r="BE25" s="153"/>
      <c r="BF25" s="20" t="s">
        <v>53</v>
      </c>
      <c r="BG25" s="20">
        <v>0</v>
      </c>
      <c r="BH25" s="153"/>
      <c r="BI25" s="20" t="s">
        <v>53</v>
      </c>
      <c r="BJ25" s="20">
        <v>8.8000000000000007</v>
      </c>
      <c r="BK25" s="20"/>
      <c r="BL25" s="20" t="s">
        <v>53</v>
      </c>
      <c r="BM25" s="20">
        <v>0</v>
      </c>
      <c r="BN25" s="100"/>
      <c r="BO25" s="125">
        <v>0</v>
      </c>
      <c r="BP25" s="125">
        <v>176.15</v>
      </c>
      <c r="BQ25" s="118"/>
      <c r="BS25" s="3" t="s">
        <v>34</v>
      </c>
      <c r="BT25" s="67"/>
      <c r="BU25" s="24">
        <v>0</v>
      </c>
      <c r="BV25" s="24">
        <v>0</v>
      </c>
      <c r="BW25" s="67"/>
      <c r="BX25" s="24">
        <v>167.35</v>
      </c>
      <c r="BY25" s="24">
        <v>381.399</v>
      </c>
      <c r="BZ25" s="67"/>
      <c r="CA25" s="24">
        <v>0</v>
      </c>
      <c r="CB25" s="24">
        <v>375.55</v>
      </c>
      <c r="CC25" s="67"/>
      <c r="CD25" s="24">
        <v>0</v>
      </c>
      <c r="CE25" s="24">
        <v>465.02300000000002</v>
      </c>
      <c r="CF25" s="67"/>
      <c r="CG25" s="24">
        <v>0</v>
      </c>
      <c r="CH25" s="24">
        <v>0</v>
      </c>
      <c r="CI25" s="67"/>
      <c r="CJ25" s="24">
        <v>8.8000000000000007</v>
      </c>
      <c r="CK25" s="24">
        <v>0</v>
      </c>
      <c r="CL25" s="67"/>
      <c r="CM25" s="24">
        <v>0</v>
      </c>
      <c r="CN25" s="24">
        <v>0</v>
      </c>
      <c r="CO25" s="67"/>
      <c r="CP25" s="170">
        <v>176.15</v>
      </c>
      <c r="CQ25" s="172">
        <v>1221.9720000000002</v>
      </c>
    </row>
    <row r="26" spans="1:95">
      <c r="A26" s="100"/>
      <c r="B26" s="25" t="s">
        <v>34</v>
      </c>
      <c r="C26" s="101"/>
      <c r="D26" s="102">
        <v>0</v>
      </c>
      <c r="E26" s="103"/>
      <c r="F26" s="102">
        <v>0</v>
      </c>
      <c r="G26" s="26"/>
      <c r="H26" s="102">
        <v>0</v>
      </c>
      <c r="I26" s="26"/>
      <c r="J26" s="102">
        <v>0</v>
      </c>
      <c r="K26" s="106"/>
      <c r="L26" s="102">
        <v>0</v>
      </c>
      <c r="M26" s="106"/>
      <c r="N26" s="102">
        <v>0</v>
      </c>
      <c r="O26" s="100"/>
      <c r="P26" s="103">
        <v>0</v>
      </c>
      <c r="R26" s="100"/>
      <c r="S26" s="25" t="s">
        <v>34</v>
      </c>
      <c r="T26" s="101"/>
      <c r="U26" s="102">
        <v>0</v>
      </c>
      <c r="V26" s="65" t="s">
        <v>53</v>
      </c>
      <c r="W26" s="103"/>
      <c r="X26" s="102">
        <v>0</v>
      </c>
      <c r="Y26" s="65" t="s">
        <v>53</v>
      </c>
      <c r="Z26" s="26"/>
      <c r="AA26" s="102">
        <v>0</v>
      </c>
      <c r="AB26" s="65" t="s">
        <v>53</v>
      </c>
      <c r="AC26" s="26"/>
      <c r="AD26" s="102">
        <v>0</v>
      </c>
      <c r="AE26" s="65" t="s">
        <v>53</v>
      </c>
      <c r="AF26" s="106"/>
      <c r="AG26" s="102">
        <v>0</v>
      </c>
      <c r="AH26" s="65" t="s">
        <v>53</v>
      </c>
      <c r="AI26" s="106"/>
      <c r="AJ26" s="102">
        <v>0</v>
      </c>
      <c r="AK26" s="65" t="s">
        <v>53</v>
      </c>
      <c r="AL26" s="100"/>
      <c r="AM26" s="103">
        <v>0</v>
      </c>
      <c r="AN26" s="125">
        <v>0</v>
      </c>
      <c r="AO26" s="118"/>
      <c r="AQ26" s="100"/>
      <c r="AR26" s="181"/>
      <c r="AS26" s="101"/>
      <c r="AT26" s="20"/>
      <c r="AU26" s="20"/>
      <c r="AV26" s="103"/>
      <c r="AW26" s="20"/>
      <c r="AX26" s="20"/>
      <c r="AY26" s="20"/>
      <c r="AZ26" s="20"/>
      <c r="BA26" s="20"/>
      <c r="BB26" s="20"/>
      <c r="BC26" s="20"/>
      <c r="BD26" s="20"/>
      <c r="BE26" s="153"/>
      <c r="BF26" s="20"/>
      <c r="BG26" s="20"/>
      <c r="BH26" s="153"/>
      <c r="BI26" s="20"/>
      <c r="BJ26" s="20"/>
      <c r="BK26" s="20"/>
      <c r="BL26" s="20"/>
      <c r="BM26" s="20"/>
      <c r="BN26" s="100"/>
      <c r="BO26" s="125"/>
      <c r="BP26" s="125"/>
      <c r="BQ26" s="118"/>
      <c r="BS26" s="3"/>
      <c r="BT26" s="67"/>
      <c r="BU26" s="24"/>
      <c r="BV26" s="24"/>
      <c r="BW26" s="67"/>
      <c r="BX26" s="24"/>
      <c r="BY26" s="24"/>
      <c r="BZ26" s="67"/>
      <c r="CA26" s="24"/>
      <c r="CB26" s="24"/>
      <c r="CC26" s="67"/>
      <c r="CD26" s="24"/>
      <c r="CE26" s="24"/>
      <c r="CF26" s="67"/>
      <c r="CG26" s="24"/>
      <c r="CH26" s="24"/>
      <c r="CI26" s="67"/>
      <c r="CJ26" s="24"/>
      <c r="CK26" s="24"/>
      <c r="CL26" s="67"/>
      <c r="CM26" s="24"/>
      <c r="CN26" s="24"/>
      <c r="CO26" s="67"/>
      <c r="CP26" s="170"/>
      <c r="CQ26" s="172"/>
    </row>
    <row r="27" spans="1:95" ht="28">
      <c r="A27" s="100"/>
      <c r="B27" s="25"/>
      <c r="C27" s="101"/>
      <c r="D27" s="102"/>
      <c r="E27" s="103"/>
      <c r="F27" s="65"/>
      <c r="G27" s="104"/>
      <c r="H27" s="65"/>
      <c r="I27" s="104"/>
      <c r="J27" s="106"/>
      <c r="K27" s="106"/>
      <c r="L27" s="106"/>
      <c r="M27" s="106"/>
      <c r="N27" s="106"/>
      <c r="O27" s="100"/>
      <c r="P27" s="101"/>
      <c r="R27" s="100"/>
      <c r="S27" s="25"/>
      <c r="T27" s="101"/>
      <c r="U27" s="102"/>
      <c r="V27" s="65"/>
      <c r="W27" s="103"/>
      <c r="X27" s="65"/>
      <c r="Y27" s="65"/>
      <c r="Z27" s="104"/>
      <c r="AA27" s="65"/>
      <c r="AB27" s="65"/>
      <c r="AC27" s="104"/>
      <c r="AD27" s="106"/>
      <c r="AE27" s="65"/>
      <c r="AF27" s="106"/>
      <c r="AG27" s="106"/>
      <c r="AH27" s="65"/>
      <c r="AI27" s="106"/>
      <c r="AJ27" s="106"/>
      <c r="AK27" s="65"/>
      <c r="AL27" s="100"/>
      <c r="AM27" s="101"/>
      <c r="AN27" s="125"/>
      <c r="AO27" s="118"/>
      <c r="AQ27" s="100"/>
      <c r="AR27" s="181" t="s">
        <v>38</v>
      </c>
      <c r="AS27" s="101"/>
      <c r="AT27" s="20" t="s">
        <v>53</v>
      </c>
      <c r="AU27" s="20">
        <v>0</v>
      </c>
      <c r="AV27" s="103"/>
      <c r="AW27" s="20" t="s">
        <v>53</v>
      </c>
      <c r="AX27" s="20">
        <v>1698.6679999999999</v>
      </c>
      <c r="AY27" s="64"/>
      <c r="AZ27" s="20" t="s">
        <v>53</v>
      </c>
      <c r="BA27" s="20">
        <v>171.49</v>
      </c>
      <c r="BB27" s="64"/>
      <c r="BC27" s="20" t="s">
        <v>53</v>
      </c>
      <c r="BD27" s="20">
        <v>0</v>
      </c>
      <c r="BE27" s="153"/>
      <c r="BF27" s="20" t="s">
        <v>53</v>
      </c>
      <c r="BG27" s="20">
        <v>0</v>
      </c>
      <c r="BH27" s="153"/>
      <c r="BI27" s="20" t="s">
        <v>53</v>
      </c>
      <c r="BJ27" s="20">
        <v>0</v>
      </c>
      <c r="BK27" s="20"/>
      <c r="BL27" s="20" t="s">
        <v>53</v>
      </c>
      <c r="BM27" s="20">
        <v>0</v>
      </c>
      <c r="BN27" s="100"/>
      <c r="BO27" s="125">
        <v>3284.3829999999998</v>
      </c>
      <c r="BP27" s="125">
        <v>1870.1579999999999</v>
      </c>
      <c r="BQ27" s="118"/>
      <c r="BS27" s="3" t="s">
        <v>38</v>
      </c>
      <c r="BT27" s="67"/>
      <c r="BU27" s="24">
        <v>0</v>
      </c>
      <c r="BV27" s="24">
        <v>0</v>
      </c>
      <c r="BW27" s="67"/>
      <c r="BX27" s="24">
        <v>1698.6679999999999</v>
      </c>
      <c r="BY27" s="24">
        <v>4224.5</v>
      </c>
      <c r="BZ27" s="67"/>
      <c r="CA27" s="24">
        <v>171.49</v>
      </c>
      <c r="CB27" s="24">
        <v>5054.2</v>
      </c>
      <c r="CC27" s="67"/>
      <c r="CD27" s="24">
        <v>0</v>
      </c>
      <c r="CE27" s="24">
        <v>303.33049999999997</v>
      </c>
      <c r="CF27" s="67"/>
      <c r="CG27" s="24">
        <v>0</v>
      </c>
      <c r="CH27" s="24">
        <v>0</v>
      </c>
      <c r="CI27" s="67"/>
      <c r="CJ27" s="24">
        <v>0</v>
      </c>
      <c r="CK27" s="24">
        <v>0</v>
      </c>
      <c r="CL27" s="67"/>
      <c r="CM27" s="24">
        <v>0</v>
      </c>
      <c r="CN27" s="24">
        <v>0</v>
      </c>
      <c r="CO27" s="67"/>
      <c r="CP27" s="170">
        <v>1870.1579999999999</v>
      </c>
      <c r="CQ27" s="172">
        <v>9582.0305000000008</v>
      </c>
    </row>
    <row r="28" spans="1:95">
      <c r="A28" s="100"/>
      <c r="B28" s="25" t="s">
        <v>38</v>
      </c>
      <c r="C28" s="101"/>
      <c r="D28" s="102">
        <v>26.603999999999999</v>
      </c>
      <c r="E28" s="103"/>
      <c r="F28" s="102">
        <v>3082</v>
      </c>
      <c r="G28" s="26"/>
      <c r="H28" s="102">
        <v>36</v>
      </c>
      <c r="I28" s="26"/>
      <c r="J28" s="102">
        <v>0</v>
      </c>
      <c r="K28" s="106"/>
      <c r="L28" s="102">
        <v>0</v>
      </c>
      <c r="M28" s="106"/>
      <c r="N28" s="102">
        <v>0</v>
      </c>
      <c r="O28" s="100"/>
      <c r="P28" s="103">
        <v>3144.6039999999998</v>
      </c>
      <c r="R28" s="100"/>
      <c r="S28" s="25" t="s">
        <v>38</v>
      </c>
      <c r="T28" s="101"/>
      <c r="U28" s="102">
        <v>26.603999999999999</v>
      </c>
      <c r="V28" s="65" t="s">
        <v>53</v>
      </c>
      <c r="W28" s="103"/>
      <c r="X28" s="102">
        <v>3082</v>
      </c>
      <c r="Y28" s="65" t="s">
        <v>53</v>
      </c>
      <c r="Z28" s="26"/>
      <c r="AA28" s="102">
        <v>36</v>
      </c>
      <c r="AB28" s="65" t="s">
        <v>53</v>
      </c>
      <c r="AC28" s="26"/>
      <c r="AD28" s="102">
        <v>0</v>
      </c>
      <c r="AE28" s="65" t="s">
        <v>53</v>
      </c>
      <c r="AF28" s="106"/>
      <c r="AG28" s="102">
        <v>0</v>
      </c>
      <c r="AH28" s="65" t="s">
        <v>53</v>
      </c>
      <c r="AI28" s="106"/>
      <c r="AJ28" s="102">
        <v>0</v>
      </c>
      <c r="AK28" s="65" t="s">
        <v>53</v>
      </c>
      <c r="AL28" s="100"/>
      <c r="AM28" s="103">
        <v>3144.6039999999998</v>
      </c>
      <c r="AN28" s="125">
        <v>3284.3829999999998</v>
      </c>
      <c r="AO28" s="118"/>
      <c r="AQ28" s="100"/>
      <c r="AR28" s="181"/>
      <c r="AS28" s="101"/>
      <c r="AT28" s="20"/>
      <c r="AU28" s="20"/>
      <c r="AV28" s="103"/>
      <c r="AW28" s="20"/>
      <c r="AX28" s="20"/>
      <c r="AY28" s="20"/>
      <c r="AZ28" s="20"/>
      <c r="BA28" s="20"/>
      <c r="BB28" s="20"/>
      <c r="BC28" s="20"/>
      <c r="BD28" s="20"/>
      <c r="BE28" s="153"/>
      <c r="BF28" s="20"/>
      <c r="BG28" s="20"/>
      <c r="BH28" s="153"/>
      <c r="BI28" s="20"/>
      <c r="BJ28" s="20"/>
      <c r="BK28" s="20"/>
      <c r="BL28" s="20"/>
      <c r="BM28" s="20"/>
      <c r="BN28" s="100"/>
      <c r="BO28" s="125"/>
      <c r="BP28" s="125"/>
      <c r="BQ28" s="118"/>
      <c r="BS28" s="3"/>
      <c r="BT28" s="67"/>
      <c r="BU28" s="24"/>
      <c r="BV28" s="24"/>
      <c r="BW28" s="67"/>
      <c r="BX28" s="24"/>
      <c r="BY28" s="24"/>
      <c r="BZ28" s="67"/>
      <c r="CA28" s="24"/>
      <c r="CB28" s="24"/>
      <c r="CC28" s="67"/>
      <c r="CD28" s="24"/>
      <c r="CE28" s="24"/>
      <c r="CF28" s="67"/>
      <c r="CG28" s="24"/>
      <c r="CH28" s="24"/>
      <c r="CI28" s="67"/>
      <c r="CJ28" s="24"/>
      <c r="CK28" s="24"/>
      <c r="CL28" s="67"/>
      <c r="CM28" s="24"/>
      <c r="CN28" s="24"/>
      <c r="CO28" s="67"/>
      <c r="CP28" s="170"/>
      <c r="CQ28" s="172"/>
    </row>
    <row r="29" spans="1:95" ht="28">
      <c r="A29" s="100"/>
      <c r="B29" s="25"/>
      <c r="C29" s="101"/>
      <c r="D29" s="102"/>
      <c r="E29" s="103"/>
      <c r="F29" s="65"/>
      <c r="G29" s="104"/>
      <c r="H29" s="65"/>
      <c r="I29" s="104"/>
      <c r="J29" s="106"/>
      <c r="K29" s="106"/>
      <c r="L29" s="106"/>
      <c r="M29" s="106"/>
      <c r="N29" s="106"/>
      <c r="O29" s="100"/>
      <c r="P29" s="101"/>
      <c r="R29" s="100"/>
      <c r="S29" s="25"/>
      <c r="T29" s="101"/>
      <c r="U29" s="102"/>
      <c r="V29" s="65"/>
      <c r="W29" s="103"/>
      <c r="X29" s="65"/>
      <c r="Y29" s="65"/>
      <c r="Z29" s="104"/>
      <c r="AA29" s="65"/>
      <c r="AB29" s="65"/>
      <c r="AC29" s="104"/>
      <c r="AD29" s="106"/>
      <c r="AE29" s="65"/>
      <c r="AF29" s="106"/>
      <c r="AG29" s="106"/>
      <c r="AH29" s="65"/>
      <c r="AI29" s="106"/>
      <c r="AJ29" s="106"/>
      <c r="AK29" s="65"/>
      <c r="AL29" s="100"/>
      <c r="AM29" s="101"/>
      <c r="AN29" s="125"/>
      <c r="AO29" s="118"/>
      <c r="AQ29" s="100"/>
      <c r="AR29" s="181" t="s">
        <v>39</v>
      </c>
      <c r="AS29" s="101"/>
      <c r="AT29" s="20" t="s">
        <v>53</v>
      </c>
      <c r="AU29" s="20">
        <v>0</v>
      </c>
      <c r="AV29" s="103"/>
      <c r="AW29" s="20" t="s">
        <v>53</v>
      </c>
      <c r="AX29" s="20">
        <v>2069.3000000000002</v>
      </c>
      <c r="AY29" s="64"/>
      <c r="AZ29" s="20" t="s">
        <v>53</v>
      </c>
      <c r="BA29" s="20">
        <v>2768.7114999999999</v>
      </c>
      <c r="BB29" s="64"/>
      <c r="BC29" s="20" t="s">
        <v>53</v>
      </c>
      <c r="BD29" s="20">
        <v>1294.125</v>
      </c>
      <c r="BE29" s="153"/>
      <c r="BF29" s="20" t="s">
        <v>53</v>
      </c>
      <c r="BG29" s="20">
        <v>0</v>
      </c>
      <c r="BH29" s="153"/>
      <c r="BI29" s="20" t="s">
        <v>53</v>
      </c>
      <c r="BJ29" s="20">
        <v>0</v>
      </c>
      <c r="BK29" s="20"/>
      <c r="BL29" s="20" t="s">
        <v>53</v>
      </c>
      <c r="BM29" s="20">
        <v>0</v>
      </c>
      <c r="BN29" s="100"/>
      <c r="BO29" s="125">
        <v>31186.999</v>
      </c>
      <c r="BP29" s="125">
        <v>6132.1365000000005</v>
      </c>
      <c r="BQ29" s="118"/>
      <c r="BS29" s="3" t="s">
        <v>39</v>
      </c>
      <c r="BT29" s="67"/>
      <c r="BU29" s="24">
        <v>0</v>
      </c>
      <c r="BV29" s="24">
        <v>0</v>
      </c>
      <c r="BW29" s="67"/>
      <c r="BX29" s="24">
        <v>2069.3000000000002</v>
      </c>
      <c r="BY29" s="24">
        <v>784.86</v>
      </c>
      <c r="BZ29" s="67"/>
      <c r="CA29" s="24">
        <v>2768.7114999999999</v>
      </c>
      <c r="CB29" s="24">
        <v>222.7</v>
      </c>
      <c r="CC29" s="67"/>
      <c r="CD29" s="24">
        <v>1294.125</v>
      </c>
      <c r="CE29" s="24">
        <v>0</v>
      </c>
      <c r="CF29" s="67"/>
      <c r="CG29" s="24">
        <v>0</v>
      </c>
      <c r="CH29" s="24">
        <v>0</v>
      </c>
      <c r="CI29" s="67"/>
      <c r="CJ29" s="24">
        <v>0</v>
      </c>
      <c r="CK29" s="24">
        <v>4.8</v>
      </c>
      <c r="CL29" s="67"/>
      <c r="CM29" s="24">
        <v>0</v>
      </c>
      <c r="CN29" s="24">
        <v>0</v>
      </c>
      <c r="CO29" s="67"/>
      <c r="CP29" s="170">
        <v>6132.1365000000005</v>
      </c>
      <c r="CQ29" s="172">
        <v>1012.3599999999999</v>
      </c>
    </row>
    <row r="30" spans="1:95">
      <c r="A30" s="100"/>
      <c r="B30" s="25" t="s">
        <v>39</v>
      </c>
      <c r="C30" s="101"/>
      <c r="D30" s="102">
        <v>18926.241999999998</v>
      </c>
      <c r="E30" s="103"/>
      <c r="F30" s="102">
        <v>23098.703000000001</v>
      </c>
      <c r="G30" s="26"/>
      <c r="H30" s="102">
        <v>279.18</v>
      </c>
      <c r="I30" s="26"/>
      <c r="J30" s="102">
        <v>36526.173999999999</v>
      </c>
      <c r="K30" s="106"/>
      <c r="L30" s="102">
        <v>0</v>
      </c>
      <c r="M30" s="106"/>
      <c r="N30" s="102">
        <v>192</v>
      </c>
      <c r="O30" s="100"/>
      <c r="P30" s="103">
        <v>79022.298999999999</v>
      </c>
      <c r="R30" s="100"/>
      <c r="S30" s="25" t="s">
        <v>39</v>
      </c>
      <c r="T30" s="101"/>
      <c r="U30" s="102">
        <v>18926.241999999998</v>
      </c>
      <c r="V30" s="65" t="s">
        <v>53</v>
      </c>
      <c r="W30" s="103"/>
      <c r="X30" s="102">
        <v>23098.703000000001</v>
      </c>
      <c r="Y30" s="65" t="s">
        <v>53</v>
      </c>
      <c r="Z30" s="26"/>
      <c r="AA30" s="102">
        <v>279.18</v>
      </c>
      <c r="AB30" s="65" t="s">
        <v>53</v>
      </c>
      <c r="AC30" s="26"/>
      <c r="AD30" s="102">
        <v>36526.173999999999</v>
      </c>
      <c r="AE30" s="65" t="s">
        <v>53</v>
      </c>
      <c r="AF30" s="106"/>
      <c r="AG30" s="102">
        <v>0</v>
      </c>
      <c r="AH30" s="65" t="s">
        <v>53</v>
      </c>
      <c r="AI30" s="106"/>
      <c r="AJ30" s="102">
        <v>192</v>
      </c>
      <c r="AK30" s="65" t="s">
        <v>53</v>
      </c>
      <c r="AL30" s="100"/>
      <c r="AM30" s="103">
        <v>79022.298999999999</v>
      </c>
      <c r="AN30" s="125">
        <v>31186.999</v>
      </c>
      <c r="AO30" s="118"/>
      <c r="AQ30" s="100"/>
      <c r="AR30" s="181"/>
      <c r="AS30" s="101"/>
      <c r="AT30" s="20"/>
      <c r="AU30" s="20"/>
      <c r="AV30" s="103"/>
      <c r="AW30" s="20"/>
      <c r="AX30" s="20"/>
      <c r="AY30" s="20"/>
      <c r="AZ30" s="20"/>
      <c r="BA30" s="20"/>
      <c r="BB30" s="20"/>
      <c r="BC30" s="20"/>
      <c r="BD30" s="20"/>
      <c r="BE30" s="153"/>
      <c r="BF30" s="20"/>
      <c r="BG30" s="20"/>
      <c r="BH30" s="153"/>
      <c r="BI30" s="20"/>
      <c r="BJ30" s="20"/>
      <c r="BK30" s="20"/>
      <c r="BL30" s="20"/>
      <c r="BM30" s="20"/>
      <c r="BN30" s="100"/>
      <c r="BO30" s="125"/>
      <c r="BP30" s="125"/>
      <c r="BQ30" s="118"/>
      <c r="BS30" s="3"/>
      <c r="BT30" s="67"/>
      <c r="BU30" s="24"/>
      <c r="BV30" s="24"/>
      <c r="BW30" s="67"/>
      <c r="BX30" s="24"/>
      <c r="BY30" s="24"/>
      <c r="BZ30" s="67"/>
      <c r="CA30" s="24"/>
      <c r="CB30" s="24"/>
      <c r="CC30" s="67"/>
      <c r="CD30" s="24"/>
      <c r="CE30" s="24"/>
      <c r="CF30" s="67"/>
      <c r="CG30" s="24"/>
      <c r="CH30" s="24"/>
      <c r="CI30" s="67"/>
      <c r="CJ30" s="24"/>
      <c r="CK30" s="24"/>
      <c r="CL30" s="67"/>
      <c r="CM30" s="24"/>
      <c r="CN30" s="24"/>
      <c r="CO30" s="67"/>
      <c r="CP30" s="170"/>
      <c r="CQ30" s="172"/>
    </row>
    <row r="31" spans="1:95">
      <c r="A31" s="100"/>
      <c r="B31" s="25"/>
      <c r="C31" s="101"/>
      <c r="D31" s="102"/>
      <c r="E31" s="103"/>
      <c r="F31" s="65"/>
      <c r="G31" s="104"/>
      <c r="H31" s="65"/>
      <c r="I31" s="104"/>
      <c r="J31" s="106"/>
      <c r="K31" s="106"/>
      <c r="L31" s="106"/>
      <c r="M31" s="106"/>
      <c r="N31" s="106"/>
      <c r="O31" s="100"/>
      <c r="P31" s="101"/>
      <c r="R31" s="100"/>
      <c r="S31" s="25"/>
      <c r="T31" s="101"/>
      <c r="U31" s="102"/>
      <c r="V31" s="65"/>
      <c r="W31" s="103"/>
      <c r="X31" s="65"/>
      <c r="Y31" s="65"/>
      <c r="Z31" s="104"/>
      <c r="AA31" s="65"/>
      <c r="AB31" s="65"/>
      <c r="AC31" s="104"/>
      <c r="AD31" s="106"/>
      <c r="AE31" s="65"/>
      <c r="AF31" s="106"/>
      <c r="AG31" s="106"/>
      <c r="AH31" s="65"/>
      <c r="AI31" s="106"/>
      <c r="AJ31" s="106"/>
      <c r="AK31" s="65"/>
      <c r="AL31" s="100"/>
      <c r="AM31" s="101"/>
      <c r="AN31" s="125"/>
      <c r="AO31" s="118"/>
      <c r="AQ31" s="100"/>
      <c r="AR31" s="181" t="s">
        <v>36</v>
      </c>
      <c r="AS31" s="101"/>
      <c r="AT31" s="20" t="s">
        <v>53</v>
      </c>
      <c r="AU31" s="20">
        <v>0</v>
      </c>
      <c r="AV31" s="103"/>
      <c r="AW31" s="20" t="s">
        <v>53</v>
      </c>
      <c r="AX31" s="20">
        <v>0</v>
      </c>
      <c r="AY31" s="64"/>
      <c r="AZ31" s="20" t="s">
        <v>53</v>
      </c>
      <c r="BA31" s="20">
        <v>0</v>
      </c>
      <c r="BB31" s="64"/>
      <c r="BC31" s="20" t="s">
        <v>53</v>
      </c>
      <c r="BD31" s="20">
        <v>44.377000000000002</v>
      </c>
      <c r="BE31" s="153"/>
      <c r="BF31" s="20" t="s">
        <v>53</v>
      </c>
      <c r="BG31" s="20">
        <v>0</v>
      </c>
      <c r="BH31" s="153"/>
      <c r="BI31" s="20" t="s">
        <v>53</v>
      </c>
      <c r="BJ31" s="20">
        <v>0</v>
      </c>
      <c r="BK31" s="20"/>
      <c r="BL31" s="20" t="s">
        <v>53</v>
      </c>
      <c r="BM31" s="20">
        <v>0</v>
      </c>
      <c r="BN31" s="100"/>
      <c r="BO31" s="125">
        <v>5.5</v>
      </c>
      <c r="BP31" s="125">
        <v>44.377000000000002</v>
      </c>
      <c r="BQ31" s="118"/>
      <c r="BS31" s="3" t="s">
        <v>36</v>
      </c>
      <c r="BT31" s="67"/>
      <c r="BU31" s="24">
        <v>0</v>
      </c>
      <c r="BV31" s="24">
        <v>0</v>
      </c>
      <c r="BW31" s="67"/>
      <c r="BX31" s="24">
        <v>0</v>
      </c>
      <c r="BY31" s="24">
        <v>0</v>
      </c>
      <c r="BZ31" s="67"/>
      <c r="CA31" s="24">
        <v>0</v>
      </c>
      <c r="CB31" s="24">
        <v>3088.48</v>
      </c>
      <c r="CC31" s="67"/>
      <c r="CD31" s="24">
        <v>44.377000000000002</v>
      </c>
      <c r="CE31" s="24">
        <v>349.142</v>
      </c>
      <c r="CF31" s="67"/>
      <c r="CG31" s="24">
        <v>0</v>
      </c>
      <c r="CH31" s="24">
        <v>0</v>
      </c>
      <c r="CI31" s="67"/>
      <c r="CJ31" s="24">
        <v>0</v>
      </c>
      <c r="CK31" s="24">
        <v>208.7</v>
      </c>
      <c r="CL31" s="67"/>
      <c r="CM31" s="24">
        <v>0</v>
      </c>
      <c r="CN31" s="24">
        <v>0</v>
      </c>
      <c r="CO31" s="67"/>
      <c r="CP31" s="170">
        <v>44.377000000000002</v>
      </c>
      <c r="CQ31" s="172">
        <v>3646.3219999999997</v>
      </c>
    </row>
    <row r="32" spans="1:95">
      <c r="A32" s="100"/>
      <c r="B32" s="25" t="s">
        <v>36</v>
      </c>
      <c r="C32" s="101"/>
      <c r="D32" s="102">
        <v>0</v>
      </c>
      <c r="E32" s="103"/>
      <c r="F32" s="102">
        <v>0</v>
      </c>
      <c r="G32" s="26"/>
      <c r="H32" s="102">
        <v>0</v>
      </c>
      <c r="I32" s="26"/>
      <c r="J32" s="102">
        <v>0</v>
      </c>
      <c r="K32" s="106"/>
      <c r="L32" s="102">
        <v>0</v>
      </c>
      <c r="M32" s="106"/>
      <c r="N32" s="102">
        <v>0</v>
      </c>
      <c r="O32" s="100"/>
      <c r="P32" s="103">
        <v>0</v>
      </c>
      <c r="R32" s="100"/>
      <c r="S32" s="25" t="s">
        <v>36</v>
      </c>
      <c r="T32" s="101"/>
      <c r="U32" s="102">
        <v>0</v>
      </c>
      <c r="V32" s="65" t="s">
        <v>53</v>
      </c>
      <c r="W32" s="103"/>
      <c r="X32" s="102">
        <v>0</v>
      </c>
      <c r="Y32" s="65" t="s">
        <v>53</v>
      </c>
      <c r="Z32" s="26"/>
      <c r="AA32" s="102">
        <v>0</v>
      </c>
      <c r="AB32" s="65" t="s">
        <v>53</v>
      </c>
      <c r="AC32" s="26"/>
      <c r="AD32" s="102">
        <v>0</v>
      </c>
      <c r="AE32" s="65" t="s">
        <v>53</v>
      </c>
      <c r="AF32" s="106"/>
      <c r="AG32" s="102">
        <v>0</v>
      </c>
      <c r="AH32" s="65" t="s">
        <v>53</v>
      </c>
      <c r="AI32" s="106"/>
      <c r="AJ32" s="102">
        <v>0</v>
      </c>
      <c r="AK32" s="65" t="s">
        <v>53</v>
      </c>
      <c r="AL32" s="100"/>
      <c r="AM32" s="103">
        <v>0</v>
      </c>
      <c r="AN32" s="125">
        <v>5.5</v>
      </c>
      <c r="AO32" s="118"/>
      <c r="AQ32" s="100"/>
      <c r="AR32" s="181"/>
      <c r="AS32" s="101"/>
      <c r="AT32" s="20"/>
      <c r="AU32" s="20"/>
      <c r="AV32" s="103"/>
      <c r="AW32" s="20"/>
      <c r="AX32" s="20"/>
      <c r="AY32" s="20"/>
      <c r="AZ32" s="20"/>
      <c r="BA32" s="20"/>
      <c r="BB32" s="20"/>
      <c r="BC32" s="20"/>
      <c r="BD32" s="20"/>
      <c r="BE32" s="153"/>
      <c r="BF32" s="20"/>
      <c r="BG32" s="20"/>
      <c r="BH32" s="153"/>
      <c r="BI32" s="20"/>
      <c r="BJ32" s="20"/>
      <c r="BK32" s="20"/>
      <c r="BL32" s="20"/>
      <c r="BM32" s="20"/>
      <c r="BN32" s="100"/>
      <c r="BO32" s="125"/>
      <c r="BP32" s="125"/>
      <c r="BQ32" s="118"/>
      <c r="BS32" s="3"/>
      <c r="BT32" s="67"/>
      <c r="BU32" s="24"/>
      <c r="BV32" s="24"/>
      <c r="BW32" s="67"/>
      <c r="BX32" s="24"/>
      <c r="BY32" s="24"/>
      <c r="BZ32" s="67"/>
      <c r="CA32" s="24"/>
      <c r="CB32" s="24"/>
      <c r="CC32" s="67"/>
      <c r="CD32" s="24"/>
      <c r="CE32" s="24"/>
      <c r="CF32" s="67"/>
      <c r="CG32" s="24"/>
      <c r="CH32" s="24"/>
      <c r="CI32" s="67"/>
      <c r="CJ32" s="24"/>
      <c r="CK32" s="24"/>
      <c r="CL32" s="67"/>
      <c r="CM32" s="24"/>
      <c r="CN32" s="24"/>
      <c r="CO32" s="67"/>
      <c r="CP32" s="170"/>
      <c r="CQ32" s="172"/>
    </row>
    <row r="33" spans="1:95" ht="28">
      <c r="A33" s="100"/>
      <c r="B33" s="25"/>
      <c r="C33" s="101"/>
      <c r="D33" s="102"/>
      <c r="E33" s="103"/>
      <c r="F33" s="65"/>
      <c r="G33" s="104"/>
      <c r="H33" s="65"/>
      <c r="I33" s="104"/>
      <c r="J33" s="106"/>
      <c r="K33" s="106"/>
      <c r="L33" s="106"/>
      <c r="M33" s="106"/>
      <c r="N33" s="106"/>
      <c r="O33" s="100"/>
      <c r="P33" s="101"/>
      <c r="R33" s="100"/>
      <c r="S33" s="25"/>
      <c r="T33" s="101"/>
      <c r="U33" s="102"/>
      <c r="V33" s="65"/>
      <c r="W33" s="103"/>
      <c r="X33" s="65"/>
      <c r="Y33" s="65"/>
      <c r="Z33" s="104"/>
      <c r="AA33" s="65"/>
      <c r="AB33" s="65"/>
      <c r="AC33" s="104"/>
      <c r="AD33" s="106"/>
      <c r="AE33" s="65"/>
      <c r="AF33" s="106"/>
      <c r="AG33" s="106"/>
      <c r="AH33" s="65"/>
      <c r="AI33" s="106"/>
      <c r="AJ33" s="106"/>
      <c r="AK33" s="65"/>
      <c r="AL33" s="100"/>
      <c r="AM33" s="101"/>
      <c r="AN33" s="125"/>
      <c r="AO33" s="118"/>
      <c r="AQ33" s="100"/>
      <c r="AR33" s="181" t="s">
        <v>37</v>
      </c>
      <c r="AS33" s="101"/>
      <c r="AT33" s="20" t="s">
        <v>53</v>
      </c>
      <c r="AU33" s="20">
        <v>0</v>
      </c>
      <c r="AV33" s="103"/>
      <c r="AW33" s="20" t="s">
        <v>53</v>
      </c>
      <c r="AX33" s="20">
        <v>443.7</v>
      </c>
      <c r="AY33" s="64"/>
      <c r="AZ33" s="20" t="s">
        <v>53</v>
      </c>
      <c r="BA33" s="20">
        <v>9.5220000000000002</v>
      </c>
      <c r="BB33" s="64"/>
      <c r="BC33" s="20" t="s">
        <v>53</v>
      </c>
      <c r="BD33" s="20">
        <v>0</v>
      </c>
      <c r="BE33" s="153"/>
      <c r="BF33" s="20" t="s">
        <v>53</v>
      </c>
      <c r="BG33" s="20">
        <v>0</v>
      </c>
      <c r="BH33" s="153"/>
      <c r="BI33" s="20" t="s">
        <v>53</v>
      </c>
      <c r="BJ33" s="20">
        <v>0</v>
      </c>
      <c r="BK33" s="20"/>
      <c r="BL33" s="20" t="s">
        <v>53</v>
      </c>
      <c r="BM33" s="20">
        <v>0</v>
      </c>
      <c r="BN33" s="100"/>
      <c r="BO33" s="125">
        <v>98.5</v>
      </c>
      <c r="BP33" s="125">
        <v>453.22199999999998</v>
      </c>
      <c r="BQ33" s="118"/>
      <c r="BS33" s="3" t="s">
        <v>37</v>
      </c>
      <c r="BT33" s="67"/>
      <c r="BU33" s="24">
        <v>0</v>
      </c>
      <c r="BV33" s="24">
        <v>0</v>
      </c>
      <c r="BW33" s="67"/>
      <c r="BX33" s="24">
        <v>443.7</v>
      </c>
      <c r="BY33" s="24">
        <v>0</v>
      </c>
      <c r="BZ33" s="67"/>
      <c r="CA33" s="24">
        <v>9.5220000000000002</v>
      </c>
      <c r="CB33" s="24">
        <v>0</v>
      </c>
      <c r="CC33" s="67"/>
      <c r="CD33" s="24">
        <v>0</v>
      </c>
      <c r="CE33" s="24">
        <v>0</v>
      </c>
      <c r="CF33" s="67"/>
      <c r="CG33" s="24">
        <v>0</v>
      </c>
      <c r="CH33" s="24">
        <v>0</v>
      </c>
      <c r="CI33" s="67"/>
      <c r="CJ33" s="24">
        <v>0</v>
      </c>
      <c r="CK33" s="24">
        <v>94</v>
      </c>
      <c r="CL33" s="67"/>
      <c r="CM33" s="24">
        <v>0</v>
      </c>
      <c r="CN33" s="24">
        <v>0</v>
      </c>
      <c r="CO33" s="67"/>
      <c r="CP33" s="170">
        <v>453.22199999999998</v>
      </c>
      <c r="CQ33" s="172">
        <v>94</v>
      </c>
    </row>
    <row r="34" spans="1:95">
      <c r="A34" s="100"/>
      <c r="B34" s="25" t="s">
        <v>37</v>
      </c>
      <c r="C34" s="101"/>
      <c r="D34" s="102">
        <v>0</v>
      </c>
      <c r="E34" s="103"/>
      <c r="F34" s="102">
        <v>82</v>
      </c>
      <c r="G34" s="26"/>
      <c r="H34" s="102">
        <v>0</v>
      </c>
      <c r="I34" s="26"/>
      <c r="J34" s="102">
        <v>0</v>
      </c>
      <c r="K34" s="106"/>
      <c r="L34" s="102">
        <v>16.5</v>
      </c>
      <c r="M34" s="106"/>
      <c r="N34" s="102">
        <v>0</v>
      </c>
      <c r="O34" s="100"/>
      <c r="P34" s="103">
        <v>98.5</v>
      </c>
      <c r="R34" s="100"/>
      <c r="S34" s="25" t="s">
        <v>37</v>
      </c>
      <c r="T34" s="101"/>
      <c r="U34" s="102">
        <v>0</v>
      </c>
      <c r="V34" s="65" t="s">
        <v>53</v>
      </c>
      <c r="W34" s="103"/>
      <c r="X34" s="102">
        <v>82</v>
      </c>
      <c r="Y34" s="65" t="s">
        <v>53</v>
      </c>
      <c r="Z34" s="26"/>
      <c r="AA34" s="102">
        <v>0</v>
      </c>
      <c r="AB34" s="65" t="s">
        <v>53</v>
      </c>
      <c r="AC34" s="26"/>
      <c r="AD34" s="102">
        <v>0</v>
      </c>
      <c r="AE34" s="65" t="s">
        <v>53</v>
      </c>
      <c r="AF34" s="106"/>
      <c r="AG34" s="102">
        <v>16.5</v>
      </c>
      <c r="AH34" s="65" t="s">
        <v>53</v>
      </c>
      <c r="AI34" s="106"/>
      <c r="AJ34" s="102">
        <v>0</v>
      </c>
      <c r="AK34" s="65" t="s">
        <v>53</v>
      </c>
      <c r="AL34" s="100"/>
      <c r="AM34" s="103">
        <v>98.5</v>
      </c>
      <c r="AN34" s="125">
        <v>98.5</v>
      </c>
      <c r="AO34" s="118"/>
      <c r="AQ34" s="100"/>
      <c r="AR34" s="181"/>
      <c r="AS34" s="101"/>
      <c r="AT34" s="20"/>
      <c r="AU34" s="20"/>
      <c r="AV34" s="103"/>
      <c r="AW34" s="20"/>
      <c r="AX34" s="20"/>
      <c r="AY34" s="20"/>
      <c r="AZ34" s="20"/>
      <c r="BA34" s="20"/>
      <c r="BB34" s="20"/>
      <c r="BC34" s="20"/>
      <c r="BD34" s="20"/>
      <c r="BE34" s="153"/>
      <c r="BF34" s="20"/>
      <c r="BG34" s="20"/>
      <c r="BH34" s="153"/>
      <c r="BI34" s="20"/>
      <c r="BJ34" s="20"/>
      <c r="BK34" s="20"/>
      <c r="BL34" s="20"/>
      <c r="BM34" s="20"/>
      <c r="BN34" s="100"/>
      <c r="BO34" s="125"/>
      <c r="BP34" s="125"/>
      <c r="BQ34" s="118"/>
      <c r="BS34" s="3"/>
      <c r="BT34" s="67"/>
      <c r="BU34" s="24"/>
      <c r="BV34" s="24"/>
      <c r="BW34" s="67"/>
      <c r="BX34" s="24"/>
      <c r="BY34" s="24"/>
      <c r="BZ34" s="67"/>
      <c r="CA34" s="24"/>
      <c r="CB34" s="24"/>
      <c r="CC34" s="67"/>
      <c r="CD34" s="24"/>
      <c r="CE34" s="24"/>
      <c r="CF34" s="67"/>
      <c r="CG34" s="24"/>
      <c r="CH34" s="24"/>
      <c r="CI34" s="67"/>
      <c r="CJ34" s="24"/>
      <c r="CK34" s="24"/>
      <c r="CL34" s="67"/>
      <c r="CM34" s="24"/>
      <c r="CN34" s="24"/>
      <c r="CO34" s="67"/>
      <c r="CP34" s="170"/>
      <c r="CQ34" s="172"/>
    </row>
    <row r="35" spans="1:95" ht="42">
      <c r="A35" s="100"/>
      <c r="B35" s="25"/>
      <c r="C35" s="101"/>
      <c r="D35" s="102"/>
      <c r="E35" s="103"/>
      <c r="F35" s="65"/>
      <c r="G35" s="104"/>
      <c r="H35" s="65"/>
      <c r="I35" s="104"/>
      <c r="J35" s="106"/>
      <c r="K35" s="106"/>
      <c r="L35" s="106"/>
      <c r="M35" s="106"/>
      <c r="N35" s="106"/>
      <c r="O35" s="100"/>
      <c r="P35" s="101"/>
      <c r="R35" s="100"/>
      <c r="S35" s="25"/>
      <c r="T35" s="101"/>
      <c r="U35" s="102"/>
      <c r="V35" s="65"/>
      <c r="W35" s="103"/>
      <c r="X35" s="65"/>
      <c r="Y35" s="65"/>
      <c r="Z35" s="104"/>
      <c r="AA35" s="65"/>
      <c r="AB35" s="65"/>
      <c r="AC35" s="104"/>
      <c r="AD35" s="106"/>
      <c r="AE35" s="65"/>
      <c r="AF35" s="106"/>
      <c r="AG35" s="106"/>
      <c r="AH35" s="65"/>
      <c r="AI35" s="106"/>
      <c r="AJ35" s="106"/>
      <c r="AK35" s="65"/>
      <c r="AL35" s="100"/>
      <c r="AM35" s="101"/>
      <c r="AN35" s="125"/>
      <c r="AO35" s="118"/>
      <c r="AQ35" s="100"/>
      <c r="AR35" s="181" t="s">
        <v>41</v>
      </c>
      <c r="AS35" s="101"/>
      <c r="AT35" s="20" t="s">
        <v>53</v>
      </c>
      <c r="AU35" s="20">
        <v>0</v>
      </c>
      <c r="AV35" s="103"/>
      <c r="AW35" s="20" t="s">
        <v>53</v>
      </c>
      <c r="AX35" s="20">
        <v>0</v>
      </c>
      <c r="AY35" s="64"/>
      <c r="AZ35" s="20" t="s">
        <v>53</v>
      </c>
      <c r="BA35" s="20">
        <v>0</v>
      </c>
      <c r="BB35" s="64"/>
      <c r="BC35" s="20" t="s">
        <v>53</v>
      </c>
      <c r="BD35" s="20">
        <v>0</v>
      </c>
      <c r="BE35" s="153"/>
      <c r="BF35" s="20" t="s">
        <v>53</v>
      </c>
      <c r="BG35" s="20">
        <v>0</v>
      </c>
      <c r="BH35" s="153"/>
      <c r="BI35" s="20" t="s">
        <v>53</v>
      </c>
      <c r="BJ35" s="20">
        <v>0</v>
      </c>
      <c r="BK35" s="20"/>
      <c r="BL35" s="20" t="s">
        <v>53</v>
      </c>
      <c r="BM35" s="20">
        <v>0</v>
      </c>
      <c r="BN35" s="100"/>
      <c r="BO35" s="125">
        <v>0</v>
      </c>
      <c r="BP35" s="125">
        <v>0</v>
      </c>
      <c r="BQ35" s="118"/>
      <c r="BS35" s="3" t="s">
        <v>41</v>
      </c>
      <c r="BT35" s="67"/>
      <c r="BU35" s="24">
        <v>0</v>
      </c>
      <c r="BV35" s="24">
        <v>0</v>
      </c>
      <c r="BW35" s="67"/>
      <c r="BX35" s="24">
        <v>0</v>
      </c>
      <c r="BY35" s="24">
        <v>0</v>
      </c>
      <c r="BZ35" s="67"/>
      <c r="CA35" s="24">
        <v>0</v>
      </c>
      <c r="CB35" s="24">
        <v>0</v>
      </c>
      <c r="CC35" s="67"/>
      <c r="CD35" s="24">
        <v>0</v>
      </c>
      <c r="CE35" s="24">
        <v>0</v>
      </c>
      <c r="CF35" s="67"/>
      <c r="CG35" s="24">
        <v>0</v>
      </c>
      <c r="CH35" s="24">
        <v>0</v>
      </c>
      <c r="CI35" s="67"/>
      <c r="CJ35" s="24">
        <v>0</v>
      </c>
      <c r="CK35" s="24">
        <v>0</v>
      </c>
      <c r="CL35" s="67"/>
      <c r="CM35" s="24">
        <v>0</v>
      </c>
      <c r="CN35" s="24">
        <v>0</v>
      </c>
      <c r="CO35" s="67"/>
      <c r="CP35" s="170">
        <v>0</v>
      </c>
      <c r="CQ35" s="172">
        <v>0</v>
      </c>
    </row>
    <row r="36" spans="1:95" ht="25">
      <c r="A36" s="100"/>
      <c r="B36" s="25" t="s">
        <v>41</v>
      </c>
      <c r="C36" s="101"/>
      <c r="D36" s="102">
        <v>0</v>
      </c>
      <c r="E36" s="103"/>
      <c r="F36" s="102">
        <v>0</v>
      </c>
      <c r="G36" s="26"/>
      <c r="H36" s="102">
        <v>0</v>
      </c>
      <c r="I36" s="26"/>
      <c r="J36" s="102">
        <v>0</v>
      </c>
      <c r="K36" s="106"/>
      <c r="L36" s="102">
        <v>0</v>
      </c>
      <c r="M36" s="106"/>
      <c r="N36" s="102">
        <v>0</v>
      </c>
      <c r="O36" s="100"/>
      <c r="P36" s="103">
        <v>0</v>
      </c>
      <c r="R36" s="100"/>
      <c r="S36" s="25" t="s">
        <v>41</v>
      </c>
      <c r="T36" s="101"/>
      <c r="U36" s="102">
        <v>0</v>
      </c>
      <c r="V36" s="65" t="s">
        <v>53</v>
      </c>
      <c r="W36" s="103"/>
      <c r="X36" s="102">
        <v>0</v>
      </c>
      <c r="Y36" s="65" t="s">
        <v>53</v>
      </c>
      <c r="Z36" s="26"/>
      <c r="AA36" s="102">
        <v>0</v>
      </c>
      <c r="AB36" s="65" t="s">
        <v>53</v>
      </c>
      <c r="AC36" s="26"/>
      <c r="AD36" s="102">
        <v>0</v>
      </c>
      <c r="AE36" s="65" t="s">
        <v>53</v>
      </c>
      <c r="AF36" s="106"/>
      <c r="AG36" s="102">
        <v>0</v>
      </c>
      <c r="AH36" s="65" t="s">
        <v>53</v>
      </c>
      <c r="AI36" s="106"/>
      <c r="AJ36" s="102">
        <v>0</v>
      </c>
      <c r="AK36" s="65" t="s">
        <v>53</v>
      </c>
      <c r="AL36" s="100"/>
      <c r="AM36" s="103">
        <v>0</v>
      </c>
      <c r="AN36" s="125">
        <v>0</v>
      </c>
      <c r="AO36" s="118"/>
      <c r="AQ36" s="100"/>
      <c r="AR36" s="101"/>
      <c r="AS36" s="101"/>
      <c r="AT36" s="68"/>
      <c r="AU36" s="68"/>
      <c r="AV36" s="103"/>
      <c r="AW36" s="182"/>
      <c r="AX36" s="182"/>
      <c r="AY36" s="20"/>
      <c r="AZ36" s="20"/>
      <c r="BA36" s="20"/>
      <c r="BB36" s="20"/>
      <c r="BC36" s="110"/>
      <c r="BD36" s="110"/>
      <c r="BE36" s="153"/>
      <c r="BF36" s="100"/>
      <c r="BG36" s="100"/>
      <c r="BH36" s="100"/>
      <c r="BI36" s="100"/>
      <c r="BJ36" s="100"/>
      <c r="BK36" s="100"/>
      <c r="BL36" s="100"/>
      <c r="BM36" s="100"/>
      <c r="BN36" s="100"/>
      <c r="BO36" s="100"/>
      <c r="BP36" s="100"/>
      <c r="BQ36" s="100"/>
      <c r="BS36" s="67"/>
      <c r="BT36" s="67"/>
      <c r="BU36" s="69"/>
      <c r="BV36" s="69"/>
      <c r="BW36" s="67"/>
      <c r="BX36" s="186"/>
      <c r="BY36" s="186"/>
      <c r="BZ36" s="67"/>
      <c r="CA36" s="24"/>
      <c r="CB36" s="24"/>
      <c r="CC36" s="67"/>
      <c r="CD36" s="187"/>
      <c r="CE36" s="187"/>
      <c r="CF36" s="67"/>
      <c r="CG36" s="67"/>
      <c r="CH36" s="67"/>
      <c r="CI36" s="67"/>
      <c r="CJ36" s="67"/>
      <c r="CK36" s="67"/>
      <c r="CL36" s="67"/>
      <c r="CM36" s="67"/>
      <c r="CN36" s="67"/>
      <c r="CO36" s="67"/>
      <c r="CP36" s="67"/>
      <c r="CQ36" s="67"/>
    </row>
    <row r="37" spans="1:95" ht="15" thickBot="1">
      <c r="A37" s="100"/>
      <c r="B37" s="101"/>
      <c r="C37" s="101"/>
      <c r="D37" s="102"/>
      <c r="E37" s="103"/>
      <c r="F37" s="109"/>
      <c r="G37" s="104"/>
      <c r="H37" s="65"/>
      <c r="I37" s="104"/>
      <c r="J37" s="110"/>
      <c r="K37" s="106"/>
      <c r="L37" s="100"/>
      <c r="M37" s="100"/>
      <c r="N37" s="100"/>
      <c r="O37" s="100"/>
      <c r="P37" s="100"/>
      <c r="R37" s="100"/>
      <c r="S37" s="101"/>
      <c r="T37" s="101"/>
      <c r="U37" s="102"/>
      <c r="V37" s="102"/>
      <c r="W37" s="103"/>
      <c r="X37" s="109"/>
      <c r="Y37" s="109"/>
      <c r="Z37" s="104"/>
      <c r="AA37" s="65"/>
      <c r="AB37" s="65"/>
      <c r="AC37" s="104"/>
      <c r="AD37" s="110"/>
      <c r="AE37" s="110"/>
      <c r="AF37" s="106"/>
      <c r="AG37" s="100"/>
      <c r="AH37" s="100"/>
      <c r="AI37" s="100"/>
      <c r="AJ37" s="100"/>
      <c r="AK37" s="100"/>
      <c r="AL37" s="100"/>
      <c r="AM37" s="100"/>
      <c r="AN37" s="100"/>
      <c r="AO37" s="100"/>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S37" s="183"/>
      <c r="BT37" s="183"/>
      <c r="BU37" s="183"/>
      <c r="BV37" s="183"/>
      <c r="BW37" s="183"/>
      <c r="BX37" s="183"/>
      <c r="BY37" s="183"/>
      <c r="BZ37" s="183"/>
      <c r="CA37" s="183"/>
      <c r="CB37" s="183"/>
      <c r="CC37" s="183"/>
      <c r="CD37" s="183"/>
      <c r="CE37" s="183"/>
      <c r="CF37" s="183"/>
      <c r="CG37" s="183"/>
      <c r="CH37" s="183"/>
      <c r="CI37" s="183"/>
      <c r="CJ37" s="183"/>
      <c r="CK37" s="183"/>
      <c r="CL37" s="183"/>
      <c r="CM37" s="183"/>
      <c r="CN37" s="183"/>
      <c r="CO37" s="183"/>
      <c r="CP37" s="183"/>
      <c r="CQ37" s="183"/>
    </row>
    <row r="38" spans="1:95" ht="15" thickBot="1">
      <c r="A38" s="86"/>
      <c r="B38" s="86"/>
      <c r="C38" s="86"/>
      <c r="D38" s="86"/>
      <c r="E38" s="86"/>
      <c r="F38" s="86"/>
      <c r="G38" s="86"/>
      <c r="H38" s="86"/>
      <c r="I38" s="86"/>
      <c r="J38" s="86"/>
      <c r="K38" s="86"/>
      <c r="L38" s="86"/>
      <c r="M38" s="86"/>
      <c r="N38" s="86"/>
      <c r="O38" s="86"/>
      <c r="P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Q38" s="111"/>
      <c r="AR38" s="111"/>
      <c r="AS38" s="111"/>
      <c r="AT38" s="111"/>
      <c r="AU38" s="111"/>
      <c r="AV38" s="111"/>
      <c r="AW38" s="111"/>
      <c r="AX38" s="111"/>
      <c r="AY38" s="111"/>
      <c r="AZ38" s="111"/>
      <c r="BA38" s="111"/>
      <c r="BB38" s="111"/>
      <c r="BC38" s="111"/>
      <c r="BD38" s="111"/>
      <c r="BE38" s="111"/>
      <c r="BF38" s="111"/>
      <c r="BG38" s="111"/>
      <c r="BH38" s="111"/>
      <c r="BI38" s="111"/>
      <c r="BJ38" s="111"/>
      <c r="BK38" s="111"/>
      <c r="BL38" s="111"/>
      <c r="BM38" s="111"/>
      <c r="BN38" s="111"/>
      <c r="BO38" s="111"/>
      <c r="BP38" s="111"/>
      <c r="BQ38" s="111"/>
      <c r="BS38" s="4"/>
      <c r="BT38" s="4"/>
      <c r="BU38" s="4"/>
      <c r="BV38" s="4"/>
      <c r="BW38" s="4"/>
      <c r="BX38" s="4"/>
      <c r="BY38" s="4"/>
      <c r="BZ38" s="4"/>
      <c r="CA38" s="4"/>
      <c r="CB38" s="4"/>
      <c r="CC38" s="4"/>
      <c r="CD38" s="4"/>
      <c r="CE38" s="4"/>
      <c r="CF38" s="4"/>
      <c r="CG38" s="4"/>
      <c r="CH38" s="4"/>
      <c r="CI38" s="4"/>
      <c r="CJ38" s="4"/>
      <c r="CK38" s="4"/>
      <c r="CL38" s="4"/>
      <c r="CM38" s="4"/>
      <c r="CN38" s="4"/>
      <c r="CO38" s="4"/>
      <c r="CP38" s="4"/>
      <c r="CQ38" s="4"/>
    </row>
    <row r="39" spans="1:95">
      <c r="R39" s="111"/>
      <c r="S39" s="111"/>
      <c r="T39" s="111"/>
      <c r="U39" s="111"/>
      <c r="V39" s="111"/>
      <c r="W39" s="111"/>
      <c r="X39" s="111"/>
      <c r="Y39" s="111"/>
      <c r="Z39" s="111"/>
      <c r="AA39" s="111"/>
      <c r="AB39" s="111"/>
      <c r="AC39" s="111"/>
      <c r="AD39" s="111"/>
      <c r="AE39" s="111"/>
      <c r="AF39" s="111"/>
      <c r="AG39" s="111"/>
      <c r="AH39" s="111"/>
      <c r="AI39" s="111"/>
      <c r="AJ39" s="111"/>
      <c r="AK39" s="111"/>
      <c r="AL39" s="111"/>
      <c r="AM39" s="111"/>
      <c r="AN39" s="111"/>
      <c r="AO39" s="111"/>
    </row>
    <row r="40" spans="1:95">
      <c r="A40" s="361" t="s">
        <v>152</v>
      </c>
      <c r="B40" s="361"/>
      <c r="C40" s="361"/>
      <c r="D40" s="361"/>
      <c r="E40" s="361"/>
      <c r="F40" s="361"/>
      <c r="G40" s="361"/>
      <c r="H40" s="361"/>
      <c r="I40" s="361"/>
      <c r="J40" s="361"/>
      <c r="K40" s="361"/>
      <c r="L40" s="361"/>
      <c r="M40" s="361"/>
      <c r="N40" s="361"/>
      <c r="O40" s="361"/>
      <c r="P40" s="361"/>
      <c r="Q40" s="361"/>
      <c r="R40" s="361"/>
      <c r="S40" s="361"/>
      <c r="T40" s="361"/>
      <c r="U40" s="361"/>
      <c r="V40" s="361"/>
      <c r="W40" s="361"/>
      <c r="X40" s="361"/>
    </row>
    <row r="41" spans="1:95">
      <c r="A41" s="376" t="s">
        <v>156</v>
      </c>
      <c r="B41" s="376"/>
      <c r="C41" s="376"/>
      <c r="D41" s="376"/>
      <c r="E41" s="376"/>
      <c r="F41" s="376"/>
      <c r="G41" s="376"/>
      <c r="H41" s="376"/>
      <c r="I41" s="376"/>
      <c r="J41" s="376"/>
      <c r="K41" s="376"/>
      <c r="L41" s="376"/>
      <c r="M41" s="376"/>
      <c r="N41" s="376"/>
      <c r="O41" s="376"/>
      <c r="P41" s="376"/>
      <c r="Q41" s="376"/>
      <c r="R41" s="376"/>
      <c r="S41" s="376"/>
      <c r="T41" s="376"/>
      <c r="U41" s="376"/>
      <c r="V41" s="376"/>
      <c r="W41" s="376"/>
      <c r="X41" s="376"/>
    </row>
    <row r="42" spans="1:95" ht="15" thickBot="1">
      <c r="A42" s="85"/>
      <c r="B42" s="85"/>
      <c r="C42" s="85"/>
      <c r="D42" s="85"/>
      <c r="E42" s="85"/>
      <c r="F42" s="85"/>
      <c r="G42" s="86"/>
      <c r="H42" s="86"/>
      <c r="I42" s="86"/>
      <c r="J42" s="86"/>
      <c r="K42" s="86"/>
      <c r="L42" s="86"/>
      <c r="M42" s="86"/>
      <c r="N42" s="86"/>
      <c r="O42" s="86"/>
      <c r="P42" s="86"/>
      <c r="Q42" s="86"/>
      <c r="R42" s="86"/>
      <c r="S42" s="86"/>
      <c r="T42" s="86"/>
      <c r="U42" s="86"/>
      <c r="V42" s="86"/>
      <c r="W42" s="86"/>
      <c r="X42" s="86"/>
    </row>
    <row r="43" spans="1:95">
      <c r="A43" s="87"/>
      <c r="B43" s="87"/>
      <c r="C43" s="87"/>
      <c r="D43" s="87"/>
      <c r="E43" s="87"/>
      <c r="F43" s="87"/>
      <c r="G43" s="88"/>
      <c r="H43" s="88"/>
      <c r="I43" s="88"/>
      <c r="J43" s="88"/>
      <c r="K43" s="88"/>
      <c r="L43" s="88"/>
      <c r="M43" s="88"/>
      <c r="N43" s="88"/>
      <c r="O43" s="88"/>
      <c r="P43" s="88"/>
      <c r="Q43" s="88"/>
      <c r="R43" s="88"/>
      <c r="S43" s="88"/>
      <c r="T43" s="88"/>
      <c r="U43" s="88"/>
      <c r="V43" s="88"/>
      <c r="W43" s="88"/>
      <c r="X43" s="88"/>
    </row>
    <row r="44" spans="1:95" ht="26">
      <c r="A44" s="29"/>
      <c r="B44" s="44" t="s">
        <v>54</v>
      </c>
      <c r="C44" s="29"/>
      <c r="D44" s="370" t="s">
        <v>55</v>
      </c>
      <c r="E44" s="370"/>
      <c r="F44" s="29"/>
      <c r="G44" s="370" t="s">
        <v>57</v>
      </c>
      <c r="H44" s="370"/>
      <c r="I44" s="45"/>
      <c r="J44" s="377" t="s">
        <v>58</v>
      </c>
      <c r="K44" s="377"/>
      <c r="L44" s="45"/>
      <c r="M44" s="370" t="s">
        <v>59</v>
      </c>
      <c r="N44" s="370"/>
      <c r="O44" s="29"/>
      <c r="P44" s="377" t="s">
        <v>60</v>
      </c>
      <c r="Q44" s="377"/>
      <c r="R44" s="29"/>
      <c r="S44" s="370" t="s">
        <v>61</v>
      </c>
      <c r="T44" s="370"/>
      <c r="U44" s="31"/>
      <c r="V44" s="370" t="s">
        <v>166</v>
      </c>
      <c r="W44" s="370"/>
      <c r="X44" s="120"/>
    </row>
    <row r="45" spans="1:95">
      <c r="A45" s="27"/>
      <c r="B45" s="90"/>
      <c r="C45" s="27"/>
      <c r="D45" s="90"/>
      <c r="E45" s="90"/>
      <c r="F45" s="27"/>
      <c r="G45" s="28"/>
      <c r="H45" s="28"/>
      <c r="I45" s="28"/>
      <c r="J45" s="28"/>
      <c r="K45" s="28"/>
      <c r="L45" s="28"/>
      <c r="M45" s="28"/>
      <c r="N45" s="28"/>
      <c r="O45" s="28"/>
      <c r="P45" s="28"/>
      <c r="Q45" s="28"/>
      <c r="R45" s="28"/>
      <c r="S45" s="28"/>
      <c r="T45" s="28"/>
      <c r="U45" s="28"/>
      <c r="V45" s="28"/>
      <c r="W45" s="28"/>
      <c r="X45" s="121"/>
    </row>
    <row r="46" spans="1:95" ht="15" thickBot="1">
      <c r="A46" s="33"/>
      <c r="B46" s="32"/>
      <c r="C46" s="33"/>
      <c r="D46" s="122">
        <v>2022</v>
      </c>
      <c r="E46" s="122">
        <v>2023</v>
      </c>
      <c r="F46" s="92"/>
      <c r="G46" s="122">
        <v>2022</v>
      </c>
      <c r="H46" s="122">
        <v>2023</v>
      </c>
      <c r="I46" s="93"/>
      <c r="J46" s="122">
        <v>2022</v>
      </c>
      <c r="K46" s="122">
        <v>2023</v>
      </c>
      <c r="L46" s="93"/>
      <c r="M46" s="122">
        <v>2022</v>
      </c>
      <c r="N46" s="122">
        <v>2023</v>
      </c>
      <c r="O46" s="91"/>
      <c r="P46" s="122">
        <v>2022</v>
      </c>
      <c r="Q46" s="122">
        <v>2023</v>
      </c>
      <c r="R46" s="91"/>
      <c r="S46" s="122">
        <v>2022</v>
      </c>
      <c r="T46" s="122">
        <v>2023</v>
      </c>
      <c r="U46" s="91"/>
      <c r="V46" s="122">
        <v>2022</v>
      </c>
      <c r="W46" s="122">
        <v>2023</v>
      </c>
      <c r="X46" s="123"/>
    </row>
    <row r="47" spans="1:95">
      <c r="A47" s="94"/>
      <c r="B47" s="94" t="s">
        <v>50</v>
      </c>
      <c r="C47" s="95"/>
      <c r="D47" s="96">
        <v>81403.955300000001</v>
      </c>
      <c r="E47" s="124">
        <v>59701.604200000002</v>
      </c>
      <c r="F47" s="97"/>
      <c r="G47" s="96">
        <v>33226.752999999997</v>
      </c>
      <c r="H47" s="124">
        <v>42142.945500000002</v>
      </c>
      <c r="I47" s="96"/>
      <c r="J47" s="96">
        <v>2709.4540000000002</v>
      </c>
      <c r="K47" s="124">
        <v>2141.19</v>
      </c>
      <c r="L47" s="96"/>
      <c r="M47" s="96">
        <v>36898.81</v>
      </c>
      <c r="N47" s="124">
        <v>15461.934999999999</v>
      </c>
      <c r="O47" s="98"/>
      <c r="P47" s="96">
        <v>16.5</v>
      </c>
      <c r="Q47" s="124">
        <v>16.5</v>
      </c>
      <c r="R47" s="98"/>
      <c r="S47" s="96">
        <v>260</v>
      </c>
      <c r="T47" s="124">
        <v>40.5</v>
      </c>
      <c r="U47" s="99"/>
      <c r="V47" s="96">
        <v>154515.47230000002</v>
      </c>
      <c r="W47" s="96">
        <v>119504.6747</v>
      </c>
      <c r="X47" s="99"/>
    </row>
    <row r="48" spans="1:95">
      <c r="A48" s="100"/>
      <c r="B48" s="40"/>
      <c r="C48" s="101"/>
      <c r="D48" s="102"/>
      <c r="E48" s="102"/>
      <c r="F48" s="103"/>
      <c r="G48" s="65"/>
      <c r="H48" s="65"/>
      <c r="I48" s="104"/>
      <c r="J48" s="105"/>
      <c r="K48" s="105"/>
      <c r="L48" s="104"/>
      <c r="M48" s="106"/>
      <c r="N48" s="106"/>
      <c r="O48" s="106"/>
      <c r="P48" s="106"/>
      <c r="Q48" s="106"/>
      <c r="R48" s="106"/>
      <c r="S48" s="106"/>
      <c r="T48" s="106"/>
      <c r="U48" s="100"/>
      <c r="V48" s="101"/>
      <c r="W48" s="101"/>
      <c r="X48" s="100"/>
    </row>
    <row r="49" spans="1:24">
      <c r="A49" s="100"/>
      <c r="B49" s="25" t="s">
        <v>27</v>
      </c>
      <c r="C49" s="101"/>
      <c r="D49" s="102">
        <v>16</v>
      </c>
      <c r="E49" s="65" t="s">
        <v>53</v>
      </c>
      <c r="F49" s="103"/>
      <c r="G49" s="102">
        <v>111</v>
      </c>
      <c r="H49" s="65" t="s">
        <v>53</v>
      </c>
      <c r="I49" s="26"/>
      <c r="J49" s="102">
        <v>120.36</v>
      </c>
      <c r="K49" s="65" t="s">
        <v>53</v>
      </c>
      <c r="L49" s="26"/>
      <c r="M49" s="102">
        <v>0</v>
      </c>
      <c r="N49" s="65" t="s">
        <v>53</v>
      </c>
      <c r="O49" s="106"/>
      <c r="P49" s="102">
        <v>0</v>
      </c>
      <c r="Q49" s="65" t="s">
        <v>53</v>
      </c>
      <c r="R49" s="106"/>
      <c r="S49" s="102">
        <v>0</v>
      </c>
      <c r="T49" s="65" t="s">
        <v>53</v>
      </c>
      <c r="U49" s="100"/>
      <c r="V49" s="103">
        <v>247.36</v>
      </c>
      <c r="W49" s="125">
        <v>25196.239000000001</v>
      </c>
      <c r="X49" s="118"/>
    </row>
    <row r="50" spans="1:24">
      <c r="A50" s="100"/>
      <c r="B50" s="25"/>
      <c r="C50" s="101"/>
      <c r="D50" s="102"/>
      <c r="E50" s="65"/>
      <c r="F50" s="103"/>
      <c r="G50" s="65"/>
      <c r="H50" s="65"/>
      <c r="I50" s="26"/>
      <c r="J50" s="105"/>
      <c r="K50" s="65"/>
      <c r="L50" s="26"/>
      <c r="M50" s="106"/>
      <c r="N50" s="65"/>
      <c r="O50" s="106"/>
      <c r="P50" s="106"/>
      <c r="Q50" s="65"/>
      <c r="R50" s="106"/>
      <c r="S50" s="102"/>
      <c r="T50" s="65"/>
      <c r="U50" s="100"/>
      <c r="V50" s="101"/>
      <c r="W50" s="125"/>
      <c r="X50" s="118"/>
    </row>
    <row r="51" spans="1:24">
      <c r="A51" s="100"/>
      <c r="B51" s="25" t="s">
        <v>28</v>
      </c>
      <c r="C51" s="101"/>
      <c r="D51" s="102">
        <v>305.89999999999998</v>
      </c>
      <c r="E51" s="65" t="s">
        <v>53</v>
      </c>
      <c r="F51" s="103"/>
      <c r="G51" s="102">
        <v>14.2</v>
      </c>
      <c r="H51" s="65" t="s">
        <v>53</v>
      </c>
      <c r="I51" s="26"/>
      <c r="J51" s="102">
        <v>7</v>
      </c>
      <c r="K51" s="65" t="s">
        <v>53</v>
      </c>
      <c r="L51" s="26"/>
      <c r="M51" s="102">
        <v>0</v>
      </c>
      <c r="N51" s="65" t="s">
        <v>53</v>
      </c>
      <c r="O51" s="106"/>
      <c r="P51" s="102">
        <v>0</v>
      </c>
      <c r="Q51" s="65" t="s">
        <v>53</v>
      </c>
      <c r="R51" s="106"/>
      <c r="S51" s="102">
        <v>0</v>
      </c>
      <c r="T51" s="65" t="s">
        <v>53</v>
      </c>
      <c r="U51" s="100"/>
      <c r="V51" s="103">
        <v>327.09999999999997</v>
      </c>
      <c r="W51" s="125">
        <v>416.2</v>
      </c>
      <c r="X51" s="118"/>
    </row>
    <row r="52" spans="1:24">
      <c r="A52" s="100"/>
      <c r="B52" s="25"/>
      <c r="C52" s="101"/>
      <c r="D52" s="107"/>
      <c r="E52" s="65"/>
      <c r="F52" s="103"/>
      <c r="G52" s="65"/>
      <c r="H52" s="65"/>
      <c r="I52" s="26"/>
      <c r="J52" s="105"/>
      <c r="K52" s="65"/>
      <c r="L52" s="26"/>
      <c r="M52" s="106"/>
      <c r="N52" s="65"/>
      <c r="O52" s="106"/>
      <c r="P52" s="106"/>
      <c r="Q52" s="65"/>
      <c r="R52" s="106"/>
      <c r="S52" s="106"/>
      <c r="T52" s="65"/>
      <c r="U52" s="100"/>
      <c r="V52" s="101"/>
      <c r="W52" s="125"/>
      <c r="X52" s="118"/>
    </row>
    <row r="53" spans="1:24">
      <c r="A53" s="100"/>
      <c r="B53" s="25" t="s">
        <v>29</v>
      </c>
      <c r="C53" s="101"/>
      <c r="D53" s="102">
        <v>61654.010299999994</v>
      </c>
      <c r="E53" s="65" t="s">
        <v>53</v>
      </c>
      <c r="F53" s="103"/>
      <c r="G53" s="102">
        <v>2121.98</v>
      </c>
      <c r="H53" s="65" t="s">
        <v>53</v>
      </c>
      <c r="I53" s="26"/>
      <c r="J53" s="102">
        <v>1841.0640000000001</v>
      </c>
      <c r="K53" s="65" t="s">
        <v>53</v>
      </c>
      <c r="L53" s="26"/>
      <c r="M53" s="102">
        <v>352.63600000000002</v>
      </c>
      <c r="N53" s="65" t="s">
        <v>53</v>
      </c>
      <c r="O53" s="106"/>
      <c r="P53" s="102">
        <v>0</v>
      </c>
      <c r="Q53" s="65" t="s">
        <v>53</v>
      </c>
      <c r="R53" s="106"/>
      <c r="S53" s="102">
        <v>65</v>
      </c>
      <c r="T53" s="65" t="s">
        <v>53</v>
      </c>
      <c r="U53" s="100"/>
      <c r="V53" s="103">
        <v>66034.690300000002</v>
      </c>
      <c r="W53" s="125">
        <v>52525.092299999997</v>
      </c>
      <c r="X53" s="118"/>
    </row>
    <row r="54" spans="1:24">
      <c r="A54" s="100"/>
      <c r="B54" s="25"/>
      <c r="C54" s="101"/>
      <c r="D54" s="102"/>
      <c r="E54" s="65"/>
      <c r="F54" s="103"/>
      <c r="G54" s="65"/>
      <c r="H54" s="65"/>
      <c r="I54" s="104"/>
      <c r="J54" s="65"/>
      <c r="K54" s="65"/>
      <c r="L54" s="104"/>
      <c r="M54" s="106"/>
      <c r="N54" s="65"/>
      <c r="O54" s="106"/>
      <c r="P54" s="106"/>
      <c r="Q54" s="65"/>
      <c r="R54" s="106"/>
      <c r="S54" s="106"/>
      <c r="T54" s="65"/>
      <c r="U54" s="100"/>
      <c r="V54" s="101"/>
      <c r="W54" s="125"/>
      <c r="X54" s="118"/>
    </row>
    <row r="55" spans="1:24">
      <c r="A55" s="100"/>
      <c r="B55" s="25" t="s">
        <v>30</v>
      </c>
      <c r="C55" s="101"/>
      <c r="D55" s="102">
        <v>0</v>
      </c>
      <c r="E55" s="65" t="s">
        <v>53</v>
      </c>
      <c r="F55" s="103"/>
      <c r="G55" s="102">
        <v>0</v>
      </c>
      <c r="H55" s="65" t="s">
        <v>53</v>
      </c>
      <c r="I55" s="26"/>
      <c r="J55" s="102">
        <v>98.3</v>
      </c>
      <c r="K55" s="65" t="s">
        <v>53</v>
      </c>
      <c r="L55" s="26"/>
      <c r="M55" s="102">
        <v>0</v>
      </c>
      <c r="N55" s="65" t="s">
        <v>53</v>
      </c>
      <c r="O55" s="106"/>
      <c r="P55" s="102">
        <v>0</v>
      </c>
      <c r="Q55" s="65" t="s">
        <v>53</v>
      </c>
      <c r="R55" s="106"/>
      <c r="S55" s="102">
        <v>0</v>
      </c>
      <c r="T55" s="65" t="s">
        <v>53</v>
      </c>
      <c r="U55" s="100"/>
      <c r="V55" s="103">
        <v>98.3</v>
      </c>
      <c r="W55" s="125">
        <v>206.44239999999999</v>
      </c>
      <c r="X55" s="118"/>
    </row>
    <row r="56" spans="1:24">
      <c r="A56" s="100"/>
      <c r="B56" s="25"/>
      <c r="C56" s="101"/>
      <c r="D56" s="102"/>
      <c r="E56" s="65"/>
      <c r="F56" s="103"/>
      <c r="G56" s="65"/>
      <c r="H56" s="65"/>
      <c r="I56" s="104"/>
      <c r="J56" s="65"/>
      <c r="K56" s="65"/>
      <c r="L56" s="104"/>
      <c r="M56" s="106"/>
      <c r="N56" s="65"/>
      <c r="O56" s="106"/>
      <c r="P56" s="106"/>
      <c r="Q56" s="65"/>
      <c r="R56" s="106"/>
      <c r="S56" s="106"/>
      <c r="T56" s="65"/>
      <c r="U56" s="100"/>
      <c r="V56" s="101"/>
      <c r="W56" s="125"/>
      <c r="X56" s="118"/>
    </row>
    <row r="57" spans="1:24">
      <c r="A57" s="100"/>
      <c r="B57" s="25" t="s">
        <v>31</v>
      </c>
      <c r="C57" s="101"/>
      <c r="D57" s="102">
        <v>16.038</v>
      </c>
      <c r="E57" s="65" t="s">
        <v>53</v>
      </c>
      <c r="F57" s="103"/>
      <c r="G57" s="102">
        <v>2930.55</v>
      </c>
      <c r="H57" s="65" t="s">
        <v>53</v>
      </c>
      <c r="I57" s="26"/>
      <c r="J57" s="102">
        <v>60.55</v>
      </c>
      <c r="K57" s="65" t="s">
        <v>53</v>
      </c>
      <c r="L57" s="26"/>
      <c r="M57" s="102">
        <v>0</v>
      </c>
      <c r="N57" s="65" t="s">
        <v>53</v>
      </c>
      <c r="O57" s="106"/>
      <c r="P57" s="102">
        <v>0</v>
      </c>
      <c r="Q57" s="65" t="s">
        <v>53</v>
      </c>
      <c r="R57" s="106"/>
      <c r="S57" s="102">
        <v>0</v>
      </c>
      <c r="T57" s="65" t="s">
        <v>53</v>
      </c>
      <c r="U57" s="100"/>
      <c r="V57" s="103">
        <v>3007.1380000000004</v>
      </c>
      <c r="W57" s="125">
        <v>3023.6379999999999</v>
      </c>
      <c r="X57" s="118"/>
    </row>
    <row r="58" spans="1:24">
      <c r="A58" s="100"/>
      <c r="B58" s="25"/>
      <c r="C58" s="101"/>
      <c r="D58" s="102"/>
      <c r="E58" s="65"/>
      <c r="F58" s="103"/>
      <c r="G58" s="65"/>
      <c r="H58" s="65"/>
      <c r="I58" s="104"/>
      <c r="J58" s="65"/>
      <c r="K58" s="65"/>
      <c r="L58" s="104"/>
      <c r="M58" s="106"/>
      <c r="N58" s="65"/>
      <c r="O58" s="106"/>
      <c r="P58" s="106"/>
      <c r="Q58" s="65"/>
      <c r="R58" s="106"/>
      <c r="S58" s="106"/>
      <c r="T58" s="65"/>
      <c r="U58" s="100"/>
      <c r="V58" s="101"/>
      <c r="W58" s="125"/>
      <c r="X58" s="118"/>
    </row>
    <row r="59" spans="1:24">
      <c r="A59" s="100"/>
      <c r="B59" s="25" t="s">
        <v>32</v>
      </c>
      <c r="C59" s="101"/>
      <c r="D59" s="102">
        <v>301.5</v>
      </c>
      <c r="E59" s="65" t="s">
        <v>53</v>
      </c>
      <c r="F59" s="103"/>
      <c r="G59" s="108">
        <v>1267.32</v>
      </c>
      <c r="H59" s="65" t="s">
        <v>53</v>
      </c>
      <c r="I59" s="26"/>
      <c r="J59" s="102">
        <v>111</v>
      </c>
      <c r="K59" s="65" t="s">
        <v>53</v>
      </c>
      <c r="L59" s="26"/>
      <c r="M59" s="102">
        <v>10</v>
      </c>
      <c r="N59" s="65" t="s">
        <v>53</v>
      </c>
      <c r="O59" s="106"/>
      <c r="P59" s="102">
        <v>0</v>
      </c>
      <c r="Q59" s="65" t="s">
        <v>53</v>
      </c>
      <c r="R59" s="106"/>
      <c r="S59" s="102">
        <v>3</v>
      </c>
      <c r="T59" s="65" t="s">
        <v>53</v>
      </c>
      <c r="U59" s="100"/>
      <c r="V59" s="103">
        <v>1692.82</v>
      </c>
      <c r="W59" s="125">
        <v>2694.02</v>
      </c>
      <c r="X59" s="118"/>
    </row>
    <row r="60" spans="1:24">
      <c r="A60" s="100"/>
      <c r="B60" s="25"/>
      <c r="C60" s="101"/>
      <c r="D60" s="102"/>
      <c r="E60" s="65"/>
      <c r="F60" s="103"/>
      <c r="G60" s="65"/>
      <c r="H60" s="65"/>
      <c r="I60" s="104"/>
      <c r="J60" s="65"/>
      <c r="K60" s="65"/>
      <c r="L60" s="104"/>
      <c r="M60" s="106"/>
      <c r="N60" s="65"/>
      <c r="O60" s="106"/>
      <c r="P60" s="106"/>
      <c r="Q60" s="65"/>
      <c r="R60" s="106"/>
      <c r="S60" s="106"/>
      <c r="T60" s="65"/>
      <c r="U60" s="100"/>
      <c r="V60" s="101"/>
      <c r="W60" s="125"/>
      <c r="X60" s="118"/>
    </row>
    <row r="61" spans="1:24">
      <c r="A61" s="100"/>
      <c r="B61" s="25" t="s">
        <v>35</v>
      </c>
      <c r="C61" s="101"/>
      <c r="D61" s="102">
        <v>71.847999999999999</v>
      </c>
      <c r="E61" s="65" t="s">
        <v>53</v>
      </c>
      <c r="F61" s="103"/>
      <c r="G61" s="102">
        <v>0</v>
      </c>
      <c r="H61" s="65" t="s">
        <v>53</v>
      </c>
      <c r="I61" s="26"/>
      <c r="J61" s="102">
        <v>3</v>
      </c>
      <c r="K61" s="65" t="s">
        <v>53</v>
      </c>
      <c r="L61" s="26"/>
      <c r="M61" s="102">
        <v>0</v>
      </c>
      <c r="N61" s="65" t="s">
        <v>53</v>
      </c>
      <c r="O61" s="106"/>
      <c r="P61" s="102">
        <v>0</v>
      </c>
      <c r="Q61" s="65" t="s">
        <v>53</v>
      </c>
      <c r="R61" s="106"/>
      <c r="S61" s="102">
        <v>0</v>
      </c>
      <c r="T61" s="65" t="s">
        <v>53</v>
      </c>
      <c r="U61" s="100"/>
      <c r="V61" s="103">
        <v>74.847999999999999</v>
      </c>
      <c r="W61" s="125">
        <v>99.847999999999999</v>
      </c>
      <c r="X61" s="118"/>
    </row>
    <row r="62" spans="1:24">
      <c r="A62" s="100"/>
      <c r="B62" s="25"/>
      <c r="C62" s="101"/>
      <c r="D62" s="102"/>
      <c r="E62" s="65"/>
      <c r="F62" s="103"/>
      <c r="G62" s="65"/>
      <c r="H62" s="65"/>
      <c r="I62" s="104"/>
      <c r="J62" s="65"/>
      <c r="K62" s="65"/>
      <c r="L62" s="104"/>
      <c r="M62" s="106"/>
      <c r="N62" s="65"/>
      <c r="O62" s="106"/>
      <c r="P62" s="106"/>
      <c r="Q62" s="65"/>
      <c r="R62" s="106"/>
      <c r="S62" s="106"/>
      <c r="T62" s="65"/>
      <c r="U62" s="100"/>
      <c r="V62" s="101"/>
      <c r="W62" s="125"/>
      <c r="X62" s="118"/>
    </row>
    <row r="63" spans="1:24">
      <c r="A63" s="100"/>
      <c r="B63" s="25" t="s">
        <v>33</v>
      </c>
      <c r="C63" s="101"/>
      <c r="D63" s="102">
        <v>85.813000000000002</v>
      </c>
      <c r="E63" s="65" t="s">
        <v>53</v>
      </c>
      <c r="F63" s="103"/>
      <c r="G63" s="102">
        <v>519</v>
      </c>
      <c r="H63" s="65" t="s">
        <v>53</v>
      </c>
      <c r="I63" s="26"/>
      <c r="J63" s="102">
        <v>153</v>
      </c>
      <c r="K63" s="65" t="s">
        <v>53</v>
      </c>
      <c r="L63" s="26"/>
      <c r="M63" s="102">
        <v>10</v>
      </c>
      <c r="N63" s="65" t="s">
        <v>53</v>
      </c>
      <c r="O63" s="106"/>
      <c r="P63" s="102">
        <v>0</v>
      </c>
      <c r="Q63" s="65" t="s">
        <v>53</v>
      </c>
      <c r="R63" s="106"/>
      <c r="S63" s="102">
        <v>0</v>
      </c>
      <c r="T63" s="65" t="s">
        <v>53</v>
      </c>
      <c r="U63" s="100"/>
      <c r="V63" s="103">
        <v>767.81299999999999</v>
      </c>
      <c r="W63" s="125">
        <v>767.81299999999999</v>
      </c>
      <c r="X63" s="118"/>
    </row>
    <row r="64" spans="1:24">
      <c r="A64" s="100"/>
      <c r="B64" s="25"/>
      <c r="C64" s="101"/>
      <c r="D64" s="102"/>
      <c r="E64" s="65"/>
      <c r="F64" s="103"/>
      <c r="G64" s="65"/>
      <c r="H64" s="65"/>
      <c r="I64" s="104"/>
      <c r="J64" s="65"/>
      <c r="K64" s="65"/>
      <c r="L64" s="104"/>
      <c r="M64" s="106"/>
      <c r="N64" s="65"/>
      <c r="O64" s="106"/>
      <c r="P64" s="106"/>
      <c r="Q64" s="65"/>
      <c r="R64" s="106"/>
      <c r="S64" s="106"/>
      <c r="T64" s="65"/>
      <c r="U64" s="100"/>
      <c r="V64" s="101"/>
      <c r="W64" s="125"/>
      <c r="X64" s="118"/>
    </row>
    <row r="65" spans="1:24">
      <c r="A65" s="100"/>
      <c r="B65" s="25" t="s">
        <v>34</v>
      </c>
      <c r="C65" s="101"/>
      <c r="D65" s="102">
        <v>0</v>
      </c>
      <c r="E65" s="65" t="s">
        <v>53</v>
      </c>
      <c r="F65" s="103"/>
      <c r="G65" s="102">
        <v>0</v>
      </c>
      <c r="H65" s="65" t="s">
        <v>53</v>
      </c>
      <c r="I65" s="26"/>
      <c r="J65" s="102">
        <v>0</v>
      </c>
      <c r="K65" s="65" t="s">
        <v>53</v>
      </c>
      <c r="L65" s="26"/>
      <c r="M65" s="102">
        <v>0</v>
      </c>
      <c r="N65" s="65" t="s">
        <v>53</v>
      </c>
      <c r="O65" s="106"/>
      <c r="P65" s="102">
        <v>0</v>
      </c>
      <c r="Q65" s="65" t="s">
        <v>53</v>
      </c>
      <c r="R65" s="106"/>
      <c r="S65" s="102">
        <v>0</v>
      </c>
      <c r="T65" s="65" t="s">
        <v>53</v>
      </c>
      <c r="U65" s="100"/>
      <c r="V65" s="103">
        <v>0</v>
      </c>
      <c r="W65" s="125">
        <v>0</v>
      </c>
      <c r="X65" s="118"/>
    </row>
    <row r="66" spans="1:24">
      <c r="A66" s="100"/>
      <c r="B66" s="25"/>
      <c r="C66" s="101"/>
      <c r="D66" s="102"/>
      <c r="E66" s="65"/>
      <c r="F66" s="103"/>
      <c r="G66" s="65"/>
      <c r="H66" s="65"/>
      <c r="I66" s="104"/>
      <c r="J66" s="65"/>
      <c r="K66" s="65"/>
      <c r="L66" s="104"/>
      <c r="M66" s="106"/>
      <c r="N66" s="65"/>
      <c r="O66" s="106"/>
      <c r="P66" s="106"/>
      <c r="Q66" s="65"/>
      <c r="R66" s="106"/>
      <c r="S66" s="106"/>
      <c r="T66" s="65"/>
      <c r="U66" s="100"/>
      <c r="V66" s="101"/>
      <c r="W66" s="125"/>
      <c r="X66" s="118"/>
    </row>
    <row r="67" spans="1:24">
      <c r="A67" s="100"/>
      <c r="B67" s="25" t="s">
        <v>38</v>
      </c>
      <c r="C67" s="101"/>
      <c r="D67" s="102">
        <v>26.603999999999999</v>
      </c>
      <c r="E67" s="65" t="s">
        <v>53</v>
      </c>
      <c r="F67" s="103"/>
      <c r="G67" s="102">
        <v>3082</v>
      </c>
      <c r="H67" s="65" t="s">
        <v>53</v>
      </c>
      <c r="I67" s="26"/>
      <c r="J67" s="102">
        <v>36</v>
      </c>
      <c r="K67" s="65" t="s">
        <v>53</v>
      </c>
      <c r="L67" s="26"/>
      <c r="M67" s="102">
        <v>0</v>
      </c>
      <c r="N67" s="65" t="s">
        <v>53</v>
      </c>
      <c r="O67" s="106"/>
      <c r="P67" s="102">
        <v>0</v>
      </c>
      <c r="Q67" s="65" t="s">
        <v>53</v>
      </c>
      <c r="R67" s="106"/>
      <c r="S67" s="102">
        <v>0</v>
      </c>
      <c r="T67" s="65" t="s">
        <v>53</v>
      </c>
      <c r="U67" s="100"/>
      <c r="V67" s="103">
        <v>3144.6039999999998</v>
      </c>
      <c r="W67" s="125">
        <v>3284.3829999999998</v>
      </c>
      <c r="X67" s="118"/>
    </row>
    <row r="68" spans="1:24">
      <c r="A68" s="100"/>
      <c r="B68" s="25"/>
      <c r="C68" s="101"/>
      <c r="D68" s="102"/>
      <c r="E68" s="65"/>
      <c r="F68" s="103"/>
      <c r="G68" s="65"/>
      <c r="H68" s="65"/>
      <c r="I68" s="104"/>
      <c r="J68" s="65"/>
      <c r="K68" s="65"/>
      <c r="L68" s="104"/>
      <c r="M68" s="106"/>
      <c r="N68" s="65"/>
      <c r="O68" s="106"/>
      <c r="P68" s="106"/>
      <c r="Q68" s="65"/>
      <c r="R68" s="106"/>
      <c r="S68" s="106"/>
      <c r="T68" s="65"/>
      <c r="U68" s="100"/>
      <c r="V68" s="101"/>
      <c r="W68" s="125"/>
      <c r="X68" s="118"/>
    </row>
    <row r="69" spans="1:24">
      <c r="A69" s="100"/>
      <c r="B69" s="25" t="s">
        <v>39</v>
      </c>
      <c r="C69" s="101"/>
      <c r="D69" s="102">
        <v>18926.241999999998</v>
      </c>
      <c r="E69" s="65" t="s">
        <v>53</v>
      </c>
      <c r="F69" s="103"/>
      <c r="G69" s="102">
        <v>23098.703000000001</v>
      </c>
      <c r="H69" s="65" t="s">
        <v>53</v>
      </c>
      <c r="I69" s="26"/>
      <c r="J69" s="102">
        <v>279.18</v>
      </c>
      <c r="K69" s="65" t="s">
        <v>53</v>
      </c>
      <c r="L69" s="26"/>
      <c r="M69" s="102">
        <v>36526.173999999999</v>
      </c>
      <c r="N69" s="65" t="s">
        <v>53</v>
      </c>
      <c r="O69" s="106"/>
      <c r="P69" s="102">
        <v>0</v>
      </c>
      <c r="Q69" s="65" t="s">
        <v>53</v>
      </c>
      <c r="R69" s="106"/>
      <c r="S69" s="102">
        <v>192</v>
      </c>
      <c r="T69" s="65" t="s">
        <v>53</v>
      </c>
      <c r="U69" s="100"/>
      <c r="V69" s="103">
        <v>79022.298999999999</v>
      </c>
      <c r="W69" s="125">
        <v>31186.999</v>
      </c>
      <c r="X69" s="118"/>
    </row>
    <row r="70" spans="1:24">
      <c r="A70" s="100"/>
      <c r="B70" s="25"/>
      <c r="C70" s="101"/>
      <c r="D70" s="102"/>
      <c r="E70" s="65"/>
      <c r="F70" s="103"/>
      <c r="G70" s="65"/>
      <c r="H70" s="65"/>
      <c r="I70" s="104"/>
      <c r="J70" s="65"/>
      <c r="K70" s="65"/>
      <c r="L70" s="104"/>
      <c r="M70" s="106"/>
      <c r="N70" s="65"/>
      <c r="O70" s="106"/>
      <c r="P70" s="106"/>
      <c r="Q70" s="65"/>
      <c r="R70" s="106"/>
      <c r="S70" s="106"/>
      <c r="T70" s="65"/>
      <c r="U70" s="100"/>
      <c r="V70" s="101"/>
      <c r="W70" s="125"/>
      <c r="X70" s="118"/>
    </row>
    <row r="71" spans="1:24">
      <c r="A71" s="100"/>
      <c r="B71" s="25" t="s">
        <v>36</v>
      </c>
      <c r="C71" s="101"/>
      <c r="D71" s="102">
        <v>0</v>
      </c>
      <c r="E71" s="65" t="s">
        <v>53</v>
      </c>
      <c r="F71" s="103"/>
      <c r="G71" s="102">
        <v>0</v>
      </c>
      <c r="H71" s="65" t="s">
        <v>53</v>
      </c>
      <c r="I71" s="26"/>
      <c r="J71" s="102">
        <v>0</v>
      </c>
      <c r="K71" s="65" t="s">
        <v>53</v>
      </c>
      <c r="L71" s="26"/>
      <c r="M71" s="102">
        <v>0</v>
      </c>
      <c r="N71" s="65" t="s">
        <v>53</v>
      </c>
      <c r="O71" s="106"/>
      <c r="P71" s="102">
        <v>0</v>
      </c>
      <c r="Q71" s="65" t="s">
        <v>53</v>
      </c>
      <c r="R71" s="106"/>
      <c r="S71" s="102">
        <v>0</v>
      </c>
      <c r="T71" s="65" t="s">
        <v>53</v>
      </c>
      <c r="U71" s="100"/>
      <c r="V71" s="103">
        <v>0</v>
      </c>
      <c r="W71" s="125">
        <v>5.5</v>
      </c>
      <c r="X71" s="118"/>
    </row>
    <row r="72" spans="1:24">
      <c r="A72" s="100"/>
      <c r="B72" s="25"/>
      <c r="C72" s="101"/>
      <c r="D72" s="102"/>
      <c r="E72" s="65"/>
      <c r="F72" s="103"/>
      <c r="G72" s="65"/>
      <c r="H72" s="65"/>
      <c r="I72" s="104"/>
      <c r="J72" s="65"/>
      <c r="K72" s="65"/>
      <c r="L72" s="104"/>
      <c r="M72" s="106"/>
      <c r="N72" s="65"/>
      <c r="O72" s="106"/>
      <c r="P72" s="106"/>
      <c r="Q72" s="65"/>
      <c r="R72" s="106"/>
      <c r="S72" s="106"/>
      <c r="T72" s="65"/>
      <c r="U72" s="100"/>
      <c r="V72" s="101"/>
      <c r="W72" s="125"/>
      <c r="X72" s="118"/>
    </row>
    <row r="73" spans="1:24">
      <c r="A73" s="100"/>
      <c r="B73" s="25" t="s">
        <v>37</v>
      </c>
      <c r="C73" s="101"/>
      <c r="D73" s="102">
        <v>0</v>
      </c>
      <c r="E73" s="65" t="s">
        <v>53</v>
      </c>
      <c r="F73" s="103"/>
      <c r="G73" s="102">
        <v>82</v>
      </c>
      <c r="H73" s="65" t="s">
        <v>53</v>
      </c>
      <c r="I73" s="26"/>
      <c r="J73" s="102">
        <v>0</v>
      </c>
      <c r="K73" s="65" t="s">
        <v>53</v>
      </c>
      <c r="L73" s="26"/>
      <c r="M73" s="102">
        <v>0</v>
      </c>
      <c r="N73" s="65" t="s">
        <v>53</v>
      </c>
      <c r="O73" s="106"/>
      <c r="P73" s="102">
        <v>16.5</v>
      </c>
      <c r="Q73" s="65" t="s">
        <v>53</v>
      </c>
      <c r="R73" s="106"/>
      <c r="S73" s="102">
        <v>0</v>
      </c>
      <c r="T73" s="65" t="s">
        <v>53</v>
      </c>
      <c r="U73" s="100"/>
      <c r="V73" s="103">
        <v>98.5</v>
      </c>
      <c r="W73" s="125">
        <v>98.5</v>
      </c>
      <c r="X73" s="118"/>
    </row>
    <row r="74" spans="1:24">
      <c r="A74" s="100"/>
      <c r="B74" s="25"/>
      <c r="C74" s="101"/>
      <c r="D74" s="102"/>
      <c r="E74" s="65"/>
      <c r="F74" s="103"/>
      <c r="G74" s="65"/>
      <c r="H74" s="65"/>
      <c r="I74" s="104"/>
      <c r="J74" s="65"/>
      <c r="K74" s="65"/>
      <c r="L74" s="104"/>
      <c r="M74" s="106"/>
      <c r="N74" s="65"/>
      <c r="O74" s="106"/>
      <c r="P74" s="106"/>
      <c r="Q74" s="65"/>
      <c r="R74" s="106"/>
      <c r="S74" s="106"/>
      <c r="T74" s="65"/>
      <c r="U74" s="100"/>
      <c r="V74" s="101"/>
      <c r="W74" s="125"/>
      <c r="X74" s="118"/>
    </row>
    <row r="75" spans="1:24" ht="25">
      <c r="A75" s="100"/>
      <c r="B75" s="25" t="s">
        <v>41</v>
      </c>
      <c r="C75" s="101"/>
      <c r="D75" s="102">
        <v>0</v>
      </c>
      <c r="E75" s="65" t="s">
        <v>53</v>
      </c>
      <c r="F75" s="103"/>
      <c r="G75" s="102">
        <v>0</v>
      </c>
      <c r="H75" s="65" t="s">
        <v>53</v>
      </c>
      <c r="I75" s="26"/>
      <c r="J75" s="102">
        <v>0</v>
      </c>
      <c r="K75" s="65" t="s">
        <v>53</v>
      </c>
      <c r="L75" s="26"/>
      <c r="M75" s="102">
        <v>0</v>
      </c>
      <c r="N75" s="65" t="s">
        <v>53</v>
      </c>
      <c r="O75" s="106"/>
      <c r="P75" s="102">
        <v>0</v>
      </c>
      <c r="Q75" s="65" t="s">
        <v>53</v>
      </c>
      <c r="R75" s="106"/>
      <c r="S75" s="102">
        <v>0</v>
      </c>
      <c r="T75" s="65" t="s">
        <v>53</v>
      </c>
      <c r="U75" s="100"/>
      <c r="V75" s="103">
        <v>0</v>
      </c>
      <c r="W75" s="125">
        <v>0</v>
      </c>
      <c r="X75" s="118"/>
    </row>
    <row r="76" spans="1:24">
      <c r="A76" s="100"/>
      <c r="B76" s="101"/>
      <c r="C76" s="101"/>
      <c r="D76" s="102"/>
      <c r="E76" s="102"/>
      <c r="F76" s="103"/>
      <c r="G76" s="109"/>
      <c r="H76" s="109"/>
      <c r="I76" s="104"/>
      <c r="J76" s="65"/>
      <c r="K76" s="65"/>
      <c r="L76" s="104"/>
      <c r="M76" s="110"/>
      <c r="N76" s="110"/>
      <c r="O76" s="106"/>
      <c r="P76" s="100"/>
      <c r="Q76" s="100"/>
      <c r="R76" s="100"/>
      <c r="S76" s="100"/>
      <c r="T76" s="100"/>
      <c r="U76" s="100"/>
      <c r="V76" s="100"/>
      <c r="W76" s="100"/>
      <c r="X76" s="100"/>
    </row>
    <row r="77" spans="1:24" ht="15" thickBot="1">
      <c r="A77" s="86"/>
      <c r="B77" s="86"/>
      <c r="C77" s="86"/>
      <c r="D77" s="86"/>
      <c r="E77" s="86"/>
      <c r="F77" s="86"/>
      <c r="G77" s="86"/>
      <c r="H77" s="86"/>
      <c r="I77" s="86"/>
      <c r="J77" s="86"/>
      <c r="K77" s="86"/>
      <c r="L77" s="86"/>
      <c r="M77" s="86"/>
      <c r="N77" s="86"/>
      <c r="O77" s="86"/>
      <c r="P77" s="86"/>
      <c r="Q77" s="86"/>
      <c r="R77" s="86"/>
      <c r="S77" s="86"/>
      <c r="T77" s="86"/>
      <c r="U77" s="86"/>
      <c r="V77" s="86"/>
      <c r="W77" s="86"/>
      <c r="X77" s="86"/>
    </row>
  </sheetData>
  <mergeCells count="42">
    <mergeCell ref="A1:P1"/>
    <mergeCell ref="A2:P2"/>
    <mergeCell ref="A40:X40"/>
    <mergeCell ref="A41:X41"/>
    <mergeCell ref="D44:E44"/>
    <mergeCell ref="G44:H44"/>
    <mergeCell ref="J44:K44"/>
    <mergeCell ref="M44:N44"/>
    <mergeCell ref="P44:Q44"/>
    <mergeCell ref="AQ1:BQ1"/>
    <mergeCell ref="AQ2:BQ2"/>
    <mergeCell ref="AT4:BM4"/>
    <mergeCell ref="BL5:BM5"/>
    <mergeCell ref="V44:W44"/>
    <mergeCell ref="R1:AO1"/>
    <mergeCell ref="R2:AO2"/>
    <mergeCell ref="U5:V5"/>
    <mergeCell ref="X5:Y5"/>
    <mergeCell ref="AA5:AB5"/>
    <mergeCell ref="AD5:AE5"/>
    <mergeCell ref="AG5:AH5"/>
    <mergeCell ref="AJ5:AK5"/>
    <mergeCell ref="AM5:AN5"/>
    <mergeCell ref="S44:T44"/>
    <mergeCell ref="AW5:AX5"/>
    <mergeCell ref="BS1:CQ1"/>
    <mergeCell ref="BS2:CQ2"/>
    <mergeCell ref="BU4:CM4"/>
    <mergeCell ref="BU5:BV5"/>
    <mergeCell ref="BX5:BY5"/>
    <mergeCell ref="CA5:CB5"/>
    <mergeCell ref="CD5:CE5"/>
    <mergeCell ref="CG5:CH5"/>
    <mergeCell ref="CJ5:CK5"/>
    <mergeCell ref="AT5:AU5"/>
    <mergeCell ref="BI5:BJ5"/>
    <mergeCell ref="CM5:CN5"/>
    <mergeCell ref="CP5:CQ5"/>
    <mergeCell ref="BO5:BP5"/>
    <mergeCell ref="AZ5:BA5"/>
    <mergeCell ref="BC5:BD5"/>
    <mergeCell ref="BF5:BG5"/>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41C61-37EF-45DC-9C79-DE0AF2DE24C1}">
  <sheetPr codeName="Sheet20"/>
  <dimension ref="A1:AV43"/>
  <sheetViews>
    <sheetView topLeftCell="D1" zoomScale="48" workbookViewId="0">
      <selection activeCell="AB6" sqref="AB6:AC6"/>
    </sheetView>
  </sheetViews>
  <sheetFormatPr defaultRowHeight="14.5"/>
  <sheetData>
    <row r="1" spans="1:48">
      <c r="A1" s="361" t="s">
        <v>181</v>
      </c>
      <c r="B1" s="361"/>
      <c r="C1" s="361"/>
      <c r="D1" s="361"/>
      <c r="E1" s="361"/>
      <c r="F1" s="361"/>
      <c r="G1" s="361"/>
      <c r="H1" s="361"/>
      <c r="I1" s="361"/>
      <c r="J1" s="361"/>
      <c r="K1" s="361"/>
      <c r="L1" s="361"/>
      <c r="M1" s="361"/>
      <c r="N1" s="83"/>
      <c r="P1" s="361" t="s">
        <v>182</v>
      </c>
      <c r="Q1" s="361"/>
      <c r="R1" s="361"/>
      <c r="S1" s="361"/>
      <c r="T1" s="361"/>
      <c r="U1" s="361"/>
      <c r="V1" s="361"/>
      <c r="W1" s="361"/>
      <c r="X1" s="361"/>
      <c r="Y1" s="361"/>
      <c r="Z1" s="361"/>
      <c r="AA1" s="361"/>
      <c r="AB1" s="361"/>
      <c r="AC1" s="361"/>
      <c r="AD1" s="361"/>
      <c r="AF1" s="355" t="s">
        <v>183</v>
      </c>
      <c r="AG1" s="355"/>
      <c r="AH1" s="355"/>
      <c r="AI1" s="355"/>
      <c r="AJ1" s="355"/>
      <c r="AK1" s="355"/>
      <c r="AL1" s="355"/>
      <c r="AM1" s="355"/>
      <c r="AN1" s="355"/>
      <c r="AO1" s="355"/>
      <c r="AP1" s="355"/>
      <c r="AQ1" s="355"/>
      <c r="AR1" s="355"/>
      <c r="AS1" s="355"/>
      <c r="AT1" s="355"/>
      <c r="AU1" s="355"/>
      <c r="AV1" s="355"/>
    </row>
    <row r="2" spans="1:48">
      <c r="A2" s="362" t="s">
        <v>184</v>
      </c>
      <c r="B2" s="362"/>
      <c r="C2" s="362"/>
      <c r="D2" s="362"/>
      <c r="E2" s="362"/>
      <c r="F2" s="362"/>
      <c r="G2" s="362"/>
      <c r="H2" s="362"/>
      <c r="I2" s="362"/>
      <c r="J2" s="362"/>
      <c r="K2" s="362"/>
      <c r="L2" s="362"/>
      <c r="M2" s="362"/>
      <c r="N2" s="84"/>
      <c r="P2" s="362" t="s">
        <v>185</v>
      </c>
      <c r="Q2" s="362"/>
      <c r="R2" s="362"/>
      <c r="S2" s="362"/>
      <c r="T2" s="362"/>
      <c r="U2" s="362"/>
      <c r="V2" s="362"/>
      <c r="W2" s="362"/>
      <c r="X2" s="362"/>
      <c r="Y2" s="362"/>
      <c r="Z2" s="362"/>
      <c r="AA2" s="362"/>
      <c r="AB2" s="362"/>
      <c r="AC2" s="362"/>
      <c r="AD2" s="362"/>
      <c r="AF2" s="356" t="s">
        <v>186</v>
      </c>
      <c r="AG2" s="356"/>
      <c r="AH2" s="356"/>
      <c r="AI2" s="356"/>
      <c r="AJ2" s="356"/>
      <c r="AK2" s="356"/>
      <c r="AL2" s="356"/>
      <c r="AM2" s="356"/>
      <c r="AN2" s="356"/>
      <c r="AO2" s="356"/>
      <c r="AP2" s="356"/>
      <c r="AQ2" s="356"/>
      <c r="AR2" s="356"/>
      <c r="AS2" s="356"/>
      <c r="AT2" s="356"/>
      <c r="AU2" s="356"/>
      <c r="AV2" s="356"/>
    </row>
    <row r="3" spans="1:48" ht="15" thickBot="1">
      <c r="A3" s="85"/>
      <c r="B3" s="85"/>
      <c r="C3" s="85"/>
      <c r="D3" s="86"/>
      <c r="E3" s="86"/>
      <c r="F3" s="86"/>
      <c r="G3" s="86"/>
      <c r="H3" s="86"/>
      <c r="I3" s="86"/>
      <c r="J3" s="86"/>
      <c r="K3" s="86"/>
      <c r="L3" s="86"/>
      <c r="M3" s="111"/>
      <c r="N3" s="86"/>
      <c r="P3" s="85"/>
      <c r="Q3" s="85"/>
      <c r="R3" s="85"/>
      <c r="S3" s="86"/>
      <c r="T3" s="86"/>
      <c r="U3" s="86"/>
      <c r="V3" s="86"/>
      <c r="W3" s="86"/>
      <c r="X3" s="86"/>
      <c r="Y3" s="86"/>
      <c r="Z3" s="86"/>
      <c r="AA3" s="86"/>
      <c r="AB3" s="86"/>
      <c r="AC3" s="86"/>
      <c r="AD3" s="86"/>
      <c r="AF3" s="155"/>
      <c r="AG3" s="155"/>
      <c r="AH3" s="155"/>
      <c r="AI3" s="183"/>
      <c r="AJ3" s="183"/>
      <c r="AK3" s="183"/>
      <c r="AL3" s="183"/>
      <c r="AM3" s="183"/>
      <c r="AN3" s="183"/>
      <c r="AO3" s="183"/>
      <c r="AP3" s="183"/>
      <c r="AQ3" s="183"/>
      <c r="AR3" s="183"/>
      <c r="AS3" s="183"/>
      <c r="AT3" s="183"/>
      <c r="AU3" s="183"/>
      <c r="AV3" s="183"/>
    </row>
    <row r="4" spans="1:48">
      <c r="A4" s="87"/>
      <c r="B4" s="87"/>
      <c r="C4" s="87"/>
      <c r="D4" s="87"/>
      <c r="E4" s="87"/>
      <c r="F4" s="87"/>
      <c r="G4" s="88"/>
      <c r="H4" s="88"/>
      <c r="I4" s="88"/>
      <c r="J4" s="88"/>
      <c r="K4" s="88"/>
      <c r="L4" s="88"/>
      <c r="M4" s="126"/>
      <c r="N4" s="88"/>
      <c r="P4" s="136"/>
      <c r="Q4" s="136"/>
      <c r="R4" s="136"/>
      <c r="S4" s="380" t="s">
        <v>117</v>
      </c>
      <c r="T4" s="380"/>
      <c r="U4" s="380"/>
      <c r="V4" s="380"/>
      <c r="W4" s="380"/>
      <c r="X4" s="380"/>
      <c r="Y4" s="380"/>
      <c r="Z4" s="380"/>
      <c r="AA4" s="380"/>
      <c r="AB4" s="380"/>
      <c r="AC4" s="380"/>
      <c r="AD4" s="137"/>
      <c r="AF4" s="157"/>
      <c r="AG4" s="157"/>
      <c r="AH4" s="157"/>
      <c r="AI4" s="166"/>
      <c r="AJ4" s="166"/>
      <c r="AK4" s="166"/>
      <c r="AL4" s="166"/>
      <c r="AM4" s="166"/>
      <c r="AN4" s="166"/>
      <c r="AO4" s="166"/>
      <c r="AP4" s="166"/>
      <c r="AQ4" s="166"/>
      <c r="AR4" s="166"/>
      <c r="AS4" s="159"/>
      <c r="AT4" s="4"/>
      <c r="AU4" s="4"/>
      <c r="AV4" s="159"/>
    </row>
    <row r="5" spans="1:48" ht="15" thickBot="1">
      <c r="A5" s="29"/>
      <c r="B5" s="349" t="s">
        <v>54</v>
      </c>
      <c r="C5" s="29"/>
      <c r="D5" s="370" t="s">
        <v>187</v>
      </c>
      <c r="E5" s="370"/>
      <c r="F5" s="370"/>
      <c r="G5" s="370"/>
      <c r="H5" s="370"/>
      <c r="I5" s="370"/>
      <c r="J5" s="370"/>
      <c r="K5" s="370"/>
      <c r="L5" s="31"/>
      <c r="M5" s="350" t="s">
        <v>188</v>
      </c>
      <c r="N5" s="350"/>
      <c r="P5" s="139"/>
      <c r="Q5" s="382" t="s">
        <v>142</v>
      </c>
      <c r="R5" s="139"/>
      <c r="S5" s="381"/>
      <c r="T5" s="381"/>
      <c r="U5" s="381"/>
      <c r="V5" s="381"/>
      <c r="W5" s="381"/>
      <c r="X5" s="381"/>
      <c r="Y5" s="381"/>
      <c r="Z5" s="381"/>
      <c r="AA5" s="381"/>
      <c r="AB5" s="381"/>
      <c r="AC5" s="381"/>
      <c r="AD5" s="141"/>
      <c r="AF5" s="53"/>
      <c r="AG5" s="378" t="s">
        <v>119</v>
      </c>
      <c r="AH5" s="53"/>
      <c r="AI5" s="379" t="s">
        <v>121</v>
      </c>
      <c r="AJ5" s="379"/>
      <c r="AK5" s="379"/>
      <c r="AL5" s="379"/>
      <c r="AM5" s="379"/>
      <c r="AN5" s="379"/>
      <c r="AO5" s="379"/>
      <c r="AP5" s="379"/>
      <c r="AQ5" s="379"/>
      <c r="AR5" s="379"/>
      <c r="AS5" s="379"/>
      <c r="AT5" s="216"/>
      <c r="AU5" s="360" t="s">
        <v>189</v>
      </c>
      <c r="AV5" s="360"/>
    </row>
    <row r="6" spans="1:48">
      <c r="A6" s="29"/>
      <c r="B6" s="349"/>
      <c r="C6" s="29"/>
      <c r="D6" s="347" t="s">
        <v>190</v>
      </c>
      <c r="E6" s="347"/>
      <c r="F6" s="30"/>
      <c r="G6" s="347" t="s">
        <v>191</v>
      </c>
      <c r="H6" s="347"/>
      <c r="I6" s="46"/>
      <c r="J6" s="347" t="s">
        <v>192</v>
      </c>
      <c r="K6" s="347"/>
      <c r="L6" s="31"/>
      <c r="M6" s="350"/>
      <c r="N6" s="350"/>
      <c r="P6" s="139"/>
      <c r="Q6" s="382"/>
      <c r="R6" s="139"/>
      <c r="S6" s="380" t="s">
        <v>193</v>
      </c>
      <c r="T6" s="380"/>
      <c r="U6" s="173"/>
      <c r="V6" s="380" t="s">
        <v>194</v>
      </c>
      <c r="W6" s="380"/>
      <c r="X6" s="173"/>
      <c r="Y6" s="380" t="s">
        <v>195</v>
      </c>
      <c r="Z6" s="380"/>
      <c r="AA6" s="173"/>
      <c r="AB6" s="380" t="s">
        <v>196</v>
      </c>
      <c r="AC6" s="380"/>
      <c r="AD6" s="141"/>
      <c r="AF6" s="53"/>
      <c r="AG6" s="378"/>
      <c r="AH6" s="53"/>
      <c r="AI6" s="360" t="s">
        <v>197</v>
      </c>
      <c r="AJ6" s="360"/>
      <c r="AK6" s="159"/>
      <c r="AL6" s="360" t="s">
        <v>198</v>
      </c>
      <c r="AM6" s="360"/>
      <c r="AN6" s="159"/>
      <c r="AO6" s="360" t="s">
        <v>199</v>
      </c>
      <c r="AP6" s="360"/>
      <c r="AQ6" s="159"/>
      <c r="AR6" s="360" t="s">
        <v>200</v>
      </c>
      <c r="AS6" s="360"/>
      <c r="AT6" s="161"/>
      <c r="AU6" s="360"/>
      <c r="AV6" s="360"/>
    </row>
    <row r="7" spans="1:48" ht="15" thickBot="1">
      <c r="A7" s="33"/>
      <c r="B7" s="127"/>
      <c r="C7" s="33"/>
      <c r="D7" s="122">
        <v>2022</v>
      </c>
      <c r="E7" s="122">
        <v>2023</v>
      </c>
      <c r="F7" s="114"/>
      <c r="G7" s="122">
        <v>2022</v>
      </c>
      <c r="H7" s="122">
        <v>2023</v>
      </c>
      <c r="I7" s="114"/>
      <c r="J7" s="122">
        <v>2022</v>
      </c>
      <c r="K7" s="122">
        <v>2023</v>
      </c>
      <c r="L7" s="114"/>
      <c r="M7" s="122">
        <v>2022</v>
      </c>
      <c r="N7" s="122">
        <v>2023</v>
      </c>
      <c r="P7" s="142"/>
      <c r="Q7" s="143"/>
      <c r="R7" s="142"/>
      <c r="S7" s="144">
        <v>2023</v>
      </c>
      <c r="T7" s="144">
        <v>2024</v>
      </c>
      <c r="U7" s="191"/>
      <c r="V7" s="144">
        <v>2023</v>
      </c>
      <c r="W7" s="144">
        <v>2024</v>
      </c>
      <c r="X7" s="179"/>
      <c r="Y7" s="144">
        <v>2023</v>
      </c>
      <c r="Z7" s="144">
        <v>2024</v>
      </c>
      <c r="AA7" s="179"/>
      <c r="AB7" s="144">
        <v>2023</v>
      </c>
      <c r="AC7" s="144">
        <v>2024</v>
      </c>
      <c r="AD7" s="179"/>
      <c r="AF7" s="162"/>
      <c r="AG7" s="163"/>
      <c r="AH7" s="162"/>
      <c r="AI7" s="1">
        <v>2024</v>
      </c>
      <c r="AJ7" s="1">
        <v>2025</v>
      </c>
      <c r="AK7" s="198"/>
      <c r="AL7" s="1">
        <v>2024</v>
      </c>
      <c r="AM7" s="1">
        <v>2025</v>
      </c>
      <c r="AN7" s="217"/>
      <c r="AO7" s="1">
        <v>2024</v>
      </c>
      <c r="AP7" s="1">
        <v>2025</v>
      </c>
      <c r="AQ7" s="217"/>
      <c r="AR7" s="1">
        <v>2024</v>
      </c>
      <c r="AS7" s="1">
        <v>2025</v>
      </c>
      <c r="AT7" s="217"/>
      <c r="AU7" s="1">
        <v>2024</v>
      </c>
      <c r="AV7" s="1">
        <v>2025</v>
      </c>
    </row>
    <row r="8" spans="1:48">
      <c r="A8" s="94"/>
      <c r="B8" s="128" t="s">
        <v>50</v>
      </c>
      <c r="C8" s="97"/>
      <c r="D8" s="96">
        <v>232694.75150000001</v>
      </c>
      <c r="E8" s="96">
        <v>174938.7</v>
      </c>
      <c r="F8" s="96">
        <v>0</v>
      </c>
      <c r="G8" s="96">
        <v>404072.66817999998</v>
      </c>
      <c r="H8" s="96">
        <v>191065.69013999999</v>
      </c>
      <c r="I8" s="96">
        <v>0</v>
      </c>
      <c r="J8" s="96" t="s">
        <v>53</v>
      </c>
      <c r="K8" s="96">
        <v>14737.565000000001</v>
      </c>
      <c r="L8" s="96">
        <v>0</v>
      </c>
      <c r="M8" s="96">
        <v>636767.41968000005</v>
      </c>
      <c r="N8" s="96">
        <v>380741.95514000003</v>
      </c>
      <c r="P8" s="147"/>
      <c r="Q8" s="212" t="s">
        <v>50</v>
      </c>
      <c r="R8" s="103"/>
      <c r="S8" s="149">
        <v>174938.7</v>
      </c>
      <c r="T8" s="149">
        <v>86370</v>
      </c>
      <c r="U8" s="149">
        <v>0</v>
      </c>
      <c r="V8" s="149">
        <v>191065.69013999999</v>
      </c>
      <c r="W8" s="149">
        <v>165754.46839999998</v>
      </c>
      <c r="X8" s="149">
        <v>0</v>
      </c>
      <c r="Y8" s="149">
        <v>14737.565000000001</v>
      </c>
      <c r="Z8" s="149">
        <v>29262.488389999999</v>
      </c>
      <c r="AA8" s="149">
        <v>0</v>
      </c>
      <c r="AB8" s="149" t="s">
        <v>53</v>
      </c>
      <c r="AC8" s="149">
        <v>21992.690869999999</v>
      </c>
      <c r="AD8" s="149"/>
      <c r="AF8" s="166"/>
      <c r="AG8" s="218" t="s">
        <v>50</v>
      </c>
      <c r="AH8" s="172"/>
      <c r="AI8" s="57">
        <v>86370</v>
      </c>
      <c r="AJ8" s="57">
        <v>153879</v>
      </c>
      <c r="AK8" s="57">
        <v>0</v>
      </c>
      <c r="AL8" s="57">
        <v>165754.46839999998</v>
      </c>
      <c r="AM8" s="57">
        <v>201889.82800000001</v>
      </c>
      <c r="AN8" s="57">
        <v>0</v>
      </c>
      <c r="AO8" s="57">
        <v>29262.488389999999</v>
      </c>
      <c r="AP8" s="57">
        <v>14057.890510000001</v>
      </c>
      <c r="AQ8" s="57">
        <v>0</v>
      </c>
      <c r="AR8" s="57">
        <v>21992.690869999999</v>
      </c>
      <c r="AS8" s="57">
        <v>10355</v>
      </c>
      <c r="AT8" s="57"/>
      <c r="AU8" s="200">
        <v>303379.64765999996</v>
      </c>
      <c r="AV8" s="57">
        <v>380181.71825999999</v>
      </c>
    </row>
    <row r="9" spans="1:48">
      <c r="A9" s="100"/>
      <c r="B9" s="47"/>
      <c r="C9" s="103"/>
      <c r="D9" s="115"/>
      <c r="E9" s="115"/>
      <c r="F9" s="26"/>
      <c r="G9" s="116"/>
      <c r="H9" s="116"/>
      <c r="I9" s="26"/>
      <c r="J9" s="116"/>
      <c r="K9" s="116"/>
      <c r="L9" s="26"/>
      <c r="M9" s="100"/>
      <c r="N9" s="100"/>
      <c r="P9" s="100"/>
      <c r="Q9" s="148"/>
      <c r="R9" s="103"/>
      <c r="S9" s="210"/>
      <c r="T9" s="210"/>
      <c r="U9" s="64"/>
      <c r="V9" s="116"/>
      <c r="W9" s="116"/>
      <c r="X9" s="64"/>
      <c r="Y9" s="116"/>
      <c r="Z9" s="116"/>
      <c r="AA9" s="64"/>
      <c r="AB9" s="64"/>
      <c r="AC9" s="64"/>
      <c r="AD9" s="64"/>
      <c r="AF9" s="67"/>
      <c r="AG9" s="2"/>
      <c r="AH9" s="172"/>
      <c r="AI9" s="219"/>
      <c r="AJ9" s="219"/>
      <c r="AK9" s="61"/>
      <c r="AL9" s="202"/>
      <c r="AM9" s="202"/>
      <c r="AN9" s="61"/>
      <c r="AO9" s="202"/>
      <c r="AP9" s="202"/>
      <c r="AQ9" s="61"/>
      <c r="AR9" s="61"/>
      <c r="AS9" s="61"/>
      <c r="AT9" s="61"/>
      <c r="AU9" s="172"/>
      <c r="AV9" s="67"/>
    </row>
    <row r="10" spans="1:48">
      <c r="A10" s="100"/>
      <c r="B10" s="48" t="s">
        <v>27</v>
      </c>
      <c r="C10" s="103"/>
      <c r="D10" s="65">
        <v>3450</v>
      </c>
      <c r="E10" s="65">
        <v>57086</v>
      </c>
      <c r="F10" s="26"/>
      <c r="G10" s="103">
        <v>34788.571219999998</v>
      </c>
      <c r="H10" s="103">
        <v>12396.449569999999</v>
      </c>
      <c r="I10" s="26"/>
      <c r="J10" s="129" t="s">
        <v>53</v>
      </c>
      <c r="K10" s="103">
        <v>2363</v>
      </c>
      <c r="L10" s="26"/>
      <c r="M10" s="103">
        <v>38238.571219999998</v>
      </c>
      <c r="N10" s="103">
        <v>71845.449569999997</v>
      </c>
      <c r="P10" s="100"/>
      <c r="Q10" s="154" t="s">
        <v>27</v>
      </c>
      <c r="R10" s="103"/>
      <c r="S10" s="20">
        <v>57086</v>
      </c>
      <c r="T10" s="20">
        <v>12510</v>
      </c>
      <c r="U10" s="64"/>
      <c r="V10" s="103">
        <v>12396.449569999999</v>
      </c>
      <c r="W10" s="103">
        <v>16128.911340000002</v>
      </c>
      <c r="X10" s="64"/>
      <c r="Y10" s="103">
        <v>2363</v>
      </c>
      <c r="Z10" s="129">
        <v>1001.45541</v>
      </c>
      <c r="AA10" s="64"/>
      <c r="AB10" s="64" t="s">
        <v>53</v>
      </c>
      <c r="AC10" s="64">
        <v>108.08</v>
      </c>
      <c r="AD10" s="64"/>
      <c r="AF10" s="67"/>
      <c r="AG10" s="3" t="s">
        <v>27</v>
      </c>
      <c r="AH10" s="172"/>
      <c r="AI10" s="24">
        <v>12510</v>
      </c>
      <c r="AJ10" s="24">
        <v>13510</v>
      </c>
      <c r="AK10" s="61"/>
      <c r="AL10" s="172">
        <v>16128.911340000002</v>
      </c>
      <c r="AM10" s="172">
        <v>15655.57674</v>
      </c>
      <c r="AN10" s="61"/>
      <c r="AO10" s="204">
        <v>1001.45541</v>
      </c>
      <c r="AP10" s="204">
        <v>647</v>
      </c>
      <c r="AQ10" s="61">
        <v>647000</v>
      </c>
      <c r="AR10" s="61">
        <v>108.08</v>
      </c>
      <c r="AS10" s="61">
        <v>30</v>
      </c>
      <c r="AT10" s="61"/>
      <c r="AU10" s="172">
        <v>29748.446750000003</v>
      </c>
      <c r="AV10" s="172">
        <v>29842.57674</v>
      </c>
    </row>
    <row r="11" spans="1:48">
      <c r="A11" s="100"/>
      <c r="B11" s="48"/>
      <c r="C11" s="103"/>
      <c r="D11" s="65"/>
      <c r="E11" s="65"/>
      <c r="F11" s="104"/>
      <c r="G11" s="103"/>
      <c r="H11" s="103"/>
      <c r="I11" s="104"/>
      <c r="J11" s="129"/>
      <c r="K11" s="103"/>
      <c r="L11" s="104"/>
      <c r="M11" s="118"/>
      <c r="N11" s="118"/>
      <c r="P11" s="100"/>
      <c r="Q11" s="154"/>
      <c r="R11" s="103"/>
      <c r="S11" s="20"/>
      <c r="T11" s="20"/>
      <c r="U11" s="20"/>
      <c r="V11" s="103"/>
      <c r="W11" s="103"/>
      <c r="X11" s="20"/>
      <c r="Y11" s="103"/>
      <c r="Z11" s="129"/>
      <c r="AA11" s="20"/>
      <c r="AB11" s="20"/>
      <c r="AC11" s="20"/>
      <c r="AD11" s="20"/>
      <c r="AF11" s="67"/>
      <c r="AG11" s="3"/>
      <c r="AH11" s="172"/>
      <c r="AI11" s="24"/>
      <c r="AJ11" s="24"/>
      <c r="AK11" s="24"/>
      <c r="AL11" s="172"/>
      <c r="AM11" s="172"/>
      <c r="AN11" s="24"/>
      <c r="AO11" s="204"/>
      <c r="AP11" s="204"/>
      <c r="AQ11" s="24"/>
      <c r="AR11" s="24"/>
      <c r="AS11" s="24"/>
      <c r="AT11" s="24"/>
      <c r="AU11" s="172"/>
      <c r="AV11" s="67"/>
    </row>
    <row r="12" spans="1:48">
      <c r="A12" s="100"/>
      <c r="B12" s="48" t="s">
        <v>28</v>
      </c>
      <c r="C12" s="103"/>
      <c r="D12" s="65">
        <v>880</v>
      </c>
      <c r="E12" s="65">
        <v>900</v>
      </c>
      <c r="F12" s="26"/>
      <c r="G12" s="103">
        <v>23429.590990000001</v>
      </c>
      <c r="H12" s="103">
        <v>19846.419099999999</v>
      </c>
      <c r="I12" s="26"/>
      <c r="J12" s="129" t="s">
        <v>53</v>
      </c>
      <c r="K12" s="103">
        <v>0</v>
      </c>
      <c r="L12" s="26"/>
      <c r="M12" s="103">
        <v>24309.590990000001</v>
      </c>
      <c r="N12" s="103">
        <v>20746.419099999999</v>
      </c>
      <c r="P12" s="100"/>
      <c r="Q12" s="154" t="s">
        <v>28</v>
      </c>
      <c r="R12" s="103"/>
      <c r="S12" s="20">
        <v>900</v>
      </c>
      <c r="T12" s="20">
        <v>1100</v>
      </c>
      <c r="U12" s="64"/>
      <c r="V12" s="103">
        <v>19846.419099999999</v>
      </c>
      <c r="W12" s="103">
        <v>12442.55709</v>
      </c>
      <c r="X12" s="64"/>
      <c r="Y12" s="103">
        <v>0</v>
      </c>
      <c r="Z12" s="129">
        <v>896.96163000000001</v>
      </c>
      <c r="AA12" s="64"/>
      <c r="AB12" s="64" t="s">
        <v>53</v>
      </c>
      <c r="AC12" s="64">
        <v>613.38499999999999</v>
      </c>
      <c r="AD12" s="64"/>
      <c r="AF12" s="67"/>
      <c r="AG12" s="3" t="s">
        <v>28</v>
      </c>
      <c r="AH12" s="172"/>
      <c r="AI12" s="24">
        <v>1100</v>
      </c>
      <c r="AJ12" s="24">
        <v>5600</v>
      </c>
      <c r="AK12" s="61"/>
      <c r="AL12" s="172">
        <v>12442.55709</v>
      </c>
      <c r="AM12" s="172">
        <v>14173.4192</v>
      </c>
      <c r="AN12" s="61"/>
      <c r="AO12" s="204">
        <v>896.96163000000001</v>
      </c>
      <c r="AP12" s="204">
        <v>130</v>
      </c>
      <c r="AQ12" s="61">
        <v>130000</v>
      </c>
      <c r="AR12" s="61">
        <v>613.38499999999999</v>
      </c>
      <c r="AS12" s="61">
        <v>210</v>
      </c>
      <c r="AT12" s="61"/>
      <c r="AU12" s="172">
        <v>15052.90372</v>
      </c>
      <c r="AV12" s="172">
        <v>20113.4192</v>
      </c>
    </row>
    <row r="13" spans="1:48">
      <c r="A13" s="111"/>
      <c r="B13" s="48"/>
      <c r="C13" s="111"/>
      <c r="D13" s="119"/>
      <c r="E13" s="119"/>
      <c r="F13" s="119"/>
      <c r="G13" s="119"/>
      <c r="H13" s="119"/>
      <c r="I13" s="119"/>
      <c r="J13" s="129"/>
      <c r="K13" s="103"/>
      <c r="L13" s="119"/>
      <c r="M13" s="118"/>
      <c r="N13" s="118"/>
      <c r="P13" s="111"/>
      <c r="Q13" s="154"/>
      <c r="R13" s="111"/>
      <c r="S13" s="119"/>
      <c r="T13" s="20"/>
      <c r="U13" s="119"/>
      <c r="V13" s="119"/>
      <c r="W13" s="103"/>
      <c r="X13" s="119"/>
      <c r="Y13" s="103"/>
      <c r="Z13" s="129"/>
      <c r="AA13" s="119"/>
      <c r="AB13" s="213"/>
      <c r="AC13" s="213"/>
      <c r="AD13" s="119"/>
      <c r="AF13" s="4"/>
      <c r="AG13" s="3"/>
      <c r="AH13" s="4"/>
      <c r="AI13" s="24"/>
      <c r="AJ13" s="24"/>
      <c r="AK13" s="206"/>
      <c r="AL13" s="172"/>
      <c r="AM13" s="172"/>
      <c r="AN13" s="206"/>
      <c r="AO13" s="204"/>
      <c r="AP13" s="204"/>
      <c r="AQ13" s="206"/>
      <c r="AR13" s="220"/>
      <c r="AS13" s="220"/>
      <c r="AT13" s="206"/>
      <c r="AU13" s="172"/>
      <c r="AV13" s="67"/>
    </row>
    <row r="14" spans="1:48" ht="28">
      <c r="A14" s="111"/>
      <c r="B14" s="48" t="s">
        <v>29</v>
      </c>
      <c r="C14" s="111"/>
      <c r="D14" s="65">
        <v>21140</v>
      </c>
      <c r="E14" s="65">
        <v>37398</v>
      </c>
      <c r="F14" s="26"/>
      <c r="G14" s="103">
        <v>40814.260340000001</v>
      </c>
      <c r="H14" s="103">
        <v>10992.24626</v>
      </c>
      <c r="I14" s="26"/>
      <c r="J14" s="129" t="s">
        <v>53</v>
      </c>
      <c r="K14" s="103">
        <v>3068.415</v>
      </c>
      <c r="L14" s="26"/>
      <c r="M14" s="103">
        <v>61954.260340000001</v>
      </c>
      <c r="N14" s="103">
        <v>51458.661260000001</v>
      </c>
      <c r="P14" s="111"/>
      <c r="Q14" s="154" t="s">
        <v>29</v>
      </c>
      <c r="R14" s="111"/>
      <c r="S14" s="20">
        <v>37398</v>
      </c>
      <c r="T14" s="20">
        <v>19380</v>
      </c>
      <c r="U14" s="64"/>
      <c r="V14" s="103">
        <v>10992.24626</v>
      </c>
      <c r="W14" s="103">
        <v>14657.272569999997</v>
      </c>
      <c r="X14" s="64"/>
      <c r="Y14" s="103">
        <v>3068.415</v>
      </c>
      <c r="Z14" s="129">
        <v>8072.77628</v>
      </c>
      <c r="AA14" s="64"/>
      <c r="AB14" s="64" t="s">
        <v>53</v>
      </c>
      <c r="AC14" s="64">
        <v>5978.74</v>
      </c>
      <c r="AD14" s="64"/>
      <c r="AF14" s="4"/>
      <c r="AG14" s="3" t="s">
        <v>29</v>
      </c>
      <c r="AH14" s="4"/>
      <c r="AI14" s="24">
        <v>19380</v>
      </c>
      <c r="AJ14" s="24">
        <v>50880</v>
      </c>
      <c r="AK14" s="61"/>
      <c r="AL14" s="172">
        <v>14657.272569999997</v>
      </c>
      <c r="AM14" s="172">
        <v>11148.619699999999</v>
      </c>
      <c r="AN14" s="61"/>
      <c r="AO14" s="204">
        <v>8072.77628</v>
      </c>
      <c r="AP14" s="204">
        <v>671.31217000000004</v>
      </c>
      <c r="AQ14" s="61">
        <v>671312.17</v>
      </c>
      <c r="AR14" s="61">
        <v>5978.74</v>
      </c>
      <c r="AS14" s="61">
        <v>4440</v>
      </c>
      <c r="AT14" s="61"/>
      <c r="AU14" s="172">
        <v>48088.788849999997</v>
      </c>
      <c r="AV14" s="172">
        <v>67139.93187</v>
      </c>
    </row>
    <row r="15" spans="1:48">
      <c r="A15" s="111"/>
      <c r="B15" s="48"/>
      <c r="C15" s="111"/>
      <c r="D15" s="119"/>
      <c r="E15" s="119"/>
      <c r="F15" s="119"/>
      <c r="G15" s="119"/>
      <c r="H15" s="119"/>
      <c r="I15" s="119"/>
      <c r="J15" s="129"/>
      <c r="K15" s="103"/>
      <c r="L15" s="119"/>
      <c r="M15" s="118"/>
      <c r="N15" s="118"/>
      <c r="P15" s="111"/>
      <c r="Q15" s="154"/>
      <c r="R15" s="111"/>
      <c r="S15" s="119"/>
      <c r="T15" s="20"/>
      <c r="U15" s="119"/>
      <c r="V15" s="119"/>
      <c r="W15" s="103"/>
      <c r="X15" s="119"/>
      <c r="Y15" s="103"/>
      <c r="Z15" s="129"/>
      <c r="AA15" s="119"/>
      <c r="AB15" s="213"/>
      <c r="AC15" s="213"/>
      <c r="AD15" s="119"/>
      <c r="AF15" s="4"/>
      <c r="AG15" s="3"/>
      <c r="AH15" s="4"/>
      <c r="AI15" s="24"/>
      <c r="AJ15" s="24"/>
      <c r="AK15" s="206"/>
      <c r="AL15" s="172"/>
      <c r="AM15" s="172"/>
      <c r="AN15" s="206"/>
      <c r="AO15" s="204"/>
      <c r="AP15" s="204"/>
      <c r="AQ15" s="206"/>
      <c r="AR15" s="220"/>
      <c r="AS15" s="220"/>
      <c r="AT15" s="206"/>
      <c r="AU15" s="172"/>
      <c r="AV15" s="67"/>
    </row>
    <row r="16" spans="1:48">
      <c r="A16" s="111"/>
      <c r="B16" s="48" t="s">
        <v>30</v>
      </c>
      <c r="C16" s="111"/>
      <c r="D16" s="65">
        <v>1500</v>
      </c>
      <c r="E16" s="65">
        <v>0</v>
      </c>
      <c r="F16" s="26"/>
      <c r="G16" s="103">
        <v>15150.5429</v>
      </c>
      <c r="H16" s="103">
        <v>5000</v>
      </c>
      <c r="I16" s="26"/>
      <c r="J16" s="129" t="s">
        <v>53</v>
      </c>
      <c r="K16" s="103">
        <v>0</v>
      </c>
      <c r="L16" s="26"/>
      <c r="M16" s="103">
        <v>16650.5429</v>
      </c>
      <c r="N16" s="103">
        <v>5000</v>
      </c>
      <c r="P16" s="111"/>
      <c r="Q16" s="154" t="s">
        <v>30</v>
      </c>
      <c r="R16" s="111"/>
      <c r="S16" s="20">
        <v>0</v>
      </c>
      <c r="T16" s="20">
        <v>0</v>
      </c>
      <c r="U16" s="64"/>
      <c r="V16" s="103">
        <v>5000</v>
      </c>
      <c r="W16" s="103">
        <v>7248.7260000000006</v>
      </c>
      <c r="X16" s="64"/>
      <c r="Y16" s="103">
        <v>0</v>
      </c>
      <c r="Z16" s="129">
        <v>0</v>
      </c>
      <c r="AA16" s="64"/>
      <c r="AB16" s="64" t="s">
        <v>53</v>
      </c>
      <c r="AC16" s="64">
        <v>0</v>
      </c>
      <c r="AD16" s="64"/>
      <c r="AF16" s="4"/>
      <c r="AG16" s="3" t="s">
        <v>30</v>
      </c>
      <c r="AH16" s="4"/>
      <c r="AI16" s="24">
        <v>0</v>
      </c>
      <c r="AJ16" s="24">
        <v>0</v>
      </c>
      <c r="AK16" s="61"/>
      <c r="AL16" s="172">
        <v>7248.7260000000006</v>
      </c>
      <c r="AM16" s="172">
        <v>12810.816999999999</v>
      </c>
      <c r="AN16" s="61"/>
      <c r="AO16" s="204">
        <v>0</v>
      </c>
      <c r="AP16" s="204">
        <v>0</v>
      </c>
      <c r="AQ16" s="61">
        <v>0</v>
      </c>
      <c r="AR16" s="61">
        <v>0</v>
      </c>
      <c r="AS16" s="61">
        <v>90</v>
      </c>
      <c r="AT16" s="61"/>
      <c r="AU16" s="172">
        <v>7248.7260000000006</v>
      </c>
      <c r="AV16" s="172">
        <v>12900.816999999999</v>
      </c>
    </row>
    <row r="17" spans="1:48">
      <c r="A17" s="111"/>
      <c r="B17" s="48"/>
      <c r="C17" s="111"/>
      <c r="D17" s="119"/>
      <c r="E17" s="119"/>
      <c r="F17" s="119"/>
      <c r="G17" s="119"/>
      <c r="H17" s="119"/>
      <c r="I17" s="119"/>
      <c r="J17" s="129"/>
      <c r="K17" s="103"/>
      <c r="L17" s="119"/>
      <c r="M17" s="118"/>
      <c r="N17" s="118"/>
      <c r="P17" s="111"/>
      <c r="Q17" s="154"/>
      <c r="R17" s="111"/>
      <c r="S17" s="119"/>
      <c r="T17" s="20"/>
      <c r="U17" s="119"/>
      <c r="V17" s="119"/>
      <c r="W17" s="103"/>
      <c r="X17" s="119"/>
      <c r="Y17" s="103"/>
      <c r="Z17" s="129"/>
      <c r="AA17" s="119"/>
      <c r="AB17" s="213"/>
      <c r="AC17" s="213"/>
      <c r="AD17" s="119"/>
      <c r="AF17" s="4"/>
      <c r="AG17" s="3"/>
      <c r="AH17" s="4"/>
      <c r="AI17" s="24"/>
      <c r="AJ17" s="24"/>
      <c r="AK17" s="206"/>
      <c r="AL17" s="172"/>
      <c r="AM17" s="172"/>
      <c r="AN17" s="206"/>
      <c r="AO17" s="204"/>
      <c r="AP17" s="204"/>
      <c r="AQ17" s="206"/>
      <c r="AR17" s="220"/>
      <c r="AS17" s="220"/>
      <c r="AT17" s="206"/>
      <c r="AU17" s="172"/>
      <c r="AV17" s="67"/>
    </row>
    <row r="18" spans="1:48" ht="42">
      <c r="A18" s="111"/>
      <c r="B18" s="48" t="s">
        <v>31</v>
      </c>
      <c r="C18" s="111"/>
      <c r="D18" s="65">
        <v>17940</v>
      </c>
      <c r="E18" s="65">
        <v>0</v>
      </c>
      <c r="F18" s="26"/>
      <c r="G18" s="103">
        <v>17598.841049999999</v>
      </c>
      <c r="H18" s="103">
        <v>7579.9111499999999</v>
      </c>
      <c r="I18" s="26"/>
      <c r="J18" s="129" t="s">
        <v>53</v>
      </c>
      <c r="K18" s="103">
        <v>0</v>
      </c>
      <c r="L18" s="26"/>
      <c r="M18" s="103">
        <v>35538.841050000003</v>
      </c>
      <c r="N18" s="103">
        <v>7579.9111499999999</v>
      </c>
      <c r="P18" s="111"/>
      <c r="Q18" s="154" t="s">
        <v>31</v>
      </c>
      <c r="R18" s="111"/>
      <c r="S18" s="20">
        <v>0</v>
      </c>
      <c r="T18" s="20">
        <v>1850</v>
      </c>
      <c r="U18" s="64"/>
      <c r="V18" s="103">
        <v>7579.9111499999999</v>
      </c>
      <c r="W18" s="103">
        <v>11970</v>
      </c>
      <c r="X18" s="64"/>
      <c r="Y18" s="103">
        <v>0</v>
      </c>
      <c r="Z18" s="129">
        <v>2334</v>
      </c>
      <c r="AA18" s="64"/>
      <c r="AB18" s="64" t="s">
        <v>53</v>
      </c>
      <c r="AC18" s="64">
        <v>26.5</v>
      </c>
      <c r="AD18" s="64"/>
      <c r="AF18" s="4"/>
      <c r="AG18" s="3" t="s">
        <v>31</v>
      </c>
      <c r="AH18" s="4"/>
      <c r="AI18" s="24">
        <v>1850</v>
      </c>
      <c r="AJ18" s="24">
        <v>850</v>
      </c>
      <c r="AK18" s="61"/>
      <c r="AL18" s="172">
        <v>11970</v>
      </c>
      <c r="AM18" s="172">
        <v>11070</v>
      </c>
      <c r="AN18" s="61"/>
      <c r="AO18" s="204">
        <v>2334</v>
      </c>
      <c r="AP18" s="204">
        <v>712</v>
      </c>
      <c r="AQ18" s="61">
        <v>712000</v>
      </c>
      <c r="AR18" s="61">
        <v>26.5</v>
      </c>
      <c r="AS18" s="61">
        <v>270</v>
      </c>
      <c r="AT18" s="61"/>
      <c r="AU18" s="172">
        <v>16180.5</v>
      </c>
      <c r="AV18" s="172">
        <v>12902</v>
      </c>
    </row>
    <row r="19" spans="1:48">
      <c r="A19" s="111"/>
      <c r="B19" s="48"/>
      <c r="C19" s="111"/>
      <c r="D19" s="119"/>
      <c r="E19" s="119"/>
      <c r="F19" s="119"/>
      <c r="G19" s="119"/>
      <c r="H19" s="119"/>
      <c r="I19" s="119"/>
      <c r="J19" s="129"/>
      <c r="K19" s="103"/>
      <c r="L19" s="119"/>
      <c r="M19" s="118"/>
      <c r="N19" s="118"/>
      <c r="P19" s="111"/>
      <c r="Q19" s="154"/>
      <c r="R19" s="111"/>
      <c r="S19" s="119"/>
      <c r="T19" s="20"/>
      <c r="U19" s="119"/>
      <c r="V19" s="119"/>
      <c r="W19" s="103"/>
      <c r="X19" s="119"/>
      <c r="Y19" s="103"/>
      <c r="Z19" s="129"/>
      <c r="AA19" s="119"/>
      <c r="AB19" s="213"/>
      <c r="AC19" s="213"/>
      <c r="AD19" s="119"/>
      <c r="AF19" s="4"/>
      <c r="AG19" s="3"/>
      <c r="AH19" s="4"/>
      <c r="AI19" s="24"/>
      <c r="AJ19" s="24"/>
      <c r="AK19" s="206"/>
      <c r="AL19" s="172"/>
      <c r="AM19" s="172"/>
      <c r="AN19" s="206"/>
      <c r="AO19" s="204"/>
      <c r="AP19" s="204"/>
      <c r="AQ19" s="206"/>
      <c r="AR19" s="220"/>
      <c r="AS19" s="220"/>
      <c r="AT19" s="206"/>
      <c r="AU19" s="172"/>
      <c r="AV19" s="67"/>
    </row>
    <row r="20" spans="1:48">
      <c r="A20" s="111"/>
      <c r="B20" s="48" t="s">
        <v>32</v>
      </c>
      <c r="C20" s="111"/>
      <c r="D20" s="65">
        <v>140090</v>
      </c>
      <c r="E20" s="65">
        <v>49193</v>
      </c>
      <c r="F20" s="26"/>
      <c r="G20" s="103">
        <v>35974.811950000003</v>
      </c>
      <c r="H20" s="103">
        <v>13808.13696</v>
      </c>
      <c r="I20" s="26"/>
      <c r="J20" s="129" t="s">
        <v>53</v>
      </c>
      <c r="K20" s="103">
        <v>423</v>
      </c>
      <c r="L20" s="26"/>
      <c r="M20" s="103">
        <v>176064.81195</v>
      </c>
      <c r="N20" s="103">
        <v>63424.136960000003</v>
      </c>
      <c r="P20" s="111"/>
      <c r="Q20" s="154" t="s">
        <v>32</v>
      </c>
      <c r="R20" s="111"/>
      <c r="S20" s="20">
        <v>49193</v>
      </c>
      <c r="T20" s="20">
        <v>0</v>
      </c>
      <c r="U20" s="64"/>
      <c r="V20" s="103">
        <v>13808.13696</v>
      </c>
      <c r="W20" s="103">
        <v>14742.957989999999</v>
      </c>
      <c r="X20" s="64"/>
      <c r="Y20" s="103">
        <v>423</v>
      </c>
      <c r="Z20" s="129">
        <v>1300</v>
      </c>
      <c r="AA20" s="64"/>
      <c r="AB20" s="64" t="s">
        <v>53</v>
      </c>
      <c r="AC20" s="64">
        <v>177</v>
      </c>
      <c r="AD20" s="64"/>
      <c r="AF20" s="4"/>
      <c r="AG20" s="3" t="s">
        <v>32</v>
      </c>
      <c r="AH20" s="4"/>
      <c r="AI20" s="24">
        <v>0</v>
      </c>
      <c r="AJ20" s="24">
        <v>1000</v>
      </c>
      <c r="AK20" s="61"/>
      <c r="AL20" s="172">
        <v>14742.957989999999</v>
      </c>
      <c r="AM20" s="172">
        <v>17800.54349</v>
      </c>
      <c r="AN20" s="61"/>
      <c r="AO20" s="204">
        <v>1300</v>
      </c>
      <c r="AP20" s="204">
        <v>150</v>
      </c>
      <c r="AQ20" s="61">
        <v>150000</v>
      </c>
      <c r="AR20" s="61">
        <v>177</v>
      </c>
      <c r="AS20" s="61">
        <v>95</v>
      </c>
      <c r="AT20" s="61"/>
      <c r="AU20" s="172">
        <v>16219.957989999999</v>
      </c>
      <c r="AV20" s="172">
        <v>19045.54349</v>
      </c>
    </row>
    <row r="21" spans="1:48">
      <c r="A21" s="111"/>
      <c r="B21" s="48"/>
      <c r="C21" s="111"/>
      <c r="D21" s="119"/>
      <c r="E21" s="119"/>
      <c r="F21" s="119"/>
      <c r="G21" s="119"/>
      <c r="H21" s="119"/>
      <c r="I21" s="119"/>
      <c r="J21" s="129"/>
      <c r="K21" s="103"/>
      <c r="L21" s="119"/>
      <c r="M21" s="118"/>
      <c r="N21" s="118"/>
      <c r="P21" s="111"/>
      <c r="Q21" s="154"/>
      <c r="R21" s="111"/>
      <c r="S21" s="119"/>
      <c r="T21" s="20"/>
      <c r="U21" s="119"/>
      <c r="V21" s="119"/>
      <c r="W21" s="103"/>
      <c r="X21" s="119"/>
      <c r="Y21" s="103"/>
      <c r="Z21" s="129"/>
      <c r="AA21" s="119"/>
      <c r="AB21" s="213"/>
      <c r="AC21" s="213"/>
      <c r="AD21" s="119"/>
      <c r="AF21" s="4"/>
      <c r="AG21" s="3"/>
      <c r="AH21" s="4"/>
      <c r="AI21" s="24"/>
      <c r="AJ21" s="24"/>
      <c r="AK21" s="206"/>
      <c r="AL21" s="172"/>
      <c r="AM21" s="172"/>
      <c r="AN21" s="206"/>
      <c r="AO21" s="204"/>
      <c r="AP21" s="204"/>
      <c r="AQ21" s="206"/>
      <c r="AR21" s="220"/>
      <c r="AS21" s="220"/>
      <c r="AT21" s="206"/>
      <c r="AU21" s="172"/>
      <c r="AV21" s="67"/>
    </row>
    <row r="22" spans="1:48" ht="28">
      <c r="A22" s="111"/>
      <c r="B22" s="48" t="s">
        <v>35</v>
      </c>
      <c r="C22" s="111"/>
      <c r="D22" s="65">
        <v>0</v>
      </c>
      <c r="E22" s="65">
        <v>0</v>
      </c>
      <c r="F22" s="65">
        <v>0</v>
      </c>
      <c r="G22" s="65">
        <v>12499.627899999999</v>
      </c>
      <c r="H22" s="65">
        <v>8130.5333200000005</v>
      </c>
      <c r="I22" s="65">
        <v>0</v>
      </c>
      <c r="J22" s="129" t="s">
        <v>53</v>
      </c>
      <c r="K22" s="103">
        <v>0</v>
      </c>
      <c r="L22" s="65">
        <v>0</v>
      </c>
      <c r="M22" s="65">
        <v>12499.627899999999</v>
      </c>
      <c r="N22" s="65">
        <v>8130.5333200000005</v>
      </c>
      <c r="P22" s="111"/>
      <c r="Q22" s="154" t="s">
        <v>35</v>
      </c>
      <c r="R22" s="111"/>
      <c r="S22" s="20">
        <v>0</v>
      </c>
      <c r="T22" s="20">
        <v>0</v>
      </c>
      <c r="U22" s="20">
        <v>0</v>
      </c>
      <c r="V22" s="20">
        <v>8130.5333200000005</v>
      </c>
      <c r="W22" s="103">
        <v>7659.9918799999996</v>
      </c>
      <c r="X22" s="20">
        <v>0</v>
      </c>
      <c r="Y22" s="103">
        <v>0</v>
      </c>
      <c r="Z22" s="129">
        <v>0</v>
      </c>
      <c r="AA22" s="20">
        <v>0</v>
      </c>
      <c r="AB22" s="20" t="s">
        <v>53</v>
      </c>
      <c r="AC22" s="20">
        <v>1</v>
      </c>
      <c r="AD22" s="20"/>
      <c r="AF22" s="4"/>
      <c r="AG22" s="3" t="s">
        <v>35</v>
      </c>
      <c r="AH22" s="4"/>
      <c r="AI22" s="24">
        <v>0</v>
      </c>
      <c r="AJ22" s="24">
        <v>1309</v>
      </c>
      <c r="AK22" s="61"/>
      <c r="AL22" s="172">
        <v>7659.9918799999996</v>
      </c>
      <c r="AM22" s="172">
        <v>7372.9670600000009</v>
      </c>
      <c r="AN22" s="24">
        <v>0</v>
      </c>
      <c r="AO22" s="204">
        <v>0</v>
      </c>
      <c r="AP22" s="204">
        <v>60</v>
      </c>
      <c r="AQ22" s="61">
        <v>60000</v>
      </c>
      <c r="AR22" s="24">
        <v>1</v>
      </c>
      <c r="AS22" s="61">
        <v>0</v>
      </c>
      <c r="AT22" s="61"/>
      <c r="AU22" s="172">
        <v>7660.9918799999996</v>
      </c>
      <c r="AV22" s="172">
        <v>8741.9670600000009</v>
      </c>
    </row>
    <row r="23" spans="1:48">
      <c r="A23" s="111"/>
      <c r="B23" s="48"/>
      <c r="C23" s="111"/>
      <c r="D23" s="119"/>
      <c r="E23" s="119"/>
      <c r="F23" s="119"/>
      <c r="G23" s="119"/>
      <c r="H23" s="119"/>
      <c r="I23" s="119"/>
      <c r="J23" s="129"/>
      <c r="K23" s="103"/>
      <c r="L23" s="119"/>
      <c r="M23" s="118"/>
      <c r="N23" s="118"/>
      <c r="P23" s="111"/>
      <c r="Q23" s="154"/>
      <c r="R23" s="111"/>
      <c r="S23" s="119"/>
      <c r="T23" s="20"/>
      <c r="U23" s="119"/>
      <c r="V23" s="119"/>
      <c r="W23" s="103"/>
      <c r="X23" s="119"/>
      <c r="Y23" s="103"/>
      <c r="Z23" s="129"/>
      <c r="AA23" s="119"/>
      <c r="AB23" s="213"/>
      <c r="AC23" s="213"/>
      <c r="AD23" s="119"/>
      <c r="AF23" s="4"/>
      <c r="AG23" s="3"/>
      <c r="AH23" s="4"/>
      <c r="AI23" s="24"/>
      <c r="AJ23" s="24"/>
      <c r="AK23" s="206"/>
      <c r="AL23" s="172"/>
      <c r="AM23" s="172"/>
      <c r="AN23" s="206"/>
      <c r="AO23" s="204"/>
      <c r="AP23" s="204"/>
      <c r="AQ23" s="206"/>
      <c r="AR23" s="220"/>
      <c r="AS23" s="220"/>
      <c r="AT23" s="206"/>
      <c r="AU23" s="172"/>
      <c r="AV23" s="67"/>
    </row>
    <row r="24" spans="1:48">
      <c r="A24" s="111"/>
      <c r="B24" s="48" t="s">
        <v>33</v>
      </c>
      <c r="C24" s="111"/>
      <c r="D24" s="65">
        <v>12159.7515</v>
      </c>
      <c r="E24" s="65">
        <v>19010</v>
      </c>
      <c r="F24" s="26"/>
      <c r="G24" s="103">
        <v>18199.094809999999</v>
      </c>
      <c r="H24" s="103">
        <v>26358.082750000001</v>
      </c>
      <c r="I24" s="26"/>
      <c r="J24" s="129" t="s">
        <v>53</v>
      </c>
      <c r="K24" s="103">
        <v>0</v>
      </c>
      <c r="L24" s="26"/>
      <c r="M24" s="103">
        <v>30358.846310000001</v>
      </c>
      <c r="N24" s="103">
        <v>45368.082750000001</v>
      </c>
      <c r="P24" s="111"/>
      <c r="Q24" s="154" t="s">
        <v>33</v>
      </c>
      <c r="R24" s="111"/>
      <c r="S24" s="20">
        <v>19010</v>
      </c>
      <c r="T24" s="20">
        <v>29400</v>
      </c>
      <c r="U24" s="64"/>
      <c r="V24" s="103">
        <v>26358.082750000001</v>
      </c>
      <c r="W24" s="103">
        <v>13727.764429999999</v>
      </c>
      <c r="X24" s="64"/>
      <c r="Y24" s="103">
        <v>0</v>
      </c>
      <c r="Z24" s="129">
        <v>102.6</v>
      </c>
      <c r="AA24" s="64"/>
      <c r="AB24" s="64" t="s">
        <v>53</v>
      </c>
      <c r="AC24" s="64">
        <v>167.69900000000001</v>
      </c>
      <c r="AD24" s="64"/>
      <c r="AF24" s="4"/>
      <c r="AG24" s="3" t="s">
        <v>33</v>
      </c>
      <c r="AH24" s="4"/>
      <c r="AI24" s="24">
        <v>29400</v>
      </c>
      <c r="AJ24" s="24">
        <v>1400</v>
      </c>
      <c r="AK24" s="61"/>
      <c r="AL24" s="172">
        <v>13727.764429999999</v>
      </c>
      <c r="AM24" s="172">
        <v>13286.634000000002</v>
      </c>
      <c r="AN24" s="61"/>
      <c r="AO24" s="204">
        <v>102.6</v>
      </c>
      <c r="AP24" s="204">
        <v>171</v>
      </c>
      <c r="AQ24" s="61">
        <v>171000</v>
      </c>
      <c r="AR24" s="61">
        <v>167.69900000000001</v>
      </c>
      <c r="AS24" s="61">
        <v>520</v>
      </c>
      <c r="AT24" s="61"/>
      <c r="AU24" s="172">
        <v>43398.063429999995</v>
      </c>
      <c r="AV24" s="172">
        <v>15377.634000000002</v>
      </c>
    </row>
    <row r="25" spans="1:48">
      <c r="A25" s="111"/>
      <c r="B25" s="48"/>
      <c r="C25" s="111"/>
      <c r="D25" s="119"/>
      <c r="E25" s="119"/>
      <c r="F25" s="119"/>
      <c r="G25" s="119"/>
      <c r="H25" s="119"/>
      <c r="I25" s="119"/>
      <c r="J25" s="129"/>
      <c r="K25" s="103"/>
      <c r="L25" s="119"/>
      <c r="M25" s="118"/>
      <c r="N25" s="118"/>
      <c r="P25" s="111"/>
      <c r="Q25" s="154"/>
      <c r="R25" s="111"/>
      <c r="S25" s="119"/>
      <c r="T25" s="20"/>
      <c r="U25" s="119"/>
      <c r="V25" s="119"/>
      <c r="W25" s="103"/>
      <c r="X25" s="119"/>
      <c r="Y25" s="103"/>
      <c r="Z25" s="129"/>
      <c r="AA25" s="119"/>
      <c r="AB25" s="213"/>
      <c r="AC25" s="213"/>
      <c r="AD25" s="119"/>
      <c r="AF25" s="4"/>
      <c r="AG25" s="3"/>
      <c r="AH25" s="4"/>
      <c r="AI25" s="24"/>
      <c r="AJ25" s="24"/>
      <c r="AK25" s="206"/>
      <c r="AL25" s="172"/>
      <c r="AM25" s="172"/>
      <c r="AN25" s="206"/>
      <c r="AO25" s="204"/>
      <c r="AP25" s="204"/>
      <c r="AQ25" s="206"/>
      <c r="AR25" s="220"/>
      <c r="AS25" s="220"/>
      <c r="AT25" s="206"/>
      <c r="AU25" s="172"/>
      <c r="AV25" s="67"/>
    </row>
    <row r="26" spans="1:48">
      <c r="A26" s="111"/>
      <c r="B26" s="48" t="s">
        <v>34</v>
      </c>
      <c r="C26" s="111"/>
      <c r="D26" s="65">
        <v>0</v>
      </c>
      <c r="E26" s="65">
        <v>0</v>
      </c>
      <c r="F26" s="65">
        <v>0</v>
      </c>
      <c r="G26" s="65">
        <v>3584.8620500000006</v>
      </c>
      <c r="H26" s="65">
        <v>4664.3907799999997</v>
      </c>
      <c r="I26" s="65">
        <v>0</v>
      </c>
      <c r="J26" s="129" t="s">
        <v>53</v>
      </c>
      <c r="K26" s="103">
        <v>0</v>
      </c>
      <c r="L26" s="65">
        <v>0</v>
      </c>
      <c r="M26" s="65">
        <v>3584.8620500000006</v>
      </c>
      <c r="N26" s="65">
        <v>4664.3907799999997</v>
      </c>
      <c r="P26" s="111"/>
      <c r="Q26" s="154" t="s">
        <v>34</v>
      </c>
      <c r="R26" s="111"/>
      <c r="S26" s="20">
        <v>0</v>
      </c>
      <c r="T26" s="20">
        <v>0</v>
      </c>
      <c r="U26" s="20">
        <v>0</v>
      </c>
      <c r="V26" s="20">
        <v>4664.3907799999997</v>
      </c>
      <c r="W26" s="103">
        <v>3987.55573</v>
      </c>
      <c r="X26" s="20">
        <v>0</v>
      </c>
      <c r="Y26" s="103">
        <v>0</v>
      </c>
      <c r="Z26" s="129">
        <v>0</v>
      </c>
      <c r="AA26" s="20">
        <v>0</v>
      </c>
      <c r="AB26" s="20" t="s">
        <v>53</v>
      </c>
      <c r="AC26" s="20">
        <v>0.5</v>
      </c>
      <c r="AD26" s="20"/>
      <c r="AF26" s="4"/>
      <c r="AG26" s="3" t="s">
        <v>34</v>
      </c>
      <c r="AH26" s="4"/>
      <c r="AI26" s="24">
        <v>0</v>
      </c>
      <c r="AJ26" s="24">
        <v>15900</v>
      </c>
      <c r="AK26" s="61"/>
      <c r="AL26" s="172">
        <v>3987.55573</v>
      </c>
      <c r="AM26" s="172">
        <v>6309.96414</v>
      </c>
      <c r="AN26" s="24">
        <v>0</v>
      </c>
      <c r="AO26" s="204">
        <v>0</v>
      </c>
      <c r="AP26" s="204">
        <v>25.068750000000001</v>
      </c>
      <c r="AQ26" s="61">
        <v>25068.75</v>
      </c>
      <c r="AR26" s="24">
        <v>0.5</v>
      </c>
      <c r="AS26" s="61">
        <v>760</v>
      </c>
      <c r="AT26" s="61"/>
      <c r="AU26" s="172">
        <v>3988.05573</v>
      </c>
      <c r="AV26" s="172">
        <v>22995.032889999999</v>
      </c>
    </row>
    <row r="27" spans="1:48">
      <c r="A27" s="111"/>
      <c r="B27" s="48"/>
      <c r="C27" s="111"/>
      <c r="D27" s="119"/>
      <c r="E27" s="119"/>
      <c r="F27" s="119"/>
      <c r="G27" s="119"/>
      <c r="H27" s="119"/>
      <c r="I27" s="119"/>
      <c r="J27" s="129"/>
      <c r="K27" s="103"/>
      <c r="L27" s="119"/>
      <c r="M27" s="118"/>
      <c r="N27" s="118"/>
      <c r="P27" s="111"/>
      <c r="Q27" s="154"/>
      <c r="R27" s="111"/>
      <c r="S27" s="119"/>
      <c r="T27" s="20"/>
      <c r="U27" s="119"/>
      <c r="V27" s="119"/>
      <c r="W27" s="103"/>
      <c r="X27" s="119"/>
      <c r="Y27" s="103"/>
      <c r="Z27" s="129"/>
      <c r="AA27" s="119"/>
      <c r="AB27" s="213"/>
      <c r="AC27" s="213"/>
      <c r="AD27" s="119"/>
      <c r="AF27" s="4"/>
      <c r="AG27" s="3"/>
      <c r="AH27" s="4"/>
      <c r="AI27" s="24"/>
      <c r="AJ27" s="24"/>
      <c r="AK27" s="206"/>
      <c r="AL27" s="172"/>
      <c r="AM27" s="172"/>
      <c r="AN27" s="206"/>
      <c r="AO27" s="204"/>
      <c r="AP27" s="204"/>
      <c r="AQ27" s="206"/>
      <c r="AR27" s="220"/>
      <c r="AS27" s="220"/>
      <c r="AT27" s="206"/>
      <c r="AU27" s="172"/>
      <c r="AV27" s="67"/>
    </row>
    <row r="28" spans="1:48" ht="28">
      <c r="A28" s="111"/>
      <c r="B28" s="48" t="s">
        <v>38</v>
      </c>
      <c r="C28" s="111"/>
      <c r="D28" s="65">
        <v>19250</v>
      </c>
      <c r="E28" s="65">
        <v>0</v>
      </c>
      <c r="F28" s="26"/>
      <c r="G28" s="103">
        <v>69528.224500000011</v>
      </c>
      <c r="H28" s="103">
        <v>7957.0007999999998</v>
      </c>
      <c r="I28" s="26"/>
      <c r="J28" s="129" t="s">
        <v>53</v>
      </c>
      <c r="K28" s="103">
        <v>0</v>
      </c>
      <c r="L28" s="26"/>
      <c r="M28" s="103">
        <v>88778.224500000011</v>
      </c>
      <c r="N28" s="103">
        <v>7957.0007999999998</v>
      </c>
      <c r="P28" s="111"/>
      <c r="Q28" s="154" t="s">
        <v>38</v>
      </c>
      <c r="R28" s="111"/>
      <c r="S28" s="20">
        <v>0</v>
      </c>
      <c r="T28" s="20">
        <v>0</v>
      </c>
      <c r="U28" s="64"/>
      <c r="V28" s="103">
        <v>7957.0007999999998</v>
      </c>
      <c r="W28" s="103">
        <v>13107.81135</v>
      </c>
      <c r="X28" s="64"/>
      <c r="Y28" s="103">
        <v>0</v>
      </c>
      <c r="Z28" s="129">
        <v>680</v>
      </c>
      <c r="AA28" s="64"/>
      <c r="AB28" s="64" t="s">
        <v>53</v>
      </c>
      <c r="AC28" s="64">
        <v>0</v>
      </c>
      <c r="AD28" s="64"/>
      <c r="AF28" s="4"/>
      <c r="AG28" s="3" t="s">
        <v>38</v>
      </c>
      <c r="AH28" s="4"/>
      <c r="AI28" s="24">
        <v>0</v>
      </c>
      <c r="AJ28" s="24">
        <v>7300</v>
      </c>
      <c r="AK28" s="61"/>
      <c r="AL28" s="172">
        <v>13107.81135</v>
      </c>
      <c r="AM28" s="172">
        <v>19225.5</v>
      </c>
      <c r="AN28" s="61"/>
      <c r="AO28" s="204">
        <v>680</v>
      </c>
      <c r="AP28" s="204">
        <v>59.789000000000001</v>
      </c>
      <c r="AQ28" s="61">
        <v>59789</v>
      </c>
      <c r="AR28" s="61">
        <v>0</v>
      </c>
      <c r="AS28" s="61">
        <v>0</v>
      </c>
      <c r="AT28" s="61"/>
      <c r="AU28" s="172">
        <v>13787.81135</v>
      </c>
      <c r="AV28" s="172">
        <v>26585.289000000001</v>
      </c>
    </row>
    <row r="29" spans="1:48">
      <c r="A29" s="111"/>
      <c r="B29" s="48"/>
      <c r="C29" s="111"/>
      <c r="D29" s="119"/>
      <c r="E29" s="119"/>
      <c r="F29" s="119"/>
      <c r="G29" s="119"/>
      <c r="H29" s="119"/>
      <c r="I29" s="119"/>
      <c r="J29" s="129"/>
      <c r="K29" s="103"/>
      <c r="L29" s="119"/>
      <c r="M29" s="118"/>
      <c r="N29" s="118"/>
      <c r="P29" s="111"/>
      <c r="Q29" s="154"/>
      <c r="R29" s="111"/>
      <c r="S29" s="119"/>
      <c r="T29" s="20"/>
      <c r="U29" s="119"/>
      <c r="V29" s="119"/>
      <c r="W29" s="103"/>
      <c r="X29" s="119"/>
      <c r="Y29" s="103"/>
      <c r="Z29" s="129"/>
      <c r="AA29" s="119"/>
      <c r="AB29" s="213"/>
      <c r="AC29" s="213"/>
      <c r="AD29" s="119"/>
      <c r="AF29" s="4"/>
      <c r="AG29" s="3"/>
      <c r="AH29" s="4"/>
      <c r="AI29" s="24"/>
      <c r="AJ29" s="24"/>
      <c r="AK29" s="206"/>
      <c r="AL29" s="172"/>
      <c r="AM29" s="172"/>
      <c r="AN29" s="206"/>
      <c r="AO29" s="204"/>
      <c r="AP29" s="204"/>
      <c r="AQ29" s="206"/>
      <c r="AR29" s="220"/>
      <c r="AS29" s="220"/>
      <c r="AT29" s="206"/>
      <c r="AU29" s="172"/>
      <c r="AV29" s="67"/>
    </row>
    <row r="30" spans="1:48" ht="28">
      <c r="A30" s="111"/>
      <c r="B30" s="48" t="s">
        <v>39</v>
      </c>
      <c r="C30" s="111"/>
      <c r="D30" s="65">
        <v>16285</v>
      </c>
      <c r="E30" s="65">
        <v>11351.7</v>
      </c>
      <c r="F30" s="104"/>
      <c r="G30" s="103">
        <v>24856.885060000001</v>
      </c>
      <c r="H30" s="103">
        <v>13696.729499999998</v>
      </c>
      <c r="I30" s="104"/>
      <c r="J30" s="129" t="s">
        <v>53</v>
      </c>
      <c r="K30" s="103">
        <v>7663</v>
      </c>
      <c r="L30" s="104"/>
      <c r="M30" s="103">
        <v>41141.885060000001</v>
      </c>
      <c r="N30" s="103">
        <v>32711.429499999998</v>
      </c>
      <c r="P30" s="111"/>
      <c r="Q30" s="154" t="s">
        <v>39</v>
      </c>
      <c r="R30" s="111"/>
      <c r="S30" s="20">
        <v>11351.7</v>
      </c>
      <c r="T30" s="20">
        <v>22130</v>
      </c>
      <c r="U30" s="20"/>
      <c r="V30" s="103">
        <v>13696.729499999998</v>
      </c>
      <c r="W30" s="103">
        <v>7653.1282799999999</v>
      </c>
      <c r="X30" s="20"/>
      <c r="Y30" s="103">
        <v>7663</v>
      </c>
      <c r="Z30" s="129">
        <v>5201.8724200000006</v>
      </c>
      <c r="AA30" s="20"/>
      <c r="AB30" s="20" t="s">
        <v>53</v>
      </c>
      <c r="AC30" s="20">
        <v>14869.791870000001</v>
      </c>
      <c r="AD30" s="20"/>
      <c r="AF30" s="4"/>
      <c r="AG30" s="3" t="s">
        <v>39</v>
      </c>
      <c r="AH30" s="4"/>
      <c r="AI30" s="24">
        <v>22130</v>
      </c>
      <c r="AJ30" s="24">
        <v>56130</v>
      </c>
      <c r="AK30" s="61"/>
      <c r="AL30" s="172">
        <v>7653.1282799999999</v>
      </c>
      <c r="AM30" s="172">
        <v>11535</v>
      </c>
      <c r="AN30" s="24"/>
      <c r="AO30" s="204">
        <v>5201.8724200000006</v>
      </c>
      <c r="AP30" s="204">
        <v>1884.3802599999999</v>
      </c>
      <c r="AQ30" s="61">
        <v>1884380.26</v>
      </c>
      <c r="AR30" s="24">
        <v>14869.791870000001</v>
      </c>
      <c r="AS30" s="61">
        <v>2300</v>
      </c>
      <c r="AT30" s="61"/>
      <c r="AU30" s="172">
        <v>49854.792570000005</v>
      </c>
      <c r="AV30" s="172">
        <v>71849.380260000005</v>
      </c>
    </row>
    <row r="31" spans="1:48">
      <c r="A31" s="111"/>
      <c r="B31" s="48"/>
      <c r="C31" s="111"/>
      <c r="D31" s="119"/>
      <c r="E31" s="119"/>
      <c r="F31" s="119"/>
      <c r="G31" s="119"/>
      <c r="H31" s="119"/>
      <c r="I31" s="119"/>
      <c r="J31" s="129"/>
      <c r="K31" s="103"/>
      <c r="L31" s="119"/>
      <c r="M31" s="118"/>
      <c r="N31" s="118"/>
      <c r="P31" s="111"/>
      <c r="Q31" s="154"/>
      <c r="R31" s="111"/>
      <c r="S31" s="119"/>
      <c r="T31" s="20"/>
      <c r="U31" s="119"/>
      <c r="V31" s="119"/>
      <c r="W31" s="103"/>
      <c r="X31" s="119"/>
      <c r="Y31" s="103"/>
      <c r="Z31" s="129"/>
      <c r="AA31" s="119"/>
      <c r="AB31" s="213"/>
      <c r="AC31" s="213"/>
      <c r="AD31" s="119"/>
      <c r="AF31" s="4"/>
      <c r="AG31" s="3"/>
      <c r="AH31" s="4"/>
      <c r="AI31" s="24"/>
      <c r="AJ31" s="24"/>
      <c r="AK31" s="206"/>
      <c r="AL31" s="172"/>
      <c r="AM31" s="172"/>
      <c r="AN31" s="206"/>
      <c r="AO31" s="204"/>
      <c r="AP31" s="204"/>
      <c r="AQ31" s="206"/>
      <c r="AR31" s="220"/>
      <c r="AS31" s="220"/>
      <c r="AT31" s="206"/>
      <c r="AU31" s="172"/>
      <c r="AV31" s="67"/>
    </row>
    <row r="32" spans="1:48">
      <c r="A32" s="111"/>
      <c r="B32" s="48" t="s">
        <v>36</v>
      </c>
      <c r="C32" s="111"/>
      <c r="D32" s="65">
        <v>0</v>
      </c>
      <c r="E32" s="65">
        <v>0</v>
      </c>
      <c r="F32" s="65">
        <v>0</v>
      </c>
      <c r="G32" s="65">
        <v>30776.1777</v>
      </c>
      <c r="H32" s="65">
        <v>12099.87564</v>
      </c>
      <c r="I32" s="65">
        <v>0</v>
      </c>
      <c r="J32" s="129" t="s">
        <v>53</v>
      </c>
      <c r="K32" s="103">
        <v>735.4</v>
      </c>
      <c r="L32" s="65">
        <v>0</v>
      </c>
      <c r="M32" s="65">
        <v>30776.1777</v>
      </c>
      <c r="N32" s="65">
        <v>12835.27564</v>
      </c>
      <c r="P32" s="111"/>
      <c r="Q32" s="154" t="s">
        <v>36</v>
      </c>
      <c r="R32" s="111"/>
      <c r="S32" s="20">
        <v>0</v>
      </c>
      <c r="T32" s="20">
        <v>0</v>
      </c>
      <c r="U32" s="20">
        <v>0</v>
      </c>
      <c r="V32" s="20">
        <v>12099.87564</v>
      </c>
      <c r="W32" s="103">
        <v>12273.876639999999</v>
      </c>
      <c r="X32" s="20">
        <v>0</v>
      </c>
      <c r="Y32" s="103">
        <v>735.4</v>
      </c>
      <c r="Z32" s="129">
        <v>4640</v>
      </c>
      <c r="AA32" s="20">
        <v>0</v>
      </c>
      <c r="AB32" s="20" t="s">
        <v>53</v>
      </c>
      <c r="AC32" s="20">
        <v>0</v>
      </c>
      <c r="AD32" s="20"/>
      <c r="AF32" s="4"/>
      <c r="AG32" s="3" t="s">
        <v>36</v>
      </c>
      <c r="AH32" s="4"/>
      <c r="AI32" s="24">
        <v>0</v>
      </c>
      <c r="AJ32" s="24">
        <v>0</v>
      </c>
      <c r="AK32" s="61"/>
      <c r="AL32" s="172">
        <v>12273.876639999999</v>
      </c>
      <c r="AM32" s="172">
        <v>17515.720369999999</v>
      </c>
      <c r="AN32" s="24">
        <v>0</v>
      </c>
      <c r="AO32" s="204">
        <v>4640</v>
      </c>
      <c r="AP32" s="204">
        <v>5786.6954000000005</v>
      </c>
      <c r="AQ32" s="61">
        <v>5786695.4000000004</v>
      </c>
      <c r="AR32" s="24">
        <v>0</v>
      </c>
      <c r="AS32" s="61">
        <v>680</v>
      </c>
      <c r="AT32" s="61"/>
      <c r="AU32" s="172">
        <v>16913.876639999999</v>
      </c>
      <c r="AV32" s="172">
        <v>23982.41577</v>
      </c>
    </row>
    <row r="33" spans="1:48">
      <c r="A33" s="111"/>
      <c r="B33" s="48"/>
      <c r="C33" s="111"/>
      <c r="D33" s="119"/>
      <c r="E33" s="119"/>
      <c r="F33" s="119"/>
      <c r="G33" s="119"/>
      <c r="H33" s="119"/>
      <c r="I33" s="119"/>
      <c r="J33" s="129"/>
      <c r="K33" s="103"/>
      <c r="L33" s="119"/>
      <c r="M33" s="118"/>
      <c r="N33" s="118"/>
      <c r="P33" s="111"/>
      <c r="Q33" s="154"/>
      <c r="R33" s="111"/>
      <c r="S33" s="119"/>
      <c r="T33" s="20"/>
      <c r="U33" s="119"/>
      <c r="V33" s="119"/>
      <c r="W33" s="103"/>
      <c r="X33" s="119"/>
      <c r="Y33" s="103"/>
      <c r="Z33" s="129"/>
      <c r="AA33" s="119"/>
      <c r="AB33" s="213"/>
      <c r="AC33" s="213"/>
      <c r="AD33" s="119"/>
      <c r="AF33" s="4"/>
      <c r="AG33" s="3"/>
      <c r="AH33" s="4"/>
      <c r="AI33" s="24"/>
      <c r="AJ33" s="24"/>
      <c r="AK33" s="206"/>
      <c r="AL33" s="172"/>
      <c r="AM33" s="172"/>
      <c r="AN33" s="206"/>
      <c r="AO33" s="204"/>
      <c r="AP33" s="204"/>
      <c r="AQ33" s="206"/>
      <c r="AR33" s="220"/>
      <c r="AS33" s="220"/>
      <c r="AT33" s="206"/>
      <c r="AU33" s="172"/>
      <c r="AV33" s="67"/>
    </row>
    <row r="34" spans="1:48" ht="28">
      <c r="A34" s="111"/>
      <c r="B34" s="48" t="s">
        <v>37</v>
      </c>
      <c r="C34" s="111"/>
      <c r="D34" s="65">
        <v>0</v>
      </c>
      <c r="E34" s="65">
        <v>0</v>
      </c>
      <c r="F34" s="65">
        <v>0</v>
      </c>
      <c r="G34" s="65">
        <v>31249.750250000005</v>
      </c>
      <c r="H34" s="65">
        <v>28730.695400000001</v>
      </c>
      <c r="I34" s="65">
        <v>0</v>
      </c>
      <c r="J34" s="129" t="s">
        <v>53</v>
      </c>
      <c r="K34" s="103">
        <v>484.75</v>
      </c>
      <c r="L34" s="65">
        <v>0</v>
      </c>
      <c r="M34" s="65">
        <v>31249.750250000005</v>
      </c>
      <c r="N34" s="65">
        <v>29215.445400000001</v>
      </c>
      <c r="P34" s="111"/>
      <c r="Q34" s="154" t="s">
        <v>37</v>
      </c>
      <c r="R34" s="111"/>
      <c r="S34" s="20">
        <v>0</v>
      </c>
      <c r="T34" s="20">
        <v>0</v>
      </c>
      <c r="U34" s="20">
        <v>0</v>
      </c>
      <c r="V34" s="20">
        <v>28730.695400000001</v>
      </c>
      <c r="W34" s="103">
        <v>19214.972999999998</v>
      </c>
      <c r="X34" s="20">
        <v>0</v>
      </c>
      <c r="Y34" s="103">
        <v>484.75</v>
      </c>
      <c r="Z34" s="129">
        <v>5014.8226500000001</v>
      </c>
      <c r="AA34" s="20">
        <v>0</v>
      </c>
      <c r="AB34" s="20" t="s">
        <v>53</v>
      </c>
      <c r="AC34" s="20">
        <v>49.994999999999997</v>
      </c>
      <c r="AD34" s="20"/>
      <c r="AF34" s="4"/>
      <c r="AG34" s="3" t="s">
        <v>37</v>
      </c>
      <c r="AH34" s="4"/>
      <c r="AI34" s="24">
        <v>0</v>
      </c>
      <c r="AJ34" s="24">
        <v>0</v>
      </c>
      <c r="AK34" s="61"/>
      <c r="AL34" s="172">
        <v>19214.972999999998</v>
      </c>
      <c r="AM34" s="172">
        <v>20454.263899999998</v>
      </c>
      <c r="AN34" s="24">
        <v>0</v>
      </c>
      <c r="AO34" s="204">
        <v>5014.8226500000001</v>
      </c>
      <c r="AP34" s="204">
        <v>3610.6449300000004</v>
      </c>
      <c r="AQ34" s="61">
        <v>3610644.93</v>
      </c>
      <c r="AR34" s="24">
        <v>49.994999999999997</v>
      </c>
      <c r="AS34" s="61">
        <v>960</v>
      </c>
      <c r="AT34" s="61"/>
      <c r="AU34" s="172">
        <v>24279.790649999999</v>
      </c>
      <c r="AV34" s="172">
        <v>25024.90883</v>
      </c>
    </row>
    <row r="35" spans="1:48">
      <c r="A35" s="111"/>
      <c r="B35" s="48"/>
      <c r="C35" s="111"/>
      <c r="D35" s="119"/>
      <c r="E35" s="119"/>
      <c r="F35" s="119"/>
      <c r="G35" s="119"/>
      <c r="H35" s="119"/>
      <c r="I35" s="119"/>
      <c r="J35" s="129"/>
      <c r="K35" s="103"/>
      <c r="L35" s="119"/>
      <c r="M35" s="118"/>
      <c r="N35" s="118"/>
      <c r="P35" s="111"/>
      <c r="Q35" s="154"/>
      <c r="R35" s="111"/>
      <c r="S35" s="119"/>
      <c r="T35" s="20"/>
      <c r="U35" s="119"/>
      <c r="V35" s="119"/>
      <c r="W35" s="103"/>
      <c r="X35" s="119"/>
      <c r="Y35" s="103"/>
      <c r="Z35" s="129"/>
      <c r="AA35" s="119"/>
      <c r="AB35" s="213"/>
      <c r="AC35" s="213"/>
      <c r="AD35" s="119"/>
      <c r="AF35" s="4"/>
      <c r="AG35" s="3"/>
      <c r="AH35" s="4"/>
      <c r="AI35" s="24"/>
      <c r="AJ35" s="24"/>
      <c r="AK35" s="206"/>
      <c r="AL35" s="172"/>
      <c r="AM35" s="172"/>
      <c r="AN35" s="206"/>
      <c r="AO35" s="204"/>
      <c r="AP35" s="204"/>
      <c r="AQ35" s="206"/>
      <c r="AR35" s="220"/>
      <c r="AS35" s="220"/>
      <c r="AT35" s="206"/>
      <c r="AU35" s="172"/>
      <c r="AV35" s="67"/>
    </row>
    <row r="36" spans="1:48" ht="42">
      <c r="A36" s="111"/>
      <c r="B36" s="48" t="s">
        <v>41</v>
      </c>
      <c r="C36" s="111"/>
      <c r="D36" s="65">
        <v>0</v>
      </c>
      <c r="E36" s="65">
        <v>0</v>
      </c>
      <c r="F36" s="65">
        <v>0</v>
      </c>
      <c r="G36" s="65">
        <v>41731.647060000003</v>
      </c>
      <c r="H36" s="65">
        <v>15562.070309999999</v>
      </c>
      <c r="I36" s="65">
        <v>0</v>
      </c>
      <c r="J36" s="129" t="s">
        <v>53</v>
      </c>
      <c r="K36" s="103">
        <v>0</v>
      </c>
      <c r="L36" s="65">
        <v>0</v>
      </c>
      <c r="M36" s="65">
        <v>41731.647060000003</v>
      </c>
      <c r="N36" s="65">
        <v>15562.070309999999</v>
      </c>
      <c r="P36" s="111"/>
      <c r="Q36" s="154" t="s">
        <v>41</v>
      </c>
      <c r="R36" s="111"/>
      <c r="S36" s="20">
        <v>0</v>
      </c>
      <c r="T36" s="20">
        <v>0</v>
      </c>
      <c r="U36" s="20">
        <v>0</v>
      </c>
      <c r="V36" s="20">
        <v>15562.070309999999</v>
      </c>
      <c r="W36" s="103">
        <v>7960.22102</v>
      </c>
      <c r="X36" s="20">
        <v>0</v>
      </c>
      <c r="Y36" s="103">
        <v>0</v>
      </c>
      <c r="Z36" s="129">
        <v>0</v>
      </c>
      <c r="AA36" s="20">
        <v>0</v>
      </c>
      <c r="AB36" s="20" t="s">
        <v>53</v>
      </c>
      <c r="AC36" s="20">
        <v>0</v>
      </c>
      <c r="AD36" s="20"/>
      <c r="AF36" s="4"/>
      <c r="AG36" s="3" t="s">
        <v>41</v>
      </c>
      <c r="AH36" s="4"/>
      <c r="AI36" s="24">
        <v>0</v>
      </c>
      <c r="AJ36" s="24">
        <v>0</v>
      </c>
      <c r="AK36" s="61"/>
      <c r="AL36" s="172">
        <v>7960.22102</v>
      </c>
      <c r="AM36" s="172">
        <v>19997.615600000001</v>
      </c>
      <c r="AN36" s="24">
        <v>0</v>
      </c>
      <c r="AO36" s="204">
        <v>0</v>
      </c>
      <c r="AP36" s="204">
        <v>150</v>
      </c>
      <c r="AQ36" s="61">
        <v>150000</v>
      </c>
      <c r="AR36" s="24">
        <v>0</v>
      </c>
      <c r="AS36" s="61">
        <v>0</v>
      </c>
      <c r="AT36" s="61"/>
      <c r="AU36" s="172">
        <v>7960.22102</v>
      </c>
      <c r="AV36" s="172">
        <v>20147.615600000001</v>
      </c>
    </row>
    <row r="37" spans="1:48">
      <c r="A37" s="111"/>
      <c r="B37" s="48"/>
      <c r="C37" s="111"/>
      <c r="D37" s="65"/>
      <c r="E37" s="119"/>
      <c r="F37" s="119"/>
      <c r="G37" s="65"/>
      <c r="H37" s="65"/>
      <c r="I37" s="119"/>
      <c r="J37" s="129"/>
      <c r="K37" s="103"/>
      <c r="L37" s="119"/>
      <c r="M37" s="118"/>
      <c r="N37" s="118"/>
      <c r="P37" s="111"/>
      <c r="Q37" s="154"/>
      <c r="R37" s="111"/>
      <c r="S37" s="119"/>
      <c r="T37" s="20"/>
      <c r="U37" s="119"/>
      <c r="V37" s="20"/>
      <c r="W37" s="103"/>
      <c r="X37" s="119"/>
      <c r="Y37" s="103"/>
      <c r="Z37" s="129"/>
      <c r="AA37" s="119"/>
      <c r="AB37" s="213"/>
      <c r="AC37" s="213"/>
      <c r="AD37" s="119"/>
      <c r="AF37" s="4"/>
      <c r="AG37" s="3"/>
      <c r="AH37" s="4"/>
      <c r="AI37" s="24"/>
      <c r="AJ37" s="24"/>
      <c r="AK37" s="206"/>
      <c r="AL37" s="172"/>
      <c r="AM37" s="172"/>
      <c r="AN37" s="206"/>
      <c r="AO37" s="204"/>
      <c r="AP37" s="204"/>
      <c r="AQ37" s="206"/>
      <c r="AR37" s="220"/>
      <c r="AS37" s="220"/>
      <c r="AT37" s="206"/>
      <c r="AU37" s="172"/>
      <c r="AV37" s="67"/>
    </row>
    <row r="38" spans="1:48" ht="28">
      <c r="A38" s="100"/>
      <c r="B38" s="48" t="s">
        <v>70</v>
      </c>
      <c r="C38" s="100"/>
      <c r="D38" s="65">
        <v>0</v>
      </c>
      <c r="E38" s="65">
        <v>0</v>
      </c>
      <c r="F38" s="118"/>
      <c r="G38" s="65">
        <v>3599.8704000000002</v>
      </c>
      <c r="H38" s="65">
        <v>3443.3285999999998</v>
      </c>
      <c r="I38" s="118"/>
      <c r="J38" s="129" t="s">
        <v>53</v>
      </c>
      <c r="K38" s="103">
        <v>0</v>
      </c>
      <c r="L38" s="103"/>
      <c r="M38" s="65">
        <v>3599.8704000000002</v>
      </c>
      <c r="N38" s="106">
        <v>3443.3285999999998</v>
      </c>
      <c r="P38" s="100"/>
      <c r="Q38" s="154" t="s">
        <v>70</v>
      </c>
      <c r="R38" s="100"/>
      <c r="S38" s="20">
        <v>0</v>
      </c>
      <c r="T38" s="20">
        <v>0</v>
      </c>
      <c r="U38" s="118"/>
      <c r="V38" s="20">
        <v>3443.3285999999998</v>
      </c>
      <c r="W38" s="103">
        <v>2299.6440000000002</v>
      </c>
      <c r="X38" s="118"/>
      <c r="Y38" s="103">
        <v>0</v>
      </c>
      <c r="Z38" s="129">
        <v>0</v>
      </c>
      <c r="AA38" s="103"/>
      <c r="AB38" s="129" t="s">
        <v>53</v>
      </c>
      <c r="AC38" s="129">
        <v>0</v>
      </c>
      <c r="AD38" s="103"/>
      <c r="AF38" s="67"/>
      <c r="AG38" s="3" t="s">
        <v>70</v>
      </c>
      <c r="AH38" s="67"/>
      <c r="AI38" s="24">
        <v>0</v>
      </c>
      <c r="AJ38" s="24">
        <v>0</v>
      </c>
      <c r="AK38" s="61"/>
      <c r="AL38" s="172">
        <v>2299.6440000000002</v>
      </c>
      <c r="AM38" s="172">
        <v>2254</v>
      </c>
      <c r="AN38" s="172"/>
      <c r="AO38" s="204">
        <v>0</v>
      </c>
      <c r="AP38" s="204">
        <v>0</v>
      </c>
      <c r="AQ38" s="61">
        <v>0</v>
      </c>
      <c r="AR38" s="204">
        <v>0</v>
      </c>
      <c r="AS38" s="61">
        <v>0</v>
      </c>
      <c r="AT38" s="61"/>
      <c r="AU38" s="172">
        <v>2299.6440000000002</v>
      </c>
      <c r="AV38" s="172">
        <v>2254</v>
      </c>
    </row>
    <row r="39" spans="1:48">
      <c r="A39" s="100"/>
      <c r="B39" s="48"/>
      <c r="C39" s="100"/>
      <c r="D39" s="65"/>
      <c r="E39" s="118"/>
      <c r="F39" s="118"/>
      <c r="G39" s="65"/>
      <c r="H39" s="65"/>
      <c r="I39" s="118"/>
      <c r="J39" s="129"/>
      <c r="K39" s="103"/>
      <c r="L39" s="118"/>
      <c r="M39" s="100"/>
      <c r="N39" s="106"/>
      <c r="P39" s="100"/>
      <c r="Q39" s="154"/>
      <c r="R39" s="100"/>
      <c r="S39" s="118"/>
      <c r="T39" s="20"/>
      <c r="U39" s="118"/>
      <c r="V39" s="20"/>
      <c r="W39" s="103"/>
      <c r="X39" s="118"/>
      <c r="Y39" s="103"/>
      <c r="Z39" s="129"/>
      <c r="AA39" s="118"/>
      <c r="AB39" s="129"/>
      <c r="AC39" s="129"/>
      <c r="AD39" s="118"/>
      <c r="AF39" s="67"/>
      <c r="AG39" s="3"/>
      <c r="AH39" s="67"/>
      <c r="AI39" s="24"/>
      <c r="AJ39" s="24"/>
      <c r="AK39" s="172"/>
      <c r="AL39" s="172"/>
      <c r="AM39" s="172"/>
      <c r="AN39" s="172"/>
      <c r="AO39" s="204"/>
      <c r="AP39" s="204"/>
      <c r="AQ39" s="172"/>
      <c r="AR39" s="204"/>
      <c r="AS39" s="204"/>
      <c r="AT39" s="172"/>
      <c r="AU39" s="172"/>
      <c r="AV39" s="221"/>
    </row>
    <row r="40" spans="1:48" ht="42">
      <c r="A40" s="100"/>
      <c r="B40" s="48" t="s">
        <v>71</v>
      </c>
      <c r="C40" s="100"/>
      <c r="D40" s="103">
        <v>0</v>
      </c>
      <c r="E40" s="65">
        <v>0</v>
      </c>
      <c r="F40" s="104"/>
      <c r="G40" s="65">
        <v>289.90999999999997</v>
      </c>
      <c r="H40" s="65">
        <v>799.82</v>
      </c>
      <c r="I40" s="104"/>
      <c r="J40" s="129" t="s">
        <v>53</v>
      </c>
      <c r="K40" s="103">
        <v>0</v>
      </c>
      <c r="L40" s="103"/>
      <c r="M40" s="65">
        <v>289.90999999999997</v>
      </c>
      <c r="N40" s="106">
        <v>799.82</v>
      </c>
      <c r="P40" s="100"/>
      <c r="Q40" s="154" t="s">
        <v>71</v>
      </c>
      <c r="R40" s="100"/>
      <c r="S40" s="20">
        <v>0</v>
      </c>
      <c r="T40" s="20">
        <v>0</v>
      </c>
      <c r="U40" s="20"/>
      <c r="V40" s="20">
        <v>799.82</v>
      </c>
      <c r="W40" s="103">
        <v>679.07708000000002</v>
      </c>
      <c r="X40" s="20"/>
      <c r="Y40" s="103">
        <v>0</v>
      </c>
      <c r="Z40" s="129">
        <v>18</v>
      </c>
      <c r="AA40" s="103"/>
      <c r="AB40" s="129" t="s">
        <v>53</v>
      </c>
      <c r="AC40" s="129">
        <v>0</v>
      </c>
      <c r="AD40" s="103"/>
      <c r="AF40" s="67"/>
      <c r="AG40" s="3" t="s">
        <v>71</v>
      </c>
      <c r="AH40" s="67"/>
      <c r="AI40" s="24">
        <v>0</v>
      </c>
      <c r="AJ40" s="24">
        <v>0</v>
      </c>
      <c r="AK40" s="61"/>
      <c r="AL40" s="172">
        <v>679.07708000000002</v>
      </c>
      <c r="AM40" s="172">
        <v>1279.1865499999999</v>
      </c>
      <c r="AN40" s="24"/>
      <c r="AO40" s="204">
        <v>18</v>
      </c>
      <c r="AP40" s="204">
        <v>0</v>
      </c>
      <c r="AQ40" s="61">
        <v>150000</v>
      </c>
      <c r="AR40" s="204">
        <v>0</v>
      </c>
      <c r="AS40" s="61">
        <v>0</v>
      </c>
      <c r="AT40" s="61"/>
      <c r="AU40" s="172">
        <v>697.07708000000002</v>
      </c>
      <c r="AV40" s="172">
        <v>1279.1865499999999</v>
      </c>
    </row>
    <row r="41" spans="1:48">
      <c r="A41" s="111"/>
      <c r="B41" s="117"/>
      <c r="C41" s="111"/>
      <c r="D41" s="65"/>
      <c r="E41" s="65"/>
      <c r="F41" s="104"/>
      <c r="G41" s="103"/>
      <c r="H41" s="103"/>
      <c r="I41" s="104"/>
      <c r="J41" s="103"/>
      <c r="K41" s="103"/>
      <c r="L41" s="104"/>
      <c r="M41" s="103"/>
      <c r="N41" s="103"/>
      <c r="P41" s="111"/>
      <c r="Q41" s="193"/>
      <c r="R41" s="111"/>
      <c r="S41" s="20"/>
      <c r="T41" s="20"/>
      <c r="U41" s="20"/>
      <c r="V41" s="103"/>
      <c r="W41" s="103"/>
      <c r="X41" s="20"/>
      <c r="Y41" s="103"/>
      <c r="Z41" s="103"/>
      <c r="AA41" s="20"/>
      <c r="AB41" s="20"/>
      <c r="AC41" s="20"/>
      <c r="AD41" s="20"/>
      <c r="AF41" s="4"/>
      <c r="AG41" s="205"/>
      <c r="AH41" s="4"/>
      <c r="AI41" s="24"/>
      <c r="AJ41" s="24"/>
      <c r="AK41" s="24"/>
      <c r="AL41" s="172"/>
      <c r="AM41" s="172"/>
      <c r="AN41" s="24"/>
      <c r="AO41" s="172"/>
      <c r="AP41" s="172"/>
      <c r="AQ41" s="24"/>
      <c r="AR41" s="24"/>
      <c r="AS41" s="24"/>
      <c r="AT41" s="24"/>
      <c r="AU41" s="4"/>
      <c r="AV41" s="67"/>
    </row>
    <row r="42" spans="1:48" ht="15" thickBot="1">
      <c r="A42" s="111"/>
      <c r="B42" s="130"/>
      <c r="C42" s="86"/>
      <c r="D42" s="86"/>
      <c r="E42" s="86"/>
      <c r="F42" s="86"/>
      <c r="G42" s="86"/>
      <c r="H42" s="86"/>
      <c r="I42" s="86"/>
      <c r="J42" s="86"/>
      <c r="K42" s="86"/>
      <c r="L42" s="86"/>
      <c r="M42" s="86"/>
      <c r="N42" s="86"/>
      <c r="P42" s="111"/>
      <c r="Q42" s="195"/>
      <c r="R42" s="86"/>
      <c r="S42" s="86"/>
      <c r="T42" s="86"/>
      <c r="U42" s="86"/>
      <c r="V42" s="86"/>
      <c r="W42" s="214"/>
      <c r="X42" s="86"/>
      <c r="Y42" s="86"/>
      <c r="Z42" s="86"/>
      <c r="AA42" s="86"/>
      <c r="AB42" s="86"/>
      <c r="AC42" s="86"/>
      <c r="AD42" s="86"/>
      <c r="AF42" s="183"/>
      <c r="AG42" s="208"/>
      <c r="AH42" s="183"/>
      <c r="AI42" s="183"/>
      <c r="AJ42" s="183"/>
      <c r="AK42" s="183"/>
      <c r="AL42" s="183"/>
      <c r="AM42" s="183"/>
      <c r="AN42" s="183"/>
      <c r="AO42" s="183"/>
      <c r="AP42" s="183"/>
      <c r="AQ42" s="183"/>
      <c r="AR42" s="183"/>
      <c r="AS42" s="183"/>
      <c r="AT42" s="183"/>
      <c r="AU42" s="183"/>
      <c r="AV42" s="183"/>
    </row>
    <row r="43" spans="1:48">
      <c r="A43" s="111"/>
      <c r="B43" s="25"/>
      <c r="C43" s="111"/>
      <c r="D43" s="111"/>
      <c r="E43" s="111"/>
      <c r="F43" s="111"/>
      <c r="G43" s="111"/>
      <c r="H43" s="111"/>
      <c r="I43" s="111"/>
      <c r="J43" s="111"/>
      <c r="K43" s="111"/>
      <c r="L43" s="111"/>
      <c r="M43" s="111"/>
      <c r="N43" s="111"/>
      <c r="P43" s="111"/>
      <c r="Q43" s="181"/>
      <c r="R43" s="111"/>
      <c r="S43" s="111"/>
      <c r="T43" s="111"/>
      <c r="U43" s="111"/>
      <c r="V43" s="111"/>
      <c r="W43" s="215"/>
      <c r="X43" s="111"/>
      <c r="Y43" s="111"/>
      <c r="Z43" s="111"/>
      <c r="AA43" s="111"/>
      <c r="AB43" s="111"/>
      <c r="AC43" s="111"/>
      <c r="AD43" s="111"/>
      <c r="AF43" s="4"/>
      <c r="AG43" s="207"/>
      <c r="AH43" s="4"/>
      <c r="AI43" s="4"/>
      <c r="AJ43" s="4"/>
      <c r="AK43" s="4"/>
      <c r="AL43" s="4"/>
      <c r="AM43" s="4"/>
      <c r="AN43" s="4"/>
      <c r="AO43" s="4"/>
      <c r="AP43" s="4"/>
      <c r="AQ43" s="4"/>
      <c r="AR43" s="4"/>
      <c r="AS43" s="4"/>
      <c r="AT43" s="4"/>
      <c r="AU43" s="4"/>
      <c r="AV43" s="4"/>
    </row>
  </sheetData>
  <mergeCells count="25">
    <mergeCell ref="A1:M1"/>
    <mergeCell ref="A2:M2"/>
    <mergeCell ref="B5:B6"/>
    <mergeCell ref="D5:K5"/>
    <mergeCell ref="M5:N6"/>
    <mergeCell ref="D6:E6"/>
    <mergeCell ref="G6:H6"/>
    <mergeCell ref="J6:K6"/>
    <mergeCell ref="P1:AD1"/>
    <mergeCell ref="P2:AD2"/>
    <mergeCell ref="S4:AC5"/>
    <mergeCell ref="Q5:Q6"/>
    <mergeCell ref="S6:T6"/>
    <mergeCell ref="V6:W6"/>
    <mergeCell ref="Y6:Z6"/>
    <mergeCell ref="AB6:AC6"/>
    <mergeCell ref="AF1:AV1"/>
    <mergeCell ref="AF2:AV2"/>
    <mergeCell ref="AG5:AG6"/>
    <mergeCell ref="AI5:AS5"/>
    <mergeCell ref="AU5:AV6"/>
    <mergeCell ref="AI6:AJ6"/>
    <mergeCell ref="AL6:AM6"/>
    <mergeCell ref="AO6:AP6"/>
    <mergeCell ref="AR6:AS6"/>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131B1-FBE1-420B-AFB8-C283DFC61324}">
  <sheetPr codeName="Sheet21"/>
  <dimension ref="A1:BL39"/>
  <sheetViews>
    <sheetView zoomScale="45" workbookViewId="0">
      <selection activeCell="L45" sqref="L45"/>
    </sheetView>
  </sheetViews>
  <sheetFormatPr defaultColWidth="18" defaultRowHeight="14.5"/>
  <sheetData>
    <row r="1" spans="1:64">
      <c r="A1" s="361" t="s">
        <v>201</v>
      </c>
      <c r="B1" s="361"/>
      <c r="C1" s="361"/>
      <c r="D1" s="361"/>
      <c r="E1" s="361"/>
      <c r="F1" s="361"/>
      <c r="G1" s="361"/>
      <c r="H1" s="361"/>
      <c r="I1" s="361"/>
      <c r="J1" s="361"/>
      <c r="K1" s="361"/>
      <c r="L1" s="361"/>
      <c r="N1" s="361" t="s">
        <v>202</v>
      </c>
      <c r="O1" s="361"/>
      <c r="P1" s="361"/>
      <c r="Q1" s="361"/>
      <c r="R1" s="361"/>
      <c r="S1" s="361"/>
      <c r="T1" s="361"/>
      <c r="U1" s="361"/>
      <c r="V1" s="361"/>
      <c r="W1" s="361"/>
      <c r="X1" s="361"/>
      <c r="Y1" s="361"/>
      <c r="Z1" s="361"/>
      <c r="AA1" s="361"/>
      <c r="AB1" s="361"/>
      <c r="AC1" s="361"/>
      <c r="AD1" s="83"/>
      <c r="AF1" s="361" t="s">
        <v>203</v>
      </c>
      <c r="AG1" s="361"/>
      <c r="AH1" s="361"/>
      <c r="AI1" s="361"/>
      <c r="AJ1" s="361"/>
      <c r="AK1" s="361"/>
      <c r="AL1" s="361"/>
      <c r="AM1" s="361"/>
      <c r="AN1" s="361"/>
      <c r="AO1" s="361"/>
      <c r="AP1" s="361"/>
      <c r="AQ1" s="361"/>
      <c r="AR1" s="361"/>
      <c r="AS1" s="361"/>
      <c r="AT1" s="361"/>
      <c r="AV1" s="355" t="s">
        <v>204</v>
      </c>
      <c r="AW1" s="355"/>
      <c r="AX1" s="355"/>
      <c r="AY1" s="355"/>
      <c r="AZ1" s="355"/>
      <c r="BA1" s="355"/>
      <c r="BB1" s="355"/>
      <c r="BC1" s="355"/>
      <c r="BD1" s="355"/>
      <c r="BE1" s="355"/>
      <c r="BF1" s="355"/>
      <c r="BG1" s="355"/>
      <c r="BH1" s="355"/>
      <c r="BI1" s="355"/>
      <c r="BJ1" s="355"/>
      <c r="BK1" s="355"/>
      <c r="BL1" s="355"/>
    </row>
    <row r="2" spans="1:64">
      <c r="A2" s="362" t="s">
        <v>205</v>
      </c>
      <c r="B2" s="362"/>
      <c r="C2" s="362"/>
      <c r="D2" s="362"/>
      <c r="E2" s="362"/>
      <c r="F2" s="362"/>
      <c r="G2" s="362"/>
      <c r="H2" s="362"/>
      <c r="I2" s="362"/>
      <c r="J2" s="362"/>
      <c r="K2" s="362"/>
      <c r="L2" s="362"/>
      <c r="N2" s="362" t="s">
        <v>206</v>
      </c>
      <c r="O2" s="362"/>
      <c r="P2" s="362"/>
      <c r="Q2" s="362"/>
      <c r="R2" s="362"/>
      <c r="S2" s="362"/>
      <c r="T2" s="362"/>
      <c r="U2" s="362"/>
      <c r="V2" s="362"/>
      <c r="W2" s="362"/>
      <c r="X2" s="362"/>
      <c r="Y2" s="362"/>
      <c r="Z2" s="362"/>
      <c r="AA2" s="362"/>
      <c r="AB2" s="362"/>
      <c r="AC2" s="362"/>
      <c r="AD2" s="84"/>
      <c r="AF2" s="362" t="s">
        <v>207</v>
      </c>
      <c r="AG2" s="362"/>
      <c r="AH2" s="362"/>
      <c r="AI2" s="362"/>
      <c r="AJ2" s="362"/>
      <c r="AK2" s="362"/>
      <c r="AL2" s="362"/>
      <c r="AM2" s="362"/>
      <c r="AN2" s="362"/>
      <c r="AO2" s="362"/>
      <c r="AP2" s="362"/>
      <c r="AQ2" s="362"/>
      <c r="AR2" s="362"/>
      <c r="AS2" s="362"/>
      <c r="AT2" s="362"/>
      <c r="AV2" s="356" t="s">
        <v>208</v>
      </c>
      <c r="AW2" s="356"/>
      <c r="AX2" s="356"/>
      <c r="AY2" s="356"/>
      <c r="AZ2" s="356"/>
      <c r="BA2" s="356"/>
      <c r="BB2" s="356"/>
      <c r="BC2" s="356"/>
      <c r="BD2" s="356"/>
      <c r="BE2" s="356"/>
      <c r="BF2" s="356"/>
      <c r="BG2" s="356"/>
      <c r="BH2" s="356"/>
      <c r="BI2" s="356"/>
      <c r="BJ2" s="356"/>
      <c r="BK2" s="356"/>
      <c r="BL2" s="356"/>
    </row>
    <row r="3" spans="1:64" ht="15" thickBot="1">
      <c r="A3" s="85"/>
      <c r="B3" s="85"/>
      <c r="C3" s="85"/>
      <c r="D3" s="86"/>
      <c r="E3" s="86"/>
      <c r="F3" s="86"/>
      <c r="G3" s="86"/>
      <c r="H3" s="86"/>
      <c r="I3" s="86"/>
      <c r="J3" s="86"/>
      <c r="K3" s="111"/>
      <c r="L3" s="111"/>
      <c r="N3" s="85"/>
      <c r="O3" s="85"/>
      <c r="P3" s="85"/>
      <c r="Q3" s="86"/>
      <c r="R3" s="86"/>
      <c r="S3" s="86"/>
      <c r="T3" s="86"/>
      <c r="U3" s="86"/>
      <c r="V3" s="86"/>
      <c r="W3" s="86"/>
      <c r="X3" s="86"/>
      <c r="Y3" s="86"/>
      <c r="Z3" s="86"/>
      <c r="AA3" s="86"/>
      <c r="AB3" s="111"/>
      <c r="AC3" s="111"/>
      <c r="AD3" s="86"/>
      <c r="AF3" s="84"/>
      <c r="AG3" s="84"/>
      <c r="AH3" s="84"/>
      <c r="AI3" s="84"/>
      <c r="AJ3" s="84"/>
      <c r="AK3" s="84"/>
      <c r="AL3" s="84"/>
      <c r="AM3" s="84"/>
      <c r="AN3" s="84"/>
      <c r="AO3" s="84"/>
      <c r="AP3" s="84"/>
      <c r="AQ3" s="84"/>
      <c r="AR3" s="84"/>
      <c r="AS3" s="84"/>
      <c r="AT3" s="84"/>
      <c r="AV3" s="196"/>
      <c r="AW3" s="196"/>
      <c r="AX3" s="196"/>
      <c r="AY3" s="196"/>
      <c r="AZ3" s="196"/>
      <c r="BA3" s="196"/>
      <c r="BB3" s="196"/>
      <c r="BC3" s="196"/>
      <c r="BD3" s="196"/>
      <c r="BE3" s="196"/>
      <c r="BF3" s="196"/>
      <c r="BG3" s="196"/>
      <c r="BH3" s="196"/>
      <c r="BI3" s="196"/>
      <c r="BJ3" s="196"/>
      <c r="BK3" s="196"/>
      <c r="BL3" s="196"/>
    </row>
    <row r="4" spans="1:64" ht="52">
      <c r="A4" s="29"/>
      <c r="B4" s="44" t="s">
        <v>54</v>
      </c>
      <c r="C4" s="29"/>
      <c r="D4" s="29" t="s">
        <v>209</v>
      </c>
      <c r="E4" s="31"/>
      <c r="F4" s="29" t="s">
        <v>210</v>
      </c>
      <c r="G4" s="31"/>
      <c r="H4" s="29" t="s">
        <v>211</v>
      </c>
      <c r="I4" s="31"/>
      <c r="J4" s="29" t="s">
        <v>212</v>
      </c>
      <c r="K4" s="112"/>
      <c r="L4" s="113" t="s">
        <v>213</v>
      </c>
      <c r="N4" s="29"/>
      <c r="O4" s="43" t="s">
        <v>86</v>
      </c>
      <c r="P4" s="29"/>
      <c r="Q4" s="347" t="s">
        <v>81</v>
      </c>
      <c r="R4" s="347"/>
      <c r="S4" s="31"/>
      <c r="T4" s="347" t="s">
        <v>83</v>
      </c>
      <c r="U4" s="347"/>
      <c r="V4" s="31"/>
      <c r="W4" s="347" t="s">
        <v>84</v>
      </c>
      <c r="X4" s="347"/>
      <c r="Y4" s="31"/>
      <c r="Z4" s="347" t="s">
        <v>85</v>
      </c>
      <c r="AA4" s="347"/>
      <c r="AB4" s="112"/>
      <c r="AC4" s="383" t="s">
        <v>214</v>
      </c>
      <c r="AD4" s="383"/>
      <c r="AF4" s="188"/>
      <c r="AG4" s="188"/>
      <c r="AH4" s="188"/>
      <c r="AI4" s="189"/>
      <c r="AJ4" s="189"/>
      <c r="AK4" s="189"/>
      <c r="AL4" s="189"/>
      <c r="AM4" s="189"/>
      <c r="AN4" s="189"/>
      <c r="AO4" s="189"/>
      <c r="AP4" s="189"/>
      <c r="AQ4" s="189"/>
      <c r="AR4" s="189"/>
      <c r="AS4" s="189"/>
      <c r="AT4" s="189"/>
      <c r="AV4" s="157"/>
      <c r="AW4" s="157"/>
      <c r="AX4" s="157"/>
      <c r="AY4" s="4"/>
      <c r="AZ4" s="4"/>
      <c r="BA4" s="4"/>
      <c r="BB4" s="4"/>
      <c r="BC4" s="4"/>
      <c r="BD4" s="4"/>
      <c r="BE4" s="4"/>
      <c r="BF4" s="4"/>
      <c r="BG4" s="4"/>
      <c r="BH4" s="4"/>
      <c r="BI4" s="4"/>
      <c r="BJ4" s="4"/>
      <c r="BK4" s="4"/>
      <c r="BL4" s="4"/>
    </row>
    <row r="5" spans="1:64" ht="43" thickBot="1">
      <c r="A5" s="33"/>
      <c r="B5" s="32"/>
      <c r="C5" s="33"/>
      <c r="D5" s="91" t="s">
        <v>180</v>
      </c>
      <c r="E5" s="114"/>
      <c r="F5" s="91" t="s">
        <v>180</v>
      </c>
      <c r="G5" s="114"/>
      <c r="H5" s="91" t="s">
        <v>180</v>
      </c>
      <c r="I5" s="114"/>
      <c r="J5" s="91" t="s">
        <v>180</v>
      </c>
      <c r="K5" s="114"/>
      <c r="L5" s="91" t="s">
        <v>180</v>
      </c>
      <c r="N5" s="33"/>
      <c r="O5" s="32"/>
      <c r="P5" s="33"/>
      <c r="Q5" s="122">
        <v>2022</v>
      </c>
      <c r="R5" s="122">
        <v>2023</v>
      </c>
      <c r="S5" s="114"/>
      <c r="T5" s="122">
        <v>2022</v>
      </c>
      <c r="U5" s="122">
        <v>2023</v>
      </c>
      <c r="V5" s="114"/>
      <c r="W5" s="122">
        <v>2022</v>
      </c>
      <c r="X5" s="122">
        <v>2023</v>
      </c>
      <c r="Y5" s="114"/>
      <c r="Z5" s="122">
        <v>2022</v>
      </c>
      <c r="AA5" s="122">
        <v>2023</v>
      </c>
      <c r="AB5" s="114"/>
      <c r="AC5" s="122">
        <v>2022</v>
      </c>
      <c r="AD5" s="122">
        <v>2023</v>
      </c>
      <c r="AF5" s="139"/>
      <c r="AG5" s="138" t="s">
        <v>215</v>
      </c>
      <c r="AH5" s="139"/>
      <c r="AI5" s="366" t="s">
        <v>216</v>
      </c>
      <c r="AJ5" s="366"/>
      <c r="AK5" s="141"/>
      <c r="AL5" s="366" t="s">
        <v>217</v>
      </c>
      <c r="AM5" s="366"/>
      <c r="AN5" s="141"/>
      <c r="AO5" s="366" t="s">
        <v>218</v>
      </c>
      <c r="AP5" s="366"/>
      <c r="AQ5" s="141"/>
      <c r="AR5" s="366" t="s">
        <v>219</v>
      </c>
      <c r="AS5" s="366"/>
      <c r="AT5" s="190"/>
      <c r="AV5" s="53"/>
      <c r="AW5" s="49" t="s">
        <v>220</v>
      </c>
      <c r="AX5" s="53"/>
      <c r="AY5" s="353" t="s">
        <v>221</v>
      </c>
      <c r="AZ5" s="353"/>
      <c r="BA5" s="161"/>
      <c r="BB5" s="353" t="s">
        <v>222</v>
      </c>
      <c r="BC5" s="353"/>
      <c r="BD5" s="161"/>
      <c r="BE5" s="353" t="s">
        <v>223</v>
      </c>
      <c r="BF5" s="353"/>
      <c r="BG5" s="161"/>
      <c r="BH5" s="353" t="s">
        <v>224</v>
      </c>
      <c r="BI5" s="353"/>
      <c r="BJ5" s="197"/>
      <c r="BK5" s="353" t="s">
        <v>225</v>
      </c>
      <c r="BL5" s="353"/>
    </row>
    <row r="6" spans="1:64" ht="15" thickBot="1">
      <c r="A6" s="94"/>
      <c r="B6" s="94" t="s">
        <v>50</v>
      </c>
      <c r="C6" s="97"/>
      <c r="D6" s="96">
        <v>31315.751499999998</v>
      </c>
      <c r="E6" s="96"/>
      <c r="F6" s="96">
        <v>6999</v>
      </c>
      <c r="G6" s="96"/>
      <c r="H6" s="96">
        <v>1600</v>
      </c>
      <c r="I6" s="96"/>
      <c r="J6" s="96">
        <v>192780</v>
      </c>
      <c r="K6" s="96"/>
      <c r="L6" s="96">
        <v>232694.75150000001</v>
      </c>
      <c r="N6" s="94"/>
      <c r="O6" s="131" t="s">
        <v>50</v>
      </c>
      <c r="P6" s="97"/>
      <c r="Q6" s="96">
        <f>Q8+Q10+Q12+Q14+Q16+Q18+Q22+Q26+Q28</f>
        <v>31315.751499999998</v>
      </c>
      <c r="R6" s="96" t="s">
        <v>53</v>
      </c>
      <c r="S6" s="96"/>
      <c r="T6" s="96">
        <f>T8+T10+T12+T14+T16+T18+T22+T26+T28</f>
        <v>6999</v>
      </c>
      <c r="U6" s="96" t="s">
        <v>53</v>
      </c>
      <c r="V6" s="96"/>
      <c r="W6" s="96">
        <f>W8+W10+W12+W14+W16+W18+W22+W26+W28</f>
        <v>1600</v>
      </c>
      <c r="X6" s="96" t="s">
        <v>53</v>
      </c>
      <c r="Y6" s="96"/>
      <c r="Z6" s="96">
        <f>Z8+Z10+Z12+Z14+Z16+Z18+Z22+Z26+Z28</f>
        <v>192780</v>
      </c>
      <c r="AA6" s="96" t="s">
        <v>53</v>
      </c>
      <c r="AB6" s="96"/>
      <c r="AC6" s="96">
        <f>AC8+AC10+AC12+AC14+AC16+AC18+AC22+AC26+AC28</f>
        <v>232694.75150000001</v>
      </c>
      <c r="AD6" s="96">
        <v>174938.7</v>
      </c>
      <c r="AF6" s="142"/>
      <c r="AG6" s="177"/>
      <c r="AH6" s="142"/>
      <c r="AI6" s="144">
        <v>2023</v>
      </c>
      <c r="AJ6" s="144">
        <v>2024</v>
      </c>
      <c r="AK6" s="191"/>
      <c r="AL6" s="144">
        <v>2023</v>
      </c>
      <c r="AM6" s="144">
        <v>2024</v>
      </c>
      <c r="AN6" s="191"/>
      <c r="AO6" s="144">
        <v>2023</v>
      </c>
      <c r="AP6" s="144">
        <v>2024</v>
      </c>
      <c r="AQ6" s="191"/>
      <c r="AR6" s="144">
        <v>2023</v>
      </c>
      <c r="AS6" s="144">
        <v>2024</v>
      </c>
      <c r="AT6" s="191"/>
      <c r="AV6" s="162"/>
      <c r="AW6" s="54"/>
      <c r="AX6" s="162"/>
      <c r="AY6" s="1">
        <v>2024</v>
      </c>
      <c r="AZ6" s="1">
        <v>2025</v>
      </c>
      <c r="BA6" s="198"/>
      <c r="BB6" s="1">
        <v>2024</v>
      </c>
      <c r="BC6" s="1">
        <v>2025</v>
      </c>
      <c r="BD6" s="198"/>
      <c r="BE6" s="1">
        <v>2024</v>
      </c>
      <c r="BF6" s="1">
        <v>2025</v>
      </c>
      <c r="BG6" s="198"/>
      <c r="BH6" s="1">
        <v>2024</v>
      </c>
      <c r="BI6" s="1">
        <v>2025</v>
      </c>
      <c r="BJ6" s="198"/>
      <c r="BK6" s="1">
        <v>2024</v>
      </c>
      <c r="BL6" s="1">
        <v>2025</v>
      </c>
    </row>
    <row r="7" spans="1:64">
      <c r="A7" s="100"/>
      <c r="B7" s="40"/>
      <c r="C7" s="103"/>
      <c r="D7" s="115"/>
      <c r="E7" s="26"/>
      <c r="F7" s="116"/>
      <c r="G7" s="26"/>
      <c r="H7" s="116"/>
      <c r="I7" s="26"/>
      <c r="J7" s="116"/>
      <c r="K7" s="26"/>
      <c r="L7" s="100"/>
      <c r="N7" s="100"/>
      <c r="O7" s="40"/>
      <c r="P7" s="103"/>
      <c r="Q7" s="115"/>
      <c r="R7" s="116"/>
      <c r="S7" s="26"/>
      <c r="T7" s="116"/>
      <c r="U7" s="116"/>
      <c r="V7" s="26"/>
      <c r="W7" s="116"/>
      <c r="X7" s="116"/>
      <c r="Y7" s="26"/>
      <c r="Z7" s="116"/>
      <c r="AA7" s="116"/>
      <c r="AB7" s="26"/>
      <c r="AC7" s="100"/>
      <c r="AD7" s="100"/>
      <c r="AF7" s="147"/>
      <c r="AG7" s="192" t="s">
        <v>50</v>
      </c>
      <c r="AH7" s="103"/>
      <c r="AI7" s="149" t="s">
        <v>53</v>
      </c>
      <c r="AJ7" s="149">
        <v>43170</v>
      </c>
      <c r="AK7" s="149"/>
      <c r="AL7" s="149" t="s">
        <v>53</v>
      </c>
      <c r="AM7" s="149">
        <v>1500</v>
      </c>
      <c r="AN7" s="149"/>
      <c r="AO7" s="149" t="s">
        <v>53</v>
      </c>
      <c r="AP7" s="149">
        <v>1200</v>
      </c>
      <c r="AQ7" s="149"/>
      <c r="AR7" s="149" t="s">
        <v>53</v>
      </c>
      <c r="AS7" s="149">
        <v>40500</v>
      </c>
      <c r="AT7" s="149"/>
      <c r="AV7" s="166"/>
      <c r="AW7" s="199" t="s">
        <v>50</v>
      </c>
      <c r="AX7" s="172"/>
      <c r="AY7" s="57">
        <v>43170</v>
      </c>
      <c r="AZ7" s="57">
        <v>42670</v>
      </c>
      <c r="BA7" s="57"/>
      <c r="BB7" s="57">
        <v>1500</v>
      </c>
      <c r="BC7" s="57">
        <v>1500</v>
      </c>
      <c r="BD7" s="57"/>
      <c r="BE7" s="57">
        <v>1200</v>
      </c>
      <c r="BF7" s="57">
        <v>1200</v>
      </c>
      <c r="BG7" s="57"/>
      <c r="BH7" s="57">
        <v>40500</v>
      </c>
      <c r="BI7" s="57">
        <v>108509</v>
      </c>
      <c r="BJ7" s="57"/>
      <c r="BK7" s="200">
        <v>86370</v>
      </c>
      <c r="BL7" s="57">
        <v>153879</v>
      </c>
    </row>
    <row r="8" spans="1:64">
      <c r="A8" s="100"/>
      <c r="B8" s="117" t="s">
        <v>27</v>
      </c>
      <c r="C8" s="103"/>
      <c r="D8" s="65">
        <v>0</v>
      </c>
      <c r="E8" s="26"/>
      <c r="F8" s="103">
        <v>0</v>
      </c>
      <c r="G8" s="26"/>
      <c r="H8" s="103">
        <v>80</v>
      </c>
      <c r="I8" s="26"/>
      <c r="J8" s="103">
        <v>3370</v>
      </c>
      <c r="K8" s="26"/>
      <c r="L8" s="103">
        <v>3450</v>
      </c>
      <c r="N8" s="100"/>
      <c r="O8" s="132" t="s">
        <v>27</v>
      </c>
      <c r="P8" s="103"/>
      <c r="Q8" s="65">
        <v>0</v>
      </c>
      <c r="R8" s="129" t="s">
        <v>53</v>
      </c>
      <c r="S8" s="26"/>
      <c r="T8" s="103">
        <v>0</v>
      </c>
      <c r="U8" s="129" t="s">
        <v>53</v>
      </c>
      <c r="V8" s="26"/>
      <c r="W8" s="103">
        <v>80</v>
      </c>
      <c r="X8" s="129" t="s">
        <v>53</v>
      </c>
      <c r="Y8" s="26"/>
      <c r="Z8" s="103">
        <v>3370</v>
      </c>
      <c r="AA8" s="129" t="s">
        <v>53</v>
      </c>
      <c r="AB8" s="26"/>
      <c r="AC8" s="103">
        <f>Q8+T8+W8+Z8</f>
        <v>3450</v>
      </c>
      <c r="AD8" s="103">
        <v>57086</v>
      </c>
      <c r="AF8" s="100"/>
      <c r="AG8" s="180"/>
      <c r="AH8" s="103"/>
      <c r="AI8" s="116"/>
      <c r="AJ8" s="116"/>
      <c r="AK8" s="64"/>
      <c r="AL8" s="116"/>
      <c r="AM8" s="116"/>
      <c r="AN8" s="64"/>
      <c r="AO8" s="116"/>
      <c r="AP8" s="116"/>
      <c r="AQ8" s="64"/>
      <c r="AR8" s="116"/>
      <c r="AS8" s="116"/>
      <c r="AT8" s="64"/>
      <c r="AV8" s="67"/>
      <c r="AW8" s="201"/>
      <c r="AX8" s="172"/>
      <c r="AY8" s="202"/>
      <c r="AZ8" s="202"/>
      <c r="BA8" s="61"/>
      <c r="BB8" s="202"/>
      <c r="BC8" s="202"/>
      <c r="BD8" s="61"/>
      <c r="BE8" s="202"/>
      <c r="BF8" s="202"/>
      <c r="BG8" s="61"/>
      <c r="BH8" s="202"/>
      <c r="BI8" s="202"/>
      <c r="BJ8" s="61"/>
      <c r="BK8" s="67"/>
      <c r="BL8" s="67"/>
    </row>
    <row r="9" spans="1:64">
      <c r="A9" s="100"/>
      <c r="B9" s="25"/>
      <c r="C9" s="103"/>
      <c r="D9" s="65"/>
      <c r="E9" s="104"/>
      <c r="F9" s="103"/>
      <c r="G9" s="104"/>
      <c r="H9" s="103"/>
      <c r="I9" s="104"/>
      <c r="J9" s="103"/>
      <c r="K9" s="104"/>
      <c r="L9" s="118"/>
      <c r="N9" s="100"/>
      <c r="O9" s="117"/>
      <c r="P9" s="103"/>
      <c r="Q9" s="65"/>
      <c r="R9" s="129"/>
      <c r="S9" s="104"/>
      <c r="T9" s="103"/>
      <c r="U9" s="129"/>
      <c r="V9" s="104"/>
      <c r="W9" s="103"/>
      <c r="X9" s="129"/>
      <c r="Y9" s="104"/>
      <c r="Z9" s="103"/>
      <c r="AA9" s="129"/>
      <c r="AB9" s="104"/>
      <c r="AC9" s="118"/>
      <c r="AD9" s="118"/>
      <c r="AF9" s="100"/>
      <c r="AG9" s="132" t="s">
        <v>27</v>
      </c>
      <c r="AH9" s="103"/>
      <c r="AI9" s="129" t="s">
        <v>53</v>
      </c>
      <c r="AJ9" s="129">
        <v>12510</v>
      </c>
      <c r="AK9" s="64"/>
      <c r="AL9" s="129" t="s">
        <v>53</v>
      </c>
      <c r="AM9" s="129">
        <v>0</v>
      </c>
      <c r="AN9" s="64"/>
      <c r="AO9" s="129" t="s">
        <v>53</v>
      </c>
      <c r="AP9" s="129">
        <v>0</v>
      </c>
      <c r="AQ9" s="64"/>
      <c r="AR9" s="129" t="s">
        <v>53</v>
      </c>
      <c r="AS9" s="129">
        <v>0</v>
      </c>
      <c r="AT9" s="64"/>
      <c r="AV9" s="67"/>
      <c r="AW9" s="203" t="s">
        <v>27</v>
      </c>
      <c r="AX9" s="172"/>
      <c r="AY9" s="204">
        <v>12510</v>
      </c>
      <c r="AZ9" s="204">
        <v>12510</v>
      </c>
      <c r="BA9" s="61"/>
      <c r="BB9" s="204">
        <v>0</v>
      </c>
      <c r="BC9" s="204"/>
      <c r="BD9" s="61"/>
      <c r="BE9" s="204">
        <v>0</v>
      </c>
      <c r="BF9" s="204"/>
      <c r="BG9" s="61"/>
      <c r="BH9" s="204">
        <v>0</v>
      </c>
      <c r="BI9" s="204">
        <v>1000</v>
      </c>
      <c r="BJ9" s="61"/>
      <c r="BK9" s="172">
        <v>12510</v>
      </c>
      <c r="BL9" s="172">
        <v>13510</v>
      </c>
    </row>
    <row r="10" spans="1:64">
      <c r="A10" s="100"/>
      <c r="B10" s="117" t="s">
        <v>28</v>
      </c>
      <c r="C10" s="103"/>
      <c r="D10" s="65">
        <v>0</v>
      </c>
      <c r="E10" s="26"/>
      <c r="F10" s="103">
        <v>880</v>
      </c>
      <c r="G10" s="26"/>
      <c r="H10" s="103">
        <v>0</v>
      </c>
      <c r="I10" s="26"/>
      <c r="J10" s="103">
        <v>0</v>
      </c>
      <c r="K10" s="104"/>
      <c r="L10" s="103">
        <v>880</v>
      </c>
      <c r="N10" s="100"/>
      <c r="O10" s="132" t="s">
        <v>28</v>
      </c>
      <c r="P10" s="103"/>
      <c r="Q10" s="65">
        <v>0</v>
      </c>
      <c r="R10" s="129" t="s">
        <v>53</v>
      </c>
      <c r="S10" s="26"/>
      <c r="T10" s="103">
        <v>880</v>
      </c>
      <c r="U10" s="129" t="s">
        <v>53</v>
      </c>
      <c r="V10" s="26"/>
      <c r="W10" s="103">
        <v>0</v>
      </c>
      <c r="X10" s="129" t="s">
        <v>53</v>
      </c>
      <c r="Y10" s="26"/>
      <c r="Z10" s="103">
        <v>0</v>
      </c>
      <c r="AA10" s="129" t="s">
        <v>53</v>
      </c>
      <c r="AB10" s="104"/>
      <c r="AC10" s="103">
        <f>Q10+T10+W10+Z10</f>
        <v>880</v>
      </c>
      <c r="AD10" s="103">
        <v>900</v>
      </c>
      <c r="AF10" s="100"/>
      <c r="AG10" s="193"/>
      <c r="AH10" s="103"/>
      <c r="AI10" s="129"/>
      <c r="AJ10" s="129"/>
      <c r="AK10" s="20"/>
      <c r="AL10" s="129"/>
      <c r="AM10" s="129"/>
      <c r="AN10" s="20"/>
      <c r="AO10" s="129"/>
      <c r="AP10" s="129"/>
      <c r="AQ10" s="20"/>
      <c r="AR10" s="129"/>
      <c r="AS10" s="129"/>
      <c r="AT10" s="20"/>
      <c r="AV10" s="67"/>
      <c r="AW10" s="205"/>
      <c r="AX10" s="172"/>
      <c r="AY10" s="204"/>
      <c r="AZ10" s="204"/>
      <c r="BA10" s="24"/>
      <c r="BB10" s="204"/>
      <c r="BC10" s="204"/>
      <c r="BD10" s="24"/>
      <c r="BE10" s="204"/>
      <c r="BF10" s="204"/>
      <c r="BG10" s="24"/>
      <c r="BH10" s="204"/>
      <c r="BI10" s="204"/>
      <c r="BJ10" s="24"/>
      <c r="BK10" s="172"/>
      <c r="BL10" s="172"/>
    </row>
    <row r="11" spans="1:64">
      <c r="A11" s="111"/>
      <c r="B11" s="25"/>
      <c r="C11" s="111"/>
      <c r="D11" s="119"/>
      <c r="E11" s="119"/>
      <c r="F11" s="119"/>
      <c r="G11" s="119"/>
      <c r="H11" s="119"/>
      <c r="I11" s="119"/>
      <c r="J11" s="119"/>
      <c r="K11" s="119"/>
      <c r="L11" s="118"/>
      <c r="N11" s="111"/>
      <c r="O11" s="132"/>
      <c r="P11" s="111"/>
      <c r="Q11" s="119"/>
      <c r="R11" s="129"/>
      <c r="S11" s="119"/>
      <c r="T11" s="119"/>
      <c r="U11" s="129"/>
      <c r="V11" s="119"/>
      <c r="W11" s="119"/>
      <c r="X11" s="129"/>
      <c r="Y11" s="119"/>
      <c r="Z11" s="119"/>
      <c r="AA11" s="129"/>
      <c r="AB11" s="119"/>
      <c r="AC11" s="118"/>
      <c r="AD11" s="118"/>
      <c r="AF11" s="100"/>
      <c r="AG11" s="132" t="s">
        <v>28</v>
      </c>
      <c r="AH11" s="103"/>
      <c r="AI11" s="129" t="s">
        <v>53</v>
      </c>
      <c r="AJ11" s="129">
        <v>100</v>
      </c>
      <c r="AK11" s="64"/>
      <c r="AL11" s="129" t="s">
        <v>53</v>
      </c>
      <c r="AM11" s="129">
        <v>0</v>
      </c>
      <c r="AN11" s="64"/>
      <c r="AO11" s="129" t="s">
        <v>53</v>
      </c>
      <c r="AP11" s="129">
        <v>1000</v>
      </c>
      <c r="AQ11" s="64"/>
      <c r="AR11" s="129" t="s">
        <v>53</v>
      </c>
      <c r="AS11" s="129">
        <v>0</v>
      </c>
      <c r="AT11" s="20"/>
      <c r="AV11" s="67"/>
      <c r="AW11" s="203" t="s">
        <v>28</v>
      </c>
      <c r="AX11" s="172"/>
      <c r="AY11" s="204">
        <v>100</v>
      </c>
      <c r="AZ11" s="204">
        <v>100</v>
      </c>
      <c r="BA11" s="61"/>
      <c r="BB11" s="204">
        <v>0</v>
      </c>
      <c r="BC11" s="204"/>
      <c r="BD11" s="61"/>
      <c r="BE11" s="204">
        <v>1000</v>
      </c>
      <c r="BF11" s="204">
        <v>1000</v>
      </c>
      <c r="BG11" s="61"/>
      <c r="BH11" s="204">
        <v>0</v>
      </c>
      <c r="BI11" s="204">
        <v>4500</v>
      </c>
      <c r="BJ11" s="24"/>
      <c r="BK11" s="172">
        <v>1100</v>
      </c>
      <c r="BL11" s="172">
        <v>5600</v>
      </c>
    </row>
    <row r="12" spans="1:64">
      <c r="A12" s="111"/>
      <c r="B12" s="117" t="s">
        <v>29</v>
      </c>
      <c r="C12" s="111"/>
      <c r="D12" s="65">
        <v>18700</v>
      </c>
      <c r="E12" s="26"/>
      <c r="F12" s="103">
        <v>1350</v>
      </c>
      <c r="G12" s="26"/>
      <c r="H12" s="103">
        <v>600</v>
      </c>
      <c r="I12" s="26"/>
      <c r="J12" s="103">
        <v>490</v>
      </c>
      <c r="K12" s="119"/>
      <c r="L12" s="103">
        <v>21140</v>
      </c>
      <c r="N12" s="111"/>
      <c r="O12" s="132" t="s">
        <v>29</v>
      </c>
      <c r="P12" s="111"/>
      <c r="Q12" s="65">
        <v>18700</v>
      </c>
      <c r="R12" s="129" t="s">
        <v>53</v>
      </c>
      <c r="S12" s="26"/>
      <c r="T12" s="103">
        <v>1350</v>
      </c>
      <c r="U12" s="129" t="s">
        <v>53</v>
      </c>
      <c r="V12" s="26"/>
      <c r="W12" s="103">
        <v>600</v>
      </c>
      <c r="X12" s="129" t="s">
        <v>53</v>
      </c>
      <c r="Y12" s="26"/>
      <c r="Z12" s="103">
        <v>490</v>
      </c>
      <c r="AA12" s="129" t="s">
        <v>53</v>
      </c>
      <c r="AB12" s="119"/>
      <c r="AC12" s="103">
        <f>Q12+T12+W12+Z12</f>
        <v>21140</v>
      </c>
      <c r="AD12" s="103">
        <v>37398</v>
      </c>
      <c r="AF12" s="111"/>
      <c r="AG12" s="132"/>
      <c r="AH12" s="111"/>
      <c r="AI12" s="129"/>
      <c r="AJ12" s="129"/>
      <c r="AK12" s="119"/>
      <c r="AL12" s="129"/>
      <c r="AM12" s="129"/>
      <c r="AN12" s="119"/>
      <c r="AO12" s="129"/>
      <c r="AP12" s="129"/>
      <c r="AQ12" s="119"/>
      <c r="AR12" s="129"/>
      <c r="AS12" s="129"/>
      <c r="AT12" s="119"/>
      <c r="AV12" s="4"/>
      <c r="AW12" s="203"/>
      <c r="AX12" s="4"/>
      <c r="AY12" s="204"/>
      <c r="AZ12" s="204"/>
      <c r="BA12" s="206"/>
      <c r="BB12" s="204"/>
      <c r="BC12" s="204"/>
      <c r="BD12" s="206"/>
      <c r="BE12" s="204"/>
      <c r="BF12" s="204"/>
      <c r="BG12" s="206"/>
      <c r="BH12" s="204"/>
      <c r="BI12" s="204"/>
      <c r="BJ12" s="206"/>
      <c r="BK12" s="172"/>
      <c r="BL12" s="172"/>
    </row>
    <row r="13" spans="1:64">
      <c r="A13" s="111"/>
      <c r="B13" s="25"/>
      <c r="C13" s="111"/>
      <c r="D13" s="119"/>
      <c r="E13" s="119"/>
      <c r="F13" s="119"/>
      <c r="G13" s="119"/>
      <c r="H13" s="119"/>
      <c r="I13" s="119"/>
      <c r="J13" s="119"/>
      <c r="K13" s="119"/>
      <c r="L13" s="118"/>
      <c r="N13" s="111"/>
      <c r="O13" s="132"/>
      <c r="P13" s="111"/>
      <c r="Q13" s="119"/>
      <c r="R13" s="129"/>
      <c r="S13" s="119"/>
      <c r="T13" s="119"/>
      <c r="U13" s="129"/>
      <c r="V13" s="119"/>
      <c r="W13" s="119"/>
      <c r="X13" s="129"/>
      <c r="Y13" s="119"/>
      <c r="Z13" s="119"/>
      <c r="AA13" s="129"/>
      <c r="AB13" s="119"/>
      <c r="AC13" s="118"/>
      <c r="AD13" s="118"/>
      <c r="AF13" s="111"/>
      <c r="AG13" s="132" t="s">
        <v>29</v>
      </c>
      <c r="AH13" s="111"/>
      <c r="AI13" s="129" t="s">
        <v>53</v>
      </c>
      <c r="AJ13" s="129">
        <v>12680</v>
      </c>
      <c r="AK13" s="64"/>
      <c r="AL13" s="129" t="s">
        <v>53</v>
      </c>
      <c r="AM13" s="129">
        <v>1000</v>
      </c>
      <c r="AN13" s="64"/>
      <c r="AO13" s="129" t="s">
        <v>53</v>
      </c>
      <c r="AP13" s="129">
        <v>200</v>
      </c>
      <c r="AQ13" s="64"/>
      <c r="AR13" s="129" t="s">
        <v>53</v>
      </c>
      <c r="AS13" s="129">
        <v>5500</v>
      </c>
      <c r="AT13" s="119"/>
      <c r="AV13" s="4"/>
      <c r="AW13" s="203" t="s">
        <v>29</v>
      </c>
      <c r="AX13" s="4"/>
      <c r="AY13" s="204">
        <v>12680</v>
      </c>
      <c r="AZ13" s="204">
        <v>12680</v>
      </c>
      <c r="BA13" s="61"/>
      <c r="BB13" s="204">
        <v>1000</v>
      </c>
      <c r="BC13" s="204">
        <v>1000</v>
      </c>
      <c r="BD13" s="61"/>
      <c r="BE13" s="204">
        <v>200</v>
      </c>
      <c r="BF13" s="204">
        <v>200</v>
      </c>
      <c r="BG13" s="61"/>
      <c r="BH13" s="204">
        <v>5500</v>
      </c>
      <c r="BI13" s="204">
        <v>37000</v>
      </c>
      <c r="BJ13" s="206"/>
      <c r="BK13" s="172">
        <v>19380</v>
      </c>
      <c r="BL13" s="172">
        <v>50880</v>
      </c>
    </row>
    <row r="14" spans="1:64">
      <c r="A14" s="111"/>
      <c r="B14" s="117" t="s">
        <v>30</v>
      </c>
      <c r="C14" s="111"/>
      <c r="D14" s="65">
        <v>0</v>
      </c>
      <c r="E14" s="26"/>
      <c r="F14" s="103">
        <v>0</v>
      </c>
      <c r="G14" s="26"/>
      <c r="H14" s="103">
        <v>0</v>
      </c>
      <c r="I14" s="26"/>
      <c r="J14" s="103">
        <v>1500</v>
      </c>
      <c r="K14" s="119"/>
      <c r="L14" s="103">
        <v>1500</v>
      </c>
      <c r="N14" s="111"/>
      <c r="O14" s="132" t="s">
        <v>30</v>
      </c>
      <c r="P14" s="100"/>
      <c r="Q14" s="65">
        <v>0</v>
      </c>
      <c r="R14" s="129" t="s">
        <v>53</v>
      </c>
      <c r="S14" s="26"/>
      <c r="T14" s="103">
        <v>0</v>
      </c>
      <c r="U14" s="129" t="s">
        <v>53</v>
      </c>
      <c r="V14" s="26"/>
      <c r="W14" s="103">
        <v>0</v>
      </c>
      <c r="X14" s="129" t="s">
        <v>53</v>
      </c>
      <c r="Y14" s="26"/>
      <c r="Z14" s="103">
        <v>1500</v>
      </c>
      <c r="AA14" s="129" t="s">
        <v>53</v>
      </c>
      <c r="AB14" s="119"/>
      <c r="AC14" s="103">
        <f>Q14+T14+W14+Z14</f>
        <v>1500</v>
      </c>
      <c r="AD14" s="103">
        <v>0</v>
      </c>
      <c r="AF14" s="111"/>
      <c r="AG14" s="132"/>
      <c r="AH14" s="111"/>
      <c r="AI14" s="129"/>
      <c r="AJ14" s="129"/>
      <c r="AK14" s="119"/>
      <c r="AL14" s="129"/>
      <c r="AM14" s="129"/>
      <c r="AN14" s="119"/>
      <c r="AO14" s="129"/>
      <c r="AP14" s="129"/>
      <c r="AQ14" s="119"/>
      <c r="AR14" s="129"/>
      <c r="AS14" s="129"/>
      <c r="AT14" s="119"/>
      <c r="AV14" s="4"/>
      <c r="AW14" s="203"/>
      <c r="AX14" s="4"/>
      <c r="AY14" s="204"/>
      <c r="AZ14" s="204"/>
      <c r="BA14" s="206"/>
      <c r="BB14" s="204"/>
      <c r="BC14" s="204"/>
      <c r="BD14" s="206"/>
      <c r="BE14" s="204"/>
      <c r="BF14" s="204"/>
      <c r="BG14" s="206"/>
      <c r="BH14" s="204"/>
      <c r="BI14" s="204"/>
      <c r="BJ14" s="206"/>
      <c r="BK14" s="172"/>
      <c r="BL14" s="172"/>
    </row>
    <row r="15" spans="1:64">
      <c r="A15" s="111"/>
      <c r="B15" s="25"/>
      <c r="C15" s="111"/>
      <c r="D15" s="119"/>
      <c r="E15" s="119"/>
      <c r="F15" s="119"/>
      <c r="G15" s="119"/>
      <c r="H15" s="119"/>
      <c r="I15" s="119"/>
      <c r="J15" s="119"/>
      <c r="K15" s="119"/>
      <c r="L15" s="118"/>
      <c r="N15" s="111"/>
      <c r="O15" s="132"/>
      <c r="P15" s="100"/>
      <c r="Q15" s="118"/>
      <c r="R15" s="129"/>
      <c r="S15" s="119"/>
      <c r="T15" s="119"/>
      <c r="U15" s="129"/>
      <c r="V15" s="119"/>
      <c r="W15" s="119"/>
      <c r="X15" s="129"/>
      <c r="Y15" s="119"/>
      <c r="Z15" s="119"/>
      <c r="AA15" s="129"/>
      <c r="AB15" s="119"/>
      <c r="AC15" s="118"/>
      <c r="AD15" s="118"/>
      <c r="AF15" s="111"/>
      <c r="AG15" s="132" t="s">
        <v>30</v>
      </c>
      <c r="AH15" s="100"/>
      <c r="AI15" s="129" t="s">
        <v>53</v>
      </c>
      <c r="AJ15" s="129">
        <v>0</v>
      </c>
      <c r="AK15" s="64"/>
      <c r="AL15" s="129" t="s">
        <v>53</v>
      </c>
      <c r="AM15" s="129">
        <v>0</v>
      </c>
      <c r="AN15" s="64"/>
      <c r="AO15" s="129" t="s">
        <v>53</v>
      </c>
      <c r="AP15" s="129">
        <v>0</v>
      </c>
      <c r="AQ15" s="64"/>
      <c r="AR15" s="129" t="s">
        <v>53</v>
      </c>
      <c r="AS15" s="129">
        <v>0</v>
      </c>
      <c r="AT15" s="119"/>
      <c r="AV15" s="4"/>
      <c r="AW15" s="203" t="s">
        <v>30</v>
      </c>
      <c r="AX15" s="67"/>
      <c r="AY15" s="204">
        <v>0</v>
      </c>
      <c r="AZ15" s="204"/>
      <c r="BA15" s="61"/>
      <c r="BB15" s="204">
        <v>0</v>
      </c>
      <c r="BC15" s="204"/>
      <c r="BD15" s="61"/>
      <c r="BE15" s="204">
        <v>0</v>
      </c>
      <c r="BF15" s="204"/>
      <c r="BG15" s="61"/>
      <c r="BH15" s="204">
        <v>0</v>
      </c>
      <c r="BI15" s="204">
        <v>0</v>
      </c>
      <c r="BJ15" s="206"/>
      <c r="BK15" s="172">
        <v>0</v>
      </c>
      <c r="BL15" s="172">
        <v>0</v>
      </c>
    </row>
    <row r="16" spans="1:64">
      <c r="A16" s="111"/>
      <c r="B16" s="117" t="s">
        <v>31</v>
      </c>
      <c r="C16" s="111"/>
      <c r="D16" s="65">
        <v>0</v>
      </c>
      <c r="E16" s="26"/>
      <c r="F16" s="103">
        <v>350</v>
      </c>
      <c r="G16" s="26"/>
      <c r="H16" s="103">
        <v>0</v>
      </c>
      <c r="I16" s="26"/>
      <c r="J16" s="103">
        <v>17590</v>
      </c>
      <c r="K16" s="119"/>
      <c r="L16" s="103">
        <v>17940</v>
      </c>
      <c r="N16" s="111"/>
      <c r="O16" s="132" t="s">
        <v>31</v>
      </c>
      <c r="P16" s="100"/>
      <c r="Q16" s="65">
        <v>0</v>
      </c>
      <c r="R16" s="129" t="s">
        <v>53</v>
      </c>
      <c r="S16" s="26"/>
      <c r="T16" s="103">
        <v>350</v>
      </c>
      <c r="U16" s="129" t="s">
        <v>53</v>
      </c>
      <c r="V16" s="26"/>
      <c r="W16" s="103">
        <v>0</v>
      </c>
      <c r="X16" s="129" t="s">
        <v>53</v>
      </c>
      <c r="Y16" s="26"/>
      <c r="Z16" s="103">
        <v>17590</v>
      </c>
      <c r="AA16" s="129" t="s">
        <v>53</v>
      </c>
      <c r="AB16" s="119"/>
      <c r="AC16" s="103">
        <f>Q16+T16+W16+Z16</f>
        <v>17940</v>
      </c>
      <c r="AD16" s="103">
        <v>0</v>
      </c>
      <c r="AF16" s="111"/>
      <c r="AG16" s="132"/>
      <c r="AH16" s="100"/>
      <c r="AI16" s="129"/>
      <c r="AJ16" s="129"/>
      <c r="AK16" s="119"/>
      <c r="AL16" s="129"/>
      <c r="AM16" s="129"/>
      <c r="AN16" s="119"/>
      <c r="AO16" s="129"/>
      <c r="AP16" s="129"/>
      <c r="AQ16" s="119"/>
      <c r="AR16" s="129"/>
      <c r="AS16" s="129"/>
      <c r="AT16" s="119"/>
      <c r="AV16" s="4"/>
      <c r="AW16" s="203"/>
      <c r="AX16" s="67"/>
      <c r="AY16" s="204"/>
      <c r="AZ16" s="204"/>
      <c r="BA16" s="206"/>
      <c r="BB16" s="204"/>
      <c r="BC16" s="204"/>
      <c r="BD16" s="206"/>
      <c r="BE16" s="204"/>
      <c r="BF16" s="204"/>
      <c r="BG16" s="206"/>
      <c r="BH16" s="204"/>
      <c r="BI16" s="204"/>
      <c r="BJ16" s="206"/>
      <c r="BK16" s="172"/>
      <c r="BL16" s="172"/>
    </row>
    <row r="17" spans="1:64">
      <c r="A17" s="111"/>
      <c r="B17" s="25"/>
      <c r="C17" s="111"/>
      <c r="D17" s="119"/>
      <c r="E17" s="119"/>
      <c r="F17" s="119"/>
      <c r="G17" s="119"/>
      <c r="H17" s="119"/>
      <c r="I17" s="119"/>
      <c r="J17" s="119"/>
      <c r="K17" s="119"/>
      <c r="L17" s="118"/>
      <c r="N17" s="111"/>
      <c r="O17" s="132"/>
      <c r="P17" s="100"/>
      <c r="Q17" s="118"/>
      <c r="R17" s="129"/>
      <c r="S17" s="119"/>
      <c r="T17" s="119"/>
      <c r="U17" s="129"/>
      <c r="V17" s="119"/>
      <c r="W17" s="119"/>
      <c r="X17" s="129"/>
      <c r="Y17" s="119"/>
      <c r="Z17" s="119"/>
      <c r="AA17" s="129"/>
      <c r="AB17" s="119"/>
      <c r="AC17" s="118"/>
      <c r="AD17" s="118"/>
      <c r="AF17" s="111"/>
      <c r="AG17" s="132" t="s">
        <v>31</v>
      </c>
      <c r="AH17" s="100"/>
      <c r="AI17" s="129" t="s">
        <v>53</v>
      </c>
      <c r="AJ17" s="129">
        <v>1350</v>
      </c>
      <c r="AK17" s="64"/>
      <c r="AL17" s="129" t="s">
        <v>53</v>
      </c>
      <c r="AM17" s="129">
        <v>500</v>
      </c>
      <c r="AN17" s="64"/>
      <c r="AO17" s="129" t="s">
        <v>53</v>
      </c>
      <c r="AP17" s="129">
        <v>0</v>
      </c>
      <c r="AQ17" s="64"/>
      <c r="AR17" s="129" t="s">
        <v>53</v>
      </c>
      <c r="AS17" s="129">
        <v>0</v>
      </c>
      <c r="AT17" s="119"/>
      <c r="AV17" s="4"/>
      <c r="AW17" s="203" t="s">
        <v>31</v>
      </c>
      <c r="AX17" s="67"/>
      <c r="AY17" s="204">
        <v>1350</v>
      </c>
      <c r="AZ17" s="204">
        <v>850</v>
      </c>
      <c r="BA17" s="61"/>
      <c r="BB17" s="204">
        <v>500</v>
      </c>
      <c r="BC17" s="204"/>
      <c r="BD17" s="61"/>
      <c r="BE17" s="204">
        <v>0</v>
      </c>
      <c r="BF17" s="204"/>
      <c r="BG17" s="61"/>
      <c r="BH17" s="204">
        <v>0</v>
      </c>
      <c r="BI17" s="204">
        <v>0</v>
      </c>
      <c r="BJ17" s="206"/>
      <c r="BK17" s="172">
        <v>1850</v>
      </c>
      <c r="BL17" s="172">
        <v>850</v>
      </c>
    </row>
    <row r="18" spans="1:64">
      <c r="A18" s="111"/>
      <c r="B18" s="117" t="s">
        <v>32</v>
      </c>
      <c r="C18" s="111"/>
      <c r="D18" s="65">
        <v>0</v>
      </c>
      <c r="E18" s="26"/>
      <c r="F18" s="103">
        <v>1480</v>
      </c>
      <c r="G18" s="26"/>
      <c r="H18" s="103">
        <v>130</v>
      </c>
      <c r="I18" s="26"/>
      <c r="J18" s="103">
        <v>138480</v>
      </c>
      <c r="K18" s="119"/>
      <c r="L18" s="103">
        <v>140090</v>
      </c>
      <c r="N18" s="111"/>
      <c r="O18" s="132" t="s">
        <v>32</v>
      </c>
      <c r="P18" s="100"/>
      <c r="Q18" s="65">
        <v>0</v>
      </c>
      <c r="R18" s="129" t="s">
        <v>53</v>
      </c>
      <c r="S18" s="26"/>
      <c r="T18" s="103">
        <v>1480</v>
      </c>
      <c r="U18" s="129" t="s">
        <v>53</v>
      </c>
      <c r="V18" s="26"/>
      <c r="W18" s="103">
        <v>130</v>
      </c>
      <c r="X18" s="129" t="s">
        <v>53</v>
      </c>
      <c r="Y18" s="26"/>
      <c r="Z18" s="103">
        <v>138480</v>
      </c>
      <c r="AA18" s="129" t="s">
        <v>53</v>
      </c>
      <c r="AB18" s="119"/>
      <c r="AC18" s="103">
        <f>Q18+T18+W18+Z18</f>
        <v>140090</v>
      </c>
      <c r="AD18" s="103">
        <v>49193</v>
      </c>
      <c r="AF18" s="111"/>
      <c r="AG18" s="132"/>
      <c r="AH18" s="100"/>
      <c r="AI18" s="129"/>
      <c r="AJ18" s="129"/>
      <c r="AK18" s="119"/>
      <c r="AL18" s="129"/>
      <c r="AM18" s="129"/>
      <c r="AN18" s="119"/>
      <c r="AO18" s="129"/>
      <c r="AP18" s="129"/>
      <c r="AQ18" s="119"/>
      <c r="AR18" s="129"/>
      <c r="AS18" s="129"/>
      <c r="AT18" s="119"/>
      <c r="AV18" s="4"/>
      <c r="AW18" s="203"/>
      <c r="AX18" s="67"/>
      <c r="AY18" s="204"/>
      <c r="AZ18" s="204"/>
      <c r="BA18" s="206"/>
      <c r="BB18" s="204"/>
      <c r="BC18" s="204"/>
      <c r="BD18" s="206"/>
      <c r="BE18" s="204"/>
      <c r="BF18" s="204"/>
      <c r="BG18" s="206"/>
      <c r="BH18" s="204"/>
      <c r="BI18" s="204"/>
      <c r="BJ18" s="206"/>
      <c r="BK18" s="172"/>
      <c r="BL18" s="172"/>
    </row>
    <row r="19" spans="1:64">
      <c r="A19" s="111"/>
      <c r="B19" s="25"/>
      <c r="C19" s="111"/>
      <c r="D19" s="119"/>
      <c r="E19" s="119"/>
      <c r="F19" s="119"/>
      <c r="G19" s="119"/>
      <c r="H19" s="119"/>
      <c r="I19" s="119"/>
      <c r="J19" s="119"/>
      <c r="K19" s="119"/>
      <c r="L19" s="118"/>
      <c r="N19" s="111"/>
      <c r="O19" s="132"/>
      <c r="P19" s="100"/>
      <c r="Q19" s="118"/>
      <c r="R19" s="129"/>
      <c r="S19" s="119"/>
      <c r="T19" s="119"/>
      <c r="U19" s="129"/>
      <c r="V19" s="119"/>
      <c r="W19" s="119"/>
      <c r="X19" s="129"/>
      <c r="Y19" s="119"/>
      <c r="Z19" s="119"/>
      <c r="AA19" s="129"/>
      <c r="AB19" s="119"/>
      <c r="AC19" s="118"/>
      <c r="AD19" s="118"/>
      <c r="AF19" s="111"/>
      <c r="AG19" s="132" t="s">
        <v>32</v>
      </c>
      <c r="AH19" s="100"/>
      <c r="AI19" s="129" t="s">
        <v>53</v>
      </c>
      <c r="AJ19" s="129">
        <v>0</v>
      </c>
      <c r="AK19" s="64"/>
      <c r="AL19" s="129" t="s">
        <v>53</v>
      </c>
      <c r="AM19" s="129">
        <v>0</v>
      </c>
      <c r="AN19" s="64"/>
      <c r="AO19" s="129" t="s">
        <v>53</v>
      </c>
      <c r="AP19" s="129">
        <v>0</v>
      </c>
      <c r="AQ19" s="64"/>
      <c r="AR19" s="129" t="s">
        <v>53</v>
      </c>
      <c r="AS19" s="129">
        <v>0</v>
      </c>
      <c r="AT19" s="119"/>
      <c r="AV19" s="4"/>
      <c r="AW19" s="203" t="s">
        <v>32</v>
      </c>
      <c r="AX19" s="67"/>
      <c r="AY19" s="204">
        <v>0</v>
      </c>
      <c r="AZ19" s="204"/>
      <c r="BA19" s="61"/>
      <c r="BB19" s="204">
        <v>0</v>
      </c>
      <c r="BC19" s="204"/>
      <c r="BD19" s="61"/>
      <c r="BE19" s="204">
        <v>0</v>
      </c>
      <c r="BF19" s="204"/>
      <c r="BG19" s="61"/>
      <c r="BH19" s="204">
        <v>0</v>
      </c>
      <c r="BI19" s="204">
        <v>1000</v>
      </c>
      <c r="BJ19" s="206"/>
      <c r="BK19" s="172">
        <v>0</v>
      </c>
      <c r="BL19" s="172">
        <v>1000</v>
      </c>
    </row>
    <row r="20" spans="1:64">
      <c r="A20" s="111"/>
      <c r="B20" s="25" t="s">
        <v>35</v>
      </c>
      <c r="C20" s="111"/>
      <c r="D20" s="65">
        <v>0</v>
      </c>
      <c r="E20" s="65">
        <v>0</v>
      </c>
      <c r="F20" s="65">
        <v>0</v>
      </c>
      <c r="G20" s="65">
        <v>0</v>
      </c>
      <c r="H20" s="65">
        <v>0</v>
      </c>
      <c r="I20" s="65">
        <v>0</v>
      </c>
      <c r="J20" s="65">
        <v>0</v>
      </c>
      <c r="K20" s="65">
        <v>0</v>
      </c>
      <c r="L20" s="65">
        <v>0</v>
      </c>
      <c r="N20" s="111"/>
      <c r="O20" s="132" t="s">
        <v>35</v>
      </c>
      <c r="P20" s="100"/>
      <c r="Q20" s="65">
        <v>0</v>
      </c>
      <c r="R20" s="129" t="s">
        <v>53</v>
      </c>
      <c r="S20" s="65">
        <v>0</v>
      </c>
      <c r="T20" s="65">
        <v>0</v>
      </c>
      <c r="U20" s="129" t="s">
        <v>53</v>
      </c>
      <c r="V20" s="65">
        <v>0</v>
      </c>
      <c r="W20" s="65">
        <v>0</v>
      </c>
      <c r="X20" s="129" t="s">
        <v>53</v>
      </c>
      <c r="Y20" s="65">
        <v>0</v>
      </c>
      <c r="Z20" s="65">
        <v>0</v>
      </c>
      <c r="AA20" s="129" t="s">
        <v>53</v>
      </c>
      <c r="AB20" s="65">
        <v>0</v>
      </c>
      <c r="AC20" s="65">
        <v>0</v>
      </c>
      <c r="AD20" s="65">
        <v>0</v>
      </c>
      <c r="AF20" s="111"/>
      <c r="AG20" s="132"/>
      <c r="AH20" s="100"/>
      <c r="AI20" s="129"/>
      <c r="AJ20" s="129"/>
      <c r="AK20" s="119"/>
      <c r="AL20" s="129"/>
      <c r="AM20" s="129"/>
      <c r="AN20" s="119"/>
      <c r="AO20" s="129"/>
      <c r="AP20" s="129"/>
      <c r="AQ20" s="119"/>
      <c r="AR20" s="129"/>
      <c r="AS20" s="129"/>
      <c r="AT20" s="119"/>
      <c r="AV20" s="4"/>
      <c r="AW20" s="203"/>
      <c r="AX20" s="67"/>
      <c r="AY20" s="204"/>
      <c r="AZ20" s="204"/>
      <c r="BA20" s="206"/>
      <c r="BB20" s="204"/>
      <c r="BC20" s="204"/>
      <c r="BD20" s="206"/>
      <c r="BE20" s="204"/>
      <c r="BF20" s="204"/>
      <c r="BG20" s="206"/>
      <c r="BH20" s="204"/>
      <c r="BI20" s="204"/>
      <c r="BJ20" s="206"/>
      <c r="BK20" s="172"/>
      <c r="BL20" s="172"/>
    </row>
    <row r="21" spans="1:64">
      <c r="A21" s="111"/>
      <c r="B21" s="25"/>
      <c r="C21" s="111"/>
      <c r="D21" s="119"/>
      <c r="E21" s="119"/>
      <c r="F21" s="119"/>
      <c r="G21" s="119"/>
      <c r="H21" s="119"/>
      <c r="I21" s="119"/>
      <c r="J21" s="119"/>
      <c r="K21" s="119"/>
      <c r="L21" s="118"/>
      <c r="N21" s="111"/>
      <c r="O21" s="132"/>
      <c r="P21" s="100"/>
      <c r="Q21" s="118"/>
      <c r="R21" s="129"/>
      <c r="S21" s="119"/>
      <c r="T21" s="119"/>
      <c r="U21" s="129"/>
      <c r="V21" s="119"/>
      <c r="W21" s="119"/>
      <c r="X21" s="129"/>
      <c r="Y21" s="119"/>
      <c r="Z21" s="119"/>
      <c r="AA21" s="129"/>
      <c r="AB21" s="119"/>
      <c r="AC21" s="118"/>
      <c r="AD21" s="118"/>
      <c r="AF21" s="111"/>
      <c r="AG21" s="132" t="s">
        <v>35</v>
      </c>
      <c r="AH21" s="100"/>
      <c r="AI21" s="129" t="s">
        <v>53</v>
      </c>
      <c r="AJ21" s="129">
        <v>0</v>
      </c>
      <c r="AK21" s="20">
        <v>0</v>
      </c>
      <c r="AL21" s="129" t="s">
        <v>53</v>
      </c>
      <c r="AM21" s="129">
        <v>0</v>
      </c>
      <c r="AN21" s="20">
        <v>0</v>
      </c>
      <c r="AO21" s="129" t="s">
        <v>53</v>
      </c>
      <c r="AP21" s="129">
        <v>0</v>
      </c>
      <c r="AQ21" s="20">
        <v>0</v>
      </c>
      <c r="AR21" s="129" t="s">
        <v>53</v>
      </c>
      <c r="AS21" s="129">
        <v>0</v>
      </c>
      <c r="AT21" s="20">
        <v>0</v>
      </c>
      <c r="AV21" s="4"/>
      <c r="AW21" s="203" t="s">
        <v>35</v>
      </c>
      <c r="AX21" s="67"/>
      <c r="AY21" s="204">
        <v>0</v>
      </c>
      <c r="AZ21" s="204"/>
      <c r="BA21" s="24">
        <v>0</v>
      </c>
      <c r="BB21" s="204">
        <v>0</v>
      </c>
      <c r="BC21" s="204"/>
      <c r="BD21" s="24">
        <v>0</v>
      </c>
      <c r="BE21" s="204">
        <v>0</v>
      </c>
      <c r="BF21" s="204"/>
      <c r="BG21" s="24">
        <v>0</v>
      </c>
      <c r="BH21" s="204">
        <v>0</v>
      </c>
      <c r="BI21" s="204">
        <v>1309</v>
      </c>
      <c r="BJ21" s="24">
        <v>0</v>
      </c>
      <c r="BK21" s="172">
        <v>0</v>
      </c>
      <c r="BL21" s="172">
        <v>1309</v>
      </c>
    </row>
    <row r="22" spans="1:64">
      <c r="A22" s="111"/>
      <c r="B22" s="117" t="s">
        <v>33</v>
      </c>
      <c r="C22" s="111"/>
      <c r="D22" s="65">
        <v>2789.7514999999999</v>
      </c>
      <c r="E22" s="26"/>
      <c r="F22" s="103">
        <v>270</v>
      </c>
      <c r="G22" s="26"/>
      <c r="H22" s="103">
        <v>0</v>
      </c>
      <c r="I22" s="26"/>
      <c r="J22" s="103">
        <v>9100</v>
      </c>
      <c r="K22" s="119"/>
      <c r="L22" s="103">
        <v>12159.7515</v>
      </c>
      <c r="N22" s="111"/>
      <c r="O22" s="132" t="s">
        <v>33</v>
      </c>
      <c r="P22" s="100"/>
      <c r="Q22" s="65">
        <v>2789.7514999999999</v>
      </c>
      <c r="R22" s="129" t="s">
        <v>53</v>
      </c>
      <c r="S22" s="26"/>
      <c r="T22" s="103">
        <v>270</v>
      </c>
      <c r="U22" s="129" t="s">
        <v>53</v>
      </c>
      <c r="V22" s="26"/>
      <c r="W22" s="103">
        <v>0</v>
      </c>
      <c r="X22" s="129" t="s">
        <v>53</v>
      </c>
      <c r="Y22" s="26"/>
      <c r="Z22" s="103">
        <v>9100</v>
      </c>
      <c r="AA22" s="129" t="s">
        <v>53</v>
      </c>
      <c r="AB22" s="119"/>
      <c r="AC22" s="103">
        <f>Q22+T22+W22+Z22</f>
        <v>12159.7515</v>
      </c>
      <c r="AD22" s="103">
        <v>19010</v>
      </c>
      <c r="AF22" s="111"/>
      <c r="AG22" s="132"/>
      <c r="AH22" s="100"/>
      <c r="AI22" s="129"/>
      <c r="AJ22" s="129"/>
      <c r="AK22" s="119"/>
      <c r="AL22" s="129"/>
      <c r="AM22" s="129"/>
      <c r="AN22" s="119"/>
      <c r="AO22" s="129"/>
      <c r="AP22" s="129"/>
      <c r="AQ22" s="119"/>
      <c r="AR22" s="129"/>
      <c r="AS22" s="129"/>
      <c r="AT22" s="119"/>
      <c r="AV22" s="4"/>
      <c r="AW22" s="203"/>
      <c r="AX22" s="67"/>
      <c r="AY22" s="204"/>
      <c r="AZ22" s="204"/>
      <c r="BA22" s="206"/>
      <c r="BB22" s="204"/>
      <c r="BC22" s="204"/>
      <c r="BD22" s="206"/>
      <c r="BE22" s="204"/>
      <c r="BF22" s="204"/>
      <c r="BG22" s="206"/>
      <c r="BH22" s="204"/>
      <c r="BI22" s="204"/>
      <c r="BJ22" s="206"/>
      <c r="BK22" s="172"/>
      <c r="BL22" s="172"/>
    </row>
    <row r="23" spans="1:64">
      <c r="A23" s="111"/>
      <c r="B23" s="25"/>
      <c r="C23" s="111"/>
      <c r="D23" s="119"/>
      <c r="E23" s="119"/>
      <c r="F23" s="119"/>
      <c r="G23" s="119"/>
      <c r="H23" s="119"/>
      <c r="I23" s="119"/>
      <c r="J23" s="119"/>
      <c r="K23" s="119"/>
      <c r="L23" s="118"/>
      <c r="N23" s="111"/>
      <c r="O23" s="132"/>
      <c r="P23" s="100"/>
      <c r="Q23" s="118"/>
      <c r="R23" s="129"/>
      <c r="S23" s="119"/>
      <c r="T23" s="119"/>
      <c r="U23" s="129"/>
      <c r="V23" s="119"/>
      <c r="W23" s="119"/>
      <c r="X23" s="129"/>
      <c r="Y23" s="119"/>
      <c r="Z23" s="119"/>
      <c r="AA23" s="129"/>
      <c r="AB23" s="119"/>
      <c r="AC23" s="118"/>
      <c r="AD23" s="118"/>
      <c r="AF23" s="111"/>
      <c r="AG23" s="132" t="s">
        <v>33</v>
      </c>
      <c r="AH23" s="100"/>
      <c r="AI23" s="129" t="s">
        <v>53</v>
      </c>
      <c r="AJ23" s="129">
        <v>400</v>
      </c>
      <c r="AK23" s="64"/>
      <c r="AL23" s="129" t="s">
        <v>53</v>
      </c>
      <c r="AM23" s="129">
        <v>0</v>
      </c>
      <c r="AN23" s="64"/>
      <c r="AO23" s="129" t="s">
        <v>53</v>
      </c>
      <c r="AP23" s="129">
        <v>0</v>
      </c>
      <c r="AQ23" s="64"/>
      <c r="AR23" s="129" t="s">
        <v>53</v>
      </c>
      <c r="AS23" s="129">
        <v>29000</v>
      </c>
      <c r="AT23" s="119"/>
      <c r="AV23" s="4"/>
      <c r="AW23" s="203" t="s">
        <v>33</v>
      </c>
      <c r="AX23" s="67"/>
      <c r="AY23" s="204">
        <v>400</v>
      </c>
      <c r="AZ23" s="204">
        <v>400</v>
      </c>
      <c r="BA23" s="61"/>
      <c r="BB23" s="204">
        <v>0</v>
      </c>
      <c r="BC23" s="204"/>
      <c r="BD23" s="61"/>
      <c r="BE23" s="204">
        <v>0</v>
      </c>
      <c r="BF23" s="204"/>
      <c r="BG23" s="61"/>
      <c r="BH23" s="204">
        <v>29000</v>
      </c>
      <c r="BI23" s="204">
        <v>1000</v>
      </c>
      <c r="BJ23" s="206"/>
      <c r="BK23" s="172">
        <v>29400</v>
      </c>
      <c r="BL23" s="172">
        <v>1400</v>
      </c>
    </row>
    <row r="24" spans="1:64">
      <c r="A24" s="111"/>
      <c r="B24" s="25" t="s">
        <v>34</v>
      </c>
      <c r="C24" s="111"/>
      <c r="D24" s="65">
        <v>0</v>
      </c>
      <c r="E24" s="65">
        <v>0</v>
      </c>
      <c r="F24" s="65">
        <v>0</v>
      </c>
      <c r="G24" s="65">
        <v>0</v>
      </c>
      <c r="H24" s="65">
        <v>0</v>
      </c>
      <c r="I24" s="65">
        <v>0</v>
      </c>
      <c r="J24" s="65">
        <v>0</v>
      </c>
      <c r="K24" s="65">
        <v>0</v>
      </c>
      <c r="L24" s="65">
        <v>0</v>
      </c>
      <c r="N24" s="111"/>
      <c r="O24" s="132" t="s">
        <v>34</v>
      </c>
      <c r="P24" s="100"/>
      <c r="Q24" s="65">
        <v>0</v>
      </c>
      <c r="R24" s="129" t="s">
        <v>53</v>
      </c>
      <c r="S24" s="65">
        <v>0</v>
      </c>
      <c r="T24" s="65">
        <v>0</v>
      </c>
      <c r="U24" s="129" t="s">
        <v>53</v>
      </c>
      <c r="V24" s="65">
        <v>0</v>
      </c>
      <c r="W24" s="65">
        <v>0</v>
      </c>
      <c r="X24" s="129" t="s">
        <v>53</v>
      </c>
      <c r="Y24" s="65">
        <v>0</v>
      </c>
      <c r="Z24" s="65">
        <v>0</v>
      </c>
      <c r="AA24" s="129" t="s">
        <v>53</v>
      </c>
      <c r="AB24" s="65">
        <v>0</v>
      </c>
      <c r="AC24" s="65">
        <v>0</v>
      </c>
      <c r="AD24" s="65">
        <v>0</v>
      </c>
      <c r="AF24" s="111"/>
      <c r="AG24" s="132"/>
      <c r="AH24" s="100"/>
      <c r="AI24" s="129"/>
      <c r="AJ24" s="129"/>
      <c r="AK24" s="119"/>
      <c r="AL24" s="129"/>
      <c r="AM24" s="129"/>
      <c r="AN24" s="119"/>
      <c r="AO24" s="129"/>
      <c r="AP24" s="129"/>
      <c r="AQ24" s="119"/>
      <c r="AR24" s="129"/>
      <c r="AS24" s="129"/>
      <c r="AT24" s="119"/>
      <c r="AV24" s="4"/>
      <c r="AW24" s="203"/>
      <c r="AX24" s="67"/>
      <c r="AY24" s="204"/>
      <c r="AZ24" s="204"/>
      <c r="BA24" s="206"/>
      <c r="BB24" s="204"/>
      <c r="BC24" s="204"/>
      <c r="BD24" s="206"/>
      <c r="BE24" s="204"/>
      <c r="BF24" s="204"/>
      <c r="BG24" s="206"/>
      <c r="BH24" s="204"/>
      <c r="BI24" s="204"/>
      <c r="BJ24" s="206"/>
      <c r="BK24" s="172"/>
      <c r="BL24" s="172"/>
    </row>
    <row r="25" spans="1:64">
      <c r="A25" s="111"/>
      <c r="B25" s="25"/>
      <c r="C25" s="111"/>
      <c r="D25" s="119"/>
      <c r="E25" s="119"/>
      <c r="F25" s="119"/>
      <c r="G25" s="119"/>
      <c r="H25" s="119"/>
      <c r="I25" s="119"/>
      <c r="J25" s="119"/>
      <c r="K25" s="119"/>
      <c r="L25" s="118"/>
      <c r="N25" s="111"/>
      <c r="O25" s="132"/>
      <c r="P25" s="100"/>
      <c r="Q25" s="118"/>
      <c r="R25" s="129"/>
      <c r="S25" s="119"/>
      <c r="T25" s="119"/>
      <c r="U25" s="129"/>
      <c r="V25" s="119"/>
      <c r="W25" s="119"/>
      <c r="X25" s="129"/>
      <c r="Y25" s="119"/>
      <c r="Z25" s="119"/>
      <c r="AA25" s="129"/>
      <c r="AB25" s="119"/>
      <c r="AC25" s="118"/>
      <c r="AD25" s="118"/>
      <c r="AF25" s="111"/>
      <c r="AG25" s="132" t="s">
        <v>34</v>
      </c>
      <c r="AH25" s="100"/>
      <c r="AI25" s="129" t="s">
        <v>53</v>
      </c>
      <c r="AJ25" s="129">
        <v>0</v>
      </c>
      <c r="AK25" s="20">
        <v>0</v>
      </c>
      <c r="AL25" s="129" t="s">
        <v>53</v>
      </c>
      <c r="AM25" s="129">
        <v>0</v>
      </c>
      <c r="AN25" s="20">
        <v>0</v>
      </c>
      <c r="AO25" s="129" t="s">
        <v>53</v>
      </c>
      <c r="AP25" s="129">
        <v>0</v>
      </c>
      <c r="AQ25" s="20">
        <v>0</v>
      </c>
      <c r="AR25" s="129" t="s">
        <v>53</v>
      </c>
      <c r="AS25" s="129">
        <v>0</v>
      </c>
      <c r="AT25" s="20">
        <v>0</v>
      </c>
      <c r="AV25" s="4"/>
      <c r="AW25" s="203" t="s">
        <v>34</v>
      </c>
      <c r="AX25" s="67"/>
      <c r="AY25" s="204">
        <v>0</v>
      </c>
      <c r="AZ25" s="204"/>
      <c r="BA25" s="24">
        <v>0</v>
      </c>
      <c r="BB25" s="204">
        <v>0</v>
      </c>
      <c r="BC25" s="204"/>
      <c r="BD25" s="24">
        <v>0</v>
      </c>
      <c r="BE25" s="204">
        <v>0</v>
      </c>
      <c r="BF25" s="204"/>
      <c r="BG25" s="24">
        <v>0</v>
      </c>
      <c r="BH25" s="204">
        <v>0</v>
      </c>
      <c r="BI25" s="204">
        <v>15900</v>
      </c>
      <c r="BJ25" s="24">
        <v>0</v>
      </c>
      <c r="BK25" s="172">
        <v>0</v>
      </c>
      <c r="BL25" s="172">
        <v>15900</v>
      </c>
    </row>
    <row r="26" spans="1:64">
      <c r="A26" s="111"/>
      <c r="B26" s="117" t="s">
        <v>38</v>
      </c>
      <c r="C26" s="111"/>
      <c r="D26" s="65">
        <v>0</v>
      </c>
      <c r="E26" s="26"/>
      <c r="F26" s="103">
        <v>0</v>
      </c>
      <c r="G26" s="26"/>
      <c r="H26" s="103">
        <v>0</v>
      </c>
      <c r="I26" s="26"/>
      <c r="J26" s="103">
        <v>19250</v>
      </c>
      <c r="K26" s="119"/>
      <c r="L26" s="103">
        <v>19250</v>
      </c>
      <c r="N26" s="111"/>
      <c r="O26" s="132" t="s">
        <v>38</v>
      </c>
      <c r="P26" s="100"/>
      <c r="Q26" s="65">
        <v>0</v>
      </c>
      <c r="R26" s="129" t="s">
        <v>53</v>
      </c>
      <c r="S26" s="26"/>
      <c r="T26" s="103">
        <v>0</v>
      </c>
      <c r="U26" s="129" t="s">
        <v>53</v>
      </c>
      <c r="V26" s="26"/>
      <c r="W26" s="103">
        <v>0</v>
      </c>
      <c r="X26" s="129" t="s">
        <v>53</v>
      </c>
      <c r="Y26" s="26"/>
      <c r="Z26" s="103">
        <v>19250</v>
      </c>
      <c r="AA26" s="129" t="s">
        <v>53</v>
      </c>
      <c r="AB26" s="119"/>
      <c r="AC26" s="103">
        <f>Q26+T26+W26+Z26</f>
        <v>19250</v>
      </c>
      <c r="AD26" s="65">
        <v>0</v>
      </c>
      <c r="AF26" s="111"/>
      <c r="AG26" s="132"/>
      <c r="AH26" s="100"/>
      <c r="AI26" s="129"/>
      <c r="AJ26" s="129"/>
      <c r="AK26" s="119"/>
      <c r="AL26" s="129"/>
      <c r="AM26" s="129"/>
      <c r="AN26" s="119"/>
      <c r="AO26" s="129"/>
      <c r="AP26" s="129"/>
      <c r="AQ26" s="119"/>
      <c r="AR26" s="129"/>
      <c r="AS26" s="129"/>
      <c r="AT26" s="119"/>
      <c r="AV26" s="4"/>
      <c r="AW26" s="203"/>
      <c r="AX26" s="67"/>
      <c r="AY26" s="204"/>
      <c r="AZ26" s="204"/>
      <c r="BA26" s="206"/>
      <c r="BB26" s="204"/>
      <c r="BC26" s="204"/>
      <c r="BD26" s="206"/>
      <c r="BE26" s="204"/>
      <c r="BF26" s="204"/>
      <c r="BG26" s="206"/>
      <c r="BH26" s="204"/>
      <c r="BI26" s="204"/>
      <c r="BJ26" s="206"/>
      <c r="BK26" s="172"/>
      <c r="BL26" s="172"/>
    </row>
    <row r="27" spans="1:64">
      <c r="A27" s="111"/>
      <c r="B27" s="25"/>
      <c r="C27" s="111"/>
      <c r="D27" s="119"/>
      <c r="E27" s="119"/>
      <c r="F27" s="119"/>
      <c r="G27" s="119"/>
      <c r="H27" s="119"/>
      <c r="I27" s="119"/>
      <c r="J27" s="119"/>
      <c r="K27" s="119"/>
      <c r="L27" s="118"/>
      <c r="N27" s="111"/>
      <c r="O27" s="132"/>
      <c r="P27" s="100"/>
      <c r="Q27" s="118"/>
      <c r="R27" s="129"/>
      <c r="S27" s="119"/>
      <c r="T27" s="119"/>
      <c r="U27" s="129"/>
      <c r="V27" s="119"/>
      <c r="W27" s="119"/>
      <c r="X27" s="129"/>
      <c r="Y27" s="119"/>
      <c r="Z27" s="119"/>
      <c r="AA27" s="129"/>
      <c r="AB27" s="119"/>
      <c r="AC27" s="118"/>
      <c r="AD27" s="118"/>
      <c r="AF27" s="111"/>
      <c r="AG27" s="132" t="s">
        <v>38</v>
      </c>
      <c r="AH27" s="100"/>
      <c r="AI27" s="129" t="s">
        <v>53</v>
      </c>
      <c r="AJ27" s="129">
        <v>0</v>
      </c>
      <c r="AK27" s="64"/>
      <c r="AL27" s="129" t="s">
        <v>53</v>
      </c>
      <c r="AM27" s="129">
        <v>0</v>
      </c>
      <c r="AN27" s="64"/>
      <c r="AO27" s="129" t="s">
        <v>53</v>
      </c>
      <c r="AP27" s="129">
        <v>0</v>
      </c>
      <c r="AQ27" s="64"/>
      <c r="AR27" s="129" t="s">
        <v>53</v>
      </c>
      <c r="AS27" s="129">
        <v>0</v>
      </c>
      <c r="AT27" s="119"/>
      <c r="AV27" s="4"/>
      <c r="AW27" s="203" t="s">
        <v>38</v>
      </c>
      <c r="AX27" s="67"/>
      <c r="AY27" s="204">
        <v>0</v>
      </c>
      <c r="AZ27" s="204"/>
      <c r="BA27" s="61"/>
      <c r="BB27" s="204">
        <v>0</v>
      </c>
      <c r="BC27" s="204">
        <v>500</v>
      </c>
      <c r="BD27" s="61"/>
      <c r="BE27" s="204">
        <v>0</v>
      </c>
      <c r="BF27" s="204"/>
      <c r="BG27" s="61"/>
      <c r="BH27" s="204">
        <v>0</v>
      </c>
      <c r="BI27" s="204">
        <v>6800</v>
      </c>
      <c r="BJ27" s="206"/>
      <c r="BK27" s="172">
        <v>0</v>
      </c>
      <c r="BL27" s="172">
        <v>7300</v>
      </c>
    </row>
    <row r="28" spans="1:64">
      <c r="A28" s="111"/>
      <c r="B28" s="117" t="s">
        <v>39</v>
      </c>
      <c r="C28" s="111"/>
      <c r="D28" s="65">
        <v>9826</v>
      </c>
      <c r="E28" s="104"/>
      <c r="F28" s="103">
        <v>2669</v>
      </c>
      <c r="G28" s="104"/>
      <c r="H28" s="103">
        <v>790</v>
      </c>
      <c r="I28" s="104"/>
      <c r="J28" s="103">
        <v>3000</v>
      </c>
      <c r="K28" s="119"/>
      <c r="L28" s="103">
        <v>16285</v>
      </c>
      <c r="N28" s="111"/>
      <c r="O28" s="132" t="s">
        <v>39</v>
      </c>
      <c r="P28" s="100"/>
      <c r="Q28" s="65">
        <v>9826</v>
      </c>
      <c r="R28" s="129" t="s">
        <v>53</v>
      </c>
      <c r="S28" s="104"/>
      <c r="T28" s="103">
        <v>2669</v>
      </c>
      <c r="U28" s="129" t="s">
        <v>53</v>
      </c>
      <c r="V28" s="104"/>
      <c r="W28" s="103">
        <v>790</v>
      </c>
      <c r="X28" s="129" t="s">
        <v>53</v>
      </c>
      <c r="Y28" s="104"/>
      <c r="Z28" s="103">
        <v>3000</v>
      </c>
      <c r="AA28" s="129" t="s">
        <v>53</v>
      </c>
      <c r="AB28" s="119"/>
      <c r="AC28" s="103">
        <f>Q28+T28+W28+Z28</f>
        <v>16285</v>
      </c>
      <c r="AD28" s="103">
        <v>11351.7</v>
      </c>
      <c r="AF28" s="111"/>
      <c r="AG28" s="132"/>
      <c r="AH28" s="100"/>
      <c r="AI28" s="129"/>
      <c r="AJ28" s="129"/>
      <c r="AK28" s="119"/>
      <c r="AL28" s="129"/>
      <c r="AM28" s="129"/>
      <c r="AN28" s="119"/>
      <c r="AO28" s="129"/>
      <c r="AP28" s="129"/>
      <c r="AQ28" s="119"/>
      <c r="AR28" s="129"/>
      <c r="AS28" s="129"/>
      <c r="AT28" s="119"/>
      <c r="AV28" s="4"/>
      <c r="AW28" s="203"/>
      <c r="AX28" s="67"/>
      <c r="AY28" s="204"/>
      <c r="AZ28" s="204"/>
      <c r="BA28" s="206"/>
      <c r="BB28" s="204"/>
      <c r="BC28" s="204"/>
      <c r="BD28" s="206"/>
      <c r="BE28" s="204"/>
      <c r="BF28" s="204"/>
      <c r="BG28" s="206"/>
      <c r="BH28" s="204"/>
      <c r="BI28" s="204"/>
      <c r="BJ28" s="206"/>
      <c r="BK28" s="172"/>
      <c r="BL28" s="172"/>
    </row>
    <row r="29" spans="1:64">
      <c r="A29" s="111"/>
      <c r="B29" s="25"/>
      <c r="C29" s="111"/>
      <c r="D29" s="119"/>
      <c r="E29" s="119"/>
      <c r="F29" s="119"/>
      <c r="G29" s="119"/>
      <c r="H29" s="119"/>
      <c r="I29" s="119"/>
      <c r="J29" s="119"/>
      <c r="K29" s="119"/>
      <c r="L29" s="118"/>
      <c r="N29" s="111"/>
      <c r="O29" s="132"/>
      <c r="P29" s="100"/>
      <c r="Q29" s="118"/>
      <c r="R29" s="129"/>
      <c r="S29" s="119"/>
      <c r="T29" s="119"/>
      <c r="U29" s="129"/>
      <c r="V29" s="119"/>
      <c r="W29" s="119"/>
      <c r="X29" s="129"/>
      <c r="Y29" s="119"/>
      <c r="Z29" s="119"/>
      <c r="AA29" s="129"/>
      <c r="AB29" s="119"/>
      <c r="AC29" s="118"/>
      <c r="AD29" s="118"/>
      <c r="AF29" s="111"/>
      <c r="AG29" s="132" t="s">
        <v>39</v>
      </c>
      <c r="AH29" s="100"/>
      <c r="AI29" s="129" t="s">
        <v>53</v>
      </c>
      <c r="AJ29" s="129">
        <v>16130</v>
      </c>
      <c r="AK29" s="20"/>
      <c r="AL29" s="129" t="s">
        <v>53</v>
      </c>
      <c r="AM29" s="129">
        <v>0</v>
      </c>
      <c r="AN29" s="20"/>
      <c r="AO29" s="129" t="s">
        <v>53</v>
      </c>
      <c r="AP29" s="129">
        <v>0</v>
      </c>
      <c r="AQ29" s="20"/>
      <c r="AR29" s="129" t="s">
        <v>53</v>
      </c>
      <c r="AS29" s="129">
        <v>6000</v>
      </c>
      <c r="AT29" s="119"/>
      <c r="AV29" s="4"/>
      <c r="AW29" s="203" t="s">
        <v>39</v>
      </c>
      <c r="AX29" s="67"/>
      <c r="AY29" s="204">
        <v>16130</v>
      </c>
      <c r="AZ29" s="204">
        <v>16130</v>
      </c>
      <c r="BA29" s="24"/>
      <c r="BB29" s="204">
        <v>0</v>
      </c>
      <c r="BC29" s="204"/>
      <c r="BD29" s="24"/>
      <c r="BE29" s="204">
        <v>0</v>
      </c>
      <c r="BF29" s="204"/>
      <c r="BG29" s="24"/>
      <c r="BH29" s="204">
        <v>6000</v>
      </c>
      <c r="BI29" s="204">
        <v>40000</v>
      </c>
      <c r="BJ29" s="206"/>
      <c r="BK29" s="172">
        <v>22130</v>
      </c>
      <c r="BL29" s="172">
        <v>56130</v>
      </c>
    </row>
    <row r="30" spans="1:64">
      <c r="A30" s="111"/>
      <c r="B30" s="25" t="s">
        <v>36</v>
      </c>
      <c r="C30" s="111"/>
      <c r="D30" s="65">
        <v>0</v>
      </c>
      <c r="E30" s="65">
        <v>0</v>
      </c>
      <c r="F30" s="65">
        <v>0</v>
      </c>
      <c r="G30" s="65">
        <v>0</v>
      </c>
      <c r="H30" s="65">
        <v>0</v>
      </c>
      <c r="I30" s="65">
        <v>0</v>
      </c>
      <c r="J30" s="65">
        <v>0</v>
      </c>
      <c r="K30" s="65">
        <v>0</v>
      </c>
      <c r="L30" s="65">
        <v>0</v>
      </c>
      <c r="N30" s="111"/>
      <c r="O30" s="132" t="s">
        <v>36</v>
      </c>
      <c r="P30" s="100"/>
      <c r="Q30" s="65">
        <v>0</v>
      </c>
      <c r="R30" s="129" t="s">
        <v>53</v>
      </c>
      <c r="S30" s="65">
        <v>0</v>
      </c>
      <c r="T30" s="65">
        <v>0</v>
      </c>
      <c r="U30" s="129" t="s">
        <v>53</v>
      </c>
      <c r="V30" s="65">
        <v>0</v>
      </c>
      <c r="W30" s="65">
        <v>0</v>
      </c>
      <c r="X30" s="129" t="s">
        <v>53</v>
      </c>
      <c r="Y30" s="65">
        <v>0</v>
      </c>
      <c r="Z30" s="65">
        <v>0</v>
      </c>
      <c r="AA30" s="129" t="s">
        <v>53</v>
      </c>
      <c r="AB30" s="65">
        <v>0</v>
      </c>
      <c r="AC30" s="65">
        <v>0</v>
      </c>
      <c r="AD30" s="65">
        <v>0</v>
      </c>
      <c r="AF30" s="111"/>
      <c r="AG30" s="132"/>
      <c r="AH30" s="100"/>
      <c r="AI30" s="129"/>
      <c r="AJ30" s="129"/>
      <c r="AK30" s="119"/>
      <c r="AL30" s="129"/>
      <c r="AM30" s="129"/>
      <c r="AN30" s="119"/>
      <c r="AO30" s="129"/>
      <c r="AP30" s="129"/>
      <c r="AQ30" s="119"/>
      <c r="AR30" s="129"/>
      <c r="AS30" s="129"/>
      <c r="AT30" s="119"/>
      <c r="AV30" s="4"/>
      <c r="AW30" s="203"/>
      <c r="AX30" s="67"/>
      <c r="AY30" s="204"/>
      <c r="AZ30" s="204"/>
      <c r="BA30" s="206"/>
      <c r="BB30" s="204"/>
      <c r="BC30" s="204"/>
      <c r="BD30" s="206"/>
      <c r="BE30" s="204"/>
      <c r="BF30" s="204"/>
      <c r="BG30" s="206"/>
      <c r="BH30" s="204"/>
      <c r="BI30" s="204"/>
      <c r="BJ30" s="206"/>
      <c r="BK30" s="172"/>
      <c r="BL30" s="172"/>
    </row>
    <row r="31" spans="1:64">
      <c r="A31" s="111"/>
      <c r="B31" s="25"/>
      <c r="C31" s="111"/>
      <c r="D31" s="119"/>
      <c r="E31" s="119"/>
      <c r="F31" s="119"/>
      <c r="G31" s="119"/>
      <c r="H31" s="119"/>
      <c r="I31" s="119"/>
      <c r="J31" s="119"/>
      <c r="K31" s="119"/>
      <c r="L31" s="118"/>
      <c r="N31" s="111"/>
      <c r="O31" s="132"/>
      <c r="P31" s="100"/>
      <c r="Q31" s="118"/>
      <c r="R31" s="129"/>
      <c r="S31" s="119"/>
      <c r="T31" s="119"/>
      <c r="U31" s="129"/>
      <c r="V31" s="119"/>
      <c r="W31" s="119"/>
      <c r="X31" s="129"/>
      <c r="Y31" s="119"/>
      <c r="Z31" s="119"/>
      <c r="AA31" s="129"/>
      <c r="AB31" s="119"/>
      <c r="AC31" s="118"/>
      <c r="AD31" s="118"/>
      <c r="AF31" s="111"/>
      <c r="AG31" s="132" t="s">
        <v>36</v>
      </c>
      <c r="AH31" s="100"/>
      <c r="AI31" s="129" t="s">
        <v>53</v>
      </c>
      <c r="AJ31" s="129">
        <v>0</v>
      </c>
      <c r="AK31" s="20">
        <v>0</v>
      </c>
      <c r="AL31" s="129" t="s">
        <v>53</v>
      </c>
      <c r="AM31" s="129">
        <v>0</v>
      </c>
      <c r="AN31" s="20">
        <v>0</v>
      </c>
      <c r="AO31" s="129" t="s">
        <v>53</v>
      </c>
      <c r="AP31" s="129">
        <v>0</v>
      </c>
      <c r="AQ31" s="20">
        <v>0</v>
      </c>
      <c r="AR31" s="129" t="s">
        <v>53</v>
      </c>
      <c r="AS31" s="129">
        <v>0</v>
      </c>
      <c r="AT31" s="20">
        <v>0</v>
      </c>
      <c r="AV31" s="4"/>
      <c r="AW31" s="203" t="s">
        <v>36</v>
      </c>
      <c r="AX31" s="67"/>
      <c r="AY31" s="204">
        <v>0</v>
      </c>
      <c r="AZ31" s="204"/>
      <c r="BA31" s="24">
        <v>0</v>
      </c>
      <c r="BB31" s="204">
        <v>0</v>
      </c>
      <c r="BC31" s="204"/>
      <c r="BD31" s="24">
        <v>0</v>
      </c>
      <c r="BE31" s="204">
        <v>0</v>
      </c>
      <c r="BF31" s="204"/>
      <c r="BG31" s="24">
        <v>0</v>
      </c>
      <c r="BH31" s="204">
        <v>0</v>
      </c>
      <c r="BI31" s="204">
        <v>0</v>
      </c>
      <c r="BJ31" s="24">
        <v>0</v>
      </c>
      <c r="BK31" s="172">
        <v>0</v>
      </c>
      <c r="BL31" s="172">
        <v>0</v>
      </c>
    </row>
    <row r="32" spans="1:64">
      <c r="A32" s="111"/>
      <c r="B32" s="25" t="s">
        <v>37</v>
      </c>
      <c r="C32" s="111"/>
      <c r="D32" s="65">
        <v>0</v>
      </c>
      <c r="E32" s="65">
        <v>0</v>
      </c>
      <c r="F32" s="65">
        <v>0</v>
      </c>
      <c r="G32" s="65">
        <v>0</v>
      </c>
      <c r="H32" s="65">
        <v>0</v>
      </c>
      <c r="I32" s="65">
        <v>0</v>
      </c>
      <c r="J32" s="65">
        <v>0</v>
      </c>
      <c r="K32" s="65">
        <v>0</v>
      </c>
      <c r="L32" s="65">
        <v>0</v>
      </c>
      <c r="N32" s="111"/>
      <c r="O32" s="132" t="s">
        <v>37</v>
      </c>
      <c r="P32" s="100"/>
      <c r="Q32" s="65">
        <v>0</v>
      </c>
      <c r="R32" s="129" t="s">
        <v>53</v>
      </c>
      <c r="S32" s="65">
        <v>0</v>
      </c>
      <c r="T32" s="65">
        <v>0</v>
      </c>
      <c r="U32" s="129" t="s">
        <v>53</v>
      </c>
      <c r="V32" s="65">
        <v>0</v>
      </c>
      <c r="W32" s="65">
        <v>0</v>
      </c>
      <c r="X32" s="129" t="s">
        <v>53</v>
      </c>
      <c r="Y32" s="65">
        <v>0</v>
      </c>
      <c r="Z32" s="65">
        <v>0</v>
      </c>
      <c r="AA32" s="129" t="s">
        <v>53</v>
      </c>
      <c r="AB32" s="65">
        <v>0</v>
      </c>
      <c r="AC32" s="65">
        <v>0</v>
      </c>
      <c r="AD32" s="65">
        <v>0</v>
      </c>
      <c r="AF32" s="111"/>
      <c r="AG32" s="132"/>
      <c r="AH32" s="100"/>
      <c r="AI32" s="129"/>
      <c r="AJ32" s="129"/>
      <c r="AK32" s="119"/>
      <c r="AL32" s="129"/>
      <c r="AM32" s="129"/>
      <c r="AN32" s="119"/>
      <c r="AO32" s="129"/>
      <c r="AP32" s="129"/>
      <c r="AQ32" s="119"/>
      <c r="AR32" s="129"/>
      <c r="AS32" s="129"/>
      <c r="AT32" s="119"/>
      <c r="AV32" s="4"/>
      <c r="AW32" s="203"/>
      <c r="AX32" s="67"/>
      <c r="AY32" s="204"/>
      <c r="AZ32" s="204"/>
      <c r="BA32" s="206"/>
      <c r="BB32" s="204"/>
      <c r="BC32" s="204"/>
      <c r="BD32" s="206"/>
      <c r="BE32" s="204"/>
      <c r="BF32" s="204"/>
      <c r="BG32" s="206"/>
      <c r="BH32" s="204"/>
      <c r="BI32" s="204"/>
      <c r="BJ32" s="206"/>
      <c r="BK32" s="172"/>
      <c r="BL32" s="172"/>
    </row>
    <row r="33" spans="1:64">
      <c r="A33" s="111"/>
      <c r="B33" s="25"/>
      <c r="C33" s="111"/>
      <c r="D33" s="119"/>
      <c r="E33" s="119"/>
      <c r="F33" s="119"/>
      <c r="G33" s="119"/>
      <c r="H33" s="119"/>
      <c r="I33" s="119"/>
      <c r="J33" s="119"/>
      <c r="K33" s="119"/>
      <c r="L33" s="118"/>
      <c r="N33" s="111"/>
      <c r="O33" s="132"/>
      <c r="P33" s="100"/>
      <c r="Q33" s="118"/>
      <c r="R33" s="129"/>
      <c r="S33" s="119"/>
      <c r="T33" s="119"/>
      <c r="U33" s="129"/>
      <c r="V33" s="119"/>
      <c r="W33" s="119"/>
      <c r="X33" s="129"/>
      <c r="Y33" s="119"/>
      <c r="Z33" s="119"/>
      <c r="AA33" s="129"/>
      <c r="AB33" s="119"/>
      <c r="AC33" s="118"/>
      <c r="AD33" s="118"/>
      <c r="AF33" s="111"/>
      <c r="AG33" s="132" t="s">
        <v>37</v>
      </c>
      <c r="AH33" s="100"/>
      <c r="AI33" s="129" t="s">
        <v>53</v>
      </c>
      <c r="AJ33" s="129">
        <v>0</v>
      </c>
      <c r="AK33" s="20">
        <v>0</v>
      </c>
      <c r="AL33" s="129" t="s">
        <v>53</v>
      </c>
      <c r="AM33" s="129">
        <v>0</v>
      </c>
      <c r="AN33" s="20">
        <v>0</v>
      </c>
      <c r="AO33" s="129" t="s">
        <v>53</v>
      </c>
      <c r="AP33" s="129">
        <v>0</v>
      </c>
      <c r="AQ33" s="20">
        <v>0</v>
      </c>
      <c r="AR33" s="129" t="s">
        <v>53</v>
      </c>
      <c r="AS33" s="129">
        <v>0</v>
      </c>
      <c r="AT33" s="20">
        <v>0</v>
      </c>
      <c r="AV33" s="4"/>
      <c r="AW33" s="203" t="s">
        <v>37</v>
      </c>
      <c r="AX33" s="67"/>
      <c r="AY33" s="204">
        <v>0</v>
      </c>
      <c r="AZ33" s="204"/>
      <c r="BA33" s="24">
        <v>0</v>
      </c>
      <c r="BB33" s="204">
        <v>0</v>
      </c>
      <c r="BC33" s="204"/>
      <c r="BD33" s="24">
        <v>0</v>
      </c>
      <c r="BE33" s="204">
        <v>0</v>
      </c>
      <c r="BF33" s="204"/>
      <c r="BG33" s="24">
        <v>0</v>
      </c>
      <c r="BH33" s="204">
        <v>0</v>
      </c>
      <c r="BI33" s="204">
        <v>0</v>
      </c>
      <c r="BJ33" s="24">
        <v>0</v>
      </c>
      <c r="BK33" s="172">
        <v>0</v>
      </c>
      <c r="BL33" s="172">
        <v>0</v>
      </c>
    </row>
    <row r="34" spans="1:64">
      <c r="A34" s="111"/>
      <c r="B34" s="25" t="s">
        <v>41</v>
      </c>
      <c r="C34" s="111"/>
      <c r="D34" s="65">
        <v>0</v>
      </c>
      <c r="E34" s="65">
        <v>0</v>
      </c>
      <c r="F34" s="65">
        <v>0</v>
      </c>
      <c r="G34" s="65">
        <v>0</v>
      </c>
      <c r="H34" s="65">
        <v>0</v>
      </c>
      <c r="I34" s="65">
        <v>0</v>
      </c>
      <c r="J34" s="65">
        <v>0</v>
      </c>
      <c r="K34" s="65">
        <v>0</v>
      </c>
      <c r="L34" s="65">
        <v>0</v>
      </c>
      <c r="N34" s="111"/>
      <c r="O34" s="132" t="s">
        <v>41</v>
      </c>
      <c r="P34" s="100"/>
      <c r="Q34" s="65">
        <v>0</v>
      </c>
      <c r="R34" s="129" t="s">
        <v>53</v>
      </c>
      <c r="S34" s="65">
        <v>0</v>
      </c>
      <c r="T34" s="65">
        <v>0</v>
      </c>
      <c r="U34" s="129" t="s">
        <v>53</v>
      </c>
      <c r="V34" s="65">
        <v>0</v>
      </c>
      <c r="W34" s="65">
        <v>0</v>
      </c>
      <c r="X34" s="129" t="s">
        <v>53</v>
      </c>
      <c r="Y34" s="65">
        <v>0</v>
      </c>
      <c r="Z34" s="65">
        <v>0</v>
      </c>
      <c r="AA34" s="129" t="s">
        <v>53</v>
      </c>
      <c r="AB34" s="65">
        <v>0</v>
      </c>
      <c r="AC34" s="65">
        <v>0</v>
      </c>
      <c r="AD34" s="65">
        <v>0</v>
      </c>
      <c r="AF34" s="111"/>
      <c r="AG34" s="132"/>
      <c r="AH34" s="100"/>
      <c r="AI34" s="129"/>
      <c r="AJ34" s="129"/>
      <c r="AK34" s="119"/>
      <c r="AL34" s="129"/>
      <c r="AM34" s="129"/>
      <c r="AN34" s="119"/>
      <c r="AO34" s="129"/>
      <c r="AP34" s="129"/>
      <c r="AQ34" s="119"/>
      <c r="AR34" s="129"/>
      <c r="AS34" s="129"/>
      <c r="AT34" s="119"/>
      <c r="AV34" s="4"/>
      <c r="AW34" s="203"/>
      <c r="AX34" s="67"/>
      <c r="AY34" s="204"/>
      <c r="AZ34" s="204"/>
      <c r="BA34" s="206"/>
      <c r="BB34" s="204"/>
      <c r="BC34" s="204"/>
      <c r="BD34" s="206"/>
      <c r="BE34" s="204"/>
      <c r="BF34" s="204"/>
      <c r="BG34" s="206"/>
      <c r="BH34" s="204"/>
      <c r="BI34" s="204"/>
      <c r="BJ34" s="206"/>
      <c r="BK34" s="172"/>
      <c r="BL34" s="172"/>
    </row>
    <row r="35" spans="1:64">
      <c r="A35" s="111"/>
      <c r="B35" s="25"/>
      <c r="C35" s="111"/>
      <c r="D35" s="119"/>
      <c r="E35" s="119"/>
      <c r="F35" s="119"/>
      <c r="G35" s="119"/>
      <c r="H35" s="119"/>
      <c r="I35" s="119"/>
      <c r="J35" s="119"/>
      <c r="K35" s="119"/>
      <c r="L35" s="118"/>
      <c r="N35" s="111"/>
      <c r="O35" s="25"/>
      <c r="P35" s="111"/>
      <c r="Q35" s="119"/>
      <c r="R35" s="119"/>
      <c r="S35" s="119"/>
      <c r="T35" s="119"/>
      <c r="U35" s="119"/>
      <c r="V35" s="119"/>
      <c r="W35" s="119"/>
      <c r="X35" s="119"/>
      <c r="Y35" s="119"/>
      <c r="Z35" s="119"/>
      <c r="AA35" s="119"/>
      <c r="AB35" s="119"/>
      <c r="AC35" s="118"/>
      <c r="AD35" s="118"/>
      <c r="AF35" s="111"/>
      <c r="AG35" s="132" t="s">
        <v>41</v>
      </c>
      <c r="AH35" s="100"/>
      <c r="AI35" s="129" t="s">
        <v>53</v>
      </c>
      <c r="AJ35" s="129">
        <v>0</v>
      </c>
      <c r="AK35" s="20">
        <v>0</v>
      </c>
      <c r="AL35" s="129" t="s">
        <v>53</v>
      </c>
      <c r="AM35" s="129">
        <v>0</v>
      </c>
      <c r="AN35" s="20">
        <v>0</v>
      </c>
      <c r="AO35" s="129" t="s">
        <v>53</v>
      </c>
      <c r="AP35" s="129">
        <v>0</v>
      </c>
      <c r="AQ35" s="20">
        <v>0</v>
      </c>
      <c r="AR35" s="129" t="s">
        <v>53</v>
      </c>
      <c r="AS35" s="129">
        <v>0</v>
      </c>
      <c r="AT35" s="20">
        <v>0</v>
      </c>
      <c r="AV35" s="4"/>
      <c r="AW35" s="203" t="s">
        <v>41</v>
      </c>
      <c r="AX35" s="67"/>
      <c r="AY35" s="204">
        <v>0</v>
      </c>
      <c r="AZ35" s="204"/>
      <c r="BA35" s="24">
        <v>0</v>
      </c>
      <c r="BB35" s="204">
        <v>0</v>
      </c>
      <c r="BC35" s="204"/>
      <c r="BD35" s="24">
        <v>0</v>
      </c>
      <c r="BE35" s="204">
        <v>0</v>
      </c>
      <c r="BF35" s="204"/>
      <c r="BG35" s="24">
        <v>0</v>
      </c>
      <c r="BH35" s="204">
        <v>0</v>
      </c>
      <c r="BI35" s="204">
        <v>0</v>
      </c>
      <c r="BJ35" s="24">
        <v>0</v>
      </c>
      <c r="BK35" s="172">
        <v>0</v>
      </c>
      <c r="BL35" s="172">
        <v>0</v>
      </c>
    </row>
    <row r="36" spans="1:64">
      <c r="A36" s="111"/>
      <c r="B36" s="117"/>
      <c r="C36" s="111"/>
      <c r="D36" s="65"/>
      <c r="E36" s="104"/>
      <c r="F36" s="103"/>
      <c r="G36" s="104"/>
      <c r="H36" s="103"/>
      <c r="I36" s="104"/>
      <c r="J36" s="103"/>
      <c r="K36" s="119"/>
      <c r="L36" s="103"/>
      <c r="N36" s="111"/>
      <c r="O36" s="117"/>
      <c r="P36" s="111"/>
      <c r="Q36" s="65"/>
      <c r="R36" s="65"/>
      <c r="S36" s="104"/>
      <c r="T36" s="103"/>
      <c r="U36" s="103"/>
      <c r="V36" s="104"/>
      <c r="W36" s="103"/>
      <c r="X36" s="103"/>
      <c r="Y36" s="104"/>
      <c r="Z36" s="103"/>
      <c r="AA36" s="103"/>
      <c r="AB36" s="119"/>
      <c r="AC36" s="103"/>
      <c r="AD36" s="103"/>
      <c r="AF36" s="111"/>
      <c r="AG36" s="181"/>
      <c r="AH36" s="111"/>
      <c r="AI36" s="119"/>
      <c r="AJ36" s="119"/>
      <c r="AK36" s="119"/>
      <c r="AL36" s="119"/>
      <c r="AM36" s="194"/>
      <c r="AN36" s="119"/>
      <c r="AO36" s="119"/>
      <c r="AP36" s="194"/>
      <c r="AQ36" s="119"/>
      <c r="AR36" s="119"/>
      <c r="AS36" s="194"/>
      <c r="AT36" s="119"/>
      <c r="AV36" s="4"/>
      <c r="AW36" s="207"/>
      <c r="AX36" s="4"/>
      <c r="AY36" s="206"/>
      <c r="AZ36" s="206"/>
      <c r="BA36" s="206"/>
      <c r="BB36" s="206"/>
      <c r="BC36" s="206"/>
      <c r="BD36" s="206"/>
      <c r="BE36" s="206"/>
      <c r="BF36" s="206"/>
      <c r="BG36" s="206"/>
      <c r="BH36" s="206"/>
      <c r="BI36" s="206"/>
      <c r="BJ36" s="206"/>
      <c r="BK36" s="4"/>
      <c r="BL36" s="4"/>
    </row>
    <row r="37" spans="1:64" ht="15" thickBot="1">
      <c r="N37" s="111"/>
      <c r="O37" s="130"/>
      <c r="P37" s="86"/>
      <c r="Q37" s="86"/>
      <c r="R37" s="86"/>
      <c r="S37" s="86"/>
      <c r="T37" s="86"/>
      <c r="U37" s="86"/>
      <c r="V37" s="86"/>
      <c r="W37" s="86"/>
      <c r="X37" s="86"/>
      <c r="Y37" s="86"/>
      <c r="Z37" s="86"/>
      <c r="AA37" s="86"/>
      <c r="AB37" s="86"/>
      <c r="AC37" s="86"/>
      <c r="AD37" s="86"/>
      <c r="AF37" s="111"/>
      <c r="AG37" s="193"/>
      <c r="AH37" s="111"/>
      <c r="AI37" s="20"/>
      <c r="AJ37" s="20"/>
      <c r="AK37" s="20"/>
      <c r="AL37" s="103"/>
      <c r="AM37" s="103"/>
      <c r="AN37" s="20"/>
      <c r="AO37" s="103"/>
      <c r="AP37" s="103"/>
      <c r="AQ37" s="20"/>
      <c r="AR37" s="103"/>
      <c r="AS37" s="103"/>
      <c r="AT37" s="119"/>
      <c r="AV37" s="4"/>
      <c r="AW37" s="205"/>
      <c r="AX37" s="4"/>
      <c r="AY37" s="24"/>
      <c r="AZ37" s="24"/>
      <c r="BA37" s="24"/>
      <c r="BB37" s="172"/>
      <c r="BC37" s="172"/>
      <c r="BD37" s="24"/>
      <c r="BE37" s="172"/>
      <c r="BF37" s="172"/>
      <c r="BG37" s="24"/>
      <c r="BH37" s="172"/>
      <c r="BI37" s="172"/>
      <c r="BJ37" s="206"/>
      <c r="BK37" s="4"/>
      <c r="BL37" s="172">
        <v>0</v>
      </c>
    </row>
    <row r="38" spans="1:64" ht="15" thickBot="1">
      <c r="N38" s="133"/>
      <c r="O38" s="133"/>
      <c r="P38" s="111"/>
      <c r="Q38" s="111"/>
      <c r="R38" s="111"/>
      <c r="S38" s="111"/>
      <c r="T38" s="111"/>
      <c r="U38" s="111"/>
      <c r="V38" s="111"/>
      <c r="W38" s="111"/>
      <c r="X38" s="111"/>
      <c r="Y38" s="111"/>
      <c r="Z38" s="111"/>
      <c r="AA38" s="111"/>
      <c r="AB38" s="111"/>
      <c r="AC38" s="111"/>
      <c r="AD38" s="111"/>
      <c r="AF38" s="111"/>
      <c r="AG38" s="195"/>
      <c r="AH38" s="86"/>
      <c r="AI38" s="86"/>
      <c r="AJ38" s="86"/>
      <c r="AK38" s="86"/>
      <c r="AL38" s="86"/>
      <c r="AM38" s="86"/>
      <c r="AN38" s="86"/>
      <c r="AO38" s="86"/>
      <c r="AP38" s="86"/>
      <c r="AQ38" s="86"/>
      <c r="AR38" s="86"/>
      <c r="AS38" s="86"/>
      <c r="AT38" s="86"/>
      <c r="AV38" s="183"/>
      <c r="AW38" s="208"/>
      <c r="AX38" s="183"/>
      <c r="AY38" s="183"/>
      <c r="AZ38" s="183"/>
      <c r="BA38" s="183"/>
      <c r="BB38" s="183"/>
      <c r="BC38" s="183"/>
      <c r="BD38" s="183"/>
      <c r="BE38" s="183"/>
      <c r="BF38" s="183"/>
      <c r="BG38" s="183"/>
      <c r="BH38" s="183"/>
      <c r="BI38" s="183"/>
      <c r="BJ38" s="183"/>
      <c r="BK38" s="183"/>
      <c r="BL38" s="183"/>
    </row>
    <row r="39" spans="1:64">
      <c r="AF39" s="133"/>
      <c r="AG39" s="133"/>
      <c r="AH39" s="111"/>
      <c r="AI39" s="111"/>
      <c r="AJ39" s="111"/>
      <c r="AK39" s="111"/>
      <c r="AL39" s="111"/>
      <c r="AM39" s="111"/>
      <c r="AN39" s="111"/>
      <c r="AO39" s="111"/>
      <c r="AP39" s="111"/>
      <c r="AQ39" s="111"/>
      <c r="AR39" s="111"/>
      <c r="AS39" s="111"/>
      <c r="AT39" s="111"/>
      <c r="AV39" s="209"/>
      <c r="AW39" s="209"/>
      <c r="AX39" s="4"/>
      <c r="AY39" s="4"/>
      <c r="AZ39" s="4"/>
      <c r="BA39" s="4"/>
      <c r="BB39" s="4"/>
      <c r="BC39" s="4"/>
      <c r="BD39" s="4"/>
      <c r="BE39" s="4"/>
      <c r="BF39" s="4"/>
      <c r="BG39" s="4"/>
      <c r="BH39" s="4"/>
      <c r="BI39" s="4"/>
      <c r="BJ39" s="4"/>
      <c r="BK39" s="4"/>
      <c r="BL39" s="4"/>
    </row>
  </sheetData>
  <mergeCells count="22">
    <mergeCell ref="A1:L1"/>
    <mergeCell ref="A2:L2"/>
    <mergeCell ref="Z4:AA4"/>
    <mergeCell ref="AC4:AD4"/>
    <mergeCell ref="AF1:AT1"/>
    <mergeCell ref="AF2:AT2"/>
    <mergeCell ref="AI5:AJ5"/>
    <mergeCell ref="AL5:AM5"/>
    <mergeCell ref="AO5:AP5"/>
    <mergeCell ref="AR5:AS5"/>
    <mergeCell ref="N1:AC1"/>
    <mergeCell ref="N2:AC2"/>
    <mergeCell ref="Q4:R4"/>
    <mergeCell ref="T4:U4"/>
    <mergeCell ref="W4:X4"/>
    <mergeCell ref="AV1:BL1"/>
    <mergeCell ref="AV2:BL2"/>
    <mergeCell ref="AY5:AZ5"/>
    <mergeCell ref="BB5:BC5"/>
    <mergeCell ref="BE5:BF5"/>
    <mergeCell ref="BH5:BI5"/>
    <mergeCell ref="BK5:BL5"/>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40617-4F70-48DF-8067-64550CD714AF}">
  <sheetPr codeName="Sheet22"/>
  <dimension ref="A1:AH41"/>
  <sheetViews>
    <sheetView zoomScale="40" workbookViewId="0">
      <selection activeCell="Y1" sqref="Y1:AH41"/>
    </sheetView>
  </sheetViews>
  <sheetFormatPr defaultRowHeight="14.5"/>
  <sheetData>
    <row r="1" spans="1:34">
      <c r="A1" s="361" t="s">
        <v>226</v>
      </c>
      <c r="B1" s="361"/>
      <c r="C1" s="361"/>
      <c r="D1" s="361"/>
      <c r="E1" s="361"/>
      <c r="F1" s="361"/>
      <c r="G1" s="361"/>
      <c r="H1" s="361"/>
      <c r="I1" s="361"/>
      <c r="J1" s="361"/>
      <c r="K1" s="361"/>
      <c r="M1" s="361" t="s">
        <v>227</v>
      </c>
      <c r="N1" s="361"/>
      <c r="O1" s="361"/>
      <c r="P1" s="361"/>
      <c r="Q1" s="361"/>
      <c r="R1" s="361"/>
      <c r="S1" s="361"/>
      <c r="T1" s="361"/>
      <c r="U1" s="361"/>
      <c r="V1" s="361"/>
      <c r="W1" s="361"/>
      <c r="Y1" s="355" t="s">
        <v>228</v>
      </c>
      <c r="Z1" s="355"/>
      <c r="AA1" s="355"/>
      <c r="AB1" s="355"/>
      <c r="AC1" s="355"/>
      <c r="AD1" s="355"/>
      <c r="AE1" s="355"/>
      <c r="AF1" s="355"/>
      <c r="AG1" s="355"/>
      <c r="AH1" s="355"/>
    </row>
    <row r="2" spans="1:34">
      <c r="A2" s="362" t="s">
        <v>229</v>
      </c>
      <c r="B2" s="362"/>
      <c r="C2" s="362"/>
      <c r="D2" s="362"/>
      <c r="E2" s="362"/>
      <c r="F2" s="362"/>
      <c r="G2" s="362"/>
      <c r="H2" s="362"/>
      <c r="I2" s="362"/>
      <c r="J2" s="362"/>
      <c r="K2" s="362"/>
      <c r="M2" s="362" t="s">
        <v>230</v>
      </c>
      <c r="N2" s="362"/>
      <c r="O2" s="362"/>
      <c r="P2" s="362"/>
      <c r="Q2" s="362"/>
      <c r="R2" s="362"/>
      <c r="S2" s="362"/>
      <c r="T2" s="362"/>
      <c r="U2" s="362"/>
      <c r="V2" s="362"/>
      <c r="W2" s="362"/>
      <c r="Y2" s="356" t="s">
        <v>231</v>
      </c>
      <c r="Z2" s="356"/>
      <c r="AA2" s="356"/>
      <c r="AB2" s="356"/>
      <c r="AC2" s="356"/>
      <c r="AD2" s="356"/>
      <c r="AE2" s="356"/>
      <c r="AF2" s="356"/>
      <c r="AG2" s="356"/>
      <c r="AH2" s="356"/>
    </row>
    <row r="3" spans="1:34" ht="15" thickBot="1">
      <c r="A3" s="85"/>
      <c r="B3" s="85"/>
      <c r="C3" s="85"/>
      <c r="D3" s="86"/>
      <c r="E3" s="86"/>
      <c r="F3" s="86"/>
      <c r="G3" s="86"/>
      <c r="H3" s="86"/>
      <c r="I3" s="86"/>
      <c r="J3" s="111"/>
      <c r="K3" s="86"/>
      <c r="M3" s="84"/>
      <c r="N3" s="84"/>
      <c r="O3" s="84"/>
      <c r="P3" s="84"/>
      <c r="Q3" s="84"/>
      <c r="R3" s="84"/>
      <c r="S3" s="84"/>
      <c r="T3" s="84"/>
      <c r="U3" s="84"/>
      <c r="V3" s="84"/>
      <c r="W3" s="84"/>
      <c r="Y3" s="196"/>
      <c r="Z3" s="196"/>
      <c r="AA3" s="196"/>
      <c r="AB3" s="196"/>
      <c r="AC3" s="196"/>
      <c r="AD3" s="196"/>
      <c r="AE3" s="196"/>
      <c r="AF3" s="196"/>
      <c r="AG3" s="196"/>
      <c r="AH3" s="183"/>
    </row>
    <row r="4" spans="1:34" ht="39">
      <c r="A4" s="29"/>
      <c r="B4" s="43" t="s">
        <v>86</v>
      </c>
      <c r="C4" s="29"/>
      <c r="D4" s="347" t="s">
        <v>87</v>
      </c>
      <c r="E4" s="347"/>
      <c r="F4" s="31"/>
      <c r="G4" s="347" t="s">
        <v>88</v>
      </c>
      <c r="H4" s="347"/>
      <c r="I4" s="31"/>
      <c r="J4" s="383" t="s">
        <v>214</v>
      </c>
      <c r="K4" s="383"/>
      <c r="M4" s="188"/>
      <c r="N4" s="188"/>
      <c r="O4" s="188"/>
      <c r="P4" s="189"/>
      <c r="Q4" s="189"/>
      <c r="R4" s="189"/>
      <c r="S4" s="189"/>
      <c r="T4" s="189"/>
      <c r="U4" s="189"/>
      <c r="V4" s="189"/>
      <c r="W4" s="189"/>
      <c r="Y4" s="157"/>
      <c r="Z4" s="157"/>
      <c r="AA4" s="4"/>
      <c r="AB4" s="4"/>
      <c r="AC4" s="4"/>
      <c r="AD4" s="4"/>
      <c r="AE4" s="4"/>
      <c r="AF4" s="4"/>
      <c r="AG4" s="4"/>
      <c r="AH4" s="4"/>
    </row>
    <row r="5" spans="1:34" ht="43" thickBot="1">
      <c r="A5" s="33"/>
      <c r="B5" s="127"/>
      <c r="C5" s="33"/>
      <c r="D5" s="34">
        <v>2022</v>
      </c>
      <c r="E5" s="34">
        <v>2023</v>
      </c>
      <c r="F5" s="114"/>
      <c r="G5" s="34">
        <v>2022</v>
      </c>
      <c r="H5" s="34">
        <v>2023</v>
      </c>
      <c r="I5" s="114"/>
      <c r="J5" s="34">
        <v>2022</v>
      </c>
      <c r="K5" s="34">
        <v>2023</v>
      </c>
      <c r="M5" s="139"/>
      <c r="N5" s="138" t="s">
        <v>215</v>
      </c>
      <c r="O5" s="139"/>
      <c r="P5" s="366" t="s">
        <v>232</v>
      </c>
      <c r="Q5" s="366"/>
      <c r="R5" s="141"/>
      <c r="S5" s="366" t="s">
        <v>233</v>
      </c>
      <c r="T5" s="366"/>
      <c r="U5" s="141"/>
      <c r="V5" s="366" t="s">
        <v>214</v>
      </c>
      <c r="W5" s="366"/>
      <c r="Y5" s="49" t="s">
        <v>220</v>
      </c>
      <c r="Z5" s="53"/>
      <c r="AA5" s="353" t="s">
        <v>234</v>
      </c>
      <c r="AB5" s="353"/>
      <c r="AC5" s="161"/>
      <c r="AD5" s="353" t="s">
        <v>235</v>
      </c>
      <c r="AE5" s="353"/>
      <c r="AF5" s="161"/>
      <c r="AG5" s="360" t="s">
        <v>225</v>
      </c>
      <c r="AH5" s="360"/>
    </row>
    <row r="6" spans="1:34" ht="26.5" thickBot="1">
      <c r="A6" s="94"/>
      <c r="B6" s="134" t="s">
        <v>50</v>
      </c>
      <c r="C6" s="97"/>
      <c r="D6" s="96">
        <v>149164.15497</v>
      </c>
      <c r="E6" s="96">
        <v>110499.68509000001</v>
      </c>
      <c r="F6" s="96"/>
      <c r="G6" s="96">
        <v>254908.51321000003</v>
      </c>
      <c r="H6" s="96">
        <v>80566.005050000007</v>
      </c>
      <c r="I6" s="96"/>
      <c r="J6" s="96">
        <v>404072.66818000004</v>
      </c>
      <c r="K6" s="96">
        <v>191065.69014000002</v>
      </c>
      <c r="M6" s="142"/>
      <c r="N6" s="143"/>
      <c r="O6" s="142"/>
      <c r="P6" s="144">
        <v>2023</v>
      </c>
      <c r="Q6" s="144">
        <v>2024</v>
      </c>
      <c r="R6" s="191"/>
      <c r="S6" s="144">
        <v>2023</v>
      </c>
      <c r="T6" s="144">
        <v>2024</v>
      </c>
      <c r="U6" s="191"/>
      <c r="V6" s="144">
        <v>2023</v>
      </c>
      <c r="W6" s="144">
        <v>2024</v>
      </c>
      <c r="Y6" s="163"/>
      <c r="Z6" s="162"/>
      <c r="AA6" s="1">
        <v>2024</v>
      </c>
      <c r="AB6" s="1">
        <v>2025</v>
      </c>
      <c r="AC6" s="198"/>
      <c r="AD6" s="1">
        <v>2024</v>
      </c>
      <c r="AE6" s="1">
        <v>2025</v>
      </c>
      <c r="AF6" s="198"/>
      <c r="AG6" s="1">
        <v>2024</v>
      </c>
      <c r="AH6" s="1">
        <v>2025</v>
      </c>
    </row>
    <row r="7" spans="1:34" ht="28">
      <c r="A7" s="100"/>
      <c r="B7" s="47"/>
      <c r="C7" s="103"/>
      <c r="D7" s="115"/>
      <c r="E7" s="115"/>
      <c r="F7" s="26"/>
      <c r="G7" s="116"/>
      <c r="H7" s="116"/>
      <c r="I7" s="26"/>
      <c r="J7" s="100"/>
      <c r="K7" s="100"/>
      <c r="M7" s="147"/>
      <c r="N7" s="148" t="s">
        <v>50</v>
      </c>
      <c r="O7" s="103"/>
      <c r="P7" s="149">
        <v>110499.68509000001</v>
      </c>
      <c r="Q7" s="149">
        <v>78865.466230000005</v>
      </c>
      <c r="R7" s="149"/>
      <c r="S7" s="149">
        <v>80566.005050000007</v>
      </c>
      <c r="T7" s="149">
        <v>86889.002170000007</v>
      </c>
      <c r="U7" s="149"/>
      <c r="V7" s="149">
        <v>191065.69014000002</v>
      </c>
      <c r="W7" s="149">
        <v>165754.46839999998</v>
      </c>
      <c r="Y7" s="2" t="s">
        <v>50</v>
      </c>
      <c r="Z7" s="172"/>
      <c r="AA7" s="57">
        <v>78865.466230000005</v>
      </c>
      <c r="AB7" s="57">
        <v>62107.318620000005</v>
      </c>
      <c r="AC7" s="57"/>
      <c r="AD7" s="57">
        <v>86889.002170000007</v>
      </c>
      <c r="AE7" s="57">
        <v>139782.50913000002</v>
      </c>
      <c r="AF7" s="57"/>
      <c r="AG7" s="57">
        <v>165754.46839999998</v>
      </c>
      <c r="AH7" s="57">
        <v>201889.82774999997</v>
      </c>
    </row>
    <row r="8" spans="1:34">
      <c r="A8" s="100"/>
      <c r="B8" s="48" t="s">
        <v>27</v>
      </c>
      <c r="C8" s="103"/>
      <c r="D8" s="65">
        <v>8630</v>
      </c>
      <c r="E8" s="65">
        <v>6495.9757199999995</v>
      </c>
      <c r="F8" s="26"/>
      <c r="G8" s="103">
        <v>26158.571219999998</v>
      </c>
      <c r="H8" s="103">
        <v>5900.4738499999994</v>
      </c>
      <c r="I8" s="26"/>
      <c r="J8" s="103">
        <v>34788.571219999998</v>
      </c>
      <c r="K8" s="103">
        <v>12396.449569999999</v>
      </c>
      <c r="M8" s="100"/>
      <c r="N8" s="148"/>
      <c r="O8" s="103"/>
      <c r="P8" s="210"/>
      <c r="Q8" s="70"/>
      <c r="R8" s="64"/>
      <c r="S8" s="116"/>
      <c r="T8" s="70"/>
      <c r="U8" s="64"/>
      <c r="V8" s="100"/>
      <c r="W8" s="101"/>
      <c r="Y8" s="2"/>
      <c r="Z8" s="172"/>
      <c r="AA8" s="63"/>
      <c r="AB8" s="63"/>
      <c r="AC8" s="61"/>
      <c r="AD8" s="63"/>
      <c r="AE8" s="63"/>
      <c r="AF8" s="61"/>
      <c r="AG8" s="67"/>
      <c r="AH8" s="67"/>
    </row>
    <row r="9" spans="1:34">
      <c r="A9" s="100"/>
      <c r="B9" s="48"/>
      <c r="C9" s="103"/>
      <c r="D9" s="65"/>
      <c r="E9" s="65"/>
      <c r="F9" s="104"/>
      <c r="G9" s="103"/>
      <c r="H9" s="103"/>
      <c r="I9" s="104"/>
      <c r="J9" s="118"/>
      <c r="K9" s="118"/>
      <c r="M9" s="100"/>
      <c r="N9" s="154" t="s">
        <v>27</v>
      </c>
      <c r="O9" s="103"/>
      <c r="P9" s="20">
        <v>6495.9757199999995</v>
      </c>
      <c r="Q9" s="70">
        <v>7279.3339800000003</v>
      </c>
      <c r="R9" s="64"/>
      <c r="S9" s="103">
        <v>5900.4738499999994</v>
      </c>
      <c r="T9" s="70">
        <v>8849.5773600000011</v>
      </c>
      <c r="U9" s="64"/>
      <c r="V9" s="103">
        <v>12396.449569999999</v>
      </c>
      <c r="W9" s="103">
        <v>16128.911340000002</v>
      </c>
      <c r="Y9" s="3" t="s">
        <v>27</v>
      </c>
      <c r="Z9" s="172"/>
      <c r="AA9" s="63">
        <v>7279.3339800000003</v>
      </c>
      <c r="AB9" s="63">
        <v>6975.5780000000004</v>
      </c>
      <c r="AC9" s="61"/>
      <c r="AD9" s="63">
        <v>8849.5773600000011</v>
      </c>
      <c r="AE9" s="63">
        <v>8679.9987400000009</v>
      </c>
      <c r="AF9" s="61"/>
      <c r="AG9" s="172">
        <v>16128.911340000002</v>
      </c>
      <c r="AH9" s="211">
        <v>15655.57674</v>
      </c>
    </row>
    <row r="10" spans="1:34">
      <c r="A10" s="100"/>
      <c r="B10" s="48" t="s">
        <v>28</v>
      </c>
      <c r="C10" s="103"/>
      <c r="D10" s="65">
        <v>7915.69488</v>
      </c>
      <c r="E10" s="65">
        <v>5658.53</v>
      </c>
      <c r="F10" s="26"/>
      <c r="G10" s="103">
        <v>15513.89611</v>
      </c>
      <c r="H10" s="103">
        <v>14187.8891</v>
      </c>
      <c r="I10" s="26"/>
      <c r="J10" s="103">
        <v>23429.590990000001</v>
      </c>
      <c r="K10" s="103">
        <v>19846.419099999999</v>
      </c>
      <c r="M10" s="100"/>
      <c r="N10" s="154"/>
      <c r="O10" s="103"/>
      <c r="P10" s="20"/>
      <c r="Q10" s="70"/>
      <c r="R10" s="20"/>
      <c r="S10" s="103"/>
      <c r="T10" s="70"/>
      <c r="U10" s="20"/>
      <c r="V10" s="118"/>
      <c r="W10" s="103"/>
      <c r="Y10" s="3"/>
      <c r="Z10" s="172"/>
      <c r="AA10" s="63"/>
      <c r="AB10" s="63"/>
      <c r="AC10" s="24"/>
      <c r="AD10" s="63"/>
      <c r="AE10" s="63"/>
      <c r="AF10" s="24"/>
      <c r="AG10" s="172"/>
      <c r="AH10" s="67"/>
    </row>
    <row r="11" spans="1:34">
      <c r="A11" s="100"/>
      <c r="B11" s="48"/>
      <c r="C11" s="100"/>
      <c r="D11" s="118"/>
      <c r="E11" s="118"/>
      <c r="F11" s="118"/>
      <c r="G11" s="118"/>
      <c r="H11" s="118"/>
      <c r="I11" s="118"/>
      <c r="J11" s="118"/>
      <c r="K11" s="118"/>
      <c r="M11" s="100"/>
      <c r="N11" s="154" t="s">
        <v>28</v>
      </c>
      <c r="O11" s="103"/>
      <c r="P11" s="20">
        <v>5658.53</v>
      </c>
      <c r="Q11" s="70">
        <v>5949.0832900000005</v>
      </c>
      <c r="R11" s="64"/>
      <c r="S11" s="103">
        <v>14187.8891</v>
      </c>
      <c r="T11" s="70">
        <v>6493.4737999999998</v>
      </c>
      <c r="U11" s="64"/>
      <c r="V11" s="103">
        <v>19846.419099999999</v>
      </c>
      <c r="W11" s="103">
        <v>12442.55709</v>
      </c>
      <c r="Y11" s="3" t="s">
        <v>28</v>
      </c>
      <c r="Z11" s="172"/>
      <c r="AA11" s="63">
        <v>5949.0832900000005</v>
      </c>
      <c r="AB11" s="63">
        <v>4148.7960000000003</v>
      </c>
      <c r="AC11" s="61"/>
      <c r="AD11" s="63">
        <v>6493.4737999999998</v>
      </c>
      <c r="AE11" s="63">
        <v>10024.6232</v>
      </c>
      <c r="AF11" s="61"/>
      <c r="AG11" s="172">
        <v>12442.55709</v>
      </c>
      <c r="AH11" s="211">
        <v>14173.4192</v>
      </c>
    </row>
    <row r="12" spans="1:34" ht="25">
      <c r="A12" s="100"/>
      <c r="B12" s="48" t="s">
        <v>29</v>
      </c>
      <c r="C12" s="100"/>
      <c r="D12" s="65">
        <v>18599.89689</v>
      </c>
      <c r="E12" s="65">
        <v>9999.9915799999999</v>
      </c>
      <c r="F12" s="26"/>
      <c r="G12" s="103">
        <v>22214.363450000001</v>
      </c>
      <c r="H12" s="103">
        <v>992.25467999999989</v>
      </c>
      <c r="I12" s="26"/>
      <c r="J12" s="103">
        <v>40814.260340000001</v>
      </c>
      <c r="K12" s="103">
        <v>10992.24626</v>
      </c>
      <c r="M12" s="100"/>
      <c r="N12" s="154"/>
      <c r="O12" s="100"/>
      <c r="P12" s="118"/>
      <c r="Q12" s="70"/>
      <c r="R12" s="118"/>
      <c r="S12" s="118"/>
      <c r="T12" s="70"/>
      <c r="U12" s="118"/>
      <c r="V12" s="118"/>
      <c r="W12" s="103"/>
      <c r="Y12" s="3"/>
      <c r="Z12" s="67"/>
      <c r="AA12" s="63"/>
      <c r="AB12" s="63"/>
      <c r="AC12" s="172"/>
      <c r="AD12" s="63"/>
      <c r="AE12" s="63"/>
      <c r="AF12" s="172"/>
      <c r="AG12" s="172"/>
      <c r="AH12" s="67"/>
    </row>
    <row r="13" spans="1:34" ht="28">
      <c r="A13" s="100"/>
      <c r="B13" s="48"/>
      <c r="C13" s="100"/>
      <c r="D13" s="118"/>
      <c r="E13" s="118"/>
      <c r="F13" s="118"/>
      <c r="G13" s="118"/>
      <c r="H13" s="118"/>
      <c r="I13" s="118"/>
      <c r="J13" s="118"/>
      <c r="K13" s="118"/>
      <c r="M13" s="100"/>
      <c r="N13" s="154" t="s">
        <v>29</v>
      </c>
      <c r="O13" s="100"/>
      <c r="P13" s="20">
        <v>9999.9915799999999</v>
      </c>
      <c r="Q13" s="70">
        <v>8397.2999699999982</v>
      </c>
      <c r="R13" s="64"/>
      <c r="S13" s="103">
        <v>992.25467999999989</v>
      </c>
      <c r="T13" s="70">
        <v>6259.9726000000001</v>
      </c>
      <c r="U13" s="64"/>
      <c r="V13" s="103">
        <v>10992.24626</v>
      </c>
      <c r="W13" s="103">
        <v>14657.272569999997</v>
      </c>
      <c r="Y13" s="3" t="s">
        <v>29</v>
      </c>
      <c r="Z13" s="67"/>
      <c r="AA13" s="63">
        <v>8397.2999699999982</v>
      </c>
      <c r="AB13" s="63">
        <v>1802.7</v>
      </c>
      <c r="AC13" s="61"/>
      <c r="AD13" s="63">
        <v>6259.9726000000001</v>
      </c>
      <c r="AE13" s="63">
        <v>9345.9196999999986</v>
      </c>
      <c r="AF13" s="61"/>
      <c r="AG13" s="172">
        <v>14657.272569999997</v>
      </c>
      <c r="AH13" s="211">
        <v>11148.619699999999</v>
      </c>
    </row>
    <row r="14" spans="1:34">
      <c r="A14" s="100"/>
      <c r="B14" s="48" t="s">
        <v>30</v>
      </c>
      <c r="C14" s="100"/>
      <c r="D14" s="65">
        <v>5150.5429000000004</v>
      </c>
      <c r="E14" s="65">
        <v>5000</v>
      </c>
      <c r="F14" s="26"/>
      <c r="G14" s="103">
        <v>10000</v>
      </c>
      <c r="H14" s="103">
        <v>0</v>
      </c>
      <c r="I14" s="26"/>
      <c r="J14" s="103">
        <v>15150.5429</v>
      </c>
      <c r="K14" s="103">
        <v>5000</v>
      </c>
      <c r="M14" s="100"/>
      <c r="N14" s="154"/>
      <c r="O14" s="100"/>
      <c r="P14" s="118"/>
      <c r="Q14" s="70"/>
      <c r="R14" s="118"/>
      <c r="S14" s="118"/>
      <c r="T14" s="70"/>
      <c r="U14" s="118"/>
      <c r="V14" s="118"/>
      <c r="W14" s="103"/>
      <c r="Y14" s="3"/>
      <c r="Z14" s="67"/>
      <c r="AA14" s="63"/>
      <c r="AB14" s="63"/>
      <c r="AC14" s="172"/>
      <c r="AD14" s="63"/>
      <c r="AE14" s="63"/>
      <c r="AF14" s="172"/>
      <c r="AG14" s="172"/>
      <c r="AH14" s="67"/>
    </row>
    <row r="15" spans="1:34">
      <c r="A15" s="100"/>
      <c r="B15" s="48"/>
      <c r="C15" s="100"/>
      <c r="D15" s="118"/>
      <c r="E15" s="118"/>
      <c r="F15" s="118"/>
      <c r="G15" s="118"/>
      <c r="H15" s="118"/>
      <c r="I15" s="118"/>
      <c r="J15" s="118"/>
      <c r="K15" s="118"/>
      <c r="M15" s="100"/>
      <c r="N15" s="154" t="s">
        <v>30</v>
      </c>
      <c r="O15" s="100"/>
      <c r="P15" s="20">
        <v>5000</v>
      </c>
      <c r="Q15" s="70">
        <v>2248.7260000000001</v>
      </c>
      <c r="R15" s="64"/>
      <c r="S15" s="103">
        <v>0</v>
      </c>
      <c r="T15" s="70">
        <v>5000</v>
      </c>
      <c r="U15" s="64"/>
      <c r="V15" s="103">
        <v>5000</v>
      </c>
      <c r="W15" s="103">
        <v>7248.7260000000006</v>
      </c>
      <c r="Y15" s="3" t="s">
        <v>30</v>
      </c>
      <c r="Z15" s="67"/>
      <c r="AA15" s="63">
        <v>2248.7260000000001</v>
      </c>
      <c r="AB15" s="63">
        <v>6310.9790000000003</v>
      </c>
      <c r="AC15" s="61"/>
      <c r="AD15" s="63">
        <v>5000</v>
      </c>
      <c r="AE15" s="63">
        <v>6499.8379999999997</v>
      </c>
      <c r="AF15" s="61"/>
      <c r="AG15" s="172">
        <v>7248.7260000000006</v>
      </c>
      <c r="AH15" s="211">
        <v>12810.816999999999</v>
      </c>
    </row>
    <row r="16" spans="1:34" ht="37.5">
      <c r="A16" s="100"/>
      <c r="B16" s="48" t="s">
        <v>31</v>
      </c>
      <c r="C16" s="100"/>
      <c r="D16" s="65">
        <v>6178.8513499999999</v>
      </c>
      <c r="E16" s="65">
        <v>4999.9714999999997</v>
      </c>
      <c r="F16" s="26"/>
      <c r="G16" s="103">
        <v>11419.9897</v>
      </c>
      <c r="H16" s="103">
        <v>2579.9396499999998</v>
      </c>
      <c r="I16" s="26"/>
      <c r="J16" s="103">
        <v>17598.841049999999</v>
      </c>
      <c r="K16" s="103">
        <v>7579.9111499999999</v>
      </c>
      <c r="M16" s="100"/>
      <c r="N16" s="154"/>
      <c r="O16" s="100"/>
      <c r="P16" s="118"/>
      <c r="Q16" s="70"/>
      <c r="R16" s="118"/>
      <c r="S16" s="118"/>
      <c r="T16" s="70"/>
      <c r="U16" s="118"/>
      <c r="V16" s="118"/>
      <c r="W16" s="103"/>
      <c r="Y16" s="3"/>
      <c r="Z16" s="67"/>
      <c r="AA16" s="63"/>
      <c r="AB16" s="63"/>
      <c r="AC16" s="172"/>
      <c r="AD16" s="63"/>
      <c r="AE16" s="63"/>
      <c r="AF16" s="172"/>
      <c r="AG16" s="172"/>
      <c r="AH16" s="67"/>
    </row>
    <row r="17" spans="1:34" ht="42">
      <c r="A17" s="100"/>
      <c r="B17" s="48"/>
      <c r="C17" s="100"/>
      <c r="D17" s="118"/>
      <c r="E17" s="118"/>
      <c r="F17" s="118"/>
      <c r="G17" s="118"/>
      <c r="H17" s="118"/>
      <c r="I17" s="118"/>
      <c r="J17" s="118"/>
      <c r="K17" s="118"/>
      <c r="M17" s="100"/>
      <c r="N17" s="154" t="s">
        <v>31</v>
      </c>
      <c r="O17" s="100"/>
      <c r="P17" s="20">
        <v>4999.9714999999997</v>
      </c>
      <c r="Q17" s="70">
        <v>6820</v>
      </c>
      <c r="R17" s="64"/>
      <c r="S17" s="103">
        <v>2579.9396499999998</v>
      </c>
      <c r="T17" s="70">
        <v>5150</v>
      </c>
      <c r="U17" s="64"/>
      <c r="V17" s="103">
        <v>7579.9111499999999</v>
      </c>
      <c r="W17" s="103">
        <v>11970</v>
      </c>
      <c r="Y17" s="3" t="s">
        <v>31</v>
      </c>
      <c r="Z17" s="67"/>
      <c r="AA17" s="63">
        <v>6820</v>
      </c>
      <c r="AB17" s="63">
        <v>4770</v>
      </c>
      <c r="AC17" s="61"/>
      <c r="AD17" s="63">
        <v>5150</v>
      </c>
      <c r="AE17" s="63">
        <v>6300</v>
      </c>
      <c r="AF17" s="61"/>
      <c r="AG17" s="172">
        <v>11970</v>
      </c>
      <c r="AH17" s="211">
        <v>11070</v>
      </c>
    </row>
    <row r="18" spans="1:34">
      <c r="A18" s="100"/>
      <c r="B18" s="48" t="s">
        <v>32</v>
      </c>
      <c r="C18" s="100"/>
      <c r="D18" s="65">
        <v>5917.6666999999998</v>
      </c>
      <c r="E18" s="65">
        <v>9000</v>
      </c>
      <c r="F18" s="26"/>
      <c r="G18" s="103">
        <v>30057.145250000001</v>
      </c>
      <c r="H18" s="103">
        <v>4808.1369599999998</v>
      </c>
      <c r="I18" s="26"/>
      <c r="J18" s="103">
        <v>35974.811950000003</v>
      </c>
      <c r="K18" s="103">
        <v>13808.13696</v>
      </c>
      <c r="M18" s="100"/>
      <c r="N18" s="154"/>
      <c r="O18" s="100"/>
      <c r="P18" s="118"/>
      <c r="Q18" s="70"/>
      <c r="R18" s="118"/>
      <c r="S18" s="118"/>
      <c r="T18" s="70"/>
      <c r="U18" s="118"/>
      <c r="V18" s="118"/>
      <c r="W18" s="103"/>
      <c r="Y18" s="3"/>
      <c r="Z18" s="67"/>
      <c r="AA18" s="63"/>
      <c r="AB18" s="63"/>
      <c r="AC18" s="172"/>
      <c r="AD18" s="63"/>
      <c r="AE18" s="63"/>
      <c r="AF18" s="172"/>
      <c r="AG18" s="172"/>
      <c r="AH18" s="67"/>
    </row>
    <row r="19" spans="1:34">
      <c r="A19" s="100"/>
      <c r="B19" s="48"/>
      <c r="C19" s="100"/>
      <c r="D19" s="118"/>
      <c r="E19" s="118"/>
      <c r="F19" s="118"/>
      <c r="G19" s="118"/>
      <c r="H19" s="118"/>
      <c r="I19" s="118"/>
      <c r="J19" s="118"/>
      <c r="K19" s="118"/>
      <c r="M19" s="100"/>
      <c r="N19" s="154" t="s">
        <v>32</v>
      </c>
      <c r="O19" s="100"/>
      <c r="P19" s="20">
        <v>9000</v>
      </c>
      <c r="Q19" s="70">
        <v>8297.8209999999999</v>
      </c>
      <c r="R19" s="64"/>
      <c r="S19" s="103">
        <v>4808.1369599999998</v>
      </c>
      <c r="T19" s="70">
        <v>6445.13699</v>
      </c>
      <c r="U19" s="64"/>
      <c r="V19" s="103">
        <v>13808.13696</v>
      </c>
      <c r="W19" s="103">
        <v>14742.957989999999</v>
      </c>
      <c r="Y19" s="3" t="s">
        <v>32</v>
      </c>
      <c r="Z19" s="67"/>
      <c r="AA19" s="63">
        <v>8297.8209999999999</v>
      </c>
      <c r="AB19" s="63">
        <v>5979.9962000000005</v>
      </c>
      <c r="AC19" s="61"/>
      <c r="AD19" s="63">
        <v>6445.13699</v>
      </c>
      <c r="AE19" s="63">
        <v>11820.547289999999</v>
      </c>
      <c r="AF19" s="61"/>
      <c r="AG19" s="172">
        <v>14742.957989999999</v>
      </c>
      <c r="AH19" s="211">
        <v>17800.54349</v>
      </c>
    </row>
    <row r="20" spans="1:34" ht="25">
      <c r="A20" s="100"/>
      <c r="B20" s="48" t="s">
        <v>35</v>
      </c>
      <c r="C20" s="100"/>
      <c r="D20" s="65">
        <v>3999.7329</v>
      </c>
      <c r="E20" s="65">
        <v>4999.9880999999996</v>
      </c>
      <c r="F20" s="65">
        <v>0</v>
      </c>
      <c r="G20" s="103">
        <v>8499.8950000000004</v>
      </c>
      <c r="H20" s="103">
        <v>3130.5452200000004</v>
      </c>
      <c r="I20" s="65">
        <v>0</v>
      </c>
      <c r="J20" s="103">
        <v>12499.627899999999</v>
      </c>
      <c r="K20" s="103">
        <v>8130.5333200000005</v>
      </c>
      <c r="M20" s="100"/>
      <c r="N20" s="154"/>
      <c r="O20" s="100"/>
      <c r="P20" s="118"/>
      <c r="Q20" s="70"/>
      <c r="R20" s="118"/>
      <c r="S20" s="118"/>
      <c r="T20" s="70"/>
      <c r="U20" s="118"/>
      <c r="V20" s="118"/>
      <c r="W20" s="103"/>
      <c r="Y20" s="3"/>
      <c r="Z20" s="67"/>
      <c r="AA20" s="63"/>
      <c r="AB20" s="63"/>
      <c r="AC20" s="172"/>
      <c r="AD20" s="63"/>
      <c r="AE20" s="63"/>
      <c r="AF20" s="172"/>
      <c r="AG20" s="172"/>
      <c r="AH20" s="67"/>
    </row>
    <row r="21" spans="1:34" ht="28">
      <c r="A21" s="100"/>
      <c r="B21" s="48"/>
      <c r="C21" s="100"/>
      <c r="D21" s="118"/>
      <c r="E21" s="118"/>
      <c r="F21" s="118"/>
      <c r="G21" s="118"/>
      <c r="H21" s="118"/>
      <c r="I21" s="118"/>
      <c r="J21" s="118"/>
      <c r="K21" s="118"/>
      <c r="M21" s="100"/>
      <c r="N21" s="154" t="s">
        <v>35</v>
      </c>
      <c r="O21" s="100"/>
      <c r="P21" s="20">
        <v>4999.9880999999996</v>
      </c>
      <c r="Q21" s="70">
        <v>2949.99188</v>
      </c>
      <c r="R21" s="20">
        <v>0</v>
      </c>
      <c r="S21" s="103">
        <v>3130.5452200000004</v>
      </c>
      <c r="T21" s="70">
        <v>4710</v>
      </c>
      <c r="U21" s="20">
        <v>0</v>
      </c>
      <c r="V21" s="103">
        <v>8130.5333200000005</v>
      </c>
      <c r="W21" s="103">
        <v>7659.9918799999996</v>
      </c>
      <c r="Y21" s="3" t="s">
        <v>35</v>
      </c>
      <c r="Z21" s="67"/>
      <c r="AA21" s="63">
        <v>2949.99188</v>
      </c>
      <c r="AB21" s="63">
        <v>648.9674</v>
      </c>
      <c r="AC21" s="24">
        <v>0</v>
      </c>
      <c r="AD21" s="63">
        <v>4710</v>
      </c>
      <c r="AE21" s="63">
        <v>6723.9996600000004</v>
      </c>
      <c r="AF21" s="24">
        <v>0</v>
      </c>
      <c r="AG21" s="172">
        <v>7659.9918799999996</v>
      </c>
      <c r="AH21" s="211">
        <v>7372.9670600000009</v>
      </c>
    </row>
    <row r="22" spans="1:34">
      <c r="A22" s="100"/>
      <c r="B22" s="48" t="s">
        <v>33</v>
      </c>
      <c r="C22" s="100"/>
      <c r="D22" s="65">
        <v>6199.0948099999996</v>
      </c>
      <c r="E22" s="65">
        <v>18358.082750000001</v>
      </c>
      <c r="F22" s="26"/>
      <c r="G22" s="103">
        <v>12000</v>
      </c>
      <c r="H22" s="103">
        <v>7999.9999999999991</v>
      </c>
      <c r="I22" s="26"/>
      <c r="J22" s="103">
        <v>18199.094809999999</v>
      </c>
      <c r="K22" s="103">
        <v>26358.082750000001</v>
      </c>
      <c r="M22" s="100"/>
      <c r="N22" s="154"/>
      <c r="O22" s="100"/>
      <c r="P22" s="118"/>
      <c r="Q22" s="70"/>
      <c r="R22" s="118"/>
      <c r="S22" s="118"/>
      <c r="T22" s="70"/>
      <c r="U22" s="118"/>
      <c r="V22" s="118"/>
      <c r="W22" s="103"/>
      <c r="Y22" s="3"/>
      <c r="Z22" s="67"/>
      <c r="AA22" s="63"/>
      <c r="AB22" s="63"/>
      <c r="AC22" s="172"/>
      <c r="AD22" s="63"/>
      <c r="AE22" s="63"/>
      <c r="AF22" s="172"/>
      <c r="AG22" s="172"/>
      <c r="AH22" s="67"/>
    </row>
    <row r="23" spans="1:34">
      <c r="A23" s="100"/>
      <c r="B23" s="48"/>
      <c r="C23" s="100"/>
      <c r="D23" s="118"/>
      <c r="E23" s="118"/>
      <c r="F23" s="118"/>
      <c r="G23" s="118"/>
      <c r="H23" s="118"/>
      <c r="I23" s="118"/>
      <c r="J23" s="118"/>
      <c r="K23" s="118"/>
      <c r="M23" s="100"/>
      <c r="N23" s="154" t="s">
        <v>33</v>
      </c>
      <c r="O23" s="100"/>
      <c r="P23" s="20">
        <v>18358.082750000001</v>
      </c>
      <c r="Q23" s="70">
        <v>4927.7839999999997</v>
      </c>
      <c r="R23" s="64"/>
      <c r="S23" s="103">
        <v>7999.9999999999991</v>
      </c>
      <c r="T23" s="70">
        <v>8799.9804299999996</v>
      </c>
      <c r="U23" s="64"/>
      <c r="V23" s="103">
        <v>26358.082750000001</v>
      </c>
      <c r="W23" s="103">
        <v>13727.764429999999</v>
      </c>
      <c r="Y23" s="3" t="s">
        <v>33</v>
      </c>
      <c r="Z23" s="67"/>
      <c r="AA23" s="63">
        <v>4927.7839999999997</v>
      </c>
      <c r="AB23" s="63">
        <v>4886.8540000000003</v>
      </c>
      <c r="AC23" s="61"/>
      <c r="AD23" s="63">
        <v>8799.9804299999996</v>
      </c>
      <c r="AE23" s="63">
        <v>8399.7800000000007</v>
      </c>
      <c r="AF23" s="61"/>
      <c r="AG23" s="172">
        <v>13727.764429999999</v>
      </c>
      <c r="AH23" s="211">
        <v>13286.634000000002</v>
      </c>
    </row>
    <row r="24" spans="1:34">
      <c r="A24" s="100"/>
      <c r="B24" s="48" t="s">
        <v>34</v>
      </c>
      <c r="C24" s="100"/>
      <c r="D24" s="65">
        <v>999.86740000000009</v>
      </c>
      <c r="E24" s="65">
        <v>2999.8266600000002</v>
      </c>
      <c r="F24" s="65">
        <v>0</v>
      </c>
      <c r="G24" s="103">
        <v>2584.9946500000005</v>
      </c>
      <c r="H24" s="103">
        <v>1664.56412</v>
      </c>
      <c r="I24" s="65">
        <v>0</v>
      </c>
      <c r="J24" s="103">
        <v>3584.8620500000006</v>
      </c>
      <c r="K24" s="103">
        <v>4664.3907799999997</v>
      </c>
      <c r="M24" s="100"/>
      <c r="N24" s="154"/>
      <c r="O24" s="100"/>
      <c r="P24" s="118"/>
      <c r="Q24" s="70"/>
      <c r="R24" s="118"/>
      <c r="S24" s="118"/>
      <c r="T24" s="70"/>
      <c r="U24" s="118"/>
      <c r="V24" s="118"/>
      <c r="W24" s="103"/>
      <c r="Y24" s="3"/>
      <c r="Z24" s="67"/>
      <c r="AA24" s="63"/>
      <c r="AB24" s="63"/>
      <c r="AC24" s="172"/>
      <c r="AD24" s="63"/>
      <c r="AE24" s="63"/>
      <c r="AF24" s="172"/>
      <c r="AG24" s="172"/>
      <c r="AH24" s="67"/>
    </row>
    <row r="25" spans="1:34">
      <c r="A25" s="100"/>
      <c r="B25" s="48"/>
      <c r="C25" s="100"/>
      <c r="D25" s="118"/>
      <c r="E25" s="118"/>
      <c r="F25" s="118"/>
      <c r="G25" s="118"/>
      <c r="H25" s="118"/>
      <c r="I25" s="118"/>
      <c r="J25" s="118"/>
      <c r="K25" s="118"/>
      <c r="M25" s="100"/>
      <c r="N25" s="154" t="s">
        <v>34</v>
      </c>
      <c r="O25" s="100"/>
      <c r="P25" s="20">
        <v>2999.8266600000002</v>
      </c>
      <c r="Q25" s="70">
        <v>1947.56925</v>
      </c>
      <c r="R25" s="20">
        <v>0</v>
      </c>
      <c r="S25" s="103">
        <v>1664.56412</v>
      </c>
      <c r="T25" s="70">
        <v>2039.98648</v>
      </c>
      <c r="U25" s="20">
        <v>0</v>
      </c>
      <c r="V25" s="103">
        <v>4664.3907799999997</v>
      </c>
      <c r="W25" s="103">
        <v>3987.55573</v>
      </c>
      <c r="Y25" s="3" t="s">
        <v>34</v>
      </c>
      <c r="Z25" s="67"/>
      <c r="AA25" s="63">
        <v>1947.56925</v>
      </c>
      <c r="AB25" s="63">
        <v>2499.9945200000002</v>
      </c>
      <c r="AC25" s="24">
        <v>0</v>
      </c>
      <c r="AD25" s="63">
        <v>2039.98648</v>
      </c>
      <c r="AE25" s="63">
        <v>3809.9696200000003</v>
      </c>
      <c r="AF25" s="24">
        <v>0</v>
      </c>
      <c r="AG25" s="172">
        <v>3987.55573</v>
      </c>
      <c r="AH25" s="211">
        <v>6309.96414</v>
      </c>
    </row>
    <row r="26" spans="1:34" ht="25">
      <c r="A26" s="100"/>
      <c r="B26" s="48" t="s">
        <v>38</v>
      </c>
      <c r="C26" s="100"/>
      <c r="D26" s="65">
        <v>49581.681790000002</v>
      </c>
      <c r="E26" s="65">
        <v>7957.0007999999998</v>
      </c>
      <c r="F26" s="26"/>
      <c r="G26" s="103">
        <v>19946.542710000002</v>
      </c>
      <c r="H26" s="103">
        <v>0</v>
      </c>
      <c r="I26" s="26"/>
      <c r="J26" s="103">
        <v>69528.224500000011</v>
      </c>
      <c r="K26" s="103">
        <v>7957.0007999999998</v>
      </c>
      <c r="M26" s="100"/>
      <c r="N26" s="154"/>
      <c r="O26" s="100"/>
      <c r="P26" s="118"/>
      <c r="Q26" s="70"/>
      <c r="R26" s="118"/>
      <c r="S26" s="118"/>
      <c r="T26" s="70"/>
      <c r="U26" s="118"/>
      <c r="V26" s="118"/>
      <c r="W26" s="103"/>
      <c r="Y26" s="3"/>
      <c r="Z26" s="67"/>
      <c r="AA26" s="63"/>
      <c r="AB26" s="63"/>
      <c r="AC26" s="172"/>
      <c r="AD26" s="63"/>
      <c r="AE26" s="63"/>
      <c r="AF26" s="172"/>
      <c r="AG26" s="172"/>
      <c r="AH26" s="67"/>
    </row>
    <row r="27" spans="1:34" ht="28">
      <c r="A27" s="100"/>
      <c r="B27" s="48"/>
      <c r="C27" s="100"/>
      <c r="D27" s="118"/>
      <c r="E27" s="118"/>
      <c r="F27" s="118"/>
      <c r="G27" s="118"/>
      <c r="H27" s="118"/>
      <c r="I27" s="118"/>
      <c r="J27" s="118"/>
      <c r="K27" s="118"/>
      <c r="M27" s="100"/>
      <c r="N27" s="154" t="s">
        <v>38</v>
      </c>
      <c r="O27" s="100"/>
      <c r="P27" s="20">
        <v>7957.0007999999998</v>
      </c>
      <c r="Q27" s="70">
        <v>8107.8723500000006</v>
      </c>
      <c r="R27" s="64"/>
      <c r="S27" s="103">
        <v>0</v>
      </c>
      <c r="T27" s="70">
        <v>4999.9390000000003</v>
      </c>
      <c r="U27" s="64"/>
      <c r="V27" s="103">
        <v>7957.0007999999998</v>
      </c>
      <c r="W27" s="103">
        <v>13107.81135</v>
      </c>
      <c r="Y27" s="3" t="s">
        <v>38</v>
      </c>
      <c r="Z27" s="67"/>
      <c r="AA27" s="63">
        <v>8107.8723500000006</v>
      </c>
      <c r="AB27" s="63">
        <v>3198.25</v>
      </c>
      <c r="AC27" s="61"/>
      <c r="AD27" s="63">
        <v>4999.9390000000003</v>
      </c>
      <c r="AE27" s="63">
        <v>16027.25</v>
      </c>
      <c r="AF27" s="61"/>
      <c r="AG27" s="172">
        <v>13107.81135</v>
      </c>
      <c r="AH27" s="211">
        <v>19225.5</v>
      </c>
    </row>
    <row r="28" spans="1:34" ht="25">
      <c r="A28" s="100"/>
      <c r="B28" s="48" t="s">
        <v>39</v>
      </c>
      <c r="C28" s="100"/>
      <c r="D28" s="65">
        <v>12999.09188</v>
      </c>
      <c r="E28" s="65">
        <v>6998.7299000000003</v>
      </c>
      <c r="F28" s="104"/>
      <c r="G28" s="103">
        <v>11857.793180000001</v>
      </c>
      <c r="H28" s="103">
        <v>6697.9995999999983</v>
      </c>
      <c r="I28" s="104"/>
      <c r="J28" s="103">
        <v>24856.885060000001</v>
      </c>
      <c r="K28" s="103">
        <v>13696.729499999998</v>
      </c>
      <c r="M28" s="100"/>
      <c r="N28" s="154"/>
      <c r="O28" s="100"/>
      <c r="P28" s="118"/>
      <c r="Q28" s="70"/>
      <c r="R28" s="118"/>
      <c r="S28" s="118"/>
      <c r="T28" s="70"/>
      <c r="U28" s="118"/>
      <c r="V28" s="118"/>
      <c r="W28" s="103"/>
      <c r="Y28" s="3"/>
      <c r="Z28" s="67"/>
      <c r="AA28" s="63"/>
      <c r="AB28" s="63"/>
      <c r="AC28" s="172"/>
      <c r="AD28" s="63"/>
      <c r="AE28" s="63"/>
      <c r="AF28" s="172"/>
      <c r="AG28" s="172"/>
      <c r="AH28" s="67"/>
    </row>
    <row r="29" spans="1:34" ht="28">
      <c r="A29" s="100"/>
      <c r="B29" s="48"/>
      <c r="C29" s="100"/>
      <c r="D29" s="118"/>
      <c r="E29" s="118"/>
      <c r="F29" s="118"/>
      <c r="G29" s="118"/>
      <c r="H29" s="118"/>
      <c r="I29" s="118"/>
      <c r="J29" s="118"/>
      <c r="K29" s="118"/>
      <c r="M29" s="100"/>
      <c r="N29" s="154" t="s">
        <v>39</v>
      </c>
      <c r="O29" s="100"/>
      <c r="P29" s="20">
        <v>6998.7299000000003</v>
      </c>
      <c r="Q29" s="70">
        <v>3807.0282999999999</v>
      </c>
      <c r="R29" s="20"/>
      <c r="S29" s="103">
        <v>6697.9995999999983</v>
      </c>
      <c r="T29" s="70">
        <v>3846.09998</v>
      </c>
      <c r="U29" s="20"/>
      <c r="V29" s="103">
        <v>13696.729499999998</v>
      </c>
      <c r="W29" s="103">
        <v>7653.1282799999999</v>
      </c>
      <c r="Y29" s="3" t="s">
        <v>39</v>
      </c>
      <c r="Z29" s="67"/>
      <c r="AA29" s="63">
        <v>3807.0282999999999</v>
      </c>
      <c r="AB29" s="63">
        <v>5440</v>
      </c>
      <c r="AC29" s="24"/>
      <c r="AD29" s="63">
        <v>3846.09998</v>
      </c>
      <c r="AE29" s="63">
        <v>6095</v>
      </c>
      <c r="AF29" s="24"/>
      <c r="AG29" s="172">
        <v>7653.1282799999999</v>
      </c>
      <c r="AH29" s="211">
        <v>11535</v>
      </c>
    </row>
    <row r="30" spans="1:34">
      <c r="A30" s="100"/>
      <c r="B30" s="48" t="s">
        <v>36</v>
      </c>
      <c r="C30" s="100"/>
      <c r="D30" s="65">
        <v>8407.5200999999997</v>
      </c>
      <c r="E30" s="65">
        <v>6999.9160000000002</v>
      </c>
      <c r="F30" s="65">
        <v>0</v>
      </c>
      <c r="G30" s="103">
        <v>22368.657600000002</v>
      </c>
      <c r="H30" s="103">
        <v>5099.95964</v>
      </c>
      <c r="I30" s="65">
        <v>0</v>
      </c>
      <c r="J30" s="103">
        <v>30776.1777</v>
      </c>
      <c r="K30" s="103">
        <v>12099.87564</v>
      </c>
      <c r="M30" s="100"/>
      <c r="N30" s="154"/>
      <c r="O30" s="100"/>
      <c r="P30" s="118"/>
      <c r="Q30" s="70"/>
      <c r="R30" s="118"/>
      <c r="S30" s="118"/>
      <c r="T30" s="70"/>
      <c r="U30" s="118"/>
      <c r="V30" s="118"/>
      <c r="W30" s="103"/>
      <c r="Y30" s="3"/>
      <c r="Z30" s="67"/>
      <c r="AA30" s="63"/>
      <c r="AB30" s="63"/>
      <c r="AC30" s="172"/>
      <c r="AD30" s="63"/>
      <c r="AE30" s="63"/>
      <c r="AF30" s="172"/>
      <c r="AG30" s="172"/>
      <c r="AH30" s="67"/>
    </row>
    <row r="31" spans="1:34">
      <c r="A31" s="100"/>
      <c r="B31" s="48"/>
      <c r="C31" s="100"/>
      <c r="D31" s="118"/>
      <c r="E31" s="118"/>
      <c r="F31" s="118"/>
      <c r="G31" s="118"/>
      <c r="H31" s="118"/>
      <c r="I31" s="118"/>
      <c r="J31" s="118"/>
      <c r="K31" s="118"/>
      <c r="M31" s="100"/>
      <c r="N31" s="154" t="s">
        <v>36</v>
      </c>
      <c r="O31" s="100"/>
      <c r="P31" s="20">
        <v>6999.9160000000002</v>
      </c>
      <c r="Q31" s="70">
        <v>3499.9696099999996</v>
      </c>
      <c r="R31" s="20">
        <v>0</v>
      </c>
      <c r="S31" s="103">
        <v>5099.95964</v>
      </c>
      <c r="T31" s="70">
        <v>8773.9070299999985</v>
      </c>
      <c r="U31" s="20">
        <v>0</v>
      </c>
      <c r="V31" s="103">
        <v>12099.87564</v>
      </c>
      <c r="W31" s="103">
        <v>12273.876639999999</v>
      </c>
      <c r="Y31" s="3" t="s">
        <v>36</v>
      </c>
      <c r="Z31" s="67"/>
      <c r="AA31" s="63">
        <v>3499.9696099999996</v>
      </c>
      <c r="AB31" s="63">
        <v>6899.9795999999997</v>
      </c>
      <c r="AC31" s="24">
        <v>0</v>
      </c>
      <c r="AD31" s="63">
        <v>8773.9070299999985</v>
      </c>
      <c r="AE31" s="63">
        <v>10615.74077</v>
      </c>
      <c r="AF31" s="24">
        <v>0</v>
      </c>
      <c r="AG31" s="172">
        <v>12273.876639999999</v>
      </c>
      <c r="AH31" s="211">
        <v>17515.720369999999</v>
      </c>
    </row>
    <row r="32" spans="1:34" ht="25">
      <c r="A32" s="100"/>
      <c r="B32" s="48" t="s">
        <v>37</v>
      </c>
      <c r="C32" s="100"/>
      <c r="D32" s="65">
        <v>12499.75308</v>
      </c>
      <c r="E32" s="65">
        <v>16532.69558</v>
      </c>
      <c r="F32" s="65">
        <v>0</v>
      </c>
      <c r="G32" s="103">
        <v>18749.997170000002</v>
      </c>
      <c r="H32" s="103">
        <v>12197.999820000001</v>
      </c>
      <c r="I32" s="65">
        <v>0</v>
      </c>
      <c r="J32" s="103">
        <v>31249.750250000005</v>
      </c>
      <c r="K32" s="103">
        <v>28730.695400000001</v>
      </c>
      <c r="M32" s="100"/>
      <c r="N32" s="154"/>
      <c r="O32" s="100"/>
      <c r="P32" s="118"/>
      <c r="Q32" s="70"/>
      <c r="R32" s="118"/>
      <c r="S32" s="118"/>
      <c r="T32" s="70"/>
      <c r="U32" s="118"/>
      <c r="V32" s="118"/>
      <c r="W32" s="103"/>
      <c r="Y32" s="3"/>
      <c r="Z32" s="67"/>
      <c r="AA32" s="63"/>
      <c r="AB32" s="63"/>
      <c r="AC32" s="172"/>
      <c r="AD32" s="63"/>
      <c r="AE32" s="63"/>
      <c r="AF32" s="172"/>
      <c r="AG32" s="172"/>
      <c r="AH32" s="67"/>
    </row>
    <row r="33" spans="1:34" ht="28">
      <c r="A33" s="100"/>
      <c r="B33" s="48"/>
      <c r="C33" s="100"/>
      <c r="D33" s="118"/>
      <c r="E33" s="118"/>
      <c r="F33" s="118"/>
      <c r="G33" s="118"/>
      <c r="H33" s="118"/>
      <c r="I33" s="118"/>
      <c r="J33" s="118"/>
      <c r="K33" s="118"/>
      <c r="M33" s="100"/>
      <c r="N33" s="154" t="s">
        <v>37</v>
      </c>
      <c r="O33" s="100"/>
      <c r="P33" s="20">
        <v>16532.69558</v>
      </c>
      <c r="Q33" s="70">
        <v>12299.973</v>
      </c>
      <c r="R33" s="20">
        <v>0</v>
      </c>
      <c r="S33" s="103">
        <v>12197.999820000001</v>
      </c>
      <c r="T33" s="70">
        <v>6915</v>
      </c>
      <c r="U33" s="20">
        <v>0</v>
      </c>
      <c r="V33" s="103">
        <v>28730.695400000001</v>
      </c>
      <c r="W33" s="103">
        <v>19214.972999999998</v>
      </c>
      <c r="Y33" s="3" t="s">
        <v>37</v>
      </c>
      <c r="Z33" s="67"/>
      <c r="AA33" s="63">
        <v>12299.973</v>
      </c>
      <c r="AB33" s="63">
        <v>7317.2638999999999</v>
      </c>
      <c r="AC33" s="24">
        <v>0</v>
      </c>
      <c r="AD33" s="63">
        <v>6915</v>
      </c>
      <c r="AE33" s="63">
        <v>13137</v>
      </c>
      <c r="AF33" s="24">
        <v>0</v>
      </c>
      <c r="AG33" s="172">
        <v>19214.972999999998</v>
      </c>
      <c r="AH33" s="211">
        <v>20454.263899999998</v>
      </c>
    </row>
    <row r="34" spans="1:34" ht="37.5">
      <c r="A34" s="100"/>
      <c r="B34" s="48" t="s">
        <v>41</v>
      </c>
      <c r="C34" s="100"/>
      <c r="D34" s="65">
        <v>1544.93029</v>
      </c>
      <c r="E34" s="65">
        <v>2199.4065000000001</v>
      </c>
      <c r="F34" s="65">
        <v>0</v>
      </c>
      <c r="G34" s="103">
        <v>40186.716770000006</v>
      </c>
      <c r="H34" s="103">
        <v>13362.66381</v>
      </c>
      <c r="I34" s="65">
        <v>0</v>
      </c>
      <c r="J34" s="103">
        <v>41731.647060000003</v>
      </c>
      <c r="K34" s="103">
        <v>15562.070309999999</v>
      </c>
      <c r="M34" s="100"/>
      <c r="N34" s="154"/>
      <c r="O34" s="100"/>
      <c r="P34" s="118"/>
      <c r="Q34" s="70"/>
      <c r="R34" s="118"/>
      <c r="S34" s="118"/>
      <c r="T34" s="70"/>
      <c r="U34" s="118"/>
      <c r="V34" s="118"/>
      <c r="W34" s="103"/>
      <c r="Y34" s="3"/>
      <c r="Z34" s="67"/>
      <c r="AA34" s="63"/>
      <c r="AB34" s="63"/>
      <c r="AC34" s="172"/>
      <c r="AD34" s="63"/>
      <c r="AE34" s="63"/>
      <c r="AF34" s="172"/>
      <c r="AG34" s="172"/>
      <c r="AH34" s="67"/>
    </row>
    <row r="35" spans="1:34" ht="42">
      <c r="A35" s="100"/>
      <c r="B35" s="48"/>
      <c r="C35" s="100"/>
      <c r="D35" s="118"/>
      <c r="E35" s="118"/>
      <c r="F35" s="118"/>
      <c r="G35" s="118"/>
      <c r="H35" s="118"/>
      <c r="I35" s="118"/>
      <c r="J35" s="118"/>
      <c r="K35" s="118"/>
      <c r="M35" s="100"/>
      <c r="N35" s="154" t="s">
        <v>41</v>
      </c>
      <c r="O35" s="100"/>
      <c r="P35" s="20">
        <v>2199.4065000000001</v>
      </c>
      <c r="Q35" s="70">
        <v>1349.4186000000002</v>
      </c>
      <c r="R35" s="20">
        <v>0</v>
      </c>
      <c r="S35" s="103">
        <v>13362.66381</v>
      </c>
      <c r="T35" s="70">
        <v>6610.80242</v>
      </c>
      <c r="U35" s="20">
        <v>0</v>
      </c>
      <c r="V35" s="103">
        <v>15562.070309999999</v>
      </c>
      <c r="W35" s="103">
        <v>7960.22102</v>
      </c>
      <c r="Y35" s="3" t="s">
        <v>41</v>
      </c>
      <c r="Z35" s="67"/>
      <c r="AA35" s="63">
        <v>1349.4186000000002</v>
      </c>
      <c r="AB35" s="63">
        <v>499.8</v>
      </c>
      <c r="AC35" s="24">
        <v>0</v>
      </c>
      <c r="AD35" s="63">
        <v>6610.80242</v>
      </c>
      <c r="AE35" s="63">
        <v>19497.815600000002</v>
      </c>
      <c r="AF35" s="24">
        <v>0</v>
      </c>
      <c r="AG35" s="172">
        <v>7960.22102</v>
      </c>
      <c r="AH35" s="211">
        <v>19997.615600000001</v>
      </c>
    </row>
    <row r="36" spans="1:34" ht="25">
      <c r="A36" s="100"/>
      <c r="B36" s="48" t="s">
        <v>70</v>
      </c>
      <c r="C36" s="100"/>
      <c r="D36" s="65">
        <v>499.92</v>
      </c>
      <c r="E36" s="65">
        <v>1999.72</v>
      </c>
      <c r="F36" s="118"/>
      <c r="G36" s="103">
        <v>3099.9504000000002</v>
      </c>
      <c r="H36" s="103">
        <v>1443.6085999999996</v>
      </c>
      <c r="I36" s="118"/>
      <c r="J36" s="103">
        <v>3599.8704000000002</v>
      </c>
      <c r="K36" s="103">
        <v>3443.3285999999998</v>
      </c>
      <c r="M36" s="100"/>
      <c r="N36" s="154"/>
      <c r="O36" s="100"/>
      <c r="P36" s="118"/>
      <c r="Q36" s="70"/>
      <c r="R36" s="118"/>
      <c r="S36" s="118"/>
      <c r="T36" s="70"/>
      <c r="U36" s="118"/>
      <c r="V36" s="118"/>
      <c r="W36" s="103"/>
      <c r="Y36" s="3"/>
      <c r="Z36" s="67"/>
      <c r="AA36" s="63"/>
      <c r="AB36" s="63"/>
      <c r="AC36" s="172"/>
      <c r="AD36" s="63"/>
      <c r="AE36" s="63"/>
      <c r="AF36" s="172"/>
      <c r="AG36" s="172"/>
      <c r="AH36" s="67"/>
    </row>
    <row r="37" spans="1:34" ht="28">
      <c r="A37" s="100"/>
      <c r="B37" s="48"/>
      <c r="C37" s="100"/>
      <c r="D37" s="118"/>
      <c r="E37" s="118"/>
      <c r="F37" s="118"/>
      <c r="G37" s="118"/>
      <c r="H37" s="118"/>
      <c r="I37" s="118"/>
      <c r="J37" s="118"/>
      <c r="K37" s="118"/>
      <c r="M37" s="100"/>
      <c r="N37" s="154" t="s">
        <v>70</v>
      </c>
      <c r="O37" s="100"/>
      <c r="P37" s="20">
        <v>1999.72</v>
      </c>
      <c r="Q37" s="70">
        <v>499.70499999999998</v>
      </c>
      <c r="R37" s="118"/>
      <c r="S37" s="103">
        <v>1443.6085999999996</v>
      </c>
      <c r="T37" s="70">
        <v>1799.9390000000001</v>
      </c>
      <c r="U37" s="118"/>
      <c r="V37" s="103">
        <v>3443.3285999999998</v>
      </c>
      <c r="W37" s="103">
        <v>2299.6440000000002</v>
      </c>
      <c r="Y37" s="3" t="s">
        <v>70</v>
      </c>
      <c r="Z37" s="67"/>
      <c r="AA37" s="63">
        <v>499.70499999999998</v>
      </c>
      <c r="AB37" s="63">
        <v>280</v>
      </c>
      <c r="AC37" s="172"/>
      <c r="AD37" s="63">
        <v>1799.9390000000001</v>
      </c>
      <c r="AE37" s="63">
        <v>1974</v>
      </c>
      <c r="AF37" s="172"/>
      <c r="AG37" s="172">
        <v>2299.6440000000002</v>
      </c>
      <c r="AH37" s="211">
        <v>2254</v>
      </c>
    </row>
    <row r="38" spans="1:34" ht="37.5">
      <c r="A38" s="100"/>
      <c r="B38" s="48" t="s">
        <v>71</v>
      </c>
      <c r="C38" s="100"/>
      <c r="D38" s="65">
        <v>39.909999999999997</v>
      </c>
      <c r="E38" s="65">
        <v>299.85000000000002</v>
      </c>
      <c r="F38" s="104"/>
      <c r="G38" s="103">
        <v>250</v>
      </c>
      <c r="H38" s="103">
        <v>499.97</v>
      </c>
      <c r="I38" s="104"/>
      <c r="J38" s="103">
        <v>289.90999999999997</v>
      </c>
      <c r="K38" s="103">
        <v>799.82</v>
      </c>
      <c r="M38" s="100"/>
      <c r="N38" s="154"/>
      <c r="O38" s="100"/>
      <c r="P38" s="118"/>
      <c r="Q38" s="70"/>
      <c r="R38" s="118"/>
      <c r="S38" s="118"/>
      <c r="T38" s="70"/>
      <c r="U38" s="118"/>
      <c r="V38" s="118"/>
      <c r="W38" s="103"/>
      <c r="Y38" s="3"/>
      <c r="Z38" s="67"/>
      <c r="AA38" s="63"/>
      <c r="AB38" s="63"/>
      <c r="AC38" s="172"/>
      <c r="AD38" s="63"/>
      <c r="AE38" s="63"/>
      <c r="AF38" s="172"/>
      <c r="AG38" s="172"/>
      <c r="AH38" s="67"/>
    </row>
    <row r="39" spans="1:34" ht="42.5" thickBot="1">
      <c r="A39" s="111"/>
      <c r="B39" s="130"/>
      <c r="C39" s="86"/>
      <c r="D39" s="86"/>
      <c r="E39" s="86"/>
      <c r="F39" s="86"/>
      <c r="G39" s="86"/>
      <c r="H39" s="86"/>
      <c r="I39" s="86"/>
      <c r="J39" s="86"/>
      <c r="K39" s="86"/>
      <c r="M39" s="100"/>
      <c r="N39" s="154" t="s">
        <v>71</v>
      </c>
      <c r="O39" s="100"/>
      <c r="P39" s="20">
        <v>299.85000000000002</v>
      </c>
      <c r="Q39" s="70">
        <v>483.89</v>
      </c>
      <c r="R39" s="20"/>
      <c r="S39" s="103">
        <v>499.97</v>
      </c>
      <c r="T39" s="70">
        <v>195.18707999999998</v>
      </c>
      <c r="U39" s="20"/>
      <c r="V39" s="103">
        <v>799.82</v>
      </c>
      <c r="W39" s="103">
        <v>679.07708000000002</v>
      </c>
      <c r="Y39" s="3" t="s">
        <v>71</v>
      </c>
      <c r="Z39" s="67"/>
      <c r="AA39" s="63">
        <v>483.89</v>
      </c>
      <c r="AB39" s="63">
        <v>448.16</v>
      </c>
      <c r="AC39" s="24"/>
      <c r="AD39" s="63">
        <v>195.18707999999998</v>
      </c>
      <c r="AE39" s="63">
        <v>831.02654999999993</v>
      </c>
      <c r="AF39" s="24"/>
      <c r="AG39" s="172">
        <v>679.07708000000002</v>
      </c>
      <c r="AH39" s="211">
        <v>1279.1865499999999</v>
      </c>
    </row>
    <row r="40" spans="1:34" ht="15" thickBot="1">
      <c r="M40" s="111"/>
      <c r="N40" s="195"/>
      <c r="O40" s="86"/>
      <c r="P40" s="86"/>
      <c r="Q40" s="86"/>
      <c r="R40" s="86"/>
      <c r="S40" s="86"/>
      <c r="T40" s="86"/>
      <c r="U40" s="86"/>
      <c r="V40" s="86"/>
      <c r="W40" s="86"/>
      <c r="Y40" s="208"/>
      <c r="Z40" s="183"/>
      <c r="AA40" s="183"/>
      <c r="AB40" s="183"/>
      <c r="AC40" s="183"/>
      <c r="AD40" s="183"/>
      <c r="AE40" s="183"/>
      <c r="AF40" s="183"/>
      <c r="AG40" s="183"/>
      <c r="AH40" s="183"/>
    </row>
    <row r="41" spans="1:34">
      <c r="Y41" s="209"/>
      <c r="Z41" s="4"/>
      <c r="AA41" s="4"/>
      <c r="AB41" s="4"/>
      <c r="AC41" s="4"/>
      <c r="AD41" s="4"/>
      <c r="AE41" s="4"/>
      <c r="AF41" s="4"/>
      <c r="AG41" s="4"/>
      <c r="AH41" s="4"/>
    </row>
  </sheetData>
  <mergeCells count="15">
    <mergeCell ref="A1:K1"/>
    <mergeCell ref="A2:K2"/>
    <mergeCell ref="D4:E4"/>
    <mergeCell ref="G4:H4"/>
    <mergeCell ref="J4:K4"/>
    <mergeCell ref="P5:Q5"/>
    <mergeCell ref="S5:T5"/>
    <mergeCell ref="V5:W5"/>
    <mergeCell ref="Y1:AH1"/>
    <mergeCell ref="Y2:AH2"/>
    <mergeCell ref="AA5:AB5"/>
    <mergeCell ref="AD5:AE5"/>
    <mergeCell ref="AG5:AH5"/>
    <mergeCell ref="M1:W1"/>
    <mergeCell ref="M2:W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42981CF-7E53-4B30-9535-1651FEB0FC9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1</vt:i4>
      </vt:variant>
    </vt:vector>
  </HeadingPairs>
  <TitlesOfParts>
    <vt:vector size="44" baseType="lpstr">
      <vt:lpstr>Overall Loss &gt;</vt:lpstr>
      <vt:lpstr>Link</vt:lpstr>
      <vt:lpstr>Malaysia</vt:lpstr>
      <vt:lpstr>Sub Category &gt;</vt:lpstr>
      <vt:lpstr>State Analysis</vt:lpstr>
      <vt:lpstr>Loss by Category</vt:lpstr>
      <vt:lpstr>Loss by State</vt:lpstr>
      <vt:lpstr>Agriculture by State &gt;</vt:lpstr>
      <vt:lpstr>AgriculturePivot</vt:lpstr>
      <vt:lpstr>AgriSubCatPivot</vt:lpstr>
      <vt:lpstr>Agriculture by State</vt:lpstr>
      <vt:lpstr>Agriculture By Category</vt:lpstr>
      <vt:lpstr>AgricultureRawData</vt:lpstr>
      <vt:lpstr>AgriSubCat</vt:lpstr>
      <vt:lpstr>Infrastructure By State &gt;</vt:lpstr>
      <vt:lpstr>InfraLossPivot</vt:lpstr>
      <vt:lpstr>JKR Pivot</vt:lpstr>
      <vt:lpstr>JPS Pivot</vt:lpstr>
      <vt:lpstr>Infrastructure Loss</vt:lpstr>
      <vt:lpstr>JKRQuery (2)</vt:lpstr>
      <vt:lpstr>JKR Losses</vt:lpstr>
      <vt:lpstr>JPS Losses</vt:lpstr>
      <vt:lpstr>InfraLossQuery</vt:lpstr>
      <vt:lpstr>JKRQuery</vt:lpstr>
      <vt:lpstr>JPS Query</vt:lpstr>
      <vt:lpstr>Raw Data &gt;</vt:lpstr>
      <vt:lpstr>Malaysia Raw</vt:lpstr>
      <vt:lpstr>MalaysiaOverall</vt:lpstr>
      <vt:lpstr>StatesOverall</vt:lpstr>
      <vt:lpstr>Sheet2</vt:lpstr>
      <vt:lpstr>States Total Loss</vt:lpstr>
      <vt:lpstr>Living Quarter</vt:lpstr>
      <vt:lpstr>Agriculture</vt:lpstr>
      <vt:lpstr>Raw Loss State</vt:lpstr>
      <vt:lpstr>Vehicles</vt:lpstr>
      <vt:lpstr>Infrastructure</vt:lpstr>
      <vt:lpstr>Manufacturing</vt:lpstr>
      <vt:lpstr>Premises</vt:lpstr>
      <vt:lpstr>Pertanian Perladangan</vt:lpstr>
      <vt:lpstr>Pertanian (Kategori)</vt:lpstr>
      <vt:lpstr>Infrastruktur</vt:lpstr>
      <vt:lpstr>JKR</vt:lpstr>
      <vt:lpstr>JPS</vt:lpstr>
      <vt:lpstr>'JKRQuery (2)'!ExternalData_1</vt:lpstr>
    </vt:vector>
  </TitlesOfParts>
  <Manager/>
  <Company>Liberty Mutual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Azizul, Muhammad Alif Firdaus</dc:creator>
  <cp:keywords/>
  <dc:description/>
  <cp:lastModifiedBy>Azizul, Muhammad Alif Firdaus</cp:lastModifiedBy>
  <cp:revision/>
  <dcterms:created xsi:type="dcterms:W3CDTF">2026-04-15T08:24:26Z</dcterms:created>
  <dcterms:modified xsi:type="dcterms:W3CDTF">2026-05-19T01:16:36Z</dcterms:modified>
  <cp:category/>
  <cp:contentStatus/>
</cp:coreProperties>
</file>