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5600" windowHeight="6915" activeTab="4"/>
  </bookViews>
  <sheets>
    <sheet name="data_318" sheetId="3" r:id="rId1"/>
    <sheet name="data_308" sheetId="1" r:id="rId2"/>
    <sheet name="data_bore10ppm" sheetId="4" r:id="rId3"/>
    <sheet name="poids" sheetId="6" r:id="rId4"/>
    <sheet name="data_spx" sheetId="5" r:id="rId5"/>
  </sheets>
  <calcPr calcId="145621"/>
</workbook>
</file>

<file path=xl/calcChain.xml><?xml version="1.0" encoding="utf-8"?>
<calcChain xmlns="http://schemas.openxmlformats.org/spreadsheetml/2006/main">
  <c r="L80" i="6" l="1"/>
  <c r="L81" i="6"/>
  <c r="L82" i="6"/>
  <c r="L83" i="6"/>
  <c r="L84" i="6"/>
  <c r="L79" i="6"/>
  <c r="L69" i="6"/>
  <c r="L70" i="6"/>
  <c r="L71" i="6"/>
  <c r="L72" i="6"/>
  <c r="L73" i="6"/>
  <c r="L60" i="6"/>
  <c r="L59" i="6"/>
  <c r="N56" i="6" s="1"/>
  <c r="L58" i="6"/>
  <c r="N55" i="6" s="1"/>
  <c r="L57" i="6"/>
  <c r="N54" i="6" s="1"/>
  <c r="L55" i="6"/>
  <c r="L74" i="6"/>
  <c r="L44" i="6"/>
  <c r="L45" i="6" s="1"/>
  <c r="F7" i="4"/>
  <c r="F8" i="4"/>
  <c r="I8" i="4"/>
  <c r="M37" i="6"/>
  <c r="L37" i="6"/>
  <c r="L38" i="6" s="1"/>
  <c r="L19" i="6"/>
  <c r="L20" i="6"/>
  <c r="L21" i="6"/>
  <c r="L22" i="6"/>
  <c r="L18" i="6"/>
  <c r="L7" i="6"/>
  <c r="L8" i="6"/>
  <c r="L23" i="6" s="1"/>
  <c r="L6" i="6"/>
  <c r="M14" i="4"/>
  <c r="M16" i="4" s="1"/>
  <c r="M15" i="4"/>
  <c r="L15" i="4"/>
  <c r="K15" i="4"/>
  <c r="F4" i="5" l="1"/>
  <c r="K12" i="5"/>
  <c r="F3" i="5"/>
  <c r="H3" i="5" s="1"/>
  <c r="F2" i="5"/>
  <c r="H6" i="5"/>
  <c r="H5" i="5"/>
  <c r="F11" i="5"/>
  <c r="F6" i="5"/>
  <c r="F5" i="5"/>
  <c r="A2" i="5"/>
  <c r="A5" i="5"/>
  <c r="H4" i="5" l="1"/>
  <c r="H2" i="5"/>
  <c r="A11" i="5" l="1"/>
  <c r="A6" i="5"/>
  <c r="H12" i="4"/>
  <c r="H11" i="4"/>
  <c r="H8" i="4"/>
  <c r="H7" i="4"/>
  <c r="F16" i="4"/>
  <c r="F15" i="4"/>
  <c r="A14" i="4"/>
  <c r="H17" i="4" s="1"/>
  <c r="A6" i="4"/>
  <c r="H6" i="4" s="1"/>
  <c r="A5" i="4"/>
  <c r="H5" i="4" s="1"/>
  <c r="A2" i="4"/>
  <c r="H3" i="4" s="1"/>
  <c r="A12" i="3"/>
  <c r="H13" i="3" s="1"/>
  <c r="A6" i="3"/>
  <c r="H6" i="3" s="1"/>
  <c r="A5" i="3"/>
  <c r="H5" i="3" s="1"/>
  <c r="A2" i="3"/>
  <c r="H4" i="3" s="1"/>
  <c r="K18" i="4" l="1"/>
  <c r="L18" i="4" s="1"/>
  <c r="K20" i="4" s="1"/>
  <c r="A8" i="5"/>
  <c r="H9" i="5" s="1"/>
  <c r="H11" i="5"/>
  <c r="H4" i="4"/>
  <c r="A11" i="4"/>
  <c r="H2" i="4"/>
  <c r="H14" i="4"/>
  <c r="A9" i="3"/>
  <c r="H11" i="3" s="1"/>
  <c r="H2" i="3"/>
  <c r="H12" i="3"/>
  <c r="H3" i="3"/>
  <c r="H10" i="3"/>
  <c r="H2" i="1"/>
  <c r="H10" i="5" l="1"/>
  <c r="H8" i="5"/>
  <c r="H13" i="4"/>
  <c r="H9" i="3"/>
  <c r="H13" i="1"/>
  <c r="H12" i="1"/>
  <c r="H11" i="1"/>
  <c r="H10" i="1"/>
  <c r="H9" i="1"/>
  <c r="H6" i="1"/>
  <c r="H5" i="1"/>
  <c r="H3" i="1"/>
  <c r="H4" i="1"/>
  <c r="A9" i="1"/>
  <c r="A12" i="1"/>
  <c r="A6" i="1"/>
  <c r="A5" i="1"/>
  <c r="A2" i="1"/>
</calcChain>
</file>

<file path=xl/sharedStrings.xml><?xml version="1.0" encoding="utf-8"?>
<sst xmlns="http://schemas.openxmlformats.org/spreadsheetml/2006/main" count="508" uniqueCount="80">
  <si>
    <t>O16</t>
  </si>
  <si>
    <t>=</t>
  </si>
  <si>
    <t>'O16'</t>
  </si>
  <si>
    <t>U235</t>
  </si>
  <si>
    <t>'U235'</t>
  </si>
  <si>
    <t>U238</t>
  </si>
  <si>
    <t>'U238'</t>
  </si>
  <si>
    <t>Zr91</t>
  </si>
  <si>
    <t>'Zr91'</t>
  </si>
  <si>
    <t>H1H2O</t>
  </si>
  <si>
    <t>'H1_H2O'</t>
  </si>
  <si>
    <t>O16H2O</t>
  </si>
  <si>
    <t>B10</t>
  </si>
  <si>
    <t>'B10'</t>
  </si>
  <si>
    <t>B11</t>
  </si>
  <si>
    <t>'B11'</t>
  </si>
  <si>
    <t>Pastille</t>
  </si>
  <si>
    <t>Gaine</t>
  </si>
  <si>
    <t>Eau (308°C)</t>
  </si>
  <si>
    <t>C</t>
  </si>
  <si>
    <t>cm</t>
  </si>
  <si>
    <t>cellule carrée</t>
  </si>
  <si>
    <t>pastille</t>
  </si>
  <si>
    <t>diamètre</t>
  </si>
  <si>
    <t>coté</t>
  </si>
  <si>
    <t>gaine</t>
  </si>
  <si>
    <t>diamètre intérieur</t>
  </si>
  <si>
    <t>diamètre extérieur</t>
  </si>
  <si>
    <t>B4C</t>
  </si>
  <si>
    <t>Géo</t>
  </si>
  <si>
    <t>COMPO</t>
  </si>
  <si>
    <t>COMB</t>
  </si>
  <si>
    <t>POISON</t>
  </si>
  <si>
    <t>CELL</t>
  </si>
  <si>
    <t>COMPO (10^24at/cm3)</t>
  </si>
  <si>
    <t>'C0'</t>
  </si>
  <si>
    <t>Eau (318°C)</t>
  </si>
  <si>
    <t>cellule hexagonale</t>
  </si>
  <si>
    <t>rayon</t>
  </si>
  <si>
    <t>Sodium</t>
  </si>
  <si>
    <t>isotope</t>
  </si>
  <si>
    <t>GENERATION DRAGON FILE</t>
  </si>
  <si>
    <r>
      <t>(</t>
    </r>
    <r>
      <rPr>
        <b/>
        <sz val="11"/>
        <color theme="1"/>
        <rFont val="Calibri"/>
        <family val="2"/>
        <scheme val="minor"/>
      </rPr>
      <t>10</t>
    </r>
    <r>
      <rPr>
        <b/>
        <vertAlign val="superscript"/>
        <sz val="11"/>
        <color theme="1"/>
        <rFont val="Calibri"/>
        <family val="2"/>
        <scheme val="minor"/>
      </rPr>
      <t>24</t>
    </r>
    <r>
      <rPr>
        <b/>
        <sz val="11"/>
        <color theme="1"/>
        <rFont val="Calibri"/>
        <family val="2"/>
        <scheme val="minor"/>
      </rPr>
      <t>at/cm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rgb="FF000000"/>
        <rFont val="Calibri"/>
        <family val="2"/>
        <scheme val="minor"/>
      </rPr>
      <t>)</t>
    </r>
  </si>
  <si>
    <r>
      <t>Sodium</t>
    </r>
    <r>
      <rPr>
        <sz val="11"/>
        <color rgb="FF000000"/>
        <rFont val="Calibri"/>
        <family val="2"/>
        <scheme val="minor"/>
      </rPr>
      <t>(0°C)</t>
    </r>
  </si>
  <si>
    <t>'Pu239'</t>
  </si>
  <si>
    <t>'Fe56'</t>
  </si>
  <si>
    <t>'Na23'</t>
  </si>
  <si>
    <t>++</t>
  </si>
  <si>
    <t>TRACKING</t>
  </si>
  <si>
    <t>TIMES</t>
  </si>
  <si>
    <t>FINAL</t>
  </si>
  <si>
    <t>CALLED</t>
  </si>
  <si>
    <t>KINF</t>
  </si>
  <si>
    <t>KEFF</t>
  </si>
  <si>
    <t>B2</t>
  </si>
  <si>
    <t>PRECISION</t>
  </si>
  <si>
    <t>ext,d,result:</t>
  </si>
  <si>
    <t>int,d,result:</t>
  </si>
  <si>
    <t>TGE,d,result:</t>
  </si>
  <si>
    <t>TGI,d,result:</t>
  </si>
  <si>
    <t>core_10,d,result:</t>
  </si>
  <si>
    <t>core_20,d,result:</t>
  </si>
  <si>
    <t>core_30,d,result:</t>
  </si>
  <si>
    <t>core_40,d,result:</t>
  </si>
  <si>
    <t>core_50,d,result:</t>
  </si>
  <si>
    <t>z</t>
  </si>
  <si>
    <t>rho</t>
  </si>
  <si>
    <t>run/rep2D,d,result:</t>
  </si>
  <si>
    <t>run/rep2D,mod_318,d,result:</t>
  </si>
  <si>
    <t>run/rep2D,bore_p10,d,result:</t>
  </si>
  <si>
    <t>run/spx,40,d,result:</t>
  </si>
  <si>
    <t>run/spx,50,d,result:</t>
  </si>
  <si>
    <t>run/spx,ext,d,result:</t>
  </si>
  <si>
    <t>run/spx,int,d,result:</t>
  </si>
  <si>
    <t>run/spx,TGE,d,result:</t>
  </si>
  <si>
    <t>run/spx,TGI,d,result:</t>
  </si>
  <si>
    <t>run/spx,70,d,result:</t>
  </si>
  <si>
    <t>run/spx,0,d,result:</t>
  </si>
  <si>
    <t>run/spx,20,d,result:</t>
  </si>
  <si>
    <t>run/spx,90,d,result: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</si>
</sst>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E+00"/>
    <numFmt numFmtId="165" formatCode="0.000%"/>
    <numFmt numFmtId="166" formatCode="0.00000"/>
    <numFmt numFmtId="167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11" fontId="4" fillId="0" borderId="9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5" fontId="0" fillId="0" borderId="2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vertical="center" wrapText="1"/>
    </xf>
    <xf numFmtId="11" fontId="0" fillId="0" borderId="0" xfId="0" applyNumberFormat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poids!$L$16</c:f>
              <c:strCache>
                <c:ptCount val="1"/>
                <c:pt idx="0">
                  <c:v>rho</c:v>
                </c:pt>
              </c:strCache>
            </c:strRef>
          </c:tx>
          <c:xVal>
            <c:numRef>
              <c:f>poids!$K$17:$K$23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poids!$L$17:$L$23</c:f>
              <c:numCache>
                <c:formatCode>0</c:formatCode>
                <c:ptCount val="7"/>
                <c:pt idx="0" formatCode="0.00000">
                  <c:v>0</c:v>
                </c:pt>
                <c:pt idx="1">
                  <c:v>593.08678034825061</c:v>
                </c:pt>
                <c:pt idx="2">
                  <c:v>2135.7713278130268</c:v>
                </c:pt>
                <c:pt idx="3">
                  <c:v>4116.8532596852347</c:v>
                </c:pt>
                <c:pt idx="4">
                  <c:v>5670.3446639064878</c:v>
                </c:pt>
                <c:pt idx="5">
                  <c:v>6365.8244053405879</c:v>
                </c:pt>
                <c:pt idx="6" formatCode="0.00000">
                  <c:v>6454.2011139154683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7776"/>
        <c:axId val="90695168"/>
      </c:scatterChart>
      <c:valAx>
        <c:axId val="5394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insertion</a:t>
                </a:r>
                <a:r>
                  <a:rPr lang="en-US" baseline="0"/>
                  <a:t> des rideaux</a:t>
                </a:r>
                <a:r>
                  <a:rPr lang="en-US"/>
                  <a:t>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0695168"/>
        <c:crosses val="autoZero"/>
        <c:crossBetween val="midCat"/>
      </c:valAx>
      <c:valAx>
        <c:axId val="906951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antiréactivité (pcm)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53947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poids!$L$16</c:f>
              <c:strCache>
                <c:ptCount val="1"/>
                <c:pt idx="0">
                  <c:v>rho</c:v>
                </c:pt>
              </c:strCache>
            </c:strRef>
          </c:tx>
          <c:xVal>
            <c:numRef>
              <c:f>poids!$K$79:$K$84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50</c:v>
                </c:pt>
                <c:pt idx="4">
                  <c:v>70</c:v>
                </c:pt>
                <c:pt idx="5">
                  <c:v>90</c:v>
                </c:pt>
              </c:numCache>
            </c:numRef>
          </c:xVal>
          <c:yVal>
            <c:numRef>
              <c:f>poids!$L$79:$L$84</c:f>
              <c:numCache>
                <c:formatCode>0.00000</c:formatCode>
                <c:ptCount val="6"/>
                <c:pt idx="0">
                  <c:v>4837.7703648155157</c:v>
                </c:pt>
                <c:pt idx="1">
                  <c:v>4944.4691588669275</c:v>
                </c:pt>
                <c:pt idx="2">
                  <c:v>5330.425230513003</c:v>
                </c:pt>
                <c:pt idx="3">
                  <c:v>5563.3467170063032</c:v>
                </c:pt>
                <c:pt idx="4">
                  <c:v>5903.7978372750003</c:v>
                </c:pt>
                <c:pt idx="5">
                  <c:v>5977.1201756168002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40224"/>
        <c:axId val="90742144"/>
      </c:scatterChart>
      <c:valAx>
        <c:axId val="90740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insertion</a:t>
                </a:r>
                <a:r>
                  <a:rPr lang="en-US" baseline="0"/>
                  <a:t> des rideaux</a:t>
                </a:r>
                <a:r>
                  <a:rPr lang="en-US"/>
                  <a:t> (cm)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0742144"/>
        <c:crosses val="autoZero"/>
        <c:crossBetween val="midCat"/>
      </c:valAx>
      <c:valAx>
        <c:axId val="90742144"/>
        <c:scaling>
          <c:orientation val="minMax"/>
          <c:max val="6000"/>
          <c:min val="4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antiréactivité (pcm)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90740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15</xdr:row>
      <xdr:rowOff>185737</xdr:rowOff>
    </xdr:from>
    <xdr:to>
      <xdr:col>8</xdr:col>
      <xdr:colOff>361950</xdr:colOff>
      <xdr:row>30</xdr:row>
      <xdr:rowOff>71437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552450</xdr:colOff>
      <xdr:row>76</xdr:row>
      <xdr:rowOff>19050</xdr:rowOff>
    </xdr:from>
    <xdr:to>
      <xdr:col>8</xdr:col>
      <xdr:colOff>552450</xdr:colOff>
      <xdr:row>90</xdr:row>
      <xdr:rowOff>95250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H12" sqref="H12"/>
    </sheetView>
  </sheetViews>
  <sheetFormatPr baseColWidth="10" defaultRowHeight="15" x14ac:dyDescent="0.25"/>
  <cols>
    <col min="1" max="1" width="8.140625" bestFit="1" customWidth="1"/>
    <col min="2" max="2" width="10.85546875" bestFit="1" customWidth="1"/>
    <col min="3" max="3" width="8.140625" bestFit="1" customWidth="1"/>
    <col min="4" max="4" width="2" bestFit="1" customWidth="1"/>
    <col min="5" max="5" width="8.85546875" bestFit="1" customWidth="1"/>
    <col min="6" max="7" width="15.85546875" style="2" customWidth="1"/>
    <col min="8" max="8" width="21" bestFit="1" customWidth="1"/>
    <col min="9" max="9" width="11.42578125" style="1"/>
    <col min="11" max="11" width="18" bestFit="1" customWidth="1"/>
    <col min="12" max="13" width="5" bestFit="1" customWidth="1"/>
    <col min="14" max="14" width="6" bestFit="1" customWidth="1"/>
    <col min="15" max="15" width="5" bestFit="1" customWidth="1"/>
  </cols>
  <sheetData>
    <row r="1" spans="1:13" x14ac:dyDescent="0.25">
      <c r="A1" s="35" t="s">
        <v>30</v>
      </c>
      <c r="B1" s="35"/>
      <c r="C1" s="35"/>
      <c r="D1" s="35"/>
      <c r="E1" s="35"/>
      <c r="F1" s="35"/>
      <c r="G1" s="14" t="s">
        <v>33</v>
      </c>
      <c r="H1" s="5" t="s">
        <v>34</v>
      </c>
      <c r="J1" s="35" t="s">
        <v>29</v>
      </c>
      <c r="K1" s="35"/>
      <c r="L1" s="35"/>
      <c r="M1" s="35"/>
    </row>
    <row r="2" spans="1:13" x14ac:dyDescent="0.25">
      <c r="A2" s="36">
        <f>L3^2*PI()/L2^2</f>
        <v>0.33264155018168562</v>
      </c>
      <c r="B2" s="37" t="s">
        <v>16</v>
      </c>
      <c r="C2" s="6" t="s">
        <v>0</v>
      </c>
      <c r="D2" s="6" t="s">
        <v>1</v>
      </c>
      <c r="E2" s="6" t="s">
        <v>2</v>
      </c>
      <c r="F2" s="7">
        <v>4.6130900000000002E-2</v>
      </c>
      <c r="G2" s="38" t="s">
        <v>31</v>
      </c>
      <c r="H2" s="7">
        <f>F2*A$2+F7*A$6</f>
        <v>2.7814216654536785E-2</v>
      </c>
      <c r="J2" s="3" t="s">
        <v>21</v>
      </c>
      <c r="K2" s="3" t="s">
        <v>24</v>
      </c>
      <c r="L2" s="3">
        <v>1.26</v>
      </c>
      <c r="M2" s="3" t="s">
        <v>20</v>
      </c>
    </row>
    <row r="3" spans="1:13" x14ac:dyDescent="0.25">
      <c r="A3" s="36"/>
      <c r="B3" s="37"/>
      <c r="C3" s="6" t="s">
        <v>3</v>
      </c>
      <c r="D3" s="6" t="s">
        <v>1</v>
      </c>
      <c r="E3" s="6" t="s">
        <v>4</v>
      </c>
      <c r="F3" s="7">
        <v>8.0729E-4</v>
      </c>
      <c r="G3" s="39"/>
      <c r="H3" s="7">
        <f>F3*A$2</f>
        <v>2.6853819704617297E-4</v>
      </c>
      <c r="J3" s="3" t="s">
        <v>22</v>
      </c>
      <c r="K3" s="3" t="s">
        <v>23</v>
      </c>
      <c r="L3" s="3">
        <v>0.41</v>
      </c>
      <c r="M3" s="3" t="s">
        <v>20</v>
      </c>
    </row>
    <row r="4" spans="1:13" x14ac:dyDescent="0.25">
      <c r="A4" s="36"/>
      <c r="B4" s="37"/>
      <c r="C4" s="6" t="s">
        <v>5</v>
      </c>
      <c r="D4" s="6" t="s">
        <v>1</v>
      </c>
      <c r="E4" s="6" t="s">
        <v>6</v>
      </c>
      <c r="F4" s="7">
        <v>2.2258E-2</v>
      </c>
      <c r="G4" s="39"/>
      <c r="H4" s="7">
        <f>F4*A$2</f>
        <v>7.4039356239439585E-3</v>
      </c>
      <c r="J4" s="41" t="s">
        <v>25</v>
      </c>
      <c r="K4" s="3" t="s">
        <v>26</v>
      </c>
      <c r="L4" s="3">
        <v>0.41799999999999998</v>
      </c>
      <c r="M4" s="3" t="s">
        <v>20</v>
      </c>
    </row>
    <row r="5" spans="1:13" x14ac:dyDescent="0.25">
      <c r="A5" s="15">
        <f>PI()*(L5^2-L4^2)/L2^2</f>
        <v>0.11017341432430418</v>
      </c>
      <c r="B5" s="13" t="s">
        <v>17</v>
      </c>
      <c r="C5" s="6" t="s">
        <v>7</v>
      </c>
      <c r="D5" s="6" t="s">
        <v>1</v>
      </c>
      <c r="E5" s="6" t="s">
        <v>8</v>
      </c>
      <c r="F5" s="7">
        <v>3.8324299999999999E-2</v>
      </c>
      <c r="G5" s="39"/>
      <c r="H5" s="7">
        <f>F5*A$5</f>
        <v>4.2223189825889304E-3</v>
      </c>
      <c r="J5" s="42"/>
      <c r="K5" s="3" t="s">
        <v>27</v>
      </c>
      <c r="L5" s="3">
        <v>0.48</v>
      </c>
      <c r="M5" s="3" t="s">
        <v>20</v>
      </c>
    </row>
    <row r="6" spans="1:13" ht="15.75" thickBot="1" x14ac:dyDescent="0.3">
      <c r="A6" s="36">
        <f>1-L5^2*PI()/L2^2</f>
        <v>0.54407725662188944</v>
      </c>
      <c r="B6" s="43" t="s">
        <v>36</v>
      </c>
      <c r="C6" s="6" t="s">
        <v>9</v>
      </c>
      <c r="D6" s="6" t="s">
        <v>1</v>
      </c>
      <c r="E6" s="6" t="s">
        <v>10</v>
      </c>
      <c r="F6" s="18">
        <v>4.5835000000000001E-2</v>
      </c>
      <c r="G6" s="39"/>
      <c r="H6" s="7">
        <f>F6*A$6</f>
        <v>2.4937781057264304E-2</v>
      </c>
      <c r="J6" s="3" t="s">
        <v>28</v>
      </c>
      <c r="K6" s="3" t="s">
        <v>23</v>
      </c>
      <c r="L6" s="3">
        <v>0.37359999999999999</v>
      </c>
      <c r="M6" s="3" t="s">
        <v>20</v>
      </c>
    </row>
    <row r="7" spans="1:13" ht="15.75" thickBot="1" x14ac:dyDescent="0.3">
      <c r="A7" s="36"/>
      <c r="B7" s="43"/>
      <c r="C7" s="6" t="s">
        <v>11</v>
      </c>
      <c r="D7" s="6" t="s">
        <v>1</v>
      </c>
      <c r="E7" s="6" t="s">
        <v>2</v>
      </c>
      <c r="F7" s="18">
        <v>2.2918000000000001E-2</v>
      </c>
      <c r="G7" s="40"/>
      <c r="H7" s="7"/>
    </row>
    <row r="8" spans="1:13" ht="6.75" customHeight="1" x14ac:dyDescent="0.25">
      <c r="A8" s="16"/>
      <c r="B8" s="12"/>
      <c r="C8" s="6"/>
      <c r="D8" s="6"/>
      <c r="E8" s="6"/>
      <c r="F8" s="7"/>
      <c r="G8" s="10"/>
      <c r="H8" s="7"/>
    </row>
    <row r="9" spans="1:13" x14ac:dyDescent="0.25">
      <c r="A9" s="36">
        <f>1-A12</f>
        <v>0.27619926439052422</v>
      </c>
      <c r="B9" s="43" t="s">
        <v>28</v>
      </c>
      <c r="C9" s="6" t="s">
        <v>12</v>
      </c>
      <c r="D9" s="6" t="s">
        <v>1</v>
      </c>
      <c r="E9" s="6" t="s">
        <v>13</v>
      </c>
      <c r="F9" s="7">
        <v>1.54529E-2</v>
      </c>
      <c r="G9" s="38" t="s">
        <v>32</v>
      </c>
      <c r="H9" s="7">
        <f>F9*A$9</f>
        <v>4.2680796127003316E-3</v>
      </c>
    </row>
    <row r="10" spans="1:13" x14ac:dyDescent="0.25">
      <c r="A10" s="36"/>
      <c r="B10" s="43"/>
      <c r="C10" s="6" t="s">
        <v>14</v>
      </c>
      <c r="D10" s="6" t="s">
        <v>1</v>
      </c>
      <c r="E10" s="6" t="s">
        <v>15</v>
      </c>
      <c r="F10" s="7">
        <v>6.2199900000000002E-2</v>
      </c>
      <c r="G10" s="39"/>
      <c r="H10" s="7">
        <f t="shared" ref="H10:H11" si="0">F10*A$9</f>
        <v>1.7179566625164167E-2</v>
      </c>
    </row>
    <row r="11" spans="1:13" x14ac:dyDescent="0.25">
      <c r="A11" s="36"/>
      <c r="B11" s="43"/>
      <c r="C11" s="6" t="s">
        <v>19</v>
      </c>
      <c r="D11" s="6" t="s">
        <v>1</v>
      </c>
      <c r="E11" s="8" t="s">
        <v>35</v>
      </c>
      <c r="F11" s="7">
        <v>1.9390600000000001E-2</v>
      </c>
      <c r="G11" s="39"/>
      <c r="H11" s="7">
        <f t="shared" si="0"/>
        <v>5.355669456090899E-3</v>
      </c>
    </row>
    <row r="12" spans="1:13" ht="15.75" thickBot="1" x14ac:dyDescent="0.3">
      <c r="A12" s="36">
        <f>1-L6^2*PI()/L2^2</f>
        <v>0.72380073560947578</v>
      </c>
      <c r="B12" s="43" t="s">
        <v>36</v>
      </c>
      <c r="C12" s="6" t="s">
        <v>9</v>
      </c>
      <c r="D12" s="6" t="s">
        <v>1</v>
      </c>
      <c r="E12" s="6" t="s">
        <v>10</v>
      </c>
      <c r="F12" s="18">
        <v>4.5835000000000001E-2</v>
      </c>
      <c r="G12" s="39"/>
      <c r="H12" s="7">
        <f>F12*A$12</f>
        <v>3.3175406716660326E-2</v>
      </c>
    </row>
    <row r="13" spans="1:13" ht="15.75" thickBot="1" x14ac:dyDescent="0.3">
      <c r="A13" s="36"/>
      <c r="B13" s="43"/>
      <c r="C13" s="6" t="s">
        <v>11</v>
      </c>
      <c r="D13" s="6" t="s">
        <v>1</v>
      </c>
      <c r="E13" s="6" t="s">
        <v>2</v>
      </c>
      <c r="F13" s="18">
        <v>2.2918000000000001E-2</v>
      </c>
      <c r="G13" s="40"/>
      <c r="H13" s="7">
        <f>F13*A$12</f>
        <v>1.6588065258697965E-2</v>
      </c>
    </row>
    <row r="14" spans="1:13" x14ac:dyDescent="0.25">
      <c r="A14" s="17"/>
    </row>
    <row r="15" spans="1:13" x14ac:dyDescent="0.25">
      <c r="A15" s="17"/>
    </row>
    <row r="16" spans="1:13" x14ac:dyDescent="0.25">
      <c r="A16" s="2"/>
      <c r="B16" s="2"/>
      <c r="D16" s="1"/>
      <c r="F16"/>
      <c r="G16"/>
      <c r="I16"/>
    </row>
    <row r="17" spans="1:9" x14ac:dyDescent="0.25">
      <c r="A17" s="2"/>
      <c r="B17" s="2"/>
      <c r="D17" s="1"/>
      <c r="F17"/>
      <c r="G17"/>
      <c r="I17"/>
    </row>
    <row r="18" spans="1:9" x14ac:dyDescent="0.25">
      <c r="A18" s="2"/>
      <c r="B18" s="2"/>
      <c r="D18" s="1"/>
      <c r="F18"/>
      <c r="G18"/>
      <c r="I18"/>
    </row>
    <row r="19" spans="1:9" x14ac:dyDescent="0.25">
      <c r="A19" s="2"/>
      <c r="B19" s="2"/>
      <c r="D19" s="1"/>
      <c r="F19"/>
      <c r="G19"/>
      <c r="I19"/>
    </row>
    <row r="20" spans="1:9" x14ac:dyDescent="0.25">
      <c r="A20" s="2"/>
      <c r="B20" s="2"/>
      <c r="D20" s="1"/>
      <c r="F20"/>
      <c r="G20"/>
      <c r="I20"/>
    </row>
    <row r="21" spans="1:9" x14ac:dyDescent="0.25">
      <c r="B21" s="1"/>
    </row>
    <row r="22" spans="1:9" x14ac:dyDescent="0.25">
      <c r="B22" s="1"/>
    </row>
  </sheetData>
  <mergeCells count="13">
    <mergeCell ref="A9:A11"/>
    <mergeCell ref="B9:B11"/>
    <mergeCell ref="G9:G13"/>
    <mergeCell ref="A12:A13"/>
    <mergeCell ref="B12:B13"/>
    <mergeCell ref="A1:F1"/>
    <mergeCell ref="J1:M1"/>
    <mergeCell ref="A2:A4"/>
    <mergeCell ref="B2:B4"/>
    <mergeCell ref="G2:G7"/>
    <mergeCell ref="J4:J5"/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H12" sqref="H12:H13"/>
    </sheetView>
  </sheetViews>
  <sheetFormatPr baseColWidth="10" defaultRowHeight="15" x14ac:dyDescent="0.25"/>
  <cols>
    <col min="1" max="1" width="8.140625" bestFit="1" customWidth="1"/>
    <col min="2" max="2" width="10.85546875" bestFit="1" customWidth="1"/>
    <col min="3" max="3" width="8.140625" bestFit="1" customWidth="1"/>
    <col min="4" max="4" width="2" bestFit="1" customWidth="1"/>
    <col min="5" max="5" width="8.85546875" bestFit="1" customWidth="1"/>
    <col min="6" max="7" width="15.85546875" style="2" customWidth="1"/>
    <col min="8" max="8" width="21" bestFit="1" customWidth="1"/>
    <col min="9" max="9" width="11.42578125" style="1"/>
    <col min="11" max="11" width="18" bestFit="1" customWidth="1"/>
    <col min="12" max="13" width="5" bestFit="1" customWidth="1"/>
    <col min="14" max="14" width="6" bestFit="1" customWidth="1"/>
    <col min="15" max="15" width="5" bestFit="1" customWidth="1"/>
  </cols>
  <sheetData>
    <row r="1" spans="1:13" x14ac:dyDescent="0.25">
      <c r="A1" s="35" t="s">
        <v>30</v>
      </c>
      <c r="B1" s="35"/>
      <c r="C1" s="35"/>
      <c r="D1" s="35"/>
      <c r="E1" s="35"/>
      <c r="F1" s="35"/>
      <c r="G1" s="4" t="s">
        <v>33</v>
      </c>
      <c r="H1" s="5" t="s">
        <v>34</v>
      </c>
      <c r="J1" s="35" t="s">
        <v>29</v>
      </c>
      <c r="K1" s="35"/>
      <c r="L1" s="35"/>
      <c r="M1" s="35"/>
    </row>
    <row r="2" spans="1:13" x14ac:dyDescent="0.25">
      <c r="A2" s="36">
        <f>L3^2*PI()/L2^2</f>
        <v>0.33264155018168562</v>
      </c>
      <c r="B2" s="37" t="s">
        <v>16</v>
      </c>
      <c r="C2" s="6" t="s">
        <v>0</v>
      </c>
      <c r="D2" s="6" t="s">
        <v>1</v>
      </c>
      <c r="E2" s="6" t="s">
        <v>2</v>
      </c>
      <c r="F2" s="7">
        <v>4.6130900000000002E-2</v>
      </c>
      <c r="G2" s="38" t="s">
        <v>31</v>
      </c>
      <c r="H2" s="7">
        <f>F2*A$2+F7*A$6</f>
        <v>2.8269065241072686E-2</v>
      </c>
      <c r="J2" s="3" t="s">
        <v>21</v>
      </c>
      <c r="K2" s="3" t="s">
        <v>24</v>
      </c>
      <c r="L2" s="3">
        <v>1.26</v>
      </c>
      <c r="M2" s="3" t="s">
        <v>20</v>
      </c>
    </row>
    <row r="3" spans="1:13" x14ac:dyDescent="0.25">
      <c r="A3" s="36"/>
      <c r="B3" s="37"/>
      <c r="C3" s="6" t="s">
        <v>3</v>
      </c>
      <c r="D3" s="6" t="s">
        <v>1</v>
      </c>
      <c r="E3" s="6" t="s">
        <v>4</v>
      </c>
      <c r="F3" s="7">
        <v>8.0729E-4</v>
      </c>
      <c r="G3" s="39"/>
      <c r="H3" s="7">
        <f>F3*A$2</f>
        <v>2.6853819704617297E-4</v>
      </c>
      <c r="J3" s="3" t="s">
        <v>22</v>
      </c>
      <c r="K3" s="3" t="s">
        <v>23</v>
      </c>
      <c r="L3" s="3">
        <v>0.41</v>
      </c>
      <c r="M3" s="3" t="s">
        <v>20</v>
      </c>
    </row>
    <row r="4" spans="1:13" x14ac:dyDescent="0.25">
      <c r="A4" s="36"/>
      <c r="B4" s="37"/>
      <c r="C4" s="6" t="s">
        <v>5</v>
      </c>
      <c r="D4" s="6" t="s">
        <v>1</v>
      </c>
      <c r="E4" s="6" t="s">
        <v>6</v>
      </c>
      <c r="F4" s="7">
        <v>2.2258E-2</v>
      </c>
      <c r="G4" s="39"/>
      <c r="H4" s="7">
        <f>F4*A$2</f>
        <v>7.4039356239439585E-3</v>
      </c>
      <c r="J4" s="41" t="s">
        <v>25</v>
      </c>
      <c r="K4" s="3" t="s">
        <v>26</v>
      </c>
      <c r="L4" s="3">
        <v>0.41799999999999998</v>
      </c>
      <c r="M4" s="3" t="s">
        <v>20</v>
      </c>
    </row>
    <row r="5" spans="1:13" x14ac:dyDescent="0.25">
      <c r="A5" s="15">
        <f>PI()*(L5^2-L4^2)/L2^2</f>
        <v>0.11017341432430418</v>
      </c>
      <c r="B5" s="11" t="s">
        <v>17</v>
      </c>
      <c r="C5" s="6" t="s">
        <v>7</v>
      </c>
      <c r="D5" s="6" t="s">
        <v>1</v>
      </c>
      <c r="E5" s="6" t="s">
        <v>8</v>
      </c>
      <c r="F5" s="7">
        <v>3.8324299999999999E-2</v>
      </c>
      <c r="G5" s="39"/>
      <c r="H5" s="7">
        <f>F5*A$5</f>
        <v>4.2223189825889304E-3</v>
      </c>
      <c r="J5" s="42"/>
      <c r="K5" s="3" t="s">
        <v>27</v>
      </c>
      <c r="L5" s="3">
        <v>0.48</v>
      </c>
      <c r="M5" s="3" t="s">
        <v>20</v>
      </c>
    </row>
    <row r="6" spans="1:13" x14ac:dyDescent="0.25">
      <c r="A6" s="36">
        <f>1-L5^2*PI()/L2^2</f>
        <v>0.54407725662188944</v>
      </c>
      <c r="B6" s="43" t="s">
        <v>18</v>
      </c>
      <c r="C6" s="6" t="s">
        <v>9</v>
      </c>
      <c r="D6" s="6" t="s">
        <v>1</v>
      </c>
      <c r="E6" s="6" t="s">
        <v>10</v>
      </c>
      <c r="F6" s="7">
        <v>4.7508000000000002E-2</v>
      </c>
      <c r="G6" s="39"/>
      <c r="H6" s="7">
        <f>F6*A$6</f>
        <v>2.5848022307592724E-2</v>
      </c>
      <c r="J6" s="3" t="s">
        <v>28</v>
      </c>
      <c r="K6" s="3" t="s">
        <v>23</v>
      </c>
      <c r="L6" s="3">
        <v>0.37359999999999999</v>
      </c>
      <c r="M6" s="3" t="s">
        <v>20</v>
      </c>
    </row>
    <row r="7" spans="1:13" x14ac:dyDescent="0.25">
      <c r="A7" s="36"/>
      <c r="B7" s="43"/>
      <c r="C7" s="6" t="s">
        <v>11</v>
      </c>
      <c r="D7" s="6" t="s">
        <v>1</v>
      </c>
      <c r="E7" s="6" t="s">
        <v>2</v>
      </c>
      <c r="F7" s="7">
        <v>2.3754000000000001E-2</v>
      </c>
      <c r="G7" s="40"/>
      <c r="H7" s="7"/>
    </row>
    <row r="8" spans="1:13" ht="6.75" customHeight="1" x14ac:dyDescent="0.25">
      <c r="A8" s="16"/>
      <c r="B8" s="9"/>
      <c r="C8" s="6"/>
      <c r="D8" s="6"/>
      <c r="E8" s="6"/>
      <c r="F8" s="7"/>
      <c r="G8" s="10"/>
      <c r="H8" s="7"/>
    </row>
    <row r="9" spans="1:13" x14ac:dyDescent="0.25">
      <c r="A9" s="36">
        <f>1-A12</f>
        <v>0.27619926439052422</v>
      </c>
      <c r="B9" s="43" t="s">
        <v>28</v>
      </c>
      <c r="C9" s="6" t="s">
        <v>12</v>
      </c>
      <c r="D9" s="6" t="s">
        <v>1</v>
      </c>
      <c r="E9" s="6" t="s">
        <v>13</v>
      </c>
      <c r="F9" s="7">
        <v>1.54529E-2</v>
      </c>
      <c r="G9" s="38" t="s">
        <v>32</v>
      </c>
      <c r="H9" s="7">
        <f>F9*A$9</f>
        <v>4.2680796127003316E-3</v>
      </c>
    </row>
    <row r="10" spans="1:13" x14ac:dyDescent="0.25">
      <c r="A10" s="36"/>
      <c r="B10" s="43"/>
      <c r="C10" s="6" t="s">
        <v>14</v>
      </c>
      <c r="D10" s="6" t="s">
        <v>1</v>
      </c>
      <c r="E10" s="6" t="s">
        <v>15</v>
      </c>
      <c r="F10" s="7">
        <v>6.2199900000000002E-2</v>
      </c>
      <c r="G10" s="39"/>
      <c r="H10" s="7">
        <f t="shared" ref="H10:H11" si="0">F10*A$9</f>
        <v>1.7179566625164167E-2</v>
      </c>
    </row>
    <row r="11" spans="1:13" x14ac:dyDescent="0.25">
      <c r="A11" s="36"/>
      <c r="B11" s="43"/>
      <c r="C11" s="6" t="s">
        <v>19</v>
      </c>
      <c r="D11" s="6" t="s">
        <v>1</v>
      </c>
      <c r="E11" s="8" t="s">
        <v>35</v>
      </c>
      <c r="F11" s="7">
        <v>1.9390600000000001E-2</v>
      </c>
      <c r="G11" s="39"/>
      <c r="H11" s="7">
        <f t="shared" si="0"/>
        <v>5.355669456090899E-3</v>
      </c>
    </row>
    <row r="12" spans="1:13" x14ac:dyDescent="0.25">
      <c r="A12" s="36">
        <f>1-L6^2*PI()/L2^2</f>
        <v>0.72380073560947578</v>
      </c>
      <c r="B12" s="43" t="s">
        <v>18</v>
      </c>
      <c r="C12" s="6" t="s">
        <v>9</v>
      </c>
      <c r="D12" s="6" t="s">
        <v>1</v>
      </c>
      <c r="E12" s="6" t="s">
        <v>10</v>
      </c>
      <c r="F12" s="7">
        <v>4.7508000000000002E-2</v>
      </c>
      <c r="G12" s="39"/>
      <c r="H12" s="7">
        <f>F12*A$12</f>
        <v>3.4386325347334976E-2</v>
      </c>
    </row>
    <row r="13" spans="1:13" x14ac:dyDescent="0.25">
      <c r="A13" s="36"/>
      <c r="B13" s="43"/>
      <c r="C13" s="6" t="s">
        <v>11</v>
      </c>
      <c r="D13" s="6" t="s">
        <v>1</v>
      </c>
      <c r="E13" s="6" t="s">
        <v>2</v>
      </c>
      <c r="F13" s="7">
        <v>2.3754000000000001E-2</v>
      </c>
      <c r="G13" s="40"/>
      <c r="H13" s="7">
        <f>F13*A$12</f>
        <v>1.7193162673667488E-2</v>
      </c>
    </row>
    <row r="14" spans="1:13" x14ac:dyDescent="0.25">
      <c r="A14" s="17"/>
    </row>
    <row r="15" spans="1:13" x14ac:dyDescent="0.25">
      <c r="A15" s="17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21" spans="2:2" x14ac:dyDescent="0.25">
      <c r="B21" s="1"/>
    </row>
    <row r="22" spans="2:2" x14ac:dyDescent="0.25">
      <c r="B22" s="1"/>
    </row>
  </sheetData>
  <mergeCells count="13">
    <mergeCell ref="J4:J5"/>
    <mergeCell ref="J1:M1"/>
    <mergeCell ref="A1:F1"/>
    <mergeCell ref="A12:A13"/>
    <mergeCell ref="B12:B13"/>
    <mergeCell ref="A9:A11"/>
    <mergeCell ref="B9:B11"/>
    <mergeCell ref="G2:G7"/>
    <mergeCell ref="G9:G13"/>
    <mergeCell ref="B2:B4"/>
    <mergeCell ref="B6:B7"/>
    <mergeCell ref="A6:A7"/>
    <mergeCell ref="A2:A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sqref="A1:F1"/>
    </sheetView>
  </sheetViews>
  <sheetFormatPr baseColWidth="10" defaultRowHeight="15" x14ac:dyDescent="0.25"/>
  <cols>
    <col min="1" max="1" width="8.140625" bestFit="1" customWidth="1"/>
    <col min="2" max="2" width="10.85546875" bestFit="1" customWidth="1"/>
    <col min="3" max="3" width="8.140625" bestFit="1" customWidth="1"/>
    <col min="4" max="4" width="2" bestFit="1" customWidth="1"/>
    <col min="5" max="5" width="8.85546875" bestFit="1" customWidth="1"/>
    <col min="6" max="7" width="15.85546875" style="2" customWidth="1"/>
    <col min="8" max="8" width="21" bestFit="1" customWidth="1"/>
    <col min="9" max="9" width="11.42578125" style="1"/>
    <col min="11" max="11" width="18" bestFit="1" customWidth="1"/>
    <col min="12" max="12" width="10.28515625" bestFit="1" customWidth="1"/>
    <col min="13" max="13" width="8.5703125" bestFit="1" customWidth="1"/>
    <col min="14" max="14" width="6" bestFit="1" customWidth="1"/>
    <col min="15" max="15" width="5" bestFit="1" customWidth="1"/>
  </cols>
  <sheetData>
    <row r="1" spans="1:13" x14ac:dyDescent="0.25">
      <c r="A1" s="35" t="s">
        <v>30</v>
      </c>
      <c r="B1" s="35"/>
      <c r="C1" s="35"/>
      <c r="D1" s="35"/>
      <c r="E1" s="35"/>
      <c r="F1" s="35"/>
      <c r="G1" s="14" t="s">
        <v>33</v>
      </c>
      <c r="H1" s="5" t="s">
        <v>34</v>
      </c>
      <c r="J1" s="35" t="s">
        <v>29</v>
      </c>
      <c r="K1" s="35"/>
      <c r="L1" s="35"/>
      <c r="M1" s="35"/>
    </row>
    <row r="2" spans="1:13" x14ac:dyDescent="0.25">
      <c r="A2" s="36">
        <f>L3^2*PI()/L2^2</f>
        <v>0.33264155018168562</v>
      </c>
      <c r="B2" s="37" t="s">
        <v>16</v>
      </c>
      <c r="C2" s="6" t="s">
        <v>0</v>
      </c>
      <c r="D2" s="6" t="s">
        <v>1</v>
      </c>
      <c r="E2" s="6" t="s">
        <v>2</v>
      </c>
      <c r="F2" s="7">
        <v>4.6130900000000002E-2</v>
      </c>
      <c r="G2" s="38" t="s">
        <v>31</v>
      </c>
      <c r="H2" s="7">
        <f>F2*A$2+F9*A$6</f>
        <v>2.8269065241072686E-2</v>
      </c>
      <c r="J2" s="3" t="s">
        <v>21</v>
      </c>
      <c r="K2" s="3" t="s">
        <v>24</v>
      </c>
      <c r="L2" s="3">
        <v>1.26</v>
      </c>
      <c r="M2" s="3" t="s">
        <v>20</v>
      </c>
    </row>
    <row r="3" spans="1:13" x14ac:dyDescent="0.25">
      <c r="A3" s="36"/>
      <c r="B3" s="37"/>
      <c r="C3" s="6" t="s">
        <v>3</v>
      </c>
      <c r="D3" s="6" t="s">
        <v>1</v>
      </c>
      <c r="E3" s="6" t="s">
        <v>4</v>
      </c>
      <c r="F3" s="7">
        <v>8.0729E-4</v>
      </c>
      <c r="G3" s="39"/>
      <c r="H3" s="7">
        <f>F3*A$2</f>
        <v>2.6853819704617297E-4</v>
      </c>
      <c r="J3" s="3" t="s">
        <v>22</v>
      </c>
      <c r="K3" s="3" t="s">
        <v>23</v>
      </c>
      <c r="L3" s="3">
        <v>0.41</v>
      </c>
      <c r="M3" s="3" t="s">
        <v>20</v>
      </c>
    </row>
    <row r="4" spans="1:13" x14ac:dyDescent="0.25">
      <c r="A4" s="36"/>
      <c r="B4" s="37"/>
      <c r="C4" s="6" t="s">
        <v>5</v>
      </c>
      <c r="D4" s="6" t="s">
        <v>1</v>
      </c>
      <c r="E4" s="6" t="s">
        <v>6</v>
      </c>
      <c r="F4" s="7">
        <v>2.2258E-2</v>
      </c>
      <c r="G4" s="39"/>
      <c r="H4" s="7">
        <f>F4*A$2</f>
        <v>7.4039356239439585E-3</v>
      </c>
      <c r="J4" s="41" t="s">
        <v>25</v>
      </c>
      <c r="K4" s="3" t="s">
        <v>26</v>
      </c>
      <c r="L4" s="3">
        <v>0.41799999999999998</v>
      </c>
      <c r="M4" s="3" t="s">
        <v>20</v>
      </c>
    </row>
    <row r="5" spans="1:13" x14ac:dyDescent="0.25">
      <c r="A5" s="15">
        <f>PI()*(L5^2-L4^2)/L2^2</f>
        <v>0.11017341432430418</v>
      </c>
      <c r="B5" s="13" t="s">
        <v>17</v>
      </c>
      <c r="C5" s="6" t="s">
        <v>7</v>
      </c>
      <c r="D5" s="6" t="s">
        <v>1</v>
      </c>
      <c r="E5" s="6" t="s">
        <v>8</v>
      </c>
      <c r="F5" s="7">
        <v>3.8324299999999999E-2</v>
      </c>
      <c r="G5" s="39"/>
      <c r="H5" s="7">
        <f>F5*A$5</f>
        <v>4.2223189825889304E-3</v>
      </c>
      <c r="J5" s="42"/>
      <c r="K5" s="3" t="s">
        <v>27</v>
      </c>
      <c r="L5" s="3">
        <v>0.48</v>
      </c>
      <c r="M5" s="3" t="s">
        <v>20</v>
      </c>
    </row>
    <row r="6" spans="1:13" x14ac:dyDescent="0.25">
      <c r="A6" s="36">
        <f>1-L5^2*PI()/L2^2</f>
        <v>0.54407725662188944</v>
      </c>
      <c r="B6" s="43" t="s">
        <v>18</v>
      </c>
      <c r="C6" s="6" t="s">
        <v>9</v>
      </c>
      <c r="D6" s="6" t="s">
        <v>1</v>
      </c>
      <c r="E6" s="6" t="s">
        <v>10</v>
      </c>
      <c r="F6" s="7">
        <v>4.7508000000000002E-2</v>
      </c>
      <c r="G6" s="39"/>
      <c r="H6" s="7">
        <f>F6*A$6</f>
        <v>2.5848022307592724E-2</v>
      </c>
      <c r="J6" s="3" t="s">
        <v>28</v>
      </c>
      <c r="K6" s="3" t="s">
        <v>23</v>
      </c>
      <c r="L6" s="3">
        <v>0.37359999999999999</v>
      </c>
      <c r="M6" s="3" t="s">
        <v>20</v>
      </c>
    </row>
    <row r="7" spans="1:13" x14ac:dyDescent="0.25">
      <c r="A7" s="36"/>
      <c r="B7" s="43"/>
      <c r="C7" s="6" t="s">
        <v>12</v>
      </c>
      <c r="D7" s="6" t="s">
        <v>1</v>
      </c>
      <c r="E7" s="6" t="s">
        <v>13</v>
      </c>
      <c r="F7" s="7">
        <f>0.00001*F9*18/11*0.2</f>
        <v>7.7740363636363637E-8</v>
      </c>
      <c r="G7" s="39"/>
      <c r="H7" s="7">
        <f t="shared" ref="H7:H8" si="0">F7*A$6</f>
        <v>4.2296763776060823E-8</v>
      </c>
    </row>
    <row r="8" spans="1:13" x14ac:dyDescent="0.25">
      <c r="A8" s="36"/>
      <c r="B8" s="43"/>
      <c r="C8" s="6" t="s">
        <v>14</v>
      </c>
      <c r="D8" s="6" t="s">
        <v>1</v>
      </c>
      <c r="E8" s="6" t="s">
        <v>15</v>
      </c>
      <c r="F8" s="7">
        <f>0.00001*F9*18/11*0.8</f>
        <v>3.1096145454545455E-7</v>
      </c>
      <c r="G8" s="39"/>
      <c r="H8" s="7">
        <f t="shared" si="0"/>
        <v>1.6918705510424329E-7</v>
      </c>
      <c r="I8" s="34">
        <f>0.001/1000</f>
        <v>9.9999999999999995E-7</v>
      </c>
    </row>
    <row r="9" spans="1:13" x14ac:dyDescent="0.25">
      <c r="A9" s="36"/>
      <c r="B9" s="43"/>
      <c r="C9" s="6" t="s">
        <v>11</v>
      </c>
      <c r="D9" s="6" t="s">
        <v>1</v>
      </c>
      <c r="E9" s="6" t="s">
        <v>2</v>
      </c>
      <c r="F9" s="7">
        <v>2.3754000000000001E-2</v>
      </c>
      <c r="G9" s="40"/>
      <c r="H9" s="7"/>
    </row>
    <row r="10" spans="1:13" ht="6.75" customHeight="1" x14ac:dyDescent="0.25">
      <c r="A10" s="16"/>
      <c r="B10" s="12"/>
      <c r="C10" s="6"/>
      <c r="D10" s="6"/>
      <c r="E10" s="6"/>
      <c r="F10" s="7"/>
      <c r="G10" s="10"/>
      <c r="H10" s="7"/>
    </row>
    <row r="11" spans="1:13" x14ac:dyDescent="0.25">
      <c r="A11" s="36">
        <f>1-A14</f>
        <v>0.27619926439052422</v>
      </c>
      <c r="B11" s="43" t="s">
        <v>28</v>
      </c>
      <c r="C11" s="6" t="s">
        <v>12</v>
      </c>
      <c r="D11" s="6" t="s">
        <v>1</v>
      </c>
      <c r="E11" s="6" t="s">
        <v>13</v>
      </c>
      <c r="F11" s="7">
        <v>1.54529E-2</v>
      </c>
      <c r="G11" s="38" t="s">
        <v>32</v>
      </c>
      <c r="H11" s="7">
        <f>F11*A$11+A14*F15</f>
        <v>4.268135881232718E-3</v>
      </c>
    </row>
    <row r="12" spans="1:13" x14ac:dyDescent="0.25">
      <c r="A12" s="36"/>
      <c r="B12" s="43"/>
      <c r="C12" s="6" t="s">
        <v>14</v>
      </c>
      <c r="D12" s="6" t="s">
        <v>1</v>
      </c>
      <c r="E12" s="6" t="s">
        <v>15</v>
      </c>
      <c r="F12" s="7">
        <v>6.2199900000000002E-2</v>
      </c>
      <c r="G12" s="39"/>
      <c r="H12" s="7">
        <f>F12*A$11+A14*F16</f>
        <v>1.7179791699293713E-2</v>
      </c>
      <c r="K12" s="2"/>
    </row>
    <row r="13" spans="1:13" x14ac:dyDescent="0.25">
      <c r="A13" s="36"/>
      <c r="B13" s="43"/>
      <c r="C13" s="6" t="s">
        <v>19</v>
      </c>
      <c r="D13" s="6" t="s">
        <v>1</v>
      </c>
      <c r="E13" s="8" t="s">
        <v>35</v>
      </c>
      <c r="F13" s="7">
        <v>1.9390600000000001E-2</v>
      </c>
      <c r="G13" s="39"/>
      <c r="H13" s="7">
        <f t="shared" ref="H13" si="1">F13*A$11</f>
        <v>5.355669456090899E-3</v>
      </c>
    </row>
    <row r="14" spans="1:13" x14ac:dyDescent="0.25">
      <c r="A14" s="36">
        <f>1-L6^2*PI()/L2^2</f>
        <v>0.72380073560947578</v>
      </c>
      <c r="B14" s="43" t="s">
        <v>18</v>
      </c>
      <c r="C14" s="6" t="s">
        <v>9</v>
      </c>
      <c r="D14" s="6" t="s">
        <v>1</v>
      </c>
      <c r="E14" s="6" t="s">
        <v>10</v>
      </c>
      <c r="F14" s="7">
        <v>4.7508000000000002E-2</v>
      </c>
      <c r="G14" s="39"/>
      <c r="H14" s="7">
        <f>F14*A$14</f>
        <v>3.4386325347334976E-2</v>
      </c>
      <c r="K14" s="31">
        <v>7.9999999999999996E-7</v>
      </c>
      <c r="L14">
        <v>11000</v>
      </c>
      <c r="M14" s="31">
        <f>L14*K14</f>
        <v>8.7999999999999988E-3</v>
      </c>
    </row>
    <row r="15" spans="1:13" x14ac:dyDescent="0.25">
      <c r="A15" s="36"/>
      <c r="B15" s="43"/>
      <c r="C15" s="6" t="s">
        <v>12</v>
      </c>
      <c r="D15" s="6" t="s">
        <v>1</v>
      </c>
      <c r="E15" s="6" t="s">
        <v>13</v>
      </c>
      <c r="F15" s="7">
        <f>0.00001*F17*18/11*0.2</f>
        <v>7.7740363636363637E-8</v>
      </c>
      <c r="G15" s="39"/>
      <c r="H15" s="7"/>
      <c r="K15">
        <f>H6/2</f>
        <v>1.2924011153796362E-2</v>
      </c>
      <c r="L15">
        <f>0.018</f>
        <v>1.7999999999999999E-2</v>
      </c>
      <c r="M15">
        <f>L15*K15</f>
        <v>2.326322007683345E-4</v>
      </c>
    </row>
    <row r="16" spans="1:13" x14ac:dyDescent="0.25">
      <c r="A16" s="36"/>
      <c r="B16" s="43"/>
      <c r="C16" s="6" t="s">
        <v>14</v>
      </c>
      <c r="D16" s="6" t="s">
        <v>1</v>
      </c>
      <c r="E16" s="6" t="s">
        <v>15</v>
      </c>
      <c r="F16" s="7">
        <f>0.00001*F17*18/11*0.8</f>
        <v>3.1096145454545455E-7</v>
      </c>
      <c r="G16" s="39"/>
      <c r="H16" s="7"/>
      <c r="M16" s="31">
        <f>M14/M15</f>
        <v>37.827953185051243</v>
      </c>
    </row>
    <row r="17" spans="1:12" x14ac:dyDescent="0.25">
      <c r="A17" s="36"/>
      <c r="B17" s="43"/>
      <c r="C17" s="6" t="s">
        <v>11</v>
      </c>
      <c r="D17" s="6" t="s">
        <v>1</v>
      </c>
      <c r="E17" s="6" t="s">
        <v>2</v>
      </c>
      <c r="F17" s="7">
        <v>2.3754000000000001E-2</v>
      </c>
      <c r="G17" s="40"/>
      <c r="H17" s="7">
        <f>F17*A$14</f>
        <v>1.7193162673667488E-2</v>
      </c>
    </row>
    <row r="18" spans="1:12" x14ac:dyDescent="0.25">
      <c r="A18" s="17"/>
      <c r="K18" s="2">
        <f>H8+H7</f>
        <v>2.114838188803041E-7</v>
      </c>
      <c r="L18" s="2">
        <f>K18*11</f>
        <v>2.3263220076833451E-6</v>
      </c>
    </row>
    <row r="19" spans="1:12" x14ac:dyDescent="0.25">
      <c r="A19" s="17"/>
    </row>
    <row r="20" spans="1:12" x14ac:dyDescent="0.25">
      <c r="B20" s="1"/>
      <c r="K20" s="2">
        <f>L18*1000/M15</f>
        <v>10</v>
      </c>
    </row>
    <row r="21" spans="1:12" x14ac:dyDescent="0.25">
      <c r="B21" s="1"/>
    </row>
    <row r="22" spans="1:12" x14ac:dyDescent="0.25">
      <c r="B22" s="1"/>
    </row>
    <row r="25" spans="1:12" x14ac:dyDescent="0.25">
      <c r="B25" s="1"/>
    </row>
    <row r="26" spans="1:12" x14ac:dyDescent="0.25">
      <c r="B26" s="1"/>
    </row>
  </sheetData>
  <mergeCells count="13">
    <mergeCell ref="A11:A13"/>
    <mergeCell ref="B11:B13"/>
    <mergeCell ref="G11:G17"/>
    <mergeCell ref="A14:A17"/>
    <mergeCell ref="B14:B17"/>
    <mergeCell ref="A1:F1"/>
    <mergeCell ref="J1:M1"/>
    <mergeCell ref="A2:A4"/>
    <mergeCell ref="B2:B4"/>
    <mergeCell ref="G2:G9"/>
    <mergeCell ref="J4:J5"/>
    <mergeCell ref="A6:A9"/>
    <mergeCell ref="B6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45" workbookViewId="0">
      <selection activeCell="K80" sqref="K80"/>
    </sheetView>
  </sheetViews>
  <sheetFormatPr baseColWidth="10" defaultRowHeight="15" x14ac:dyDescent="0.25"/>
  <cols>
    <col min="1" max="1" width="27.42578125" bestFit="1" customWidth="1"/>
    <col min="12" max="12" width="11.42578125" style="32"/>
  </cols>
  <sheetData>
    <row r="1" spans="1:16" x14ac:dyDescent="0.25">
      <c r="A1" t="s">
        <v>56</v>
      </c>
      <c r="B1" t="s">
        <v>47</v>
      </c>
      <c r="C1" t="s">
        <v>48</v>
      </c>
      <c r="D1" t="s">
        <v>51</v>
      </c>
      <c r="E1">
        <v>426</v>
      </c>
      <c r="F1" t="s">
        <v>49</v>
      </c>
      <c r="G1" t="s">
        <v>50</v>
      </c>
      <c r="H1" t="s">
        <v>52</v>
      </c>
      <c r="I1" s="31">
        <v>1.0888439999999999</v>
      </c>
      <c r="J1" t="s">
        <v>50</v>
      </c>
      <c r="K1" t="s">
        <v>53</v>
      </c>
      <c r="L1" s="32">
        <v>0.96121259999999997</v>
      </c>
      <c r="M1" t="s">
        <v>54</v>
      </c>
      <c r="N1" s="31">
        <v>0</v>
      </c>
      <c r="O1" t="s">
        <v>55</v>
      </c>
      <c r="P1" s="31">
        <v>6.5799999999999997E-6</v>
      </c>
    </row>
    <row r="2" spans="1:16" x14ac:dyDescent="0.25">
      <c r="A2" t="s">
        <v>57</v>
      </c>
      <c r="B2" t="s">
        <v>47</v>
      </c>
      <c r="C2" t="s">
        <v>48</v>
      </c>
      <c r="D2" t="s">
        <v>51</v>
      </c>
      <c r="E2">
        <v>90</v>
      </c>
      <c r="F2" t="s">
        <v>49</v>
      </c>
      <c r="G2" t="s">
        <v>50</v>
      </c>
      <c r="H2" t="s">
        <v>52</v>
      </c>
      <c r="I2" s="31">
        <v>1.1469480000000001</v>
      </c>
      <c r="J2" t="s">
        <v>50</v>
      </c>
      <c r="K2" t="s">
        <v>53</v>
      </c>
      <c r="L2" s="32">
        <v>0.99393759999999998</v>
      </c>
      <c r="M2" t="s">
        <v>54</v>
      </c>
      <c r="N2" s="31">
        <v>0</v>
      </c>
      <c r="O2" t="s">
        <v>55</v>
      </c>
      <c r="P2" s="31">
        <v>9.3599999999999998E-5</v>
      </c>
    </row>
    <row r="3" spans="1:16" x14ac:dyDescent="0.25">
      <c r="A3" t="s">
        <v>58</v>
      </c>
      <c r="B3" t="s">
        <v>47</v>
      </c>
      <c r="C3" t="s">
        <v>48</v>
      </c>
      <c r="D3" t="s">
        <v>51</v>
      </c>
      <c r="E3">
        <v>86</v>
      </c>
      <c r="F3" t="s">
        <v>49</v>
      </c>
      <c r="G3" t="s">
        <v>50</v>
      </c>
      <c r="H3" t="s">
        <v>52</v>
      </c>
      <c r="I3" s="31">
        <v>1.150763</v>
      </c>
      <c r="J3" t="s">
        <v>50</v>
      </c>
      <c r="K3" t="s">
        <v>53</v>
      </c>
      <c r="L3" s="32">
        <v>0.99997130000000001</v>
      </c>
      <c r="M3" t="s">
        <v>54</v>
      </c>
      <c r="N3" s="31">
        <v>0</v>
      </c>
      <c r="O3" t="s">
        <v>55</v>
      </c>
      <c r="P3" s="31">
        <v>1.3E-6</v>
      </c>
    </row>
    <row r="4" spans="1:16" x14ac:dyDescent="0.25">
      <c r="A4" t="s">
        <v>59</v>
      </c>
      <c r="B4" t="s">
        <v>47</v>
      </c>
      <c r="C4" t="s">
        <v>48</v>
      </c>
      <c r="D4" t="s">
        <v>51</v>
      </c>
      <c r="E4">
        <v>159</v>
      </c>
      <c r="F4" t="s">
        <v>49</v>
      </c>
      <c r="G4" t="s">
        <v>50</v>
      </c>
      <c r="H4" t="s">
        <v>52</v>
      </c>
      <c r="I4" s="31">
        <v>1.0682050000000001</v>
      </c>
      <c r="J4" t="s">
        <v>50</v>
      </c>
      <c r="K4" t="s">
        <v>53</v>
      </c>
      <c r="L4" s="32">
        <v>0.93937110000000001</v>
      </c>
      <c r="M4" t="s">
        <v>54</v>
      </c>
      <c r="N4" s="31">
        <v>0</v>
      </c>
      <c r="O4" t="s">
        <v>55</v>
      </c>
      <c r="P4" s="31">
        <v>6.2399999999999998E-7</v>
      </c>
    </row>
    <row r="6" spans="1:16" x14ac:dyDescent="0.25">
      <c r="L6" s="33">
        <f>(1-L1)/(L1)*100000</f>
        <v>4035.2571325011791</v>
      </c>
    </row>
    <row r="7" spans="1:16" x14ac:dyDescent="0.25">
      <c r="L7" s="33">
        <f t="shared" ref="L7" si="0">(1-L2)/(L2)*100000</f>
        <v>609.93768622899699</v>
      </c>
    </row>
    <row r="8" spans="1:16" x14ac:dyDescent="0.25">
      <c r="L8" s="33">
        <f>(1-L4)/(L4)*100000</f>
        <v>6454.2011139154683</v>
      </c>
    </row>
    <row r="10" spans="1:16" x14ac:dyDescent="0.25">
      <c r="A10" t="s">
        <v>60</v>
      </c>
      <c r="B10" t="s">
        <v>47</v>
      </c>
      <c r="C10" t="s">
        <v>48</v>
      </c>
      <c r="D10" t="s">
        <v>51</v>
      </c>
      <c r="E10">
        <v>94</v>
      </c>
      <c r="F10" t="s">
        <v>49</v>
      </c>
      <c r="G10" t="s">
        <v>50</v>
      </c>
      <c r="H10" t="s">
        <v>52</v>
      </c>
      <c r="I10" s="31">
        <v>1.1362699999999999</v>
      </c>
      <c r="J10" t="s">
        <v>50</v>
      </c>
      <c r="K10" t="s">
        <v>53</v>
      </c>
      <c r="L10" s="32">
        <v>0.99410410000000005</v>
      </c>
      <c r="M10" t="s">
        <v>54</v>
      </c>
      <c r="N10" s="31">
        <v>0</v>
      </c>
      <c r="O10" t="s">
        <v>55</v>
      </c>
      <c r="P10" s="31">
        <v>7.4399999999999999E-6</v>
      </c>
    </row>
    <row r="11" spans="1:16" x14ac:dyDescent="0.25">
      <c r="A11" t="s">
        <v>61</v>
      </c>
      <c r="B11" t="s">
        <v>47</v>
      </c>
      <c r="C11" t="s">
        <v>48</v>
      </c>
      <c r="D11" t="s">
        <v>51</v>
      </c>
      <c r="E11">
        <v>112</v>
      </c>
      <c r="F11" t="s">
        <v>49</v>
      </c>
      <c r="G11" t="s">
        <v>50</v>
      </c>
      <c r="H11" t="s">
        <v>52</v>
      </c>
      <c r="I11" s="31">
        <v>1.123062</v>
      </c>
      <c r="J11" t="s">
        <v>50</v>
      </c>
      <c r="K11" t="s">
        <v>53</v>
      </c>
      <c r="L11" s="32">
        <v>0.97908890000000004</v>
      </c>
      <c r="M11" t="s">
        <v>54</v>
      </c>
      <c r="N11" s="31">
        <v>0</v>
      </c>
      <c r="O11" t="s">
        <v>55</v>
      </c>
      <c r="P11" s="31">
        <v>5.8000000000000004E-6</v>
      </c>
    </row>
    <row r="12" spans="1:16" x14ac:dyDescent="0.25">
      <c r="A12" t="s">
        <v>62</v>
      </c>
      <c r="B12" t="s">
        <v>47</v>
      </c>
      <c r="C12" t="s">
        <v>48</v>
      </c>
      <c r="D12" t="s">
        <v>51</v>
      </c>
      <c r="E12">
        <v>118</v>
      </c>
      <c r="F12" t="s">
        <v>49</v>
      </c>
      <c r="G12" t="s">
        <v>50</v>
      </c>
      <c r="H12" t="s">
        <v>52</v>
      </c>
      <c r="I12" s="31">
        <v>1.1021609999999999</v>
      </c>
      <c r="J12" t="s">
        <v>50</v>
      </c>
      <c r="K12" t="s">
        <v>53</v>
      </c>
      <c r="L12" s="32">
        <v>0.96045930000000002</v>
      </c>
      <c r="M12" t="s">
        <v>54</v>
      </c>
      <c r="N12" s="31">
        <v>0</v>
      </c>
      <c r="O12" t="s">
        <v>55</v>
      </c>
      <c r="P12" s="31">
        <v>3.0800000000000002E-6</v>
      </c>
    </row>
    <row r="13" spans="1:16" x14ac:dyDescent="0.25">
      <c r="A13" t="s">
        <v>63</v>
      </c>
      <c r="B13" t="s">
        <v>47</v>
      </c>
      <c r="C13" t="s">
        <v>48</v>
      </c>
      <c r="D13" t="s">
        <v>51</v>
      </c>
      <c r="E13">
        <v>114</v>
      </c>
      <c r="F13" t="s">
        <v>49</v>
      </c>
      <c r="G13" t="s">
        <v>50</v>
      </c>
      <c r="H13" t="s">
        <v>52</v>
      </c>
      <c r="I13" s="31">
        <v>1.0865039999999999</v>
      </c>
      <c r="J13" t="s">
        <v>50</v>
      </c>
      <c r="K13" t="s">
        <v>53</v>
      </c>
      <c r="L13" s="32">
        <v>0.94633929999999999</v>
      </c>
      <c r="M13" t="s">
        <v>54</v>
      </c>
      <c r="N13" s="31">
        <v>0</v>
      </c>
      <c r="O13" t="s">
        <v>55</v>
      </c>
      <c r="P13" s="31">
        <v>9.0699999999999996E-6</v>
      </c>
    </row>
    <row r="14" spans="1:16" x14ac:dyDescent="0.25">
      <c r="A14" t="s">
        <v>64</v>
      </c>
      <c r="B14" t="s">
        <v>47</v>
      </c>
      <c r="C14" t="s">
        <v>48</v>
      </c>
      <c r="D14" t="s">
        <v>51</v>
      </c>
      <c r="E14">
        <v>122</v>
      </c>
      <c r="F14" t="s">
        <v>49</v>
      </c>
      <c r="G14" t="s">
        <v>50</v>
      </c>
      <c r="H14" t="s">
        <v>52</v>
      </c>
      <c r="I14" s="31">
        <v>1.0720719999999999</v>
      </c>
      <c r="J14" t="s">
        <v>50</v>
      </c>
      <c r="K14" t="s">
        <v>53</v>
      </c>
      <c r="L14" s="32">
        <v>0.94015159999999998</v>
      </c>
      <c r="M14" t="s">
        <v>54</v>
      </c>
      <c r="N14" s="31">
        <v>0</v>
      </c>
      <c r="O14" t="s">
        <v>55</v>
      </c>
      <c r="P14" s="31">
        <v>2.1399999999999998E-6</v>
      </c>
    </row>
    <row r="16" spans="1:16" x14ac:dyDescent="0.25">
      <c r="K16" t="s">
        <v>65</v>
      </c>
      <c r="L16" s="32" t="s">
        <v>66</v>
      </c>
    </row>
    <row r="17" spans="11:12" x14ac:dyDescent="0.25">
      <c r="K17">
        <v>0</v>
      </c>
      <c r="L17" s="32">
        <v>0</v>
      </c>
    </row>
    <row r="18" spans="11:12" x14ac:dyDescent="0.25">
      <c r="K18">
        <v>10</v>
      </c>
      <c r="L18" s="33">
        <f>(1-L10)/(L10)*100000</f>
        <v>593.08678034825061</v>
      </c>
    </row>
    <row r="19" spans="11:12" x14ac:dyDescent="0.25">
      <c r="K19">
        <v>20</v>
      </c>
      <c r="L19" s="33">
        <f>(1-L11)/(L11)*100000</f>
        <v>2135.7713278130268</v>
      </c>
    </row>
    <row r="20" spans="11:12" x14ac:dyDescent="0.25">
      <c r="K20">
        <v>30</v>
      </c>
      <c r="L20" s="33">
        <f>(1-L12)/(L12)*100000</f>
        <v>4116.8532596852347</v>
      </c>
    </row>
    <row r="21" spans="11:12" x14ac:dyDescent="0.25">
      <c r="K21">
        <v>40</v>
      </c>
      <c r="L21" s="33">
        <f>(1-L13)/(L13)*100000</f>
        <v>5670.3446639064878</v>
      </c>
    </row>
    <row r="22" spans="11:12" x14ac:dyDescent="0.25">
      <c r="K22">
        <v>50</v>
      </c>
      <c r="L22" s="33">
        <f>(1-L14)/(L14)*100000</f>
        <v>6365.8244053405879</v>
      </c>
    </row>
    <row r="23" spans="11:12" x14ac:dyDescent="0.25">
      <c r="K23">
        <v>60</v>
      </c>
      <c r="L23" s="32">
        <f>L8</f>
        <v>6454.2011139154683</v>
      </c>
    </row>
    <row r="34" spans="1:16" x14ac:dyDescent="0.25">
      <c r="A34" t="s">
        <v>67</v>
      </c>
      <c r="B34" t="s">
        <v>47</v>
      </c>
      <c r="C34" t="s">
        <v>48</v>
      </c>
      <c r="D34" t="s">
        <v>51</v>
      </c>
      <c r="E34">
        <v>118</v>
      </c>
      <c r="F34" t="s">
        <v>49</v>
      </c>
      <c r="G34" t="s">
        <v>50</v>
      </c>
      <c r="H34" t="s">
        <v>52</v>
      </c>
      <c r="I34" s="31">
        <v>1.10494</v>
      </c>
      <c r="J34" t="s">
        <v>50</v>
      </c>
      <c r="K34" t="s">
        <v>53</v>
      </c>
      <c r="L34" s="32">
        <v>0.96287699999999998</v>
      </c>
      <c r="M34" t="s">
        <v>54</v>
      </c>
      <c r="N34" s="31">
        <v>0</v>
      </c>
      <c r="O34" t="s">
        <v>55</v>
      </c>
      <c r="P34" s="31">
        <v>1.2300000000000001E-6</v>
      </c>
    </row>
    <row r="35" spans="1:16" x14ac:dyDescent="0.25">
      <c r="A35" t="s">
        <v>68</v>
      </c>
      <c r="B35" t="s">
        <v>47</v>
      </c>
      <c r="C35" t="s">
        <v>48</v>
      </c>
      <c r="D35" t="s">
        <v>51</v>
      </c>
      <c r="E35">
        <v>103</v>
      </c>
      <c r="F35" t="s">
        <v>49</v>
      </c>
      <c r="G35" t="s">
        <v>50</v>
      </c>
      <c r="H35" t="s">
        <v>52</v>
      </c>
      <c r="I35" s="31">
        <v>1.0958779999999999</v>
      </c>
      <c r="J35" t="s">
        <v>50</v>
      </c>
      <c r="K35" t="s">
        <v>53</v>
      </c>
      <c r="L35" s="32">
        <v>0.95008570000000003</v>
      </c>
      <c r="M35" t="s">
        <v>54</v>
      </c>
      <c r="N35" s="31">
        <v>0</v>
      </c>
      <c r="O35" t="s">
        <v>55</v>
      </c>
      <c r="P35" s="31">
        <v>3.9599999999999997E-8</v>
      </c>
    </row>
    <row r="37" spans="1:16" x14ac:dyDescent="0.25">
      <c r="L37" s="32">
        <f>(L35-L34)/(L35*L34)*100000</f>
        <v>-1398.2379663599286</v>
      </c>
      <c r="M37">
        <f>(L34-L35)/L34/(0.685-0.71)</f>
        <v>-0.53137835881426165</v>
      </c>
    </row>
    <row r="38" spans="1:16" x14ac:dyDescent="0.25">
      <c r="L38" s="32">
        <f>L37/10</f>
        <v>-139.82379663599286</v>
      </c>
    </row>
    <row r="40" spans="1:16" x14ac:dyDescent="0.25">
      <c r="A40" t="s">
        <v>69</v>
      </c>
      <c r="B40" t="s">
        <v>47</v>
      </c>
      <c r="C40" t="s">
        <v>48</v>
      </c>
      <c r="D40" t="s">
        <v>51</v>
      </c>
      <c r="E40">
        <v>118</v>
      </c>
      <c r="F40" t="s">
        <v>49</v>
      </c>
      <c r="G40" t="s">
        <v>50</v>
      </c>
      <c r="H40" t="s">
        <v>52</v>
      </c>
      <c r="I40" s="31">
        <v>1.104201</v>
      </c>
      <c r="J40" t="s">
        <v>50</v>
      </c>
      <c r="K40" t="s">
        <v>53</v>
      </c>
      <c r="L40" s="32">
        <v>0.96223259999999999</v>
      </c>
      <c r="M40" t="s">
        <v>54</v>
      </c>
      <c r="N40" s="31">
        <v>0</v>
      </c>
      <c r="O40" t="s">
        <v>55</v>
      </c>
      <c r="P40" s="31">
        <v>5.8699999999999997E-6</v>
      </c>
    </row>
    <row r="41" spans="1:16" x14ac:dyDescent="0.25">
      <c r="A41" t="s">
        <v>67</v>
      </c>
      <c r="B41" t="s">
        <v>47</v>
      </c>
      <c r="C41" t="s">
        <v>48</v>
      </c>
      <c r="D41" t="s">
        <v>51</v>
      </c>
      <c r="E41">
        <v>118</v>
      </c>
      <c r="F41" t="s">
        <v>49</v>
      </c>
      <c r="G41" t="s">
        <v>50</v>
      </c>
      <c r="H41" t="s">
        <v>52</v>
      </c>
      <c r="I41" s="31">
        <v>1.10494</v>
      </c>
      <c r="J41" t="s">
        <v>50</v>
      </c>
      <c r="K41" t="s">
        <v>53</v>
      </c>
      <c r="L41" s="32">
        <v>0.96287699999999998</v>
      </c>
      <c r="M41" t="s">
        <v>54</v>
      </c>
      <c r="N41" s="31">
        <v>0</v>
      </c>
      <c r="O41" t="s">
        <v>55</v>
      </c>
      <c r="P41" s="31">
        <v>1.2300000000000001E-6</v>
      </c>
    </row>
    <row r="42" spans="1:16" x14ac:dyDescent="0.25">
      <c r="A42" t="s">
        <v>68</v>
      </c>
      <c r="B42" t="s">
        <v>47</v>
      </c>
      <c r="C42" t="s">
        <v>48</v>
      </c>
      <c r="D42" t="s">
        <v>51</v>
      </c>
      <c r="E42">
        <v>103</v>
      </c>
      <c r="F42" t="s">
        <v>49</v>
      </c>
      <c r="G42" t="s">
        <v>50</v>
      </c>
      <c r="H42" t="s">
        <v>52</v>
      </c>
      <c r="I42" s="31">
        <v>1.0958779999999999</v>
      </c>
      <c r="J42" t="s">
        <v>50</v>
      </c>
      <c r="K42" t="s">
        <v>53</v>
      </c>
      <c r="L42" s="32">
        <v>0.95008570000000003</v>
      </c>
      <c r="M42" t="s">
        <v>54</v>
      </c>
      <c r="N42" s="31">
        <v>0</v>
      </c>
      <c r="O42" t="s">
        <v>55</v>
      </c>
      <c r="P42" s="31">
        <v>3.9599999999999997E-8</v>
      </c>
    </row>
    <row r="44" spans="1:16" x14ac:dyDescent="0.25">
      <c r="L44" s="32">
        <f>(L41-L40)/(L41*L40)*100000</f>
        <v>69.55120397226905</v>
      </c>
    </row>
    <row r="45" spans="1:16" x14ac:dyDescent="0.25">
      <c r="L45" s="32">
        <f>L44/10</f>
        <v>6.9551203972269047</v>
      </c>
    </row>
    <row r="47" spans="1:16" x14ac:dyDescent="0.25">
      <c r="A47" t="s">
        <v>71</v>
      </c>
      <c r="B47" t="s">
        <v>47</v>
      </c>
      <c r="C47" t="s">
        <v>48</v>
      </c>
      <c r="D47" t="s">
        <v>51</v>
      </c>
      <c r="E47">
        <v>70</v>
      </c>
      <c r="F47" t="s">
        <v>49</v>
      </c>
      <c r="G47" t="s">
        <v>50</v>
      </c>
      <c r="H47" t="s">
        <v>52</v>
      </c>
      <c r="I47" s="31">
        <v>1.300278</v>
      </c>
      <c r="J47" t="s">
        <v>50</v>
      </c>
      <c r="K47" t="s">
        <v>53</v>
      </c>
      <c r="L47" s="32">
        <v>0.94729850000000004</v>
      </c>
      <c r="M47" t="s">
        <v>54</v>
      </c>
      <c r="N47" s="31">
        <v>0</v>
      </c>
      <c r="O47" t="s">
        <v>55</v>
      </c>
      <c r="P47" s="31">
        <v>2.05E-5</v>
      </c>
    </row>
    <row r="48" spans="1:16" x14ac:dyDescent="0.25">
      <c r="A48" t="s">
        <v>72</v>
      </c>
      <c r="B48" t="s">
        <v>47</v>
      </c>
      <c r="C48" t="s">
        <v>48</v>
      </c>
      <c r="D48" t="s">
        <v>51</v>
      </c>
      <c r="E48">
        <v>81</v>
      </c>
      <c r="F48" t="s">
        <v>49</v>
      </c>
      <c r="G48" t="s">
        <v>50</v>
      </c>
      <c r="H48" t="s">
        <v>52</v>
      </c>
      <c r="I48" s="31">
        <v>1.2615339999999999</v>
      </c>
      <c r="J48" t="s">
        <v>50</v>
      </c>
      <c r="K48" t="s">
        <v>53</v>
      </c>
      <c r="L48" s="32">
        <v>0.9300756</v>
      </c>
      <c r="M48" t="s">
        <v>54</v>
      </c>
      <c r="N48" s="31">
        <v>0</v>
      </c>
      <c r="O48" t="s">
        <v>55</v>
      </c>
      <c r="P48" s="31">
        <v>1.6300000000000001E-6</v>
      </c>
    </row>
    <row r="49" spans="1:16" x14ac:dyDescent="0.25">
      <c r="A49" t="s">
        <v>73</v>
      </c>
      <c r="B49" t="s">
        <v>47</v>
      </c>
      <c r="C49" t="s">
        <v>48</v>
      </c>
      <c r="D49" t="s">
        <v>51</v>
      </c>
      <c r="E49">
        <v>59</v>
      </c>
      <c r="F49" t="s">
        <v>49</v>
      </c>
      <c r="G49" t="s">
        <v>50</v>
      </c>
      <c r="H49" t="s">
        <v>52</v>
      </c>
      <c r="I49" s="31">
        <v>1.3596729999999999</v>
      </c>
      <c r="J49" t="s">
        <v>50</v>
      </c>
      <c r="K49" t="s">
        <v>53</v>
      </c>
      <c r="L49" s="32">
        <v>0.99279209999999996</v>
      </c>
      <c r="M49" t="s">
        <v>54</v>
      </c>
      <c r="N49" s="31">
        <v>0</v>
      </c>
      <c r="O49" t="s">
        <v>55</v>
      </c>
      <c r="P49" s="31">
        <v>5.9200000000000002E-5</v>
      </c>
    </row>
    <row r="50" spans="1:16" x14ac:dyDescent="0.25">
      <c r="A50" t="s">
        <v>74</v>
      </c>
      <c r="B50" t="s">
        <v>47</v>
      </c>
      <c r="C50" t="s">
        <v>48</v>
      </c>
      <c r="D50" t="s">
        <v>51</v>
      </c>
      <c r="E50">
        <v>68</v>
      </c>
      <c r="F50" t="s">
        <v>49</v>
      </c>
      <c r="G50" t="s">
        <v>50</v>
      </c>
      <c r="H50" t="s">
        <v>52</v>
      </c>
      <c r="I50" s="31">
        <v>1.363947</v>
      </c>
      <c r="J50" t="s">
        <v>50</v>
      </c>
      <c r="K50" t="s">
        <v>53</v>
      </c>
      <c r="L50" s="32">
        <v>0.99934160000000005</v>
      </c>
      <c r="M50" t="s">
        <v>54</v>
      </c>
      <c r="N50" s="31">
        <v>0</v>
      </c>
      <c r="O50" t="s">
        <v>55</v>
      </c>
      <c r="P50" s="31">
        <v>7.6500000000000003E-5</v>
      </c>
    </row>
    <row r="51" spans="1:16" x14ac:dyDescent="0.25">
      <c r="A51" t="s">
        <v>75</v>
      </c>
      <c r="B51" t="s">
        <v>47</v>
      </c>
      <c r="C51" t="s">
        <v>48</v>
      </c>
      <c r="D51" t="s">
        <v>51</v>
      </c>
      <c r="E51">
        <v>68</v>
      </c>
      <c r="F51" t="s">
        <v>49</v>
      </c>
      <c r="G51" t="s">
        <v>50</v>
      </c>
      <c r="H51" t="s">
        <v>52</v>
      </c>
      <c r="I51" s="31">
        <v>1.2562059999999999</v>
      </c>
      <c r="J51" t="s">
        <v>50</v>
      </c>
      <c r="K51" t="s">
        <v>53</v>
      </c>
      <c r="L51" s="32">
        <v>0.91640160000000004</v>
      </c>
      <c r="M51" t="s">
        <v>54</v>
      </c>
      <c r="N51" s="31">
        <v>0</v>
      </c>
      <c r="O51" t="s">
        <v>55</v>
      </c>
      <c r="P51" s="31">
        <v>8.5499999999999995E-6</v>
      </c>
    </row>
    <row r="52" spans="1:16" x14ac:dyDescent="0.25">
      <c r="M52" s="32"/>
    </row>
    <row r="53" spans="1:16" x14ac:dyDescent="0.25">
      <c r="L53" s="33"/>
    </row>
    <row r="54" spans="1:16" x14ac:dyDescent="0.25">
      <c r="L54" s="33"/>
      <c r="N54" s="33">
        <f>L57-L59</f>
        <v>7452.2581584055552</v>
      </c>
    </row>
    <row r="55" spans="1:16" x14ac:dyDescent="0.25">
      <c r="L55" s="33">
        <f>(1-L47)/(L47)*100000</f>
        <v>5563.3467170063032</v>
      </c>
      <c r="N55" s="33">
        <f>L58-L59</f>
        <v>660.13972430049</v>
      </c>
    </row>
    <row r="56" spans="1:16" x14ac:dyDescent="0.25">
      <c r="L56" s="33"/>
      <c r="N56" s="33">
        <f>L60-L59</f>
        <v>9056.5799616013937</v>
      </c>
    </row>
    <row r="57" spans="1:16" x14ac:dyDescent="0.25">
      <c r="L57" s="33">
        <f>(1-L48)/(L48)*100000</f>
        <v>7518.1415360213723</v>
      </c>
    </row>
    <row r="58" spans="1:16" x14ac:dyDescent="0.25">
      <c r="L58" s="33">
        <f>(1-L49)/(L49)*100000</f>
        <v>726.02310191630704</v>
      </c>
    </row>
    <row r="59" spans="1:16" x14ac:dyDescent="0.25">
      <c r="L59" s="33">
        <f>(1-L50)/(L50)*100000</f>
        <v>65.883377615817039</v>
      </c>
    </row>
    <row r="60" spans="1:16" x14ac:dyDescent="0.25">
      <c r="L60" s="33">
        <f>(1-L51)/(L51)*100000</f>
        <v>9122.4633392172109</v>
      </c>
      <c r="M60" s="33"/>
    </row>
    <row r="61" spans="1:16" x14ac:dyDescent="0.25">
      <c r="A61" t="s">
        <v>77</v>
      </c>
      <c r="B61" t="s">
        <v>47</v>
      </c>
      <c r="C61" t="s">
        <v>48</v>
      </c>
      <c r="D61" t="s">
        <v>51</v>
      </c>
      <c r="E61">
        <v>72</v>
      </c>
      <c r="F61" t="s">
        <v>49</v>
      </c>
      <c r="G61" t="s">
        <v>50</v>
      </c>
      <c r="H61" t="s">
        <v>52</v>
      </c>
      <c r="I61" s="31">
        <v>1.3032809999999999</v>
      </c>
      <c r="J61" t="s">
        <v>50</v>
      </c>
      <c r="K61" t="s">
        <v>53</v>
      </c>
      <c r="L61" s="32">
        <v>0.95385470000000006</v>
      </c>
      <c r="M61" t="s">
        <v>54</v>
      </c>
      <c r="N61" s="31">
        <v>0</v>
      </c>
      <c r="O61" t="s">
        <v>55</v>
      </c>
      <c r="P61" s="31">
        <v>5.5400000000000003E-6</v>
      </c>
    </row>
    <row r="62" spans="1:16" x14ac:dyDescent="0.25">
      <c r="A62" t="s">
        <v>78</v>
      </c>
      <c r="B62" t="s">
        <v>47</v>
      </c>
      <c r="C62" t="s">
        <v>48</v>
      </c>
      <c r="D62" t="s">
        <v>51</v>
      </c>
      <c r="E62">
        <v>71</v>
      </c>
      <c r="F62" t="s">
        <v>49</v>
      </c>
      <c r="G62" t="s">
        <v>50</v>
      </c>
      <c r="H62" t="s">
        <v>52</v>
      </c>
      <c r="I62" s="31">
        <v>1.302189</v>
      </c>
      <c r="J62" t="s">
        <v>50</v>
      </c>
      <c r="K62" t="s">
        <v>53</v>
      </c>
      <c r="L62" s="32">
        <v>0.95288490000000003</v>
      </c>
      <c r="M62" t="s">
        <v>54</v>
      </c>
      <c r="N62" s="31">
        <v>0</v>
      </c>
      <c r="O62" t="s">
        <v>55</v>
      </c>
      <c r="P62" s="31">
        <v>2.34E-5</v>
      </c>
    </row>
    <row r="63" spans="1:16" x14ac:dyDescent="0.25">
      <c r="A63" t="s">
        <v>70</v>
      </c>
      <c r="B63" t="s">
        <v>47</v>
      </c>
      <c r="C63" t="s">
        <v>48</v>
      </c>
      <c r="D63" t="s">
        <v>51</v>
      </c>
      <c r="E63">
        <v>72</v>
      </c>
      <c r="F63" t="s">
        <v>49</v>
      </c>
      <c r="G63" t="s">
        <v>50</v>
      </c>
      <c r="H63" t="s">
        <v>52</v>
      </c>
      <c r="I63" s="31">
        <v>1.3008519999999999</v>
      </c>
      <c r="J63" t="s">
        <v>50</v>
      </c>
      <c r="K63" t="s">
        <v>53</v>
      </c>
      <c r="L63" s="32">
        <v>0.9493933</v>
      </c>
      <c r="M63" t="s">
        <v>54</v>
      </c>
      <c r="N63" s="31">
        <v>0</v>
      </c>
      <c r="O63" t="s">
        <v>55</v>
      </c>
      <c r="P63" s="31">
        <v>5.6300000000000003E-6</v>
      </c>
    </row>
    <row r="64" spans="1:16" x14ac:dyDescent="0.25">
      <c r="A64" t="s">
        <v>71</v>
      </c>
      <c r="B64" t="s">
        <v>47</v>
      </c>
      <c r="C64" t="s">
        <v>48</v>
      </c>
      <c r="D64" t="s">
        <v>51</v>
      </c>
      <c r="E64">
        <v>70</v>
      </c>
      <c r="F64" t="s">
        <v>49</v>
      </c>
      <c r="G64" t="s">
        <v>50</v>
      </c>
      <c r="H64" t="s">
        <v>52</v>
      </c>
      <c r="I64" s="31">
        <v>1.300278</v>
      </c>
      <c r="J64" t="s">
        <v>50</v>
      </c>
      <c r="K64" t="s">
        <v>53</v>
      </c>
      <c r="L64" s="32">
        <v>0.94729850000000004</v>
      </c>
      <c r="M64" t="s">
        <v>54</v>
      </c>
      <c r="N64" s="31">
        <v>0</v>
      </c>
      <c r="O64" t="s">
        <v>55</v>
      </c>
      <c r="P64" s="31">
        <v>2.05E-5</v>
      </c>
    </row>
    <row r="65" spans="1:16" x14ac:dyDescent="0.25">
      <c r="A65" t="s">
        <v>76</v>
      </c>
      <c r="B65" t="s">
        <v>47</v>
      </c>
      <c r="C65" t="s">
        <v>48</v>
      </c>
      <c r="D65" t="s">
        <v>51</v>
      </c>
      <c r="E65">
        <v>70</v>
      </c>
      <c r="F65" t="s">
        <v>49</v>
      </c>
      <c r="G65" t="s">
        <v>50</v>
      </c>
      <c r="H65" t="s">
        <v>52</v>
      </c>
      <c r="I65" s="31">
        <v>1.2991029999999999</v>
      </c>
      <c r="J65" t="s">
        <v>50</v>
      </c>
      <c r="K65" t="s">
        <v>53</v>
      </c>
      <c r="L65" s="32">
        <v>0.94425320000000001</v>
      </c>
      <c r="M65" t="s">
        <v>54</v>
      </c>
      <c r="N65" s="31">
        <v>0</v>
      </c>
      <c r="O65" t="s">
        <v>55</v>
      </c>
      <c r="P65" s="31">
        <v>8.1599999999999998E-6</v>
      </c>
    </row>
    <row r="66" spans="1:16" x14ac:dyDescent="0.25">
      <c r="A66" t="s">
        <v>79</v>
      </c>
      <c r="B66" t="s">
        <v>47</v>
      </c>
      <c r="C66" t="s">
        <v>48</v>
      </c>
      <c r="D66" t="s">
        <v>51</v>
      </c>
      <c r="E66">
        <v>71</v>
      </c>
      <c r="F66" t="s">
        <v>49</v>
      </c>
      <c r="G66" t="s">
        <v>50</v>
      </c>
      <c r="H66" t="s">
        <v>52</v>
      </c>
      <c r="I66" s="31">
        <v>1.2983070000000001</v>
      </c>
      <c r="J66" t="s">
        <v>50</v>
      </c>
      <c r="K66" t="s">
        <v>53</v>
      </c>
      <c r="L66" s="32">
        <v>0.94359990000000005</v>
      </c>
      <c r="M66" t="s">
        <v>54</v>
      </c>
      <c r="N66" s="31">
        <v>0</v>
      </c>
      <c r="O66" t="s">
        <v>55</v>
      </c>
      <c r="P66" s="31">
        <v>2.2500000000000001E-6</v>
      </c>
    </row>
    <row r="67" spans="1:16" x14ac:dyDescent="0.25">
      <c r="M67" s="32"/>
    </row>
    <row r="68" spans="1:16" x14ac:dyDescent="0.25">
      <c r="L68" s="33"/>
    </row>
    <row r="69" spans="1:16" x14ac:dyDescent="0.25">
      <c r="L69" s="33">
        <f t="shared" ref="L69:L73" si="1">(1-L61)/(L61)*100000</f>
        <v>4837.7703648155157</v>
      </c>
      <c r="N69" s="33"/>
    </row>
    <row r="70" spans="1:16" x14ac:dyDescent="0.25">
      <c r="L70" s="33">
        <f t="shared" si="1"/>
        <v>4944.4691588669275</v>
      </c>
      <c r="N70" s="33"/>
    </row>
    <row r="71" spans="1:16" x14ac:dyDescent="0.25">
      <c r="L71" s="33">
        <f t="shared" si="1"/>
        <v>5330.425230513003</v>
      </c>
      <c r="N71" s="33"/>
    </row>
    <row r="72" spans="1:16" x14ac:dyDescent="0.25">
      <c r="L72" s="33">
        <f t="shared" si="1"/>
        <v>5563.3467170063032</v>
      </c>
    </row>
    <row r="73" spans="1:16" x14ac:dyDescent="0.25">
      <c r="L73" s="33">
        <f t="shared" si="1"/>
        <v>5903.7978372750003</v>
      </c>
    </row>
    <row r="74" spans="1:16" x14ac:dyDescent="0.25">
      <c r="L74" s="33">
        <f>(1-L66)/(L66)*100000</f>
        <v>5977.1201756168002</v>
      </c>
    </row>
    <row r="75" spans="1:16" x14ac:dyDescent="0.25">
      <c r="L75" s="33"/>
      <c r="M75" s="33"/>
    </row>
    <row r="78" spans="1:16" x14ac:dyDescent="0.25">
      <c r="K78" t="s">
        <v>65</v>
      </c>
      <c r="L78" s="32" t="s">
        <v>66</v>
      </c>
    </row>
    <row r="79" spans="1:16" x14ac:dyDescent="0.25">
      <c r="K79">
        <v>0</v>
      </c>
      <c r="L79" s="32">
        <f>L69</f>
        <v>4837.7703648155157</v>
      </c>
    </row>
    <row r="80" spans="1:16" x14ac:dyDescent="0.25">
      <c r="K80">
        <v>20</v>
      </c>
      <c r="L80" s="32">
        <f t="shared" ref="L80:L84" si="2">L70</f>
        <v>4944.4691588669275</v>
      </c>
    </row>
    <row r="81" spans="11:12" x14ac:dyDescent="0.25">
      <c r="K81">
        <v>40</v>
      </c>
      <c r="L81" s="32">
        <f t="shared" si="2"/>
        <v>5330.425230513003</v>
      </c>
    </row>
    <row r="82" spans="11:12" x14ac:dyDescent="0.25">
      <c r="K82">
        <v>50</v>
      </c>
      <c r="L82" s="32">
        <f t="shared" si="2"/>
        <v>5563.3467170063032</v>
      </c>
    </row>
    <row r="83" spans="11:12" x14ac:dyDescent="0.25">
      <c r="K83">
        <v>70</v>
      </c>
      <c r="L83" s="32">
        <f t="shared" si="2"/>
        <v>5903.7978372750003</v>
      </c>
    </row>
    <row r="84" spans="11:12" x14ac:dyDescent="0.25">
      <c r="K84">
        <v>90</v>
      </c>
      <c r="L84" s="32">
        <f t="shared" si="2"/>
        <v>5977.1201756168002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6" sqref="F6"/>
    </sheetView>
  </sheetViews>
  <sheetFormatPr baseColWidth="10" defaultRowHeight="15" x14ac:dyDescent="0.25"/>
  <cols>
    <col min="1" max="1" width="17.7109375" customWidth="1"/>
    <col min="2" max="2" width="10.85546875" bestFit="1" customWidth="1"/>
    <col min="3" max="3" width="8.140625" bestFit="1" customWidth="1"/>
    <col min="4" max="4" width="2" bestFit="1" customWidth="1"/>
    <col min="5" max="5" width="8.85546875" bestFit="1" customWidth="1"/>
    <col min="6" max="7" width="15.85546875" style="2" customWidth="1"/>
    <col min="8" max="8" width="21" bestFit="1" customWidth="1"/>
    <col min="9" max="9" width="11.42578125" style="1"/>
    <col min="11" max="13" width="10.28515625" bestFit="1" customWidth="1"/>
    <col min="14" max="14" width="6" bestFit="1" customWidth="1"/>
  </cols>
  <sheetData>
    <row r="1" spans="1:13" ht="15.75" thickBot="1" x14ac:dyDescent="0.3">
      <c r="A1" s="35" t="s">
        <v>30</v>
      </c>
      <c r="B1" s="35"/>
      <c r="C1" s="35"/>
      <c r="D1" s="35"/>
      <c r="E1" s="35"/>
      <c r="F1" s="35"/>
      <c r="G1" s="14" t="s">
        <v>33</v>
      </c>
      <c r="H1" s="5" t="s">
        <v>34</v>
      </c>
      <c r="J1" s="44" t="s">
        <v>29</v>
      </c>
      <c r="K1" s="45"/>
      <c r="L1" s="45"/>
      <c r="M1" s="46"/>
    </row>
    <row r="2" spans="1:13" ht="15.75" thickBot="1" x14ac:dyDescent="0.3">
      <c r="A2" s="36">
        <f>L3^2*PI()/(3*3^0.5/2*L2^2)</f>
        <v>0.52359671921329498</v>
      </c>
      <c r="B2" s="37" t="s">
        <v>16</v>
      </c>
      <c r="C2" s="6"/>
      <c r="D2" s="6"/>
      <c r="E2" s="25" t="s">
        <v>44</v>
      </c>
      <c r="F2" s="7">
        <f>K10</f>
        <v>2.5000000000000001E-3</v>
      </c>
      <c r="G2" s="26" t="s">
        <v>31</v>
      </c>
      <c r="H2" s="7">
        <f>F2*A$2</f>
        <v>1.3089917980332374E-3</v>
      </c>
      <c r="J2" s="19" t="s">
        <v>37</v>
      </c>
      <c r="K2" s="20" t="s">
        <v>24</v>
      </c>
      <c r="L2" s="21">
        <v>0.56000000000000005</v>
      </c>
      <c r="M2" s="20" t="s">
        <v>20</v>
      </c>
    </row>
    <row r="3" spans="1:13" ht="15.75" thickBot="1" x14ac:dyDescent="0.3">
      <c r="A3" s="36"/>
      <c r="B3" s="37"/>
      <c r="C3" s="6"/>
      <c r="D3" s="6"/>
      <c r="E3" s="25" t="s">
        <v>6</v>
      </c>
      <c r="F3" s="7">
        <f>K11</f>
        <v>1.7000000000000001E-2</v>
      </c>
      <c r="G3" s="27"/>
      <c r="H3" s="7">
        <f>F3*A$2</f>
        <v>8.9011442266260146E-3</v>
      </c>
      <c r="J3" s="19" t="s">
        <v>22</v>
      </c>
      <c r="K3" s="20" t="s">
        <v>38</v>
      </c>
      <c r="L3" s="21">
        <v>0.36849999999999999</v>
      </c>
      <c r="M3" s="20" t="s">
        <v>20</v>
      </c>
    </row>
    <row r="4" spans="1:13" ht="15.75" thickBot="1" x14ac:dyDescent="0.3">
      <c r="A4" s="36"/>
      <c r="B4" s="37"/>
      <c r="C4" s="6"/>
      <c r="D4" s="6"/>
      <c r="E4" s="25" t="s">
        <v>2</v>
      </c>
      <c r="F4" s="7">
        <f>K12</f>
        <v>3.9E-2</v>
      </c>
      <c r="G4" s="27"/>
      <c r="H4" s="7">
        <f>F4*A$2</f>
        <v>2.0420272049318504E-2</v>
      </c>
      <c r="J4" s="22" t="s">
        <v>25</v>
      </c>
      <c r="K4" s="20" t="s">
        <v>38</v>
      </c>
      <c r="L4" s="21">
        <v>0.42925999999999997</v>
      </c>
      <c r="M4" s="20" t="s">
        <v>20</v>
      </c>
    </row>
    <row r="5" spans="1:13" ht="15.75" thickBot="1" x14ac:dyDescent="0.3">
      <c r="A5" s="16">
        <f>PI()*(L4^2-L3^2)/(3*3^0.5/2*L2^2)</f>
        <v>0.18690114168815064</v>
      </c>
      <c r="B5" s="13" t="s">
        <v>17</v>
      </c>
      <c r="C5" s="6"/>
      <c r="D5" s="6"/>
      <c r="E5" s="25" t="s">
        <v>45</v>
      </c>
      <c r="F5" s="7">
        <f>L13</f>
        <v>0.05</v>
      </c>
      <c r="G5" s="27"/>
      <c r="H5" s="7">
        <f>F5*A$5</f>
        <v>9.3450570844075317E-3</v>
      </c>
      <c r="J5" s="3" t="s">
        <v>28</v>
      </c>
      <c r="K5" s="3" t="s">
        <v>23</v>
      </c>
      <c r="L5" s="3">
        <v>0.37</v>
      </c>
      <c r="M5" s="3" t="s">
        <v>20</v>
      </c>
    </row>
    <row r="6" spans="1:13" ht="15.75" thickBot="1" x14ac:dyDescent="0.3">
      <c r="A6" s="28">
        <f>1-A5-A2</f>
        <v>0.28950213909855438</v>
      </c>
      <c r="B6" s="23" t="s">
        <v>39</v>
      </c>
      <c r="C6" s="6"/>
      <c r="D6" s="6"/>
      <c r="E6" s="25" t="s">
        <v>46</v>
      </c>
      <c r="F6" s="7">
        <f>M14</f>
        <v>2.3095999999999998E-2</v>
      </c>
      <c r="G6" s="27"/>
      <c r="H6" s="7">
        <f>F6*A$6</f>
        <v>6.6863414046202116E-3</v>
      </c>
    </row>
    <row r="7" spans="1:13" ht="15" customHeight="1" x14ac:dyDescent="0.25">
      <c r="A7" s="16"/>
      <c r="B7" s="12"/>
      <c r="C7" s="6"/>
      <c r="D7" s="6"/>
      <c r="E7" s="6"/>
      <c r="F7" s="7"/>
      <c r="G7" s="10"/>
      <c r="H7" s="7"/>
      <c r="J7" s="47" t="s">
        <v>40</v>
      </c>
      <c r="K7" s="50" t="s">
        <v>41</v>
      </c>
      <c r="L7" s="51"/>
      <c r="M7" s="52"/>
    </row>
    <row r="8" spans="1:13" ht="17.25" customHeight="1" thickBot="1" x14ac:dyDescent="0.3">
      <c r="A8" s="36">
        <f>1-A11</f>
        <v>0.52786805476969467</v>
      </c>
      <c r="B8" s="43" t="s">
        <v>28</v>
      </c>
      <c r="C8" s="6"/>
      <c r="D8" s="6"/>
      <c r="E8" s="6" t="s">
        <v>13</v>
      </c>
      <c r="F8" s="7">
        <v>1.54529E-2</v>
      </c>
      <c r="G8" s="26" t="s">
        <v>32</v>
      </c>
      <c r="H8" s="7">
        <f>F8*A$8</f>
        <v>8.1570922635506148E-3</v>
      </c>
      <c r="J8" s="48"/>
      <c r="K8" s="53" t="s">
        <v>42</v>
      </c>
      <c r="L8" s="54"/>
      <c r="M8" s="55"/>
    </row>
    <row r="9" spans="1:13" ht="30.75" thickBot="1" x14ac:dyDescent="0.3">
      <c r="A9" s="36"/>
      <c r="B9" s="43"/>
      <c r="C9" s="6"/>
      <c r="D9" s="6"/>
      <c r="E9" s="6" t="s">
        <v>15</v>
      </c>
      <c r="F9" s="7">
        <v>6.2199900000000002E-2</v>
      </c>
      <c r="G9" s="27"/>
      <c r="H9" s="7">
        <f t="shared" ref="H9:H10" si="0">F9*A$8</f>
        <v>3.2833340219869535E-2</v>
      </c>
      <c r="J9" s="49"/>
      <c r="K9" s="24" t="s">
        <v>16</v>
      </c>
      <c r="L9" s="24" t="s">
        <v>17</v>
      </c>
      <c r="M9" s="24" t="s">
        <v>43</v>
      </c>
    </row>
    <row r="10" spans="1:13" ht="15.75" thickBot="1" x14ac:dyDescent="0.3">
      <c r="A10" s="36"/>
      <c r="B10" s="43"/>
      <c r="C10" s="6"/>
      <c r="D10" s="6"/>
      <c r="E10" s="8" t="s">
        <v>35</v>
      </c>
      <c r="F10" s="7">
        <v>1.9390600000000001E-2</v>
      </c>
      <c r="G10" s="27"/>
      <c r="H10" s="7">
        <f t="shared" si="0"/>
        <v>1.0235678302817242E-2</v>
      </c>
      <c r="J10" s="25" t="s">
        <v>44</v>
      </c>
      <c r="K10" s="29">
        <v>2.5000000000000001E-3</v>
      </c>
      <c r="L10" s="30"/>
      <c r="M10" s="30"/>
    </row>
    <row r="11" spans="1:13" ht="15.75" thickBot="1" x14ac:dyDescent="0.3">
      <c r="A11" s="28">
        <f>1-L5^2*PI()/(3*3^0.5/2*L2^2)</f>
        <v>0.47213194523030533</v>
      </c>
      <c r="B11" s="23" t="s">
        <v>39</v>
      </c>
      <c r="C11" s="6"/>
      <c r="D11" s="6"/>
      <c r="E11" s="25" t="s">
        <v>46</v>
      </c>
      <c r="F11" s="7">
        <f>F6</f>
        <v>2.3095999999999998E-2</v>
      </c>
      <c r="G11" s="27"/>
      <c r="H11" s="7">
        <f>F11*A$11</f>
        <v>1.090435940703913E-2</v>
      </c>
      <c r="J11" s="25" t="s">
        <v>6</v>
      </c>
      <c r="K11" s="29">
        <v>1.7000000000000001E-2</v>
      </c>
      <c r="L11" s="30"/>
      <c r="M11" s="30"/>
    </row>
    <row r="12" spans="1:13" ht="15.75" thickBot="1" x14ac:dyDescent="0.3">
      <c r="A12" s="17"/>
      <c r="J12" s="25" t="s">
        <v>2</v>
      </c>
      <c r="K12" s="29">
        <f>(K11+K10)*2</f>
        <v>3.9E-2</v>
      </c>
      <c r="L12" s="30"/>
      <c r="M12" s="30"/>
    </row>
    <row r="13" spans="1:13" ht="15.75" thickBot="1" x14ac:dyDescent="0.3">
      <c r="A13" s="17"/>
      <c r="J13" s="25" t="s">
        <v>45</v>
      </c>
      <c r="K13" s="30"/>
      <c r="L13" s="29">
        <v>0.05</v>
      </c>
      <c r="M13" s="30"/>
    </row>
    <row r="14" spans="1:13" ht="15.75" thickBot="1" x14ac:dyDescent="0.3">
      <c r="B14" s="1"/>
      <c r="J14" s="25" t="s">
        <v>46</v>
      </c>
      <c r="K14" s="30"/>
      <c r="L14" s="30"/>
      <c r="M14" s="29">
        <v>2.3095999999999998E-2</v>
      </c>
    </row>
    <row r="15" spans="1:13" ht="15" customHeight="1" x14ac:dyDescent="0.25">
      <c r="B15" s="1"/>
    </row>
    <row r="16" spans="1:13" ht="15.75" customHeight="1" x14ac:dyDescent="0.25">
      <c r="B16" s="1"/>
    </row>
    <row r="19" spans="2:2" x14ac:dyDescent="0.25">
      <c r="B19" s="1"/>
    </row>
    <row r="20" spans="2:2" x14ac:dyDescent="0.25">
      <c r="B20" s="1"/>
    </row>
  </sheetData>
  <mergeCells count="9">
    <mergeCell ref="A1:F1"/>
    <mergeCell ref="J1:M1"/>
    <mergeCell ref="A2:A4"/>
    <mergeCell ref="B2:B4"/>
    <mergeCell ref="J7:J9"/>
    <mergeCell ref="K7:M7"/>
    <mergeCell ref="K8:M8"/>
    <mergeCell ref="A8:A10"/>
    <mergeCell ref="B8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data_318</vt:lpstr>
      <vt:lpstr>data_308</vt:lpstr>
      <vt:lpstr>data_bore10ppm</vt:lpstr>
      <vt:lpstr>poids</vt:lpstr>
      <vt:lpstr>data_spx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Jacquet Philippe</dc:creator>
  <cp:lastModifiedBy>Jacquet Philippe</cp:lastModifiedBy>
  <dcterms:created xsi:type="dcterms:W3CDTF">2013-11-24T21:48:43Z</dcterms:created>
  <dcterms:modified xsi:type="dcterms:W3CDTF">2014-02-12T00:09:00Z</dcterms:modified>
</cp:coreProperties>
</file>