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4115" windowHeight="4110"/>
  </bookViews>
  <sheets>
    <sheet name="SPX" sheetId="1" r:id="rId1"/>
  </sheets>
  <calcPr calcId="145621" iterate="1"/>
</workbook>
</file>

<file path=xl/calcChain.xml><?xml version="1.0" encoding="utf-8"?>
<calcChain xmlns="http://schemas.openxmlformats.org/spreadsheetml/2006/main">
  <c r="B8" i="1" l="1"/>
  <c r="W43" i="1"/>
  <c r="P44" i="1" l="1"/>
  <c r="P43" i="1"/>
  <c r="S43" i="1" s="1"/>
  <c r="H4" i="1"/>
  <c r="H5" i="1"/>
  <c r="H6" i="1"/>
  <c r="H7" i="1"/>
  <c r="H8" i="1"/>
  <c r="H9" i="1"/>
  <c r="H10" i="1"/>
  <c r="H11" i="1"/>
  <c r="M11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3" i="1"/>
  <c r="C3" i="1"/>
  <c r="J26" i="1"/>
  <c r="J41" i="1"/>
  <c r="J25" i="1"/>
  <c r="J40" i="1"/>
  <c r="J24" i="1"/>
  <c r="J39" i="1"/>
  <c r="J23" i="1"/>
  <c r="J38" i="1"/>
  <c r="J22" i="1"/>
  <c r="J37" i="1"/>
  <c r="J21" i="1"/>
  <c r="J36" i="1"/>
  <c r="J20" i="1"/>
  <c r="J35" i="1"/>
  <c r="J19" i="1"/>
  <c r="J34" i="1"/>
  <c r="J18" i="1"/>
  <c r="J33" i="1"/>
  <c r="J17" i="1"/>
  <c r="J32" i="1"/>
  <c r="J16" i="1"/>
  <c r="J31" i="1"/>
  <c r="J15" i="1"/>
  <c r="J30" i="1"/>
  <c r="J14" i="1"/>
  <c r="J29" i="1"/>
  <c r="J13" i="1"/>
  <c r="J28" i="1"/>
  <c r="J12" i="1"/>
  <c r="J27" i="1"/>
  <c r="Q44" i="1" l="1"/>
  <c r="M3" i="1" a="1"/>
  <c r="M3" i="1" s="1"/>
  <c r="J7" i="1" a="1"/>
  <c r="J7" i="1" s="1"/>
  <c r="J6" i="1" a="1"/>
  <c r="J6" i="1" s="1"/>
  <c r="J5" i="1" a="1"/>
  <c r="J5" i="1" s="1"/>
  <c r="J8" i="1" a="1"/>
  <c r="J8" i="1" s="1"/>
  <c r="J4" i="1" a="1"/>
  <c r="J4" i="1" s="1"/>
  <c r="J3" i="1" a="1"/>
  <c r="J3" i="1" s="1"/>
  <c r="K3" i="1" a="1"/>
  <c r="K3" i="1"/>
  <c r="N3" i="1" a="1"/>
  <c r="N3" i="1"/>
  <c r="P3" i="1"/>
  <c r="Q3" i="1"/>
  <c r="U3" i="1"/>
  <c r="P4" i="1"/>
  <c r="Q4" i="1"/>
  <c r="U4" i="1"/>
  <c r="P5" i="1"/>
  <c r="Q5" i="1"/>
  <c r="U5" i="1"/>
  <c r="P6" i="1"/>
  <c r="Q6" i="1"/>
  <c r="U6" i="1"/>
  <c r="P7" i="1"/>
  <c r="Q7" i="1"/>
  <c r="U7" i="1"/>
  <c r="P8" i="1"/>
  <c r="Q8" i="1"/>
  <c r="U8" i="1"/>
  <c r="I9" i="1" a="1"/>
  <c r="I9" i="1"/>
  <c r="K9" i="1" a="1"/>
  <c r="K9" i="1"/>
  <c r="M9" i="1" a="1"/>
  <c r="M9" i="1"/>
  <c r="P9" i="1"/>
  <c r="Q9" i="1"/>
  <c r="U9" i="1"/>
  <c r="I10" i="1"/>
  <c r="P10" i="1"/>
  <c r="Q10" i="1"/>
  <c r="U10" i="1"/>
  <c r="K11" i="1" a="1"/>
  <c r="K11" i="1"/>
  <c r="P11" i="1"/>
  <c r="Q11" i="1"/>
  <c r="U11" i="1"/>
  <c r="I12" i="1"/>
  <c r="M12" i="1" a="1"/>
  <c r="M12" i="1"/>
  <c r="N12" i="1"/>
  <c r="P12" i="1" a="1"/>
  <c r="P12" i="1"/>
  <c r="R12" i="1"/>
  <c r="V12" i="1"/>
  <c r="I13" i="1" a="1"/>
  <c r="I13" i="1"/>
  <c r="P13" i="1" a="1"/>
  <c r="P13" i="1"/>
  <c r="R13" i="1"/>
  <c r="V13" i="1"/>
  <c r="I14" i="1" a="1"/>
  <c r="I14" i="1"/>
  <c r="P14" i="1" a="1"/>
  <c r="P14" i="1"/>
  <c r="R14" i="1"/>
  <c r="V14" i="1"/>
  <c r="I15" i="1" a="1"/>
  <c r="I15" i="1"/>
  <c r="P15" i="1" a="1"/>
  <c r="P15" i="1"/>
  <c r="R15" i="1"/>
  <c r="V15" i="1"/>
  <c r="I16" i="1" a="1"/>
  <c r="I16" i="1"/>
  <c r="P16" i="1" a="1"/>
  <c r="P16" i="1"/>
  <c r="R16" i="1"/>
  <c r="V16" i="1"/>
  <c r="I17" i="1" a="1"/>
  <c r="I17" i="1"/>
  <c r="P17" i="1" a="1"/>
  <c r="P17" i="1"/>
  <c r="R17" i="1"/>
  <c r="V17" i="1"/>
  <c r="I18" i="1" a="1"/>
  <c r="I18" i="1"/>
  <c r="P18" i="1" a="1"/>
  <c r="P18" i="1"/>
  <c r="R18" i="1"/>
  <c r="V18" i="1"/>
  <c r="I19" i="1" a="1"/>
  <c r="I19" i="1"/>
  <c r="P19" i="1" a="1"/>
  <c r="P19" i="1"/>
  <c r="R19" i="1"/>
  <c r="V19" i="1"/>
  <c r="I20" i="1" a="1"/>
  <c r="I20" i="1"/>
  <c r="P20" i="1" a="1"/>
  <c r="P20" i="1"/>
  <c r="R20" i="1"/>
  <c r="V20" i="1"/>
  <c r="I21" i="1" a="1"/>
  <c r="I21" i="1"/>
  <c r="P21" i="1" a="1"/>
  <c r="P21" i="1"/>
  <c r="R21" i="1"/>
  <c r="V21" i="1"/>
  <c r="I22" i="1" a="1"/>
  <c r="I22" i="1"/>
  <c r="P22" i="1" a="1"/>
  <c r="P22" i="1"/>
  <c r="R22" i="1"/>
  <c r="V22" i="1"/>
  <c r="I23" i="1" a="1"/>
  <c r="I23" i="1"/>
  <c r="P23" i="1" a="1"/>
  <c r="P23" i="1"/>
  <c r="R23" i="1"/>
  <c r="V23" i="1"/>
  <c r="I24" i="1" a="1"/>
  <c r="I24" i="1"/>
  <c r="P24" i="1" a="1"/>
  <c r="P24" i="1"/>
  <c r="R24" i="1"/>
  <c r="V24" i="1"/>
  <c r="I25" i="1" a="1"/>
  <c r="I25" i="1"/>
  <c r="P25" i="1" a="1"/>
  <c r="P25" i="1"/>
  <c r="R25" i="1"/>
  <c r="V25" i="1"/>
  <c r="I26" i="1" a="1"/>
  <c r="I26" i="1"/>
  <c r="P26" i="1" a="1"/>
  <c r="P26" i="1"/>
  <c r="R26" i="1"/>
  <c r="V26" i="1"/>
  <c r="I27" i="1" a="1"/>
  <c r="I27" i="1"/>
  <c r="P27" i="1" a="1"/>
  <c r="P27" i="1"/>
  <c r="R27" i="1"/>
  <c r="V27" i="1"/>
  <c r="I28" i="1" a="1"/>
  <c r="I28" i="1"/>
  <c r="P28" i="1" a="1"/>
  <c r="P28" i="1"/>
  <c r="R28" i="1"/>
  <c r="V28" i="1"/>
  <c r="I29" i="1" a="1"/>
  <c r="I29" i="1"/>
  <c r="P29" i="1" a="1"/>
  <c r="P29" i="1"/>
  <c r="R29" i="1"/>
  <c r="V29" i="1"/>
  <c r="I30" i="1" a="1"/>
  <c r="I30" i="1"/>
  <c r="P30" i="1" a="1"/>
  <c r="P30" i="1"/>
  <c r="R30" i="1"/>
  <c r="V30" i="1"/>
  <c r="I31" i="1" a="1"/>
  <c r="I31" i="1"/>
  <c r="P31" i="1" a="1"/>
  <c r="P31" i="1"/>
  <c r="R31" i="1"/>
  <c r="V31" i="1"/>
  <c r="I32" i="1" a="1"/>
  <c r="I32" i="1"/>
  <c r="P32" i="1" a="1"/>
  <c r="P32" i="1"/>
  <c r="R32" i="1"/>
  <c r="V32" i="1"/>
  <c r="I33" i="1" a="1"/>
  <c r="I33" i="1"/>
  <c r="P33" i="1" a="1"/>
  <c r="P33" i="1"/>
  <c r="R33" i="1"/>
  <c r="V33" i="1"/>
  <c r="I34" i="1" a="1"/>
  <c r="I34" i="1"/>
  <c r="P34" i="1" a="1"/>
  <c r="P34" i="1"/>
  <c r="R34" i="1"/>
  <c r="V34" i="1"/>
  <c r="I35" i="1" a="1"/>
  <c r="I35" i="1"/>
  <c r="P35" i="1" a="1"/>
  <c r="P35" i="1"/>
  <c r="R35" i="1"/>
  <c r="V35" i="1"/>
  <c r="I36" i="1" a="1"/>
  <c r="I36" i="1"/>
  <c r="P36" i="1" a="1"/>
  <c r="P36" i="1"/>
  <c r="R36" i="1"/>
  <c r="V36" i="1"/>
  <c r="I37" i="1" a="1"/>
  <c r="I37" i="1"/>
  <c r="P37" i="1" a="1"/>
  <c r="P37" i="1"/>
  <c r="R37" i="1"/>
  <c r="V37" i="1"/>
  <c r="I38" i="1" a="1"/>
  <c r="I38" i="1"/>
  <c r="P38" i="1" a="1"/>
  <c r="P38" i="1"/>
  <c r="R38" i="1"/>
  <c r="V38" i="1"/>
  <c r="I39" i="1" a="1"/>
  <c r="I39" i="1"/>
  <c r="P39" i="1" a="1"/>
  <c r="P39" i="1"/>
  <c r="R39" i="1"/>
  <c r="V39" i="1"/>
  <c r="I40" i="1" a="1"/>
  <c r="I40" i="1"/>
  <c r="P40" i="1" a="1"/>
  <c r="P40" i="1"/>
  <c r="R40" i="1"/>
  <c r="V40" i="1"/>
  <c r="I41" i="1" a="1"/>
  <c r="I41" i="1"/>
  <c r="P41" i="1" a="1"/>
  <c r="P41" i="1"/>
  <c r="R41" i="1"/>
  <c r="V41" i="1"/>
  <c r="I42" i="1" a="1"/>
  <c r="I42" i="1"/>
  <c r="P42" i="1" a="1"/>
  <c r="P42" i="1"/>
  <c r="R42" i="1"/>
  <c r="V42" i="1"/>
  <c r="V45" i="1"/>
  <c r="V46" i="1"/>
  <c r="V47" i="1"/>
  <c r="V48" i="1"/>
</calcChain>
</file>

<file path=xl/sharedStrings.xml><?xml version="1.0" encoding="utf-8"?>
<sst xmlns="http://schemas.openxmlformats.org/spreadsheetml/2006/main" count="81" uniqueCount="68">
  <si>
    <t>'Pu238'</t>
  </si>
  <si>
    <t>'Pu239'</t>
  </si>
  <si>
    <t>'Pu240'</t>
  </si>
  <si>
    <t>'Pu241'</t>
  </si>
  <si>
    <t>'Pu242'</t>
  </si>
  <si>
    <t>'Am241'</t>
  </si>
  <si>
    <t>'U235'</t>
  </si>
  <si>
    <t>'U238'</t>
  </si>
  <si>
    <t>'O16'</t>
  </si>
  <si>
    <t>'Fe54'</t>
  </si>
  <si>
    <t>'Fe56'</t>
  </si>
  <si>
    <t>'Fe57'</t>
  </si>
  <si>
    <t>'Fe58'</t>
  </si>
  <si>
    <t>'Cr50'</t>
  </si>
  <si>
    <t>'Cr52'</t>
  </si>
  <si>
    <t>'Cr53'</t>
  </si>
  <si>
    <t>'Cr54'</t>
  </si>
  <si>
    <t>'Ni58'</t>
  </si>
  <si>
    <t>'Ni60'</t>
  </si>
  <si>
    <t>'Ni61'</t>
  </si>
  <si>
    <t>'Ni62'</t>
  </si>
  <si>
    <t>'Ni64'</t>
  </si>
  <si>
    <t>'Mo92'</t>
  </si>
  <si>
    <t>'Mo94'</t>
  </si>
  <si>
    <t>'Mo95'</t>
  </si>
  <si>
    <t>'Mo96'</t>
  </si>
  <si>
    <t>'Mo97'</t>
  </si>
  <si>
    <t>'Mo98'</t>
  </si>
  <si>
    <t>'Mo100'</t>
  </si>
  <si>
    <t>'Ti46'</t>
  </si>
  <si>
    <t>'Ti47'</t>
  </si>
  <si>
    <t>'Ti48'</t>
  </si>
  <si>
    <t>'Ti49'</t>
  </si>
  <si>
    <t>'Ti50'</t>
  </si>
  <si>
    <t>'Cu63'</t>
  </si>
  <si>
    <t>'Cu65'</t>
  </si>
  <si>
    <t>'Si28'</t>
  </si>
  <si>
    <t>'Si29'</t>
  </si>
  <si>
    <t>'Si30'</t>
  </si>
  <si>
    <t>'Mn55'</t>
  </si>
  <si>
    <t>'Na23'</t>
  </si>
  <si>
    <t>Vecteur Pu</t>
  </si>
  <si>
    <t>Vecteur U</t>
  </si>
  <si>
    <t>Oxygene</t>
  </si>
  <si>
    <t>Atomique</t>
  </si>
  <si>
    <t>Massique</t>
  </si>
  <si>
    <t>Distribution</t>
  </si>
  <si>
    <t>FUEL</t>
  </si>
  <si>
    <t>ACIER316</t>
  </si>
  <si>
    <t>Décomposition des milieux</t>
  </si>
  <si>
    <t>Milieu</t>
  </si>
  <si>
    <t>SODIUM</t>
  </si>
  <si>
    <t>Matériau</t>
  </si>
  <si>
    <t>Décomposition des matériaux</t>
  </si>
  <si>
    <t>Densité du matériau en g/cm3</t>
  </si>
  <si>
    <t>UPUO2</t>
  </si>
  <si>
    <t>Distribution (%)</t>
  </si>
  <si>
    <t>VIDE</t>
  </si>
  <si>
    <t>ACIER</t>
  </si>
  <si>
    <t>CALO</t>
  </si>
  <si>
    <t>CONCENTRATIONS ATOMIQUE POUR CHAQUE MILIEU</t>
  </si>
  <si>
    <r>
      <t>Concentration atomique (10</t>
    </r>
    <r>
      <rPr>
        <b/>
        <vertAlign val="superscript"/>
        <sz val="11"/>
        <color theme="1"/>
        <rFont val="Calibri"/>
        <family val="2"/>
        <scheme val="minor"/>
      </rPr>
      <t>24</t>
    </r>
    <r>
      <rPr>
        <b/>
        <sz val="11"/>
        <color theme="1"/>
        <rFont val="Calibri"/>
        <family val="2"/>
        <scheme val="minor"/>
      </rPr>
      <t>at/cm3)</t>
    </r>
  </si>
  <si>
    <t>Masse de l'isotope
g/mol</t>
  </si>
  <si>
    <t>Masse unitaire
g/mol</t>
  </si>
  <si>
    <t>Masse unitaire
g/.mol</t>
  </si>
  <si>
    <t>GENERATION DRAGON FILE</t>
  </si>
  <si>
    <t>r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</si>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</sst>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vertical="center" wrapText="1"/>
    </xf>
    <xf numFmtId="168" fontId="0" fillId="0" borderId="1" xfId="0" applyNumberFormat="1" applyBorder="1" applyAlignment="1">
      <alignment vertical="center" wrapText="1"/>
    </xf>
    <xf numFmtId="168" fontId="0" fillId="2" borderId="1" xfId="0" applyNumberFormat="1" applyFill="1" applyBorder="1" applyAlignment="1">
      <alignment vertical="center" wrapText="1"/>
    </xf>
    <xf numFmtId="168" fontId="0" fillId="0" borderId="0" xfId="0" applyNumberFormat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11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topLeftCell="I1" zoomScale="70" zoomScaleNormal="70" workbookViewId="0">
      <selection activeCell="V10" sqref="V10"/>
    </sheetView>
  </sheetViews>
  <sheetFormatPr baseColWidth="10" defaultColWidth="26" defaultRowHeight="15" x14ac:dyDescent="0.25"/>
  <cols>
    <col min="1" max="1" width="8.28515625" style="2" bestFit="1" customWidth="1"/>
    <col min="2" max="2" width="18.28515625" style="2" customWidth="1"/>
    <col min="3" max="3" width="18.85546875" style="2" bestFit="1" customWidth="1"/>
    <col min="4" max="4" width="5.85546875" style="2" customWidth="1"/>
    <col min="5" max="5" width="11.42578125" style="2" bestFit="1" customWidth="1"/>
    <col min="6" max="6" width="12" style="2" bestFit="1" customWidth="1"/>
    <col min="7" max="7" width="8.5703125" style="2" bestFit="1" customWidth="1"/>
    <col min="8" max="8" width="12" style="2" customWidth="1"/>
    <col min="9" max="10" width="12.42578125" style="2" bestFit="1" customWidth="1"/>
    <col min="11" max="11" width="12.42578125" style="2" customWidth="1"/>
    <col min="12" max="12" width="12.42578125" style="2" bestFit="1" customWidth="1"/>
    <col min="13" max="14" width="12.42578125" style="2" customWidth="1"/>
    <col min="15" max="15" width="15.28515625" style="2" customWidth="1"/>
    <col min="16" max="16" width="18.85546875" style="22" customWidth="1"/>
    <col min="17" max="17" width="13" style="22" bestFit="1" customWidth="1"/>
    <col min="18" max="19" width="12.85546875" style="22" bestFit="1" customWidth="1"/>
    <col min="20" max="20" width="7.5703125" style="2" customWidth="1"/>
    <col min="21" max="21" width="28.7109375" style="2" bestFit="1" customWidth="1"/>
    <col min="22" max="16384" width="26" style="2"/>
  </cols>
  <sheetData>
    <row r="1" spans="1:26" ht="34.5" customHeight="1" x14ac:dyDescent="0.25">
      <c r="A1" s="1" t="s">
        <v>50</v>
      </c>
      <c r="B1" s="1" t="s">
        <v>49</v>
      </c>
      <c r="C1" s="1" t="s">
        <v>56</v>
      </c>
      <c r="E1" s="3" t="s">
        <v>52</v>
      </c>
      <c r="F1" s="3" t="s">
        <v>53</v>
      </c>
      <c r="G1" s="3"/>
      <c r="H1" s="3" t="s">
        <v>62</v>
      </c>
      <c r="I1" s="3" t="s">
        <v>46</v>
      </c>
      <c r="J1" s="3"/>
      <c r="K1" s="3"/>
      <c r="L1" s="3"/>
      <c r="M1" s="3" t="s">
        <v>63</v>
      </c>
      <c r="N1" s="3" t="s">
        <v>64</v>
      </c>
      <c r="O1" s="3" t="s">
        <v>54</v>
      </c>
      <c r="P1" s="18" t="s">
        <v>61</v>
      </c>
      <c r="Q1" s="18" t="s">
        <v>60</v>
      </c>
      <c r="R1" s="18"/>
      <c r="S1" s="18"/>
      <c r="U1" s="18" t="s">
        <v>65</v>
      </c>
      <c r="V1" s="18"/>
      <c r="W1" s="18"/>
    </row>
    <row r="2" spans="1:26" ht="34.5" customHeight="1" x14ac:dyDescent="0.25">
      <c r="A2" s="4" t="s">
        <v>47</v>
      </c>
      <c r="B2" s="5" t="s">
        <v>55</v>
      </c>
      <c r="C2" s="5">
        <v>86.491600000000005</v>
      </c>
      <c r="E2" s="3"/>
      <c r="F2" s="3"/>
      <c r="G2" s="3"/>
      <c r="H2" s="3"/>
      <c r="I2" s="1" t="s">
        <v>44</v>
      </c>
      <c r="J2" s="1" t="s">
        <v>45</v>
      </c>
      <c r="K2" s="1" t="s">
        <v>44</v>
      </c>
      <c r="L2" s="1" t="s">
        <v>45</v>
      </c>
      <c r="M2" s="3"/>
      <c r="N2" s="3"/>
      <c r="O2" s="3"/>
      <c r="P2" s="18"/>
      <c r="Q2" s="19" t="s">
        <v>47</v>
      </c>
      <c r="R2" s="19" t="s">
        <v>58</v>
      </c>
      <c r="S2" s="19" t="s">
        <v>51</v>
      </c>
      <c r="U2" s="19" t="s">
        <v>47</v>
      </c>
      <c r="V2" s="19" t="s">
        <v>58</v>
      </c>
      <c r="W2" s="19" t="s">
        <v>51</v>
      </c>
    </row>
    <row r="3" spans="1:26" x14ac:dyDescent="0.25">
      <c r="A3" s="4"/>
      <c r="B3" s="5" t="s">
        <v>57</v>
      </c>
      <c r="C3" s="5">
        <f>100-C2</f>
        <v>13.508399999999995</v>
      </c>
      <c r="E3" s="4" t="s">
        <v>55</v>
      </c>
      <c r="F3" s="4" t="s">
        <v>41</v>
      </c>
      <c r="G3" s="5" t="s">
        <v>1</v>
      </c>
      <c r="H3" s="5" t="str">
        <f>IF(ISERROR(LEFT(RIGHT(G3,4),3)+1),LEFT(RIGHT(G3,3),2),LEFT(RIGHT(G3,4),3))</f>
        <v>239</v>
      </c>
      <c r="I3" s="10">
        <v>69.194000000000003</v>
      </c>
      <c r="J3" s="12">
        <f t="array" ref="J3">(H3*I3)/SUM(H$3:H$8*I$3:I$8)*100</f>
        <v>69.080932722751115</v>
      </c>
      <c r="K3" s="17">
        <f t="array" aca="1" ref="K3" ca="1">SUM(M$3:M$11*K$3:K$11)/100*L3/M3</f>
        <v>5.2635919034119665</v>
      </c>
      <c r="L3" s="11">
        <v>13.923999999999999</v>
      </c>
      <c r="M3" s="17">
        <f t="array" ref="M3">SUM(H$3:H$8*I$3:I$8)/100</f>
        <v>239.39118000000002</v>
      </c>
      <c r="N3" s="17">
        <f t="array" aca="1" ref="N3" ca="1">SUM(K3:K11*M3:M11)/100</f>
        <v>90.495366043969909</v>
      </c>
      <c r="O3" s="11">
        <v>10.391</v>
      </c>
      <c r="P3" s="21">
        <f ca="1">O$3/N$3*6.02214129E+23*1E-24*K$3*I3/100/100</f>
        <v>2.5184457018248337E-3</v>
      </c>
      <c r="Q3" s="20">
        <f ca="1">C$2*$P3/100</f>
        <v>2.1782439826395282E-3</v>
      </c>
      <c r="R3" s="20"/>
      <c r="S3" s="20"/>
      <c r="U3" s="5" t="str">
        <f ca="1">SUBSTITUTE($G3,"'",)&amp;" = "&amp;$G3&amp;" "&amp;TEXT(Q3,"0,0000E+00")&amp;$T3</f>
        <v>Pu239 = 'Pu239' 2,1782E-03</v>
      </c>
      <c r="V3" s="5"/>
      <c r="W3" s="5"/>
      <c r="Z3" s="2">
        <v>1</v>
      </c>
    </row>
    <row r="4" spans="1:26" x14ac:dyDescent="0.25">
      <c r="A4" s="5" t="s">
        <v>58</v>
      </c>
      <c r="B4" s="5" t="s">
        <v>48</v>
      </c>
      <c r="C4" s="5">
        <v>100</v>
      </c>
      <c r="E4" s="4"/>
      <c r="F4" s="4"/>
      <c r="G4" s="5" t="s">
        <v>2</v>
      </c>
      <c r="H4" s="5" t="str">
        <f t="shared" ref="H4:H44" si="0">IF(ISERROR(LEFT(RIGHT(G4,4),3)+1),LEFT(RIGHT(G4,3),2),LEFT(RIGHT(G4,4),3))</f>
        <v>240</v>
      </c>
      <c r="I4" s="10">
        <v>22.978000000000002</v>
      </c>
      <c r="J4" s="12">
        <f t="array" ref="J4">(H4*I4)/SUM(H$3:H$8*I$3:I$8)*100</f>
        <v>23.036437683293094</v>
      </c>
      <c r="K4" s="17"/>
      <c r="L4" s="11"/>
      <c r="M4" s="17"/>
      <c r="N4" s="17"/>
      <c r="O4" s="11"/>
      <c r="P4" s="21">
        <f t="shared" ref="P4:P7" ca="1" si="1">O$3/N$3*6.02214129E+23*1E-24*K$3*I4/100/100</f>
        <v>8.3632750435776258E-4</v>
      </c>
      <c r="Q4" s="20">
        <f t="shared" ref="Q4:Q11" ca="1" si="2">C$2*$P4/100</f>
        <v>7.2335303975909861E-4</v>
      </c>
      <c r="R4" s="20"/>
      <c r="S4" s="20"/>
      <c r="U4" s="5" t="str">
        <f t="shared" ref="U4:U11" ca="1" si="3">SUBSTITUTE($G4,"'",)&amp;" = "&amp;$G4&amp;" "&amp;TEXT(Q4,"0,0000E+00")&amp;$T4</f>
        <v>Pu240 = 'Pu240' 7,2335E-04</v>
      </c>
      <c r="V4" s="5"/>
      <c r="W4" s="5"/>
    </row>
    <row r="5" spans="1:26" x14ac:dyDescent="0.25">
      <c r="A5" s="5" t="s">
        <v>59</v>
      </c>
      <c r="B5" s="5" t="s">
        <v>51</v>
      </c>
      <c r="C5" s="5">
        <v>100</v>
      </c>
      <c r="E5" s="4"/>
      <c r="F5" s="4"/>
      <c r="G5" s="5" t="s">
        <v>3</v>
      </c>
      <c r="H5" s="5" t="str">
        <f t="shared" si="0"/>
        <v>241</v>
      </c>
      <c r="I5" s="10">
        <v>4.7839999999999998</v>
      </c>
      <c r="J5" s="12">
        <f t="array" ref="J5">(H5*I5)/SUM(H$3:H$8*I$3:I$8)*100</f>
        <v>4.8161507036307682</v>
      </c>
      <c r="K5" s="17"/>
      <c r="L5" s="11"/>
      <c r="M5" s="17"/>
      <c r="N5" s="17"/>
      <c r="O5" s="11"/>
      <c r="P5" s="21">
        <f t="shared" ca="1" si="1"/>
        <v>1.7412267302844179E-4</v>
      </c>
      <c r="Q5" s="20">
        <f t="shared" ca="1" si="2"/>
        <v>1.5060148586506776E-4</v>
      </c>
      <c r="R5" s="20"/>
      <c r="S5" s="20"/>
      <c r="U5" s="5" t="str">
        <f t="shared" ca="1" si="3"/>
        <v>Pu241 = 'Pu241' 1,5060E-04</v>
      </c>
      <c r="V5" s="5"/>
      <c r="W5" s="5"/>
    </row>
    <row r="6" spans="1:26" x14ac:dyDescent="0.25">
      <c r="E6" s="4"/>
      <c r="F6" s="4"/>
      <c r="G6" s="5" t="s">
        <v>4</v>
      </c>
      <c r="H6" s="5" t="str">
        <f t="shared" si="0"/>
        <v>242</v>
      </c>
      <c r="I6" s="10">
        <v>1.627</v>
      </c>
      <c r="J6" s="12">
        <f t="array" ref="J6">(H6*I6)/SUM(H$3:H$8*I$3:I$8)*100</f>
        <v>1.6447306036922495</v>
      </c>
      <c r="K6" s="17"/>
      <c r="L6" s="11"/>
      <c r="M6" s="17"/>
      <c r="N6" s="17"/>
      <c r="O6" s="11"/>
      <c r="P6" s="21">
        <f t="shared" ca="1" si="1"/>
        <v>5.9217723456788223E-5</v>
      </c>
      <c r="Q6" s="20">
        <f t="shared" ca="1" si="2"/>
        <v>5.1218356501351446E-5</v>
      </c>
      <c r="R6" s="20"/>
      <c r="S6" s="20"/>
      <c r="U6" s="5" t="str">
        <f t="shared" ca="1" si="3"/>
        <v>Pu242 = 'Pu242' 5,1218E-05</v>
      </c>
      <c r="V6" s="5"/>
      <c r="W6" s="5"/>
    </row>
    <row r="7" spans="1:26" x14ac:dyDescent="0.25">
      <c r="A7" s="2" t="s">
        <v>67</v>
      </c>
      <c r="B7" s="2">
        <v>0.97</v>
      </c>
      <c r="E7" s="4"/>
      <c r="F7" s="4"/>
      <c r="G7" s="5" t="s">
        <v>5</v>
      </c>
      <c r="H7" s="5" t="str">
        <f t="shared" si="0"/>
        <v>241</v>
      </c>
      <c r="I7" s="10">
        <v>1.036</v>
      </c>
      <c r="J7" s="12">
        <f t="array" ref="J7">(H7*I7)/SUM(H$3:H$8*I$3:I$8)*100</f>
        <v>1.0429624015387702</v>
      </c>
      <c r="K7" s="17"/>
      <c r="L7" s="11"/>
      <c r="M7" s="17"/>
      <c r="N7" s="17"/>
      <c r="O7" s="11"/>
      <c r="P7" s="21">
        <f t="shared" ca="1" si="1"/>
        <v>3.770716748692845E-5</v>
      </c>
      <c r="Q7" s="20">
        <f t="shared" ca="1" si="2"/>
        <v>3.2613532474124208E-5</v>
      </c>
      <c r="R7" s="20"/>
      <c r="S7" s="20"/>
      <c r="U7" s="5" t="str">
        <f t="shared" ca="1" si="3"/>
        <v>Am241 = 'Am241' 3,2614E-05</v>
      </c>
      <c r="V7" s="5"/>
      <c r="W7" s="5"/>
    </row>
    <row r="8" spans="1:26" x14ac:dyDescent="0.25">
      <c r="A8" s="2" t="s">
        <v>66</v>
      </c>
      <c r="B8" s="2">
        <f>B7/(3^0.5)</f>
        <v>0.56002976111393699</v>
      </c>
      <c r="E8" s="4"/>
      <c r="F8" s="4"/>
      <c r="G8" s="5" t="s">
        <v>0</v>
      </c>
      <c r="H8" s="5" t="str">
        <f t="shared" si="0"/>
        <v>238</v>
      </c>
      <c r="I8" s="10">
        <v>0.38100000000000001</v>
      </c>
      <c r="J8" s="12">
        <f t="array" ref="J8">(H8*I8)/SUM(H$3:H$8*I$3:I$8)*100</f>
        <v>0.37878588509401223</v>
      </c>
      <c r="K8" s="17"/>
      <c r="L8" s="11"/>
      <c r="M8" s="17"/>
      <c r="N8" s="17"/>
      <c r="O8" s="11"/>
      <c r="P8" s="21">
        <f ca="1">O$3/N$3*6.02214129E+23*1E-24*K$3*I8/100/100</f>
        <v>1.3867211208995888E-5</v>
      </c>
      <c r="Q8" s="20">
        <f t="shared" ca="1" si="2"/>
        <v>1.1993972850039888E-5</v>
      </c>
      <c r="R8" s="20"/>
      <c r="S8" s="20"/>
      <c r="U8" s="5" t="str">
        <f t="shared" ca="1" si="3"/>
        <v>Pu238 = 'Pu238' 1,1994E-05</v>
      </c>
      <c r="V8" s="5"/>
      <c r="W8" s="5"/>
    </row>
    <row r="9" spans="1:26" x14ac:dyDescent="0.25">
      <c r="E9" s="4"/>
      <c r="F9" s="4" t="s">
        <v>42</v>
      </c>
      <c r="G9" s="5" t="s">
        <v>7</v>
      </c>
      <c r="H9" s="5" t="str">
        <f t="shared" si="0"/>
        <v>238</v>
      </c>
      <c r="I9" s="12">
        <f t="array" aca="1" ref="I9" ca="1">SUM(H9:H10*I9:I10)/100*J9/H9</f>
        <v>99.473396659626005</v>
      </c>
      <c r="J9" s="10">
        <v>99.48</v>
      </c>
      <c r="K9" s="17">
        <f t="array" aca="1" ref="K9" ca="1">SUM(M$3:M$11*K$3:K$11)/100*L9/M9</f>
        <v>28.261905776914279</v>
      </c>
      <c r="L9" s="11">
        <v>74.322999999999993</v>
      </c>
      <c r="M9" s="17">
        <f t="array" aca="1" ref="M9" ca="1">SUM(H9:H10*I9:I10)/100</f>
        <v>237.98420189978879</v>
      </c>
      <c r="N9" s="17"/>
      <c r="O9" s="11"/>
      <c r="P9" s="21">
        <f ca="1">O$3/N$3*6.02214129E+23*1E-24*K$9*I9/100/100</f>
        <v>1.9439734818413958E-2</v>
      </c>
      <c r="Q9" s="20">
        <f t="shared" ca="1" si="2"/>
        <v>1.681373768020333E-2</v>
      </c>
      <c r="R9" s="20"/>
      <c r="S9" s="20"/>
      <c r="U9" s="5" t="str">
        <f t="shared" ca="1" si="3"/>
        <v>U238 = 'U238' 1,6814E-02</v>
      </c>
      <c r="V9" s="5"/>
      <c r="W9" s="5"/>
    </row>
    <row r="10" spans="1:26" x14ac:dyDescent="0.25">
      <c r="E10" s="4"/>
      <c r="F10" s="4"/>
      <c r="G10" s="5" t="s">
        <v>6</v>
      </c>
      <c r="H10" s="5" t="str">
        <f t="shared" si="0"/>
        <v>235</v>
      </c>
      <c r="I10" s="12">
        <f ca="1">100-I9</f>
        <v>0.52660334037399537</v>
      </c>
      <c r="J10" s="10">
        <v>0.52</v>
      </c>
      <c r="K10" s="17"/>
      <c r="L10" s="11"/>
      <c r="M10" s="17"/>
      <c r="N10" s="17"/>
      <c r="O10" s="11"/>
      <c r="P10" s="21">
        <f t="shared" ref="P10" ca="1" si="4">O$3/N$3*6.02214129E+23*1E-24*K$9*I10/100/100</f>
        <v>1.0291223216585336E-4</v>
      </c>
      <c r="Q10" s="20">
        <f t="shared" ca="1" si="2"/>
        <v>8.9010436195961231E-5</v>
      </c>
      <c r="R10" s="20"/>
      <c r="S10" s="20"/>
      <c r="U10" s="5" t="str">
        <f t="shared" ca="1" si="3"/>
        <v>U235 = 'U235' 8,9010E-05</v>
      </c>
      <c r="V10" s="5"/>
      <c r="W10" s="5"/>
    </row>
    <row r="11" spans="1:26" x14ac:dyDescent="0.25">
      <c r="E11" s="4"/>
      <c r="F11" s="5" t="s">
        <v>43</v>
      </c>
      <c r="G11" s="5" t="s">
        <v>8</v>
      </c>
      <c r="H11" s="5" t="str">
        <f t="shared" si="0"/>
        <v>16</v>
      </c>
      <c r="I11" s="12">
        <v>100</v>
      </c>
      <c r="J11" s="10">
        <v>100</v>
      </c>
      <c r="K11" s="12">
        <f t="array" aca="1" ref="K11" ca="1">100-K3-K9</f>
        <v>66.474502319673761</v>
      </c>
      <c r="L11" s="10">
        <v>11.753</v>
      </c>
      <c r="M11" s="12" t="str">
        <f>H11</f>
        <v>16</v>
      </c>
      <c r="N11" s="17"/>
      <c r="O11" s="11"/>
      <c r="P11" s="21">
        <f ca="1">O$3/N$3*6.02214129E+23*1E-24*K$11*I11/100/100</f>
        <v>4.5966034525438557E-2</v>
      </c>
      <c r="Q11" s="20">
        <f t="shared" ca="1" si="2"/>
        <v>3.9756758717604222E-2</v>
      </c>
      <c r="R11" s="20"/>
      <c r="S11" s="20"/>
      <c r="U11" s="5" t="str">
        <f t="shared" ca="1" si="3"/>
        <v>O16 = 'O16' 3,9757E-02</v>
      </c>
      <c r="V11" s="5"/>
      <c r="W11" s="5"/>
    </row>
    <row r="12" spans="1:26" x14ac:dyDescent="0.25">
      <c r="E12" s="4" t="s">
        <v>48</v>
      </c>
      <c r="F12" s="4"/>
      <c r="G12" s="5" t="s">
        <v>10</v>
      </c>
      <c r="H12" s="5" t="str">
        <f t="shared" si="0"/>
        <v>56</v>
      </c>
      <c r="I12" s="12">
        <f ca="1">100-SUM(I13:I42)</f>
        <v>58.203351363298395</v>
      </c>
      <c r="J12" s="10">
        <f>(63.45*0.91902)</f>
        <v>58.311819</v>
      </c>
      <c r="K12" s="11">
        <v>100</v>
      </c>
      <c r="L12" s="11">
        <v>100</v>
      </c>
      <c r="M12" s="14">
        <f t="array" aca="1" ref="M12" ca="1">SUM(H$12:H$42*I$12:I$42)/100</f>
        <v>55.896440867955818</v>
      </c>
      <c r="N12" s="14">
        <f ca="1">M12</f>
        <v>55.896440867955818</v>
      </c>
      <c r="O12" s="11">
        <v>7.95</v>
      </c>
      <c r="P12" s="21">
        <f t="array" aca="1" ref="P12" ca="1">O$12/N$12*6.02214129E+23*1E-24*K$12*I12/100/100</f>
        <v>4.9851921878174082E-2</v>
      </c>
      <c r="Q12" s="20"/>
      <c r="R12" s="20">
        <f ca="1">C$4*$P12/100</f>
        <v>4.9851921878174082E-2</v>
      </c>
      <c r="S12" s="20"/>
      <c r="U12" s="5"/>
      <c r="V12" s="5" t="str">
        <f ca="1">SUBSTITUTE($G12,"'",)&amp;" = "&amp;$G12&amp;" "&amp;TEXT(R12,"0,0000E+00")&amp;$T12</f>
        <v>Fe56 = 'Fe56' 4,9852E-02</v>
      </c>
      <c r="W12" s="5"/>
    </row>
    <row r="13" spans="1:26" x14ac:dyDescent="0.25">
      <c r="E13" s="4"/>
      <c r="F13" s="4"/>
      <c r="G13" s="5" t="s">
        <v>12</v>
      </c>
      <c r="H13" s="5" t="str">
        <f t="shared" si="0"/>
        <v>58</v>
      </c>
      <c r="I13" s="12">
        <f t="array" aca="1" ref="I13" ca="1">SUM(H$12:H$42*I$12:I$42)/100*J13/H13</f>
        <v>0.1791659220189718</v>
      </c>
      <c r="J13" s="10">
        <f>(63.45*0.00293)</f>
        <v>0.1859085</v>
      </c>
      <c r="K13" s="11"/>
      <c r="L13" s="11"/>
      <c r="M13" s="15"/>
      <c r="N13" s="15"/>
      <c r="O13" s="11"/>
      <c r="P13" s="21">
        <f t="array" aca="1" ref="P13" ca="1">O$12/N$12*6.02214129E+23*1E-24*K$12*I13/100/100</f>
        <v>1.5345792533439859E-4</v>
      </c>
      <c r="Q13" s="20"/>
      <c r="R13" s="20">
        <f t="shared" ref="R13:R42" ca="1" si="5">C$4*$P13/100</f>
        <v>1.5345792533439859E-4</v>
      </c>
      <c r="S13" s="20"/>
      <c r="U13" s="5"/>
      <c r="V13" s="5" t="str">
        <f t="shared" ref="V13:W43" ca="1" si="6">SUBSTITUTE($G13,"'",)&amp;" = "&amp;$G13&amp;" "&amp;TEXT(R13,"0,0000E+00")&amp;$T13</f>
        <v>Fe58 = 'Fe58' 1,5346E-04</v>
      </c>
      <c r="W13" s="5"/>
    </row>
    <row r="14" spans="1:26" x14ac:dyDescent="0.25">
      <c r="E14" s="4"/>
      <c r="F14" s="4"/>
      <c r="G14" s="5" t="s">
        <v>14</v>
      </c>
      <c r="H14" s="5" t="str">
        <f t="shared" si="0"/>
        <v>52</v>
      </c>
      <c r="I14" s="12">
        <f t="array" aca="1" ref="I14" ca="1">SUM(H$12:H$42*I$12:I$42)/100*J14/H14</f>
        <v>15.295018359907612</v>
      </c>
      <c r="J14" s="10">
        <f>(17*0.83699)</f>
        <v>14.22883</v>
      </c>
      <c r="K14" s="11"/>
      <c r="L14" s="11"/>
      <c r="M14" s="15"/>
      <c r="N14" s="15"/>
      <c r="O14" s="11"/>
      <c r="P14" s="21">
        <f t="array" aca="1" ref="P14" ca="1">O$12/N$12*6.02214129E+23*1E-24*K$12*I14/100/100</f>
        <v>1.3100380691895303E-2</v>
      </c>
      <c r="Q14" s="20"/>
      <c r="R14" s="20">
        <f t="shared" ca="1" si="5"/>
        <v>1.3100380691895303E-2</v>
      </c>
      <c r="S14" s="20"/>
      <c r="U14" s="5"/>
      <c r="V14" s="5" t="str">
        <f t="shared" ca="1" si="6"/>
        <v>Cr52 = 'Cr52' 1,3100E-02</v>
      </c>
      <c r="W14" s="5"/>
    </row>
    <row r="15" spans="1:26" x14ac:dyDescent="0.25">
      <c r="E15" s="4"/>
      <c r="F15" s="4"/>
      <c r="G15" s="5" t="s">
        <v>16</v>
      </c>
      <c r="H15" s="5" t="str">
        <f t="shared" si="0"/>
        <v>54</v>
      </c>
      <c r="I15" s="12">
        <f t="array" aca="1" ref="I15" ca="1">SUM(H$12:H$42*I$12:I$42)/100*J15/H15</f>
        <v>0.43165508900641214</v>
      </c>
      <c r="J15" s="10">
        <f>(17*0.02453)</f>
        <v>0.41700999999999999</v>
      </c>
      <c r="K15" s="11"/>
      <c r="L15" s="11"/>
      <c r="M15" s="15"/>
      <c r="N15" s="15"/>
      <c r="O15" s="11"/>
      <c r="P15" s="21">
        <f t="array" aca="1" ref="P15" ca="1">O$12/N$12*6.02214129E+23*1E-24*K$12*I15/100/100</f>
        <v>3.6971815662548239E-4</v>
      </c>
      <c r="Q15" s="20"/>
      <c r="R15" s="20">
        <f t="shared" ca="1" si="5"/>
        <v>3.6971815662548239E-4</v>
      </c>
      <c r="S15" s="20"/>
      <c r="U15" s="5"/>
      <c r="V15" s="5" t="str">
        <f t="shared" ca="1" si="6"/>
        <v>Cr54 = 'Cr54' 3,6972E-04</v>
      </c>
      <c r="W15" s="5"/>
    </row>
    <row r="16" spans="1:26" x14ac:dyDescent="0.25">
      <c r="E16" s="4"/>
      <c r="F16" s="4"/>
      <c r="G16" s="5" t="s">
        <v>18</v>
      </c>
      <c r="H16" s="5" t="str">
        <f t="shared" si="0"/>
        <v>60</v>
      </c>
      <c r="I16" s="12">
        <f t="array" aca="1" ref="I16" ca="1">SUM(H$12:H$42*I$12:I$42)/100*J16/H16</f>
        <v>3.4922605682542316</v>
      </c>
      <c r="J16" s="10">
        <f>(14*0.26776)</f>
        <v>3.74864</v>
      </c>
      <c r="K16" s="11"/>
      <c r="L16" s="11"/>
      <c r="M16" s="15"/>
      <c r="N16" s="15"/>
      <c r="O16" s="11"/>
      <c r="P16" s="21">
        <f t="array" aca="1" ref="P16" ca="1">O$12/N$12*6.02214129E+23*1E-24*K$12*I16/100/100</f>
        <v>2.991166263608291E-3</v>
      </c>
      <c r="Q16" s="20"/>
      <c r="R16" s="20">
        <f t="shared" ca="1" si="5"/>
        <v>2.991166263608291E-3</v>
      </c>
      <c r="S16" s="20"/>
      <c r="U16" s="5"/>
      <c r="V16" s="5" t="str">
        <f t="shared" ca="1" si="6"/>
        <v>Ni60 = 'Ni60' 2,9912E-03</v>
      </c>
      <c r="W16" s="5"/>
    </row>
    <row r="17" spans="5:23" x14ac:dyDescent="0.25">
      <c r="E17" s="4"/>
      <c r="F17" s="4"/>
      <c r="G17" s="5" t="s">
        <v>20</v>
      </c>
      <c r="H17" s="5" t="str">
        <f t="shared" si="0"/>
        <v>62</v>
      </c>
      <c r="I17" s="12">
        <f t="array" aca="1" ref="I17" ca="1">SUM(H$12:H$42*I$12:I$42)/100*J17/H17</f>
        <v>0.48404514680654004</v>
      </c>
      <c r="J17" s="10">
        <f>(14*0.03835)</f>
        <v>0.53690000000000004</v>
      </c>
      <c r="K17" s="11"/>
      <c r="L17" s="11"/>
      <c r="M17" s="15"/>
      <c r="N17" s="15"/>
      <c r="O17" s="11"/>
      <c r="P17" s="21">
        <f t="array" aca="1" ref="P17" ca="1">O$12/N$12*6.02214129E+23*1E-24*K$12*I17/100/100</f>
        <v>4.1459091751416035E-4</v>
      </c>
      <c r="Q17" s="20"/>
      <c r="R17" s="20">
        <f t="shared" ca="1" si="5"/>
        <v>4.1459091751416035E-4</v>
      </c>
      <c r="S17" s="20"/>
      <c r="U17" s="5"/>
      <c r="V17" s="5" t="str">
        <f t="shared" ca="1" si="6"/>
        <v>Ni62 = 'Ni62' 4,1459E-04</v>
      </c>
      <c r="W17" s="5"/>
    </row>
    <row r="18" spans="5:23" x14ac:dyDescent="0.25">
      <c r="E18" s="4"/>
      <c r="F18" s="4"/>
      <c r="G18" s="5" t="s">
        <v>22</v>
      </c>
      <c r="H18" s="5" t="str">
        <f t="shared" si="0"/>
        <v>92</v>
      </c>
      <c r="I18" s="12">
        <f t="array" aca="1" ref="I18" ca="1">SUM(H$12:H$42*I$12:I$42)/100*J18/H18</f>
        <v>0.2375401276635056</v>
      </c>
      <c r="J18" s="10">
        <f>(2.75*0.14217)</f>
        <v>0.39096749999999997</v>
      </c>
      <c r="K18" s="11"/>
      <c r="L18" s="11"/>
      <c r="M18" s="15"/>
      <c r="N18" s="15"/>
      <c r="O18" s="11"/>
      <c r="P18" s="21">
        <f t="array" aca="1" ref="P18" ca="1">O$12/N$12*6.02214129E+23*1E-24*K$12*I18/100/100</f>
        <v>2.0345618611026836E-4</v>
      </c>
      <c r="Q18" s="20"/>
      <c r="R18" s="20">
        <f t="shared" ca="1" si="5"/>
        <v>2.0345618611026836E-4</v>
      </c>
      <c r="S18" s="20"/>
      <c r="U18" s="5"/>
      <c r="V18" s="5" t="str">
        <f t="shared" ca="1" si="6"/>
        <v>Mo92 = 'Mo92' 2,0346E-04</v>
      </c>
      <c r="W18" s="5"/>
    </row>
    <row r="19" spans="5:23" x14ac:dyDescent="0.25">
      <c r="E19" s="4"/>
      <c r="F19" s="4"/>
      <c r="G19" s="5" t="s">
        <v>24</v>
      </c>
      <c r="H19" s="5" t="str">
        <f t="shared" si="0"/>
        <v>95</v>
      </c>
      <c r="I19" s="12">
        <f t="array" aca="1" ref="I19" ca="1">SUM(H$12:H$42*I$12:I$42)/100*J19/H19</f>
        <v>0.25484364158877226</v>
      </c>
      <c r="J19" s="10">
        <f>(2.75*0.1575)</f>
        <v>0.43312499999999998</v>
      </c>
      <c r="K19" s="11"/>
      <c r="L19" s="11"/>
      <c r="M19" s="15"/>
      <c r="N19" s="15"/>
      <c r="O19" s="11"/>
      <c r="P19" s="21">
        <f t="array" aca="1" ref="P19" ca="1">O$12/N$12*6.02214129E+23*1E-24*K$12*I19/100/100</f>
        <v>2.1827686918461504E-4</v>
      </c>
      <c r="Q19" s="20"/>
      <c r="R19" s="20">
        <f t="shared" ca="1" si="5"/>
        <v>2.1827686918461504E-4</v>
      </c>
      <c r="S19" s="20"/>
      <c r="U19" s="5"/>
      <c r="V19" s="5" t="str">
        <f t="shared" ca="1" si="6"/>
        <v>Mo95 = 'Mo95' 2,1828E-04</v>
      </c>
      <c r="W19" s="5"/>
    </row>
    <row r="20" spans="5:23" x14ac:dyDescent="0.25">
      <c r="E20" s="4"/>
      <c r="F20" s="4"/>
      <c r="G20" s="5" t="s">
        <v>26</v>
      </c>
      <c r="H20" s="5" t="str">
        <f t="shared" si="0"/>
        <v>97</v>
      </c>
      <c r="I20" s="12">
        <f t="array" aca="1" ref="I20" ca="1">SUM(H$12:H$42*I$12:I$42)/100*J20/H20</f>
        <v>0.15287532514393987</v>
      </c>
      <c r="J20" s="10">
        <f>(2.75*0.09647)</f>
        <v>0.26529249999999999</v>
      </c>
      <c r="K20" s="11"/>
      <c r="L20" s="11"/>
      <c r="M20" s="15"/>
      <c r="N20" s="15"/>
      <c r="O20" s="11"/>
      <c r="P20" s="21">
        <f t="array" aca="1" ref="P20" ca="1">O$12/N$12*6.02214129E+23*1E-24*K$12*I20/100/100</f>
        <v>1.309396896856673E-4</v>
      </c>
      <c r="Q20" s="20"/>
      <c r="R20" s="20">
        <f t="shared" ca="1" si="5"/>
        <v>1.309396896856673E-4</v>
      </c>
      <c r="S20" s="20"/>
      <c r="U20" s="5"/>
      <c r="V20" s="5" t="str">
        <f t="shared" ca="1" si="6"/>
        <v>Mo97 = 'Mo97' 1,3094E-04</v>
      </c>
      <c r="W20" s="5"/>
    </row>
    <row r="21" spans="5:23" x14ac:dyDescent="0.25">
      <c r="E21" s="4"/>
      <c r="F21" s="4"/>
      <c r="G21" s="5" t="s">
        <v>28</v>
      </c>
      <c r="H21" s="5" t="str">
        <f t="shared" si="0"/>
        <v>100</v>
      </c>
      <c r="I21" s="12">
        <f t="array" aca="1" ref="I21" ca="1">SUM(H$12:H$42*I$12:I$42)/100*J21/H21</f>
        <v>0.15416098650280047</v>
      </c>
      <c r="J21" s="10">
        <f>(2.75*0.10029)</f>
        <v>0.27579750000000003</v>
      </c>
      <c r="K21" s="11"/>
      <c r="L21" s="11"/>
      <c r="M21" s="15"/>
      <c r="N21" s="15"/>
      <c r="O21" s="11"/>
      <c r="P21" s="21">
        <f t="array" aca="1" ref="P21" ca="1">O$12/N$12*6.02214129E+23*1E-24*K$12*I21/100/100</f>
        <v>1.3204087523808759E-4</v>
      </c>
      <c r="Q21" s="20"/>
      <c r="R21" s="20">
        <f t="shared" ca="1" si="5"/>
        <v>1.3204087523808759E-4</v>
      </c>
      <c r="S21" s="20"/>
      <c r="U21" s="5"/>
      <c r="V21" s="5" t="str">
        <f t="shared" ca="1" si="6"/>
        <v>Mo100 = 'Mo100' 1,3204E-04</v>
      </c>
      <c r="W21" s="5"/>
    </row>
    <row r="22" spans="5:23" x14ac:dyDescent="0.25">
      <c r="E22" s="4"/>
      <c r="F22" s="4"/>
      <c r="G22" s="5" t="s">
        <v>30</v>
      </c>
      <c r="H22" s="5" t="str">
        <f t="shared" si="0"/>
        <v>47</v>
      </c>
      <c r="I22" s="12">
        <f t="array" aca="1" ref="I22" ca="1">SUM(H$12:H$42*I$12:I$42)/100*J22/H22</f>
        <v>3.4717636208880139E-2</v>
      </c>
      <c r="J22" s="10">
        <f>(0.4*0.07298)</f>
        <v>2.9192000000000003E-2</v>
      </c>
      <c r="K22" s="11"/>
      <c r="L22" s="11"/>
      <c r="M22" s="15"/>
      <c r="N22" s="15"/>
      <c r="O22" s="11"/>
      <c r="P22" s="21">
        <f t="array" aca="1" ref="P22" ca="1">O$12/N$12*6.02214129E+23*1E-24*K$12*I22/100/100</f>
        <v>2.9736103635628844E-5</v>
      </c>
      <c r="Q22" s="20"/>
      <c r="R22" s="20">
        <f t="shared" ca="1" si="5"/>
        <v>2.9736103635628844E-5</v>
      </c>
      <c r="S22" s="20"/>
      <c r="U22" s="5"/>
      <c r="V22" s="5" t="str">
        <f t="shared" ca="1" si="6"/>
        <v>Ti47 = 'Ti47' 2,9736E-05</v>
      </c>
      <c r="W22" s="5"/>
    </row>
    <row r="23" spans="5:23" x14ac:dyDescent="0.25">
      <c r="E23" s="4"/>
      <c r="F23" s="4"/>
      <c r="G23" s="5" t="s">
        <v>32</v>
      </c>
      <c r="H23" s="5" t="str">
        <f t="shared" si="0"/>
        <v>49</v>
      </c>
      <c r="I23" s="12">
        <f t="array" aca="1" ref="I23" ca="1">SUM(H$12:H$42*I$12:I$42)/100*J23/H23</f>
        <v>2.5242376398492375E-2</v>
      </c>
      <c r="J23" s="10">
        <f>(0.4*0.05532)</f>
        <v>2.2128000000000002E-2</v>
      </c>
      <c r="K23" s="11"/>
      <c r="L23" s="11"/>
      <c r="M23" s="15"/>
      <c r="N23" s="15"/>
      <c r="O23" s="11"/>
      <c r="P23" s="21">
        <f t="array" aca="1" ref="P23" ca="1">O$12/N$12*6.02214129E+23*1E-24*K$12*I23/100/100</f>
        <v>2.1620421277504156E-5</v>
      </c>
      <c r="Q23" s="20"/>
      <c r="R23" s="20">
        <f t="shared" ca="1" si="5"/>
        <v>2.1620421277504156E-5</v>
      </c>
      <c r="S23" s="20"/>
      <c r="U23" s="5"/>
      <c r="V23" s="5" t="str">
        <f t="shared" ca="1" si="6"/>
        <v>Ti49 = 'Ti49' 2,1620E-05</v>
      </c>
      <c r="W23" s="5"/>
    </row>
    <row r="24" spans="5:23" x14ac:dyDescent="0.25">
      <c r="E24" s="4"/>
      <c r="F24" s="4"/>
      <c r="G24" s="5" t="s">
        <v>34</v>
      </c>
      <c r="H24" s="5" t="str">
        <f t="shared" si="0"/>
        <v>63</v>
      </c>
      <c r="I24" s="12">
        <f t="array" aca="1" ref="I24" ca="1">SUM(H$12:H$42*I$12:I$42)/100*J24/H24</f>
        <v>0.21271390572300583</v>
      </c>
      <c r="J24" s="10">
        <f>(0.35*0.68499)</f>
        <v>0.23974649999999997</v>
      </c>
      <c r="K24" s="11"/>
      <c r="L24" s="11"/>
      <c r="M24" s="15"/>
      <c r="N24" s="15"/>
      <c r="O24" s="11"/>
      <c r="P24" s="21">
        <f t="array" aca="1" ref="P24" ca="1">O$12/N$12*6.02214129E+23*1E-24*K$12*I24/100/100</f>
        <v>1.8219220649880516E-4</v>
      </c>
      <c r="Q24" s="20"/>
      <c r="R24" s="20">
        <f t="shared" ca="1" si="5"/>
        <v>1.8219220649880516E-4</v>
      </c>
      <c r="S24" s="20"/>
      <c r="U24" s="5"/>
      <c r="V24" s="5" t="str">
        <f t="shared" ca="1" si="6"/>
        <v>Cu63 = 'Cu63' 1,8219E-04</v>
      </c>
      <c r="W24" s="5"/>
    </row>
    <row r="25" spans="5:23" x14ac:dyDescent="0.25">
      <c r="E25" s="4"/>
      <c r="F25" s="4"/>
      <c r="G25" s="5" t="s">
        <v>36</v>
      </c>
      <c r="H25" s="5" t="str">
        <f t="shared" si="0"/>
        <v>28</v>
      </c>
      <c r="I25" s="12">
        <f t="array" aca="1" ref="I25" ca="1">SUM(H$12:H$42*I$12:I$42)/100*J25/H25</f>
        <v>1.008734121972835</v>
      </c>
      <c r="J25" s="10">
        <f>(0.55*0.91873)</f>
        <v>0.50530150000000007</v>
      </c>
      <c r="K25" s="11"/>
      <c r="L25" s="11"/>
      <c r="M25" s="15"/>
      <c r="N25" s="15"/>
      <c r="O25" s="11"/>
      <c r="P25" s="21">
        <f t="array" aca="1" ref="P25" ca="1">O$12/N$12*6.02214129E+23*1E-24*K$12*I25/100/100</f>
        <v>8.6399379875139377E-4</v>
      </c>
      <c r="Q25" s="20"/>
      <c r="R25" s="20">
        <f t="shared" ca="1" si="5"/>
        <v>8.6399379875139377E-4</v>
      </c>
      <c r="S25" s="20"/>
      <c r="U25" s="5"/>
      <c r="V25" s="5" t="str">
        <f t="shared" ca="1" si="6"/>
        <v>Si28 = 'Si28' 8,6399E-04</v>
      </c>
      <c r="W25" s="5"/>
    </row>
    <row r="26" spans="5:23" x14ac:dyDescent="0.25">
      <c r="E26" s="4"/>
      <c r="F26" s="4"/>
      <c r="G26" s="5" t="s">
        <v>38</v>
      </c>
      <c r="H26" s="5" t="str">
        <f t="shared" si="0"/>
        <v>30</v>
      </c>
      <c r="I26" s="12">
        <f t="array" aca="1" ref="I26" ca="1">SUM(H$12:H$42*I$12:I$42)/100*J26/H26</f>
        <v>3.3766108320984319E-2</v>
      </c>
      <c r="J26" s="10">
        <f>(0.55*0.03295)</f>
        <v>1.8122500000000003E-2</v>
      </c>
      <c r="K26" s="11"/>
      <c r="L26" s="11"/>
      <c r="M26" s="15"/>
      <c r="N26" s="15"/>
      <c r="O26" s="11"/>
      <c r="P26" s="21">
        <f t="array" aca="1" ref="P26" ca="1">O$12/N$12*6.02214129E+23*1E-24*K$12*I26/100/100</f>
        <v>2.8921107714926622E-5</v>
      </c>
      <c r="Q26" s="20"/>
      <c r="R26" s="20">
        <f t="shared" ca="1" si="5"/>
        <v>2.8921107714926622E-5</v>
      </c>
      <c r="S26" s="20"/>
      <c r="U26" s="5"/>
      <c r="V26" s="5" t="str">
        <f t="shared" ca="1" si="6"/>
        <v>Si30 = 'Si30' 2,8921E-05</v>
      </c>
      <c r="W26" s="5"/>
    </row>
    <row r="27" spans="5:23" x14ac:dyDescent="0.25">
      <c r="E27" s="4"/>
      <c r="F27" s="4"/>
      <c r="G27" s="5" t="s">
        <v>9</v>
      </c>
      <c r="H27" s="5" t="str">
        <f t="shared" si="0"/>
        <v>54</v>
      </c>
      <c r="I27" s="12">
        <f t="array" aca="1" ref="I27" ca="1">SUM(H$12:H$42*I$12:I$42)/100*J27/H27</f>
        <v>3.7081978354006231</v>
      </c>
      <c r="J27" s="10">
        <f>(63.45*0.05646)</f>
        <v>3.5823870000000002</v>
      </c>
      <c r="K27" s="11"/>
      <c r="L27" s="11"/>
      <c r="M27" s="15"/>
      <c r="N27" s="15"/>
      <c r="O27" s="11"/>
      <c r="P27" s="21">
        <f t="array" aca="1" ref="P27" ca="1">O$12/N$12*6.02214129E+23*1E-24*K$12*I27/100/100</f>
        <v>3.1761193207814962E-3</v>
      </c>
      <c r="Q27" s="20"/>
      <c r="R27" s="20">
        <f t="shared" ca="1" si="5"/>
        <v>3.1761193207814962E-3</v>
      </c>
      <c r="S27" s="20"/>
      <c r="U27" s="5"/>
      <c r="V27" s="5" t="str">
        <f t="shared" ca="1" si="6"/>
        <v>Fe54 = 'Fe54' 3,1761E-03</v>
      </c>
      <c r="W27" s="5"/>
    </row>
    <row r="28" spans="5:23" x14ac:dyDescent="0.25">
      <c r="E28" s="4"/>
      <c r="F28" s="4"/>
      <c r="G28" s="5" t="s">
        <v>11</v>
      </c>
      <c r="H28" s="5" t="str">
        <f t="shared" si="0"/>
        <v>57</v>
      </c>
      <c r="I28" s="12">
        <f t="array" aca="1" ref="I28" ca="1">SUM(H$12:H$42*I$12:I$42)/100*J28/H28</f>
        <v>1.3439857919008915</v>
      </c>
      <c r="J28" s="10">
        <f>(63.45*0.0216)</f>
        <v>1.3705200000000002</v>
      </c>
      <c r="K28" s="11"/>
      <c r="L28" s="11"/>
      <c r="M28" s="15"/>
      <c r="N28" s="15"/>
      <c r="O28" s="11"/>
      <c r="P28" s="21">
        <f t="array" aca="1" ref="P28" ca="1">O$12/N$12*6.02214129E+23*1E-24*K$12*I28/100/100</f>
        <v>1.1511411823180323E-3</v>
      </c>
      <c r="Q28" s="20"/>
      <c r="R28" s="20">
        <f t="shared" ca="1" si="5"/>
        <v>1.1511411823180323E-3</v>
      </c>
      <c r="S28" s="20"/>
      <c r="U28" s="5"/>
      <c r="V28" s="5" t="str">
        <f t="shared" ca="1" si="6"/>
        <v>Fe57 = 'Fe57' 1,1511E-03</v>
      </c>
      <c r="W28" s="5"/>
    </row>
    <row r="29" spans="5:23" x14ac:dyDescent="0.25">
      <c r="E29" s="4"/>
      <c r="F29" s="4"/>
      <c r="G29" s="5" t="s">
        <v>13</v>
      </c>
      <c r="H29" s="5" t="str">
        <f t="shared" si="0"/>
        <v>50</v>
      </c>
      <c r="I29" s="12">
        <f t="array" aca="1" ref="I29" ca="1">SUM(H$12:H$42*I$12:I$42)/100*J29/H29</f>
        <v>0.79325993022168173</v>
      </c>
      <c r="J29" s="10">
        <f>(17*0.04174)</f>
        <v>0.70957999999999999</v>
      </c>
      <c r="K29" s="11"/>
      <c r="L29" s="11"/>
      <c r="M29" s="15"/>
      <c r="N29" s="15"/>
      <c r="O29" s="11"/>
      <c r="P29" s="21">
        <f t="array" aca="1" ref="P29" ca="1">O$12/N$12*6.02214129E+23*1E-24*K$12*I29/100/100</f>
        <v>6.7943737163275351E-4</v>
      </c>
      <c r="Q29" s="20"/>
      <c r="R29" s="20">
        <f t="shared" ca="1" si="5"/>
        <v>6.7943737163275351E-4</v>
      </c>
      <c r="S29" s="20"/>
      <c r="U29" s="5"/>
      <c r="V29" s="5" t="str">
        <f t="shared" ca="1" si="6"/>
        <v>Cr50 = 'Cr50' 6,7944E-04</v>
      </c>
      <c r="W29" s="5"/>
    </row>
    <row r="30" spans="5:23" x14ac:dyDescent="0.25">
      <c r="E30" s="4"/>
      <c r="F30" s="4"/>
      <c r="G30" s="5" t="s">
        <v>15</v>
      </c>
      <c r="H30" s="5" t="str">
        <f t="shared" si="0"/>
        <v>53</v>
      </c>
      <c r="I30" s="12">
        <f t="array" aca="1" ref="I30" ca="1">SUM(H$12:H$42*I$12:I$42)/100*J30/H30</f>
        <v>1.7344560136343923</v>
      </c>
      <c r="J30" s="10">
        <f>(17*0.09674)</f>
        <v>1.6445800000000002</v>
      </c>
      <c r="K30" s="11"/>
      <c r="L30" s="11"/>
      <c r="M30" s="15"/>
      <c r="N30" s="15"/>
      <c r="O30" s="11"/>
      <c r="P30" s="21">
        <f t="array" aca="1" ref="P30" ca="1">O$12/N$12*6.02214129E+23*1E-24*K$12*I30/100/100</f>
        <v>1.4855839684062297E-3</v>
      </c>
      <c r="Q30" s="20"/>
      <c r="R30" s="20">
        <f t="shared" ca="1" si="5"/>
        <v>1.4855839684062297E-3</v>
      </c>
      <c r="S30" s="20"/>
      <c r="U30" s="5"/>
      <c r="V30" s="5" t="str">
        <f t="shared" ca="1" si="6"/>
        <v>Cr53 = 'Cr53' 1,4856E-03</v>
      </c>
      <c r="W30" s="5"/>
    </row>
    <row r="31" spans="5:23" x14ac:dyDescent="0.25">
      <c r="E31" s="4"/>
      <c r="F31" s="4"/>
      <c r="G31" s="5" t="s">
        <v>17</v>
      </c>
      <c r="H31" s="5" t="str">
        <f t="shared" si="0"/>
        <v>58</v>
      </c>
      <c r="I31" s="12">
        <f t="array" aca="1" ref="I31" ca="1">SUM(H$12:H$42*I$12:I$42)/100*J31/H31</f>
        <v>9.0665183565911267</v>
      </c>
      <c r="J31" s="10">
        <f>(14*0.67198)</f>
        <v>9.4077200000000012</v>
      </c>
      <c r="K31" s="11"/>
      <c r="L31" s="11"/>
      <c r="M31" s="15"/>
      <c r="N31" s="15"/>
      <c r="O31" s="11"/>
      <c r="P31" s="21">
        <f t="array" aca="1" ref="P31" ca="1">O$12/N$12*6.02214129E+23*1E-24*K$12*I31/100/100</f>
        <v>7.7655900258833156E-3</v>
      </c>
      <c r="Q31" s="20"/>
      <c r="R31" s="20">
        <f t="shared" ca="1" si="5"/>
        <v>7.7655900258833156E-3</v>
      </c>
      <c r="S31" s="20"/>
      <c r="U31" s="5"/>
      <c r="V31" s="5" t="str">
        <f t="shared" ca="1" si="6"/>
        <v>Ni58 = 'Ni58' 7,7656E-03</v>
      </c>
      <c r="W31" s="5"/>
    </row>
    <row r="32" spans="5:23" x14ac:dyDescent="0.25">
      <c r="E32" s="4"/>
      <c r="F32" s="4"/>
      <c r="G32" s="5" t="s">
        <v>19</v>
      </c>
      <c r="H32" s="5" t="str">
        <f t="shared" si="0"/>
        <v>61</v>
      </c>
      <c r="I32" s="12">
        <f t="array" aca="1" ref="I32" ca="1">SUM(H$12:H$42*I$12:I$42)/100*J32/H32</f>
        <v>0.15176341863198101</v>
      </c>
      <c r="J32" s="10">
        <f>(14*0.01183)</f>
        <v>0.16561999999999999</v>
      </c>
      <c r="K32" s="11"/>
      <c r="L32" s="11"/>
      <c r="M32" s="15"/>
      <c r="N32" s="15"/>
      <c r="O32" s="11"/>
      <c r="P32" s="21">
        <f t="array" aca="1" ref="P32" ca="1">O$12/N$12*6.02214129E+23*1E-24*K$12*I32/100/100</f>
        <v>1.2998732740288369E-4</v>
      </c>
      <c r="Q32" s="20"/>
      <c r="R32" s="20">
        <f t="shared" ca="1" si="5"/>
        <v>1.2998732740288369E-4</v>
      </c>
      <c r="S32" s="20"/>
      <c r="U32" s="5"/>
      <c r="V32" s="5" t="str">
        <f t="shared" ca="1" si="6"/>
        <v>Ni61 = 'Ni61' 1,2999E-04</v>
      </c>
      <c r="W32" s="5"/>
    </row>
    <row r="33" spans="5:23" x14ac:dyDescent="0.25">
      <c r="E33" s="4"/>
      <c r="F33" s="4"/>
      <c r="G33" s="5" t="s">
        <v>21</v>
      </c>
      <c r="H33" s="5" t="str">
        <f t="shared" si="0"/>
        <v>64</v>
      </c>
      <c r="I33" s="12">
        <f t="array" aca="1" ref="I33" ca="1">SUM(H$12:H$42*I$12:I$42)/100*J33/H33</f>
        <v>0.12325165211384258</v>
      </c>
      <c r="J33" s="10">
        <f>(14*0.01008)</f>
        <v>0.14112</v>
      </c>
      <c r="K33" s="11"/>
      <c r="L33" s="11"/>
      <c r="M33" s="15"/>
      <c r="N33" s="15"/>
      <c r="O33" s="11"/>
      <c r="P33" s="21">
        <f t="array" aca="1" ref="P33" ca="1">O$12/N$12*6.02214129E+23*1E-24*K$12*I33/100/100</f>
        <v>1.0556663127837747E-4</v>
      </c>
      <c r="Q33" s="20"/>
      <c r="R33" s="20">
        <f t="shared" ca="1" si="5"/>
        <v>1.0556663127837747E-4</v>
      </c>
      <c r="S33" s="20"/>
      <c r="U33" s="5"/>
      <c r="V33" s="5" t="str">
        <f t="shared" ca="1" si="6"/>
        <v>Ni64 = 'Ni64' 1,0557E-04</v>
      </c>
      <c r="W33" s="5"/>
    </row>
    <row r="34" spans="5:23" x14ac:dyDescent="0.25">
      <c r="E34" s="4"/>
      <c r="F34" s="4"/>
      <c r="G34" s="5" t="s">
        <v>23</v>
      </c>
      <c r="H34" s="5" t="str">
        <f t="shared" si="0"/>
        <v>94</v>
      </c>
      <c r="I34" s="12">
        <f t="array" aca="1" ref="I34" ca="1">SUM(H$12:H$42*I$12:I$42)/100*J34/H34</f>
        <v>0.14807353703863671</v>
      </c>
      <c r="J34" s="10">
        <f>(2.75*0.09055)</f>
        <v>0.24901250000000003</v>
      </c>
      <c r="K34" s="11"/>
      <c r="L34" s="11"/>
      <c r="M34" s="15"/>
      <c r="N34" s="15"/>
      <c r="O34" s="11"/>
      <c r="P34" s="21">
        <f t="array" aca="1" ref="P34" ca="1">O$12/N$12*6.02214129E+23*1E-24*K$12*I34/100/100</f>
        <v>1.2682689617989564E-4</v>
      </c>
      <c r="Q34" s="20"/>
      <c r="R34" s="20">
        <f t="shared" ca="1" si="5"/>
        <v>1.2682689617989564E-4</v>
      </c>
      <c r="S34" s="20"/>
      <c r="U34" s="5"/>
      <c r="V34" s="5" t="str">
        <f t="shared" ca="1" si="6"/>
        <v>Mo94 = 'Mo94' 1,2683E-04</v>
      </c>
      <c r="W34" s="5"/>
    </row>
    <row r="35" spans="5:23" x14ac:dyDescent="0.25">
      <c r="E35" s="4"/>
      <c r="F35" s="4"/>
      <c r="G35" s="5" t="s">
        <v>25</v>
      </c>
      <c r="H35" s="5" t="str">
        <f t="shared" si="0"/>
        <v>96</v>
      </c>
      <c r="I35" s="12">
        <f t="array" aca="1" ref="I35" ca="1">SUM(H$12:H$42*I$12:I$42)/100*J35/H35</f>
        <v>0.26700012151574992</v>
      </c>
      <c r="J35" s="10">
        <f>(2.75*0.16675)</f>
        <v>0.45856250000000004</v>
      </c>
      <c r="K35" s="11"/>
      <c r="L35" s="11"/>
      <c r="M35" s="15"/>
      <c r="N35" s="15"/>
      <c r="O35" s="11"/>
      <c r="P35" s="21">
        <f t="array" aca="1" ref="P35" ca="1">O$12/N$12*6.02214129E+23*1E-24*K$12*I35/100/100</f>
        <v>2.286890511885439E-4</v>
      </c>
      <c r="Q35" s="20"/>
      <c r="R35" s="20">
        <f t="shared" ca="1" si="5"/>
        <v>2.286890511885439E-4</v>
      </c>
      <c r="S35" s="20"/>
      <c r="U35" s="5"/>
      <c r="V35" s="5" t="str">
        <f t="shared" ca="1" si="6"/>
        <v>Mo96 = 'Mo96' 2,2869E-04</v>
      </c>
      <c r="W35" s="5"/>
    </row>
    <row r="36" spans="5:23" x14ac:dyDescent="0.25">
      <c r="E36" s="4"/>
      <c r="F36" s="4"/>
      <c r="G36" s="5" t="s">
        <v>27</v>
      </c>
      <c r="H36" s="5" t="str">
        <f t="shared" si="0"/>
        <v>98</v>
      </c>
      <c r="I36" s="12">
        <f t="array" aca="1" ref="I36" ca="1">SUM(H$12:H$42*I$12:I$42)/100*J36/H36</f>
        <v>0.38628005463792414</v>
      </c>
      <c r="J36" s="10">
        <f>(2.75*0.24627)</f>
        <v>0.67724249999999997</v>
      </c>
      <c r="K36" s="11"/>
      <c r="L36" s="11"/>
      <c r="M36" s="15"/>
      <c r="N36" s="15"/>
      <c r="O36" s="11"/>
      <c r="P36" s="21">
        <f t="array" aca="1" ref="P36" ca="1">O$12/N$12*6.02214129E+23*1E-24*K$12*I36/100/100</f>
        <v>3.3085385387360148E-4</v>
      </c>
      <c r="Q36" s="20"/>
      <c r="R36" s="20">
        <f t="shared" ca="1" si="5"/>
        <v>3.3085385387360148E-4</v>
      </c>
      <c r="S36" s="20"/>
      <c r="U36" s="5"/>
      <c r="V36" s="5" t="str">
        <f t="shared" ca="1" si="6"/>
        <v>Mo98 = 'Mo98' 3,3085E-04</v>
      </c>
      <c r="W36" s="5"/>
    </row>
    <row r="37" spans="5:23" x14ac:dyDescent="0.25">
      <c r="E37" s="4"/>
      <c r="F37" s="4"/>
      <c r="G37" s="5" t="s">
        <v>29</v>
      </c>
      <c r="H37" s="5" t="str">
        <f t="shared" si="0"/>
        <v>46</v>
      </c>
      <c r="I37" s="12">
        <f t="array" aca="1" ref="I37" ca="1">SUM(H$12:H$42*I$12:I$42)/100*J37/H37</f>
        <v>3.8495635797757409E-2</v>
      </c>
      <c r="J37" s="10">
        <f>(0.4*0.0792)</f>
        <v>3.1680000000000007E-2</v>
      </c>
      <c r="K37" s="11"/>
      <c r="L37" s="11"/>
      <c r="M37" s="15"/>
      <c r="N37" s="15"/>
      <c r="O37" s="11"/>
      <c r="P37" s="21">
        <f t="array" aca="1" ref="P37" ca="1">O$12/N$12*6.02214129E+23*1E-24*K$12*I37/100/100</f>
        <v>3.2972009059440002E-5</v>
      </c>
      <c r="Q37" s="20"/>
      <c r="R37" s="20">
        <f t="shared" ca="1" si="5"/>
        <v>3.2972009059440002E-5</v>
      </c>
      <c r="S37" s="20"/>
      <c r="U37" s="5"/>
      <c r="V37" s="5" t="str">
        <f t="shared" ca="1" si="6"/>
        <v>Ti46 = 'Ti46' 3,2972E-05</v>
      </c>
      <c r="W37" s="5"/>
    </row>
    <row r="38" spans="5:23" x14ac:dyDescent="0.25">
      <c r="E38" s="4"/>
      <c r="F38" s="4"/>
      <c r="G38" s="5" t="s">
        <v>31</v>
      </c>
      <c r="H38" s="5" t="str">
        <f t="shared" si="0"/>
        <v>48</v>
      </c>
      <c r="I38" s="12">
        <f t="array" aca="1" ref="I38" ca="1">SUM(H$12:H$42*I$12:I$42)/100*J38/H38</f>
        <v>0.34397272299118314</v>
      </c>
      <c r="J38" s="10">
        <f>(0.4*0.73845)</f>
        <v>0.29538000000000003</v>
      </c>
      <c r="K38" s="11"/>
      <c r="L38" s="11"/>
      <c r="M38" s="15"/>
      <c r="N38" s="15"/>
      <c r="O38" s="11"/>
      <c r="P38" s="21">
        <f t="array" aca="1" ref="P38" ca="1">O$12/N$12*6.02214129E+23*1E-24*K$12*I38/100/100</f>
        <v>2.9461707810853304E-4</v>
      </c>
      <c r="Q38" s="20"/>
      <c r="R38" s="20">
        <f t="shared" ca="1" si="5"/>
        <v>2.9461707810853304E-4</v>
      </c>
      <c r="S38" s="20"/>
      <c r="U38" s="5"/>
      <c r="V38" s="5" t="str">
        <f t="shared" ca="1" si="6"/>
        <v>Ti48 = 'Ti48' 2,9462E-04</v>
      </c>
      <c r="W38" s="5"/>
    </row>
    <row r="39" spans="5:23" x14ac:dyDescent="0.25">
      <c r="E39" s="4"/>
      <c r="F39" s="4"/>
      <c r="G39" s="5" t="s">
        <v>33</v>
      </c>
      <c r="H39" s="5" t="str">
        <f t="shared" si="0"/>
        <v>50</v>
      </c>
      <c r="I39" s="12">
        <f t="array" aca="1" ref="I39" ca="1">SUM(H$12:H$42*I$12:I$42)/100*J39/H39</f>
        <v>2.4169621031304094E-2</v>
      </c>
      <c r="J39" s="10">
        <f>(0.4*0.05405)</f>
        <v>2.162E-2</v>
      </c>
      <c r="K39" s="11"/>
      <c r="L39" s="11"/>
      <c r="M39" s="15"/>
      <c r="N39" s="15"/>
      <c r="O39" s="11"/>
      <c r="P39" s="21">
        <f t="array" aca="1" ref="P39" ca="1">O$12/N$12*6.02214129E+23*1E-24*K$12*I39/100/100</f>
        <v>2.0701592455678193E-5</v>
      </c>
      <c r="Q39" s="20"/>
      <c r="R39" s="20">
        <f t="shared" ca="1" si="5"/>
        <v>2.0701592455678193E-5</v>
      </c>
      <c r="S39" s="20"/>
      <c r="U39" s="5"/>
      <c r="V39" s="5" t="str">
        <f t="shared" ca="1" si="6"/>
        <v>Ti50 = 'Ti50' 2,0702E-05</v>
      </c>
      <c r="W39" s="5"/>
    </row>
    <row r="40" spans="5:23" x14ac:dyDescent="0.25">
      <c r="E40" s="4"/>
      <c r="F40" s="4"/>
      <c r="G40" s="5" t="s">
        <v>35</v>
      </c>
      <c r="H40" s="5" t="str">
        <f t="shared" si="0"/>
        <v>65</v>
      </c>
      <c r="I40" s="12">
        <f t="array" aca="1" ref="I40" ca="1">SUM(H$12:H$42*I$12:I$42)/100*J40/H40</f>
        <v>9.4811972972848713E-2</v>
      </c>
      <c r="J40" s="10">
        <f>(0.35*0.31501)</f>
        <v>0.11025349999999999</v>
      </c>
      <c r="K40" s="11"/>
      <c r="L40" s="11"/>
      <c r="M40" s="15"/>
      <c r="N40" s="15"/>
      <c r="O40" s="11"/>
      <c r="P40" s="21">
        <f t="array" aca="1" ref="P40" ca="1">O$12/N$12*6.02214129E+23*1E-24*K$12*I40/100/100</f>
        <v>8.1207678923081027E-5</v>
      </c>
      <c r="Q40" s="20"/>
      <c r="R40" s="20">
        <f t="shared" ca="1" si="5"/>
        <v>8.1207678923081027E-5</v>
      </c>
      <c r="S40" s="20"/>
      <c r="U40" s="5"/>
      <c r="V40" s="5" t="str">
        <f t="shared" ca="1" si="6"/>
        <v>Cu65 = 'Cu65' 8,1208E-05</v>
      </c>
      <c r="W40" s="5"/>
    </row>
    <row r="41" spans="5:23" x14ac:dyDescent="0.25">
      <c r="E41" s="4"/>
      <c r="F41" s="4"/>
      <c r="G41" s="5" t="s">
        <v>37</v>
      </c>
      <c r="H41" s="5" t="str">
        <f t="shared" si="0"/>
        <v>29</v>
      </c>
      <c r="I41" s="12">
        <f t="array" aca="1" ref="I41" ca="1">SUM(H$12:H$42*I$12:I$42)/100*J41/H41</f>
        <v>5.1224269396785996E-2</v>
      </c>
      <c r="J41" s="10">
        <f>(0.55*0.04832)</f>
        <v>2.6576000000000002E-2</v>
      </c>
      <c r="K41" s="11"/>
      <c r="L41" s="11"/>
      <c r="M41" s="15"/>
      <c r="N41" s="15"/>
      <c r="O41" s="11"/>
      <c r="P41" s="21">
        <f t="array" aca="1" ref="P41" ca="1">O$12/N$12*6.02214129E+23*1E-24*K$12*I41/100/100</f>
        <v>4.3874248070281636E-5</v>
      </c>
      <c r="Q41" s="20"/>
      <c r="R41" s="20">
        <f t="shared" ca="1" si="5"/>
        <v>4.3874248070281636E-5</v>
      </c>
      <c r="S41" s="20"/>
      <c r="U41" s="5"/>
      <c r="V41" s="5" t="str">
        <f t="shared" ca="1" si="6"/>
        <v>Si29 = 'Si29' 4,3874E-05</v>
      </c>
      <c r="W41" s="5"/>
    </row>
    <row r="42" spans="5:23" x14ac:dyDescent="0.25">
      <c r="E42" s="4"/>
      <c r="F42" s="4"/>
      <c r="G42" s="5" t="s">
        <v>39</v>
      </c>
      <c r="H42" s="5" t="str">
        <f t="shared" si="0"/>
        <v>55</v>
      </c>
      <c r="I42" s="12">
        <f t="array" aca="1" ref="I42" ca="1">SUM(H$12:H$42*I$12:I$42)/100*J42/H42</f>
        <v>1.524448387307886</v>
      </c>
      <c r="J42" s="10">
        <v>1.5</v>
      </c>
      <c r="K42" s="11"/>
      <c r="L42" s="11"/>
      <c r="M42" s="16"/>
      <c r="N42" s="16"/>
      <c r="O42" s="11"/>
      <c r="P42" s="21">
        <f t="array" aca="1" ref="P42" ca="1">O$12/N$12*6.02214129E+23*1E-24*K$12*I42/100/100</f>
        <v>1.3057097251499995E-3</v>
      </c>
      <c r="Q42" s="20"/>
      <c r="R42" s="20">
        <f t="shared" ca="1" si="5"/>
        <v>1.3057097251499995E-3</v>
      </c>
      <c r="S42" s="20"/>
      <c r="U42" s="5"/>
      <c r="V42" s="5" t="str">
        <f t="shared" ca="1" si="6"/>
        <v>Mn55 = 'Mn55' 1,3057E-03</v>
      </c>
      <c r="W42" s="5"/>
    </row>
    <row r="43" spans="5:23" x14ac:dyDescent="0.25">
      <c r="E43" s="4" t="s">
        <v>51</v>
      </c>
      <c r="F43" s="4"/>
      <c r="G43" s="5" t="s">
        <v>40</v>
      </c>
      <c r="H43" s="5" t="str">
        <f t="shared" si="0"/>
        <v>23</v>
      </c>
      <c r="I43" s="23">
        <v>100</v>
      </c>
      <c r="J43" s="10">
        <v>100</v>
      </c>
      <c r="K43" s="10">
        <v>100</v>
      </c>
      <c r="L43" s="10">
        <v>100</v>
      </c>
      <c r="M43" s="12">
        <v>23</v>
      </c>
      <c r="N43" s="12">
        <v>23</v>
      </c>
      <c r="O43" s="10">
        <v>0.95</v>
      </c>
      <c r="P43" s="21">
        <f>O$43/N$43*6.02214129E+23*1E-24*K$43*I43/100/100</f>
        <v>2.4874061849999993E-2</v>
      </c>
      <c r="Q43" s="20"/>
      <c r="R43" s="20"/>
      <c r="S43" s="20">
        <f>C$5*$P43/100</f>
        <v>2.4874061849999993E-2</v>
      </c>
      <c r="U43" s="5"/>
      <c r="V43" s="5"/>
      <c r="W43" s="5" t="str">
        <f t="shared" si="6"/>
        <v>Na23 = 'Na23' 2,4874E-02</v>
      </c>
    </row>
    <row r="44" spans="5:23" x14ac:dyDescent="0.25">
      <c r="E44" s="4" t="s">
        <v>57</v>
      </c>
      <c r="F44" s="4"/>
      <c r="G44" s="5" t="s">
        <v>40</v>
      </c>
      <c r="H44" s="5" t="str">
        <f t="shared" si="0"/>
        <v>23</v>
      </c>
      <c r="I44" s="23">
        <v>100</v>
      </c>
      <c r="J44" s="10">
        <v>100</v>
      </c>
      <c r="K44" s="10">
        <v>100</v>
      </c>
      <c r="L44" s="10">
        <v>100</v>
      </c>
      <c r="M44" s="12">
        <v>23</v>
      </c>
      <c r="N44" s="12">
        <v>23</v>
      </c>
      <c r="O44" s="24">
        <v>1E-10</v>
      </c>
      <c r="P44" s="21">
        <f>O$44/N$44*6.02214129E+23*1E-24*K$44*I44/100/100</f>
        <v>2.6183222999999998E-12</v>
      </c>
      <c r="Q44" s="20">
        <f>C$3*$P44/100</f>
        <v>3.536934495731998E-13</v>
      </c>
      <c r="R44" s="20"/>
      <c r="S44" s="20"/>
      <c r="U44" s="5"/>
      <c r="V44" s="5"/>
      <c r="W44" s="5"/>
    </row>
    <row r="45" spans="5:23" x14ac:dyDescent="0.25">
      <c r="V45" s="5" t="str">
        <f ca="1">"Mo = 'Mo0' "&amp;TEXT(SUM(R18:R21,R34:R36),"0,0000E+00")</f>
        <v>Mo = 'Mo0' 1,3711E-03</v>
      </c>
    </row>
    <row r="46" spans="5:23" x14ac:dyDescent="0.25">
      <c r="V46" s="5" t="str">
        <f ca="1">"Ti = 'Ti0' "&amp;TEXT(SUM(R22:R23,R37:R39),"0,0000E+00")</f>
        <v>Ti = 'Ti0' 3,9965E-04</v>
      </c>
    </row>
    <row r="47" spans="5:23" x14ac:dyDescent="0.25">
      <c r="V47" s="5" t="str">
        <f ca="1">"Cu = 'Cu0' "&amp;TEXT(SUM(R24,R40),"0,0000E+00")</f>
        <v>Cu = 'Cu0' 2,6340E-04</v>
      </c>
    </row>
    <row r="48" spans="5:23" x14ac:dyDescent="0.25">
      <c r="V48" s="5" t="str">
        <f ca="1">"Si = 'Si0' "&amp;TEXT(SUM(R25,R26,R41),"0,0000E+00")</f>
        <v>Si = 'Si0' 9,3679E-04</v>
      </c>
    </row>
    <row r="60" spans="10:15" x14ac:dyDescent="0.25">
      <c r="J60" s="6"/>
      <c r="K60" s="6"/>
      <c r="L60" s="7"/>
      <c r="M60" s="13"/>
      <c r="N60" s="13"/>
      <c r="O60" s="8"/>
    </row>
    <row r="61" spans="10:15" x14ac:dyDescent="0.25">
      <c r="J61" s="1"/>
      <c r="K61" s="1"/>
      <c r="L61" s="1"/>
      <c r="M61" s="9"/>
      <c r="N61" s="9"/>
      <c r="O61" s="9"/>
    </row>
  </sheetData>
  <mergeCells count="30">
    <mergeCell ref="K12:K42"/>
    <mergeCell ref="M12:M42"/>
    <mergeCell ref="N12:N42"/>
    <mergeCell ref="U1:W1"/>
    <mergeCell ref="A2:A3"/>
    <mergeCell ref="Q1:S1"/>
    <mergeCell ref="P1:P2"/>
    <mergeCell ref="H1:H2"/>
    <mergeCell ref="M1:M2"/>
    <mergeCell ref="N1:N2"/>
    <mergeCell ref="M3:M8"/>
    <mergeCell ref="K3:K8"/>
    <mergeCell ref="N3:N11"/>
    <mergeCell ref="E43:F43"/>
    <mergeCell ref="E44:F44"/>
    <mergeCell ref="I1:L1"/>
    <mergeCell ref="O3:O11"/>
    <mergeCell ref="E12:F42"/>
    <mergeCell ref="O1:O2"/>
    <mergeCell ref="F1:G2"/>
    <mergeCell ref="E1:E2"/>
    <mergeCell ref="L12:L42"/>
    <mergeCell ref="O12:O42"/>
    <mergeCell ref="L3:L8"/>
    <mergeCell ref="L9:L10"/>
    <mergeCell ref="F3:F8"/>
    <mergeCell ref="F9:F10"/>
    <mergeCell ref="E3:E11"/>
    <mergeCell ref="M9:M10"/>
    <mergeCell ref="K9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Jacquet Philippe</dc:creator>
  <cp:lastModifiedBy>Jacquet Philippe</cp:lastModifiedBy>
  <dcterms:created xsi:type="dcterms:W3CDTF">2013-11-08T07:18:27Z</dcterms:created>
  <dcterms:modified xsi:type="dcterms:W3CDTF">2013-11-11T16:35:24Z</dcterms:modified>
</cp:coreProperties>
</file>