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525" windowWidth="21015" windowHeight="9405" tabRatio="889"/>
  </bookViews>
  <sheets>
    <sheet name="Données" sheetId="1" r:id="rId1"/>
    <sheet name="Eq_de_Bateman_avec_RK1" sheetId="2" r:id="rId2"/>
    <sheet name="graphe_Pu238" sheetId="3" r:id="rId3"/>
    <sheet name="graphe_Pu239" sheetId="4" r:id="rId4"/>
    <sheet name="graphe_Pu240" sheetId="5" r:id="rId5"/>
    <sheet name="graphe_Pu241" sheetId="6" r:id="rId6"/>
    <sheet name="graphe_Pu242" sheetId="7" r:id="rId7"/>
    <sheet name="graphe_Am241" sheetId="8" r:id="rId8"/>
    <sheet name="graphe_U235" sheetId="9" r:id="rId9"/>
    <sheet name="graphe_U238" sheetId="10" r:id="rId10"/>
    <sheet name="graphe_He" sheetId="11" r:id="rId11"/>
  </sheets>
  <calcPr calcId="145621"/>
</workbook>
</file>

<file path=xl/calcChain.xml><?xml version="1.0" encoding="utf-8"?>
<calcChain xmlns="http://schemas.openxmlformats.org/spreadsheetml/2006/main">
  <c r="E30" i="1" l="1"/>
  <c r="D30" i="1"/>
  <c r="C30" i="1"/>
  <c r="B45" i="1" l="1"/>
  <c r="A45" i="1"/>
  <c r="B18" i="1"/>
  <c r="D18" i="1" s="1"/>
  <c r="D21" i="1" s="1"/>
  <c r="A40" i="1"/>
  <c r="D27" i="1"/>
  <c r="B30" i="1"/>
  <c r="A33" i="1" s="1"/>
  <c r="C24" i="1"/>
  <c r="E9" i="1"/>
  <c r="E8" i="1"/>
  <c r="Q8" i="1" s="1"/>
  <c r="E7" i="1"/>
  <c r="B21" i="1"/>
  <c r="E4" i="1" s="1"/>
  <c r="Q4" i="1" s="1"/>
  <c r="B12" i="1"/>
  <c r="C12" i="1" s="1"/>
  <c r="A5" i="2"/>
  <c r="D2" i="2" s="1"/>
  <c r="B3" i="2"/>
  <c r="B4" i="2" s="1"/>
  <c r="C2" i="2"/>
  <c r="B15" i="1"/>
  <c r="C8" i="1" s="1"/>
  <c r="K8" i="1" s="1"/>
  <c r="A15" i="1"/>
  <c r="C7" i="1" s="1"/>
  <c r="F7" i="1" s="1"/>
  <c r="O9" i="1"/>
  <c r="H9" i="1"/>
  <c r="L9" i="1" s="1"/>
  <c r="B9" i="1"/>
  <c r="C9" i="1" s="1"/>
  <c r="F9" i="1" s="1"/>
  <c r="O8" i="1"/>
  <c r="H8" i="1"/>
  <c r="L8" i="1" s="1"/>
  <c r="O7" i="1"/>
  <c r="H7" i="1"/>
  <c r="L7" i="1" s="1"/>
  <c r="O6" i="1"/>
  <c r="H6" i="1"/>
  <c r="L6" i="1" s="1"/>
  <c r="O5" i="1"/>
  <c r="H5" i="1"/>
  <c r="L5" i="1" s="1"/>
  <c r="C5" i="1"/>
  <c r="F5" i="1" s="1"/>
  <c r="O4" i="1"/>
  <c r="H4" i="1"/>
  <c r="L4" i="1" s="1"/>
  <c r="O3" i="1"/>
  <c r="H3" i="1"/>
  <c r="L3" i="1" s="1"/>
  <c r="O2" i="1"/>
  <c r="H2" i="1"/>
  <c r="L2" i="1" s="1"/>
  <c r="Q9" i="1" l="1"/>
  <c r="Q7" i="1"/>
  <c r="E2" i="1"/>
  <c r="B33" i="1"/>
  <c r="F8" i="1"/>
  <c r="C3" i="1"/>
  <c r="F3" i="1" s="1"/>
  <c r="E5" i="1"/>
  <c r="E3" i="1"/>
  <c r="E6" i="1"/>
  <c r="K9" i="1"/>
  <c r="B5" i="2"/>
  <c r="D4" i="2"/>
  <c r="C4" i="2" s="1"/>
  <c r="K7" i="1"/>
  <c r="K5" i="1"/>
  <c r="K2" i="2" s="1"/>
  <c r="S2" i="2"/>
  <c r="J8" i="1"/>
  <c r="C6" i="1"/>
  <c r="F6" i="1" s="1"/>
  <c r="C4" i="1"/>
  <c r="F4" i="1" s="1"/>
  <c r="C2" i="1"/>
  <c r="F2" i="1" s="1"/>
  <c r="D3" i="2"/>
  <c r="C3" i="2" s="1"/>
  <c r="Q3" i="1" l="1"/>
  <c r="Q2" i="1"/>
  <c r="K3" i="1"/>
  <c r="J3" i="1" s="1"/>
  <c r="Q6" i="1"/>
  <c r="Q5" i="1"/>
  <c r="K2" i="1"/>
  <c r="K6" i="1"/>
  <c r="T2" i="2"/>
  <c r="O34" i="2"/>
  <c r="O2" i="2"/>
  <c r="J7" i="1"/>
  <c r="U2" i="2"/>
  <c r="J9" i="1"/>
  <c r="K4" i="1"/>
  <c r="L2" i="2"/>
  <c r="K3" i="2" s="1"/>
  <c r="G2" i="2"/>
  <c r="D5" i="2"/>
  <c r="C5" i="2" s="1"/>
  <c r="B6" i="2"/>
  <c r="J5" i="1"/>
  <c r="C33" i="1" l="1"/>
  <c r="B37" i="1" s="1"/>
  <c r="D33" i="1"/>
  <c r="L3" i="2"/>
  <c r="K4" i="2" s="1"/>
  <c r="H2" i="2"/>
  <c r="V2" i="2"/>
  <c r="P2" i="2"/>
  <c r="O3" i="2" s="1"/>
  <c r="B7" i="2"/>
  <c r="D6" i="2"/>
  <c r="C6" i="2" s="1"/>
  <c r="I2" i="2"/>
  <c r="J4" i="1"/>
  <c r="P34" i="2"/>
  <c r="O35" i="2" s="1"/>
  <c r="M2" i="2"/>
  <c r="J6" i="1"/>
  <c r="E2" i="2"/>
  <c r="J2" i="1"/>
  <c r="G3" i="2" l="1"/>
  <c r="H3" i="2" s="1"/>
  <c r="G4" i="2" s="1"/>
  <c r="S3" i="2"/>
  <c r="P35" i="2"/>
  <c r="O36" i="2" s="1"/>
  <c r="P3" i="2"/>
  <c r="O4" i="2" s="1"/>
  <c r="L4" i="2"/>
  <c r="K5" i="2" s="1"/>
  <c r="F2" i="2"/>
  <c r="E3" i="2" s="1"/>
  <c r="N2" i="2"/>
  <c r="M3" i="2" s="1"/>
  <c r="J2" i="2"/>
  <c r="I3" i="2" s="1"/>
  <c r="D7" i="2"/>
  <c r="C7" i="2" s="1"/>
  <c r="B8" i="2"/>
  <c r="T3" i="2" l="1"/>
  <c r="S4" i="2" s="1"/>
  <c r="T4" i="2" s="1"/>
  <c r="U3" i="2"/>
  <c r="N3" i="2"/>
  <c r="M4" i="2" s="1"/>
  <c r="H4" i="2"/>
  <c r="G5" i="2" s="1"/>
  <c r="J3" i="2"/>
  <c r="I4" i="2" s="1"/>
  <c r="F3" i="2"/>
  <c r="E4" i="2" s="1"/>
  <c r="Q3" i="2"/>
  <c r="P4" i="2"/>
  <c r="O5" i="2" s="1"/>
  <c r="B9" i="2"/>
  <c r="D8" i="2"/>
  <c r="C8" i="2" s="1"/>
  <c r="L5" i="2"/>
  <c r="K6" i="2" s="1"/>
  <c r="P36" i="2"/>
  <c r="O37" i="2" s="1"/>
  <c r="S5" i="2" l="1"/>
  <c r="V3" i="2"/>
  <c r="U4" i="2" s="1"/>
  <c r="V4" i="2" s="1"/>
  <c r="P37" i="2"/>
  <c r="O38" i="2" s="1"/>
  <c r="P5" i="2"/>
  <c r="O6" i="2" s="1"/>
  <c r="L6" i="2"/>
  <c r="K7" i="2" s="1"/>
  <c r="D9" i="2"/>
  <c r="C9" i="2" s="1"/>
  <c r="B10" i="2"/>
  <c r="F4" i="2"/>
  <c r="E5" i="2" s="1"/>
  <c r="Q4" i="2"/>
  <c r="J4" i="2"/>
  <c r="I5" i="2" s="1"/>
  <c r="H5" i="2"/>
  <c r="G6" i="2" s="1"/>
  <c r="N4" i="2"/>
  <c r="M5" i="2" s="1"/>
  <c r="T5" i="2" l="1"/>
  <c r="S6" i="2" s="1"/>
  <c r="T6" i="2" s="1"/>
  <c r="U5" i="2"/>
  <c r="V5" i="2" s="1"/>
  <c r="N5" i="2"/>
  <c r="M6" i="2" s="1"/>
  <c r="J5" i="2"/>
  <c r="I6" i="2" s="1"/>
  <c r="H6" i="2"/>
  <c r="G7" i="2" s="1"/>
  <c r="F5" i="2"/>
  <c r="E6" i="2" s="1"/>
  <c r="Q5" i="2"/>
  <c r="B11" i="2"/>
  <c r="D10" i="2"/>
  <c r="C10" i="2" s="1"/>
  <c r="L7" i="2"/>
  <c r="K8" i="2" s="1"/>
  <c r="P6" i="2"/>
  <c r="O7" i="2" s="1"/>
  <c r="P38" i="2"/>
  <c r="O39" i="2" s="1"/>
  <c r="S7" i="2" l="1"/>
  <c r="T7" i="2" s="1"/>
  <c r="U6" i="2"/>
  <c r="P39" i="2"/>
  <c r="O40" i="2" s="1"/>
  <c r="L8" i="2"/>
  <c r="K9" i="2" s="1"/>
  <c r="P7" i="2"/>
  <c r="O8" i="2" s="1"/>
  <c r="D11" i="2"/>
  <c r="C11" i="2" s="1"/>
  <c r="B12" i="2"/>
  <c r="F6" i="2"/>
  <c r="E7" i="2" s="1"/>
  <c r="Q6" i="2"/>
  <c r="H7" i="2"/>
  <c r="G8" i="2" s="1"/>
  <c r="J6" i="2"/>
  <c r="I7" i="2" s="1"/>
  <c r="N6" i="2"/>
  <c r="M7" i="2" s="1"/>
  <c r="S8" i="2" l="1"/>
  <c r="T8" i="2" s="1"/>
  <c r="V6" i="2"/>
  <c r="U7" i="2" s="1"/>
  <c r="N7" i="2"/>
  <c r="M8" i="2" s="1"/>
  <c r="H8" i="2"/>
  <c r="G9" i="2" s="1"/>
  <c r="J7" i="2"/>
  <c r="I8" i="2" s="1"/>
  <c r="F7" i="2"/>
  <c r="E8" i="2" s="1"/>
  <c r="Q7" i="2"/>
  <c r="B13" i="2"/>
  <c r="D12" i="2"/>
  <c r="C12" i="2" s="1"/>
  <c r="P8" i="2"/>
  <c r="O9" i="2" s="1"/>
  <c r="L9" i="2"/>
  <c r="K10" i="2" s="1"/>
  <c r="P40" i="2"/>
  <c r="O41" i="2" s="1"/>
  <c r="S9" i="2" l="1"/>
  <c r="T9" i="2" s="1"/>
  <c r="V7" i="2"/>
  <c r="U8" i="2" s="1"/>
  <c r="P41" i="2"/>
  <c r="O42" i="2" s="1"/>
  <c r="P9" i="2"/>
  <c r="O10" i="2" s="1"/>
  <c r="L10" i="2"/>
  <c r="K11" i="2" s="1"/>
  <c r="D13" i="2"/>
  <c r="C13" i="2" s="1"/>
  <c r="B14" i="2"/>
  <c r="F8" i="2"/>
  <c r="E9" i="2" s="1"/>
  <c r="Q8" i="2"/>
  <c r="J8" i="2"/>
  <c r="I9" i="2" s="1"/>
  <c r="H9" i="2"/>
  <c r="G10" i="2" s="1"/>
  <c r="N8" i="2"/>
  <c r="M9" i="2" s="1"/>
  <c r="S10" i="2" l="1"/>
  <c r="T10" i="2" s="1"/>
  <c r="V8" i="2"/>
  <c r="U9" i="2" s="1"/>
  <c r="N9" i="2"/>
  <c r="M10" i="2" s="1"/>
  <c r="J9" i="2"/>
  <c r="I10" i="2" s="1"/>
  <c r="H10" i="2"/>
  <c r="G11" i="2" s="1"/>
  <c r="F9" i="2"/>
  <c r="E10" i="2" s="1"/>
  <c r="Q9" i="2"/>
  <c r="B15" i="2"/>
  <c r="D14" i="2"/>
  <c r="C14" i="2" s="1"/>
  <c r="L11" i="2"/>
  <c r="K12" i="2" s="1"/>
  <c r="P10" i="2"/>
  <c r="O11" i="2" s="1"/>
  <c r="P42" i="2"/>
  <c r="O43" i="2" s="1"/>
  <c r="S11" i="2" l="1"/>
  <c r="T11" i="2" s="1"/>
  <c r="V9" i="2"/>
  <c r="U10" i="2" s="1"/>
  <c r="P43" i="2"/>
  <c r="O44" i="2" s="1"/>
  <c r="L12" i="2"/>
  <c r="K13" i="2" s="1"/>
  <c r="P11" i="2"/>
  <c r="O12" i="2" s="1"/>
  <c r="D15" i="2"/>
  <c r="C15" i="2" s="1"/>
  <c r="B16" i="2"/>
  <c r="F10" i="2"/>
  <c r="E11" i="2" s="1"/>
  <c r="Q10" i="2"/>
  <c r="H11" i="2"/>
  <c r="G12" i="2" s="1"/>
  <c r="J10" i="2"/>
  <c r="I11" i="2" s="1"/>
  <c r="N10" i="2"/>
  <c r="M11" i="2" s="1"/>
  <c r="S12" i="2" l="1"/>
  <c r="V10" i="2"/>
  <c r="U11" i="2" s="1"/>
  <c r="V11" i="2" s="1"/>
  <c r="N11" i="2"/>
  <c r="M12" i="2" s="1"/>
  <c r="H12" i="2"/>
  <c r="G13" i="2" s="1"/>
  <c r="J11" i="2"/>
  <c r="I12" i="2" s="1"/>
  <c r="F11" i="2"/>
  <c r="E12" i="2" s="1"/>
  <c r="Q11" i="2"/>
  <c r="B17" i="2"/>
  <c r="D16" i="2"/>
  <c r="C16" i="2" s="1"/>
  <c r="P12" i="2"/>
  <c r="O13" i="2" s="1"/>
  <c r="L13" i="2"/>
  <c r="K14" i="2" s="1"/>
  <c r="P44" i="2"/>
  <c r="O45" i="2" s="1"/>
  <c r="U12" i="2" l="1"/>
  <c r="V12" i="2" s="1"/>
  <c r="T12" i="2"/>
  <c r="S13" i="2" s="1"/>
  <c r="P45" i="2"/>
  <c r="O46" i="2" s="1"/>
  <c r="P13" i="2"/>
  <c r="O14" i="2" s="1"/>
  <c r="L14" i="2"/>
  <c r="K15" i="2" s="1"/>
  <c r="D17" i="2"/>
  <c r="C17" i="2" s="1"/>
  <c r="B18" i="2"/>
  <c r="F12" i="2"/>
  <c r="E13" i="2" s="1"/>
  <c r="Q12" i="2"/>
  <c r="J12" i="2"/>
  <c r="I13" i="2" s="1"/>
  <c r="H13" i="2"/>
  <c r="G14" i="2" s="1"/>
  <c r="N12" i="2"/>
  <c r="M13" i="2" s="1"/>
  <c r="T13" i="2" l="1"/>
  <c r="S14" i="2" s="1"/>
  <c r="T14" i="2" s="1"/>
  <c r="U13" i="2"/>
  <c r="V13" i="2" s="1"/>
  <c r="N13" i="2"/>
  <c r="M14" i="2" s="1"/>
  <c r="J13" i="2"/>
  <c r="I14" i="2" s="1"/>
  <c r="H14" i="2"/>
  <c r="G15" i="2" s="1"/>
  <c r="F13" i="2"/>
  <c r="E14" i="2" s="1"/>
  <c r="Q13" i="2"/>
  <c r="B19" i="2"/>
  <c r="D18" i="2"/>
  <c r="C18" i="2" s="1"/>
  <c r="L15" i="2"/>
  <c r="K16" i="2" s="1"/>
  <c r="P14" i="2"/>
  <c r="O15" i="2" s="1"/>
  <c r="P46" i="2"/>
  <c r="O47" i="2" s="1"/>
  <c r="S15" i="2" l="1"/>
  <c r="U14" i="2"/>
  <c r="P47" i="2"/>
  <c r="O48" i="2" s="1"/>
  <c r="L16" i="2"/>
  <c r="K17" i="2" s="1"/>
  <c r="P15" i="2"/>
  <c r="O16" i="2" s="1"/>
  <c r="D19" i="2"/>
  <c r="C19" i="2" s="1"/>
  <c r="B20" i="2"/>
  <c r="F14" i="2"/>
  <c r="E15" i="2" s="1"/>
  <c r="Q14" i="2"/>
  <c r="H15" i="2"/>
  <c r="G16" i="2" s="1"/>
  <c r="J14" i="2"/>
  <c r="I15" i="2" s="1"/>
  <c r="N14" i="2"/>
  <c r="M15" i="2" s="1"/>
  <c r="T15" i="2" l="1"/>
  <c r="S16" i="2" s="1"/>
  <c r="T16" i="2" s="1"/>
  <c r="V14" i="2"/>
  <c r="U15" i="2" s="1"/>
  <c r="N15" i="2"/>
  <c r="M16" i="2" s="1"/>
  <c r="H16" i="2"/>
  <c r="G17" i="2" s="1"/>
  <c r="J15" i="2"/>
  <c r="I16" i="2" s="1"/>
  <c r="F15" i="2"/>
  <c r="E16" i="2" s="1"/>
  <c r="Q15" i="2"/>
  <c r="B21" i="2"/>
  <c r="D20" i="2"/>
  <c r="C20" i="2" s="1"/>
  <c r="P16" i="2"/>
  <c r="O17" i="2" s="1"/>
  <c r="L17" i="2"/>
  <c r="K18" i="2" s="1"/>
  <c r="P48" i="2"/>
  <c r="O49" i="2" s="1"/>
  <c r="S17" i="2" l="1"/>
  <c r="T17" i="2" s="1"/>
  <c r="V15" i="2"/>
  <c r="U16" i="2" s="1"/>
  <c r="L18" i="2"/>
  <c r="K19" i="2" s="1"/>
  <c r="P17" i="2"/>
  <c r="O18" i="2" s="1"/>
  <c r="P49" i="2"/>
  <c r="O50" i="2" s="1"/>
  <c r="D21" i="2"/>
  <c r="C21" i="2" s="1"/>
  <c r="B22" i="2"/>
  <c r="F16" i="2"/>
  <c r="E17" i="2" s="1"/>
  <c r="Q16" i="2"/>
  <c r="J16" i="2"/>
  <c r="I17" i="2" s="1"/>
  <c r="H17" i="2"/>
  <c r="G18" i="2" s="1"/>
  <c r="N16" i="2"/>
  <c r="M17" i="2" s="1"/>
  <c r="S18" i="2" l="1"/>
  <c r="T18" i="2" s="1"/>
  <c r="V16" i="2"/>
  <c r="U17" i="2" s="1"/>
  <c r="N17" i="2"/>
  <c r="M18" i="2" s="1"/>
  <c r="J17" i="2"/>
  <c r="I18" i="2" s="1"/>
  <c r="H18" i="2"/>
  <c r="G19" i="2" s="1"/>
  <c r="F17" i="2"/>
  <c r="E18" i="2" s="1"/>
  <c r="Q17" i="2"/>
  <c r="B23" i="2"/>
  <c r="D22" i="2"/>
  <c r="C22" i="2" s="1"/>
  <c r="P50" i="2"/>
  <c r="O51" i="2" s="1"/>
  <c r="P18" i="2"/>
  <c r="O19" i="2" s="1"/>
  <c r="L19" i="2"/>
  <c r="K20" i="2" s="1"/>
  <c r="S19" i="2" l="1"/>
  <c r="V17" i="2"/>
  <c r="U18" i="2" s="1"/>
  <c r="L20" i="2"/>
  <c r="K21" i="2" s="1"/>
  <c r="P51" i="2"/>
  <c r="O52" i="2" s="1"/>
  <c r="P19" i="2"/>
  <c r="O20" i="2" s="1"/>
  <c r="D23" i="2"/>
  <c r="C23" i="2" s="1"/>
  <c r="B24" i="2"/>
  <c r="F18" i="2"/>
  <c r="E19" i="2" s="1"/>
  <c r="Q18" i="2"/>
  <c r="H19" i="2"/>
  <c r="G20" i="2" s="1"/>
  <c r="J18" i="2"/>
  <c r="I19" i="2" s="1"/>
  <c r="N18" i="2"/>
  <c r="M19" i="2" s="1"/>
  <c r="T19" i="2" l="1"/>
  <c r="S20" i="2" s="1"/>
  <c r="T20" i="2" s="1"/>
  <c r="V18" i="2"/>
  <c r="U19" i="2" s="1"/>
  <c r="V19" i="2" s="1"/>
  <c r="N19" i="2"/>
  <c r="M20" i="2" s="1"/>
  <c r="H20" i="2"/>
  <c r="G21" i="2" s="1"/>
  <c r="J19" i="2"/>
  <c r="I20" i="2" s="1"/>
  <c r="F19" i="2"/>
  <c r="E20" i="2" s="1"/>
  <c r="Q19" i="2"/>
  <c r="B25" i="2"/>
  <c r="D24" i="2"/>
  <c r="C24" i="2" s="1"/>
  <c r="P20" i="2"/>
  <c r="O21" i="2" s="1"/>
  <c r="P52" i="2"/>
  <c r="O53" i="2" s="1"/>
  <c r="L21" i="2"/>
  <c r="K22" i="2" s="1"/>
  <c r="U20" i="2" l="1"/>
  <c r="V20" i="2" s="1"/>
  <c r="S21" i="2"/>
  <c r="P53" i="2"/>
  <c r="O54" i="2" s="1"/>
  <c r="L22" i="2"/>
  <c r="K23" i="2" s="1"/>
  <c r="P21" i="2"/>
  <c r="O22" i="2" s="1"/>
  <c r="D25" i="2"/>
  <c r="C25" i="2" s="1"/>
  <c r="B26" i="2"/>
  <c r="F20" i="2"/>
  <c r="E21" i="2" s="1"/>
  <c r="Q20" i="2"/>
  <c r="J20" i="2"/>
  <c r="I21" i="2" s="1"/>
  <c r="H21" i="2"/>
  <c r="G22" i="2" s="1"/>
  <c r="N20" i="2"/>
  <c r="M21" i="2" s="1"/>
  <c r="T21" i="2" l="1"/>
  <c r="S22" i="2" s="1"/>
  <c r="T22" i="2" s="1"/>
  <c r="U21" i="2"/>
  <c r="V21" i="2" s="1"/>
  <c r="H22" i="2"/>
  <c r="G23" i="2" s="1"/>
  <c r="N21" i="2"/>
  <c r="M22" i="2" s="1"/>
  <c r="J21" i="2"/>
  <c r="I22" i="2" s="1"/>
  <c r="L23" i="2"/>
  <c r="K24" i="2" s="1"/>
  <c r="F21" i="2"/>
  <c r="E22" i="2" s="1"/>
  <c r="Q21" i="2"/>
  <c r="B27" i="2"/>
  <c r="D26" i="2"/>
  <c r="C26" i="2" s="1"/>
  <c r="P22" i="2"/>
  <c r="O23" i="2" s="1"/>
  <c r="P54" i="2"/>
  <c r="O55" i="2" s="1"/>
  <c r="S23" i="2" l="1"/>
  <c r="U22" i="2"/>
  <c r="V22" i="2" s="1"/>
  <c r="P55" i="2"/>
  <c r="O56" i="2" s="1"/>
  <c r="P23" i="2"/>
  <c r="O24" i="2" s="1"/>
  <c r="N22" i="2"/>
  <c r="M23" i="2" s="1"/>
  <c r="D27" i="2"/>
  <c r="C27" i="2" s="1"/>
  <c r="B28" i="2"/>
  <c r="F22" i="2"/>
  <c r="E23" i="2" s="1"/>
  <c r="Q22" i="2"/>
  <c r="L24" i="2"/>
  <c r="K25" i="2" s="1"/>
  <c r="J22" i="2"/>
  <c r="I23" i="2" s="1"/>
  <c r="H23" i="2"/>
  <c r="G24" i="2" s="1"/>
  <c r="T23" i="2" l="1"/>
  <c r="S24" i="2" s="1"/>
  <c r="U23" i="2"/>
  <c r="V23" i="2" s="1"/>
  <c r="H24" i="2"/>
  <c r="G25" i="2" s="1"/>
  <c r="L25" i="2"/>
  <c r="K26" i="2" s="1"/>
  <c r="J23" i="2"/>
  <c r="I24" i="2" s="1"/>
  <c r="F23" i="2"/>
  <c r="E24" i="2" s="1"/>
  <c r="Q23" i="2"/>
  <c r="B29" i="2"/>
  <c r="D28" i="2"/>
  <c r="C28" i="2" s="1"/>
  <c r="N23" i="2"/>
  <c r="M24" i="2" s="1"/>
  <c r="P24" i="2"/>
  <c r="O25" i="2" s="1"/>
  <c r="P56" i="2"/>
  <c r="O57" i="2" s="1"/>
  <c r="T24" i="2" l="1"/>
  <c r="S25" i="2" s="1"/>
  <c r="T25" i="2" s="1"/>
  <c r="U24" i="2"/>
  <c r="N24" i="2"/>
  <c r="M25" i="2" s="1"/>
  <c r="J24" i="2"/>
  <c r="I25" i="2" s="1"/>
  <c r="P57" i="2"/>
  <c r="O58" i="2" s="1"/>
  <c r="H25" i="2"/>
  <c r="G26" i="2" s="1"/>
  <c r="P25" i="2"/>
  <c r="O26" i="2" s="1"/>
  <c r="D29" i="2"/>
  <c r="C29" i="2" s="1"/>
  <c r="B30" i="2"/>
  <c r="F24" i="2"/>
  <c r="E25" i="2" s="1"/>
  <c r="Q24" i="2"/>
  <c r="L26" i="2"/>
  <c r="K27" i="2" s="1"/>
  <c r="S26" i="2" l="1"/>
  <c r="T26" i="2" s="1"/>
  <c r="V24" i="2"/>
  <c r="U25" i="2" s="1"/>
  <c r="L27" i="2"/>
  <c r="K28" i="2" s="1"/>
  <c r="F25" i="2"/>
  <c r="E26" i="2" s="1"/>
  <c r="Q25" i="2"/>
  <c r="B31" i="2"/>
  <c r="D30" i="2"/>
  <c r="C30" i="2" s="1"/>
  <c r="P26" i="2"/>
  <c r="O27" i="2" s="1"/>
  <c r="H26" i="2"/>
  <c r="G27" i="2" s="1"/>
  <c r="P58" i="2"/>
  <c r="O59" i="2" s="1"/>
  <c r="J25" i="2"/>
  <c r="I26" i="2" s="1"/>
  <c r="N25" i="2"/>
  <c r="M26" i="2" s="1"/>
  <c r="S27" i="2" l="1"/>
  <c r="T27" i="2" s="1"/>
  <c r="V25" i="2"/>
  <c r="U26" i="2" s="1"/>
  <c r="V26" i="2" s="1"/>
  <c r="P59" i="2"/>
  <c r="O60" i="2" s="1"/>
  <c r="H27" i="2"/>
  <c r="G28" i="2" s="1"/>
  <c r="J26" i="2"/>
  <c r="I27" i="2" s="1"/>
  <c r="P27" i="2"/>
  <c r="O28" i="2" s="1"/>
  <c r="F26" i="2"/>
  <c r="E27" i="2" s="1"/>
  <c r="Q26" i="2"/>
  <c r="N26" i="2"/>
  <c r="M27" i="2" s="1"/>
  <c r="D31" i="2"/>
  <c r="C31" i="2" s="1"/>
  <c r="B32" i="2"/>
  <c r="D32" i="2" s="1"/>
  <c r="C32" i="2" s="1"/>
  <c r="L28" i="2"/>
  <c r="K29" i="2" s="1"/>
  <c r="U27" i="2" l="1"/>
  <c r="V27" i="2" s="1"/>
  <c r="S28" i="2"/>
  <c r="N27" i="2"/>
  <c r="M28" i="2" s="1"/>
  <c r="L29" i="2"/>
  <c r="K30" i="2" s="1"/>
  <c r="F27" i="2"/>
  <c r="E28" i="2" s="1"/>
  <c r="Q27" i="2"/>
  <c r="P28" i="2"/>
  <c r="O29" i="2" s="1"/>
  <c r="J27" i="2"/>
  <c r="I28" i="2" s="1"/>
  <c r="H28" i="2"/>
  <c r="G29" i="2" s="1"/>
  <c r="P60" i="2"/>
  <c r="O61" i="2" s="1"/>
  <c r="T28" i="2" l="1"/>
  <c r="S29" i="2" s="1"/>
  <c r="T29" i="2" s="1"/>
  <c r="U28" i="2"/>
  <c r="V28" i="2" s="1"/>
  <c r="P61" i="2"/>
  <c r="O62" i="2" s="1"/>
  <c r="H29" i="2"/>
  <c r="G30" i="2" s="1"/>
  <c r="J28" i="2"/>
  <c r="I29" i="2" s="1"/>
  <c r="P29" i="2"/>
  <c r="O30" i="2" s="1"/>
  <c r="F28" i="2"/>
  <c r="E29" i="2" s="1"/>
  <c r="Q28" i="2"/>
  <c r="L30" i="2"/>
  <c r="K31" i="2" s="1"/>
  <c r="N28" i="2"/>
  <c r="M29" i="2" s="1"/>
  <c r="S30" i="2" l="1"/>
  <c r="T30" i="2" s="1"/>
  <c r="U29" i="2"/>
  <c r="V29" i="2" s="1"/>
  <c r="N29" i="2"/>
  <c r="M30" i="2" s="1"/>
  <c r="L31" i="2"/>
  <c r="K32" i="2" s="1"/>
  <c r="L32" i="2" s="1"/>
  <c r="F29" i="2"/>
  <c r="E30" i="2" s="1"/>
  <c r="Q29" i="2"/>
  <c r="P30" i="2"/>
  <c r="O31" i="2" s="1"/>
  <c r="J29" i="2"/>
  <c r="I30" i="2" s="1"/>
  <c r="H30" i="2"/>
  <c r="G31" i="2" s="1"/>
  <c r="P62" i="2"/>
  <c r="O63" i="2" s="1"/>
  <c r="S31" i="2" l="1"/>
  <c r="T31" i="2" s="1"/>
  <c r="U30" i="2"/>
  <c r="V30" i="2" s="1"/>
  <c r="H31" i="2"/>
  <c r="G32" i="2" s="1"/>
  <c r="H32" i="2" s="1"/>
  <c r="P31" i="2"/>
  <c r="O32" i="2" s="1"/>
  <c r="P32" i="2" s="1"/>
  <c r="F30" i="2"/>
  <c r="E31" i="2" s="1"/>
  <c r="Q30" i="2"/>
  <c r="P63" i="2"/>
  <c r="O64" i="2" s="1"/>
  <c r="P64" i="2" s="1"/>
  <c r="J30" i="2"/>
  <c r="I31" i="2" s="1"/>
  <c r="N30" i="2"/>
  <c r="M31" i="2" s="1"/>
  <c r="S32" i="2" l="1"/>
  <c r="T32" i="2" s="1"/>
  <c r="U31" i="2"/>
  <c r="V31" i="2" s="1"/>
  <c r="N31" i="2"/>
  <c r="M32" i="2" s="1"/>
  <c r="N32" i="2" s="1"/>
  <c r="J31" i="2"/>
  <c r="I32" i="2" s="1"/>
  <c r="J32" i="2" s="1"/>
  <c r="F31" i="2"/>
  <c r="E32" i="2" s="1"/>
  <c r="Q31" i="2"/>
  <c r="U32" i="2" l="1"/>
  <c r="V32" i="2" s="1"/>
  <c r="F32" i="2"/>
  <c r="Q32" i="2"/>
</calcChain>
</file>

<file path=xl/sharedStrings.xml><?xml version="1.0" encoding="utf-8"?>
<sst xmlns="http://schemas.openxmlformats.org/spreadsheetml/2006/main" count="93" uniqueCount="86">
  <si>
    <t>Elements</t>
  </si>
  <si>
    <t>%wt</t>
  </si>
  <si>
    <t>Masse (kg)</t>
  </si>
  <si>
    <t>Masse molaire (g/mol)</t>
  </si>
  <si>
    <r>
      <t>T</t>
    </r>
    <r>
      <rPr>
        <b/>
        <sz val="6"/>
        <color rgb="FF000000"/>
        <rFont val="Liberation Sans"/>
      </rPr>
      <t xml:space="preserve">1/2 </t>
    </r>
    <r>
      <rPr>
        <b/>
        <sz val="10"/>
        <color rgb="FF000000"/>
        <rFont val="Liberation Sans"/>
      </rPr>
      <t>(ans)</t>
    </r>
  </si>
  <si>
    <r>
      <t>T</t>
    </r>
    <r>
      <rPr>
        <b/>
        <sz val="6"/>
        <color rgb="FF000000"/>
        <rFont val="Liberation Sans"/>
      </rPr>
      <t xml:space="preserve">1/2 </t>
    </r>
    <r>
      <rPr>
        <b/>
        <sz val="10"/>
        <color rgb="FF000000"/>
        <rFont val="Liberation Sans"/>
      </rPr>
      <t>(s)</t>
    </r>
  </si>
  <si>
    <t>Mode de désintegration</t>
  </si>
  <si>
    <t>Activité (Bq)</t>
  </si>
  <si>
    <t>N</t>
  </si>
  <si>
    <t>Constante radioactive  λ</t>
  </si>
  <si>
    <r>
      <t xml:space="preserve">Section efficace fission </t>
    </r>
    <r>
      <rPr>
        <b/>
        <sz val="11"/>
        <color rgb="FF000000"/>
        <rFont val="Lucida Sans Unicode"/>
        <family val="2"/>
      </rPr>
      <t>σ pour un neutron de 100 keV (barn)</t>
    </r>
  </si>
  <si>
    <r>
      <t xml:space="preserve">Section efficace de capture </t>
    </r>
    <r>
      <rPr>
        <b/>
        <sz val="11"/>
        <color rgb="FF000000"/>
        <rFont val="Lucida Sans Unicode"/>
        <family val="2"/>
      </rPr>
      <t>σ pour un neutron de 100 keV (barn)</t>
    </r>
  </si>
  <si>
    <r>
      <t xml:space="preserve">Section efficace absorption </t>
    </r>
    <r>
      <rPr>
        <b/>
        <sz val="11"/>
        <color rgb="FF000000"/>
        <rFont val="Lucida Sans Unicode"/>
        <family val="2"/>
      </rPr>
      <t>σ pour un neutron de 100 keV (barn)</t>
    </r>
  </si>
  <si>
    <r>
      <t xml:space="preserve">Section efficace total </t>
    </r>
    <r>
      <rPr>
        <b/>
        <sz val="11"/>
        <color rgb="FF000000"/>
        <rFont val="Lucida Sans Unicode"/>
        <family val="2"/>
      </rPr>
      <t>σ pour un neutron de 100 keV (barn)</t>
    </r>
  </si>
  <si>
    <t>Pu238</t>
  </si>
  <si>
    <t>Alpha</t>
  </si>
  <si>
    <t>Pu239</t>
  </si>
  <si>
    <t>Pu240</t>
  </si>
  <si>
    <t>Pu241</t>
  </si>
  <si>
    <t>Beta -</t>
  </si>
  <si>
    <t>Pu242</t>
  </si>
  <si>
    <t>Am241</t>
  </si>
  <si>
    <t>U235</t>
  </si>
  <si>
    <t>U238</t>
  </si>
  <si>
    <t>Temps (ans)</t>
  </si>
  <si>
    <t>Temps (s)</t>
  </si>
  <si>
    <t>Pas de temps (s)</t>
  </si>
  <si>
    <t>Masse plutonium (kg)</t>
  </si>
  <si>
    <t>Masse uranium (kg)</t>
  </si>
  <si>
    <t>Enrichissement (%wt)</t>
  </si>
  <si>
    <t>Masse combustible (kg)</t>
  </si>
  <si>
    <t>Equation de Bateman</t>
  </si>
  <si>
    <t>n</t>
  </si>
  <si>
    <t>t(y)</t>
  </si>
  <si>
    <t>t(s)</t>
  </si>
  <si>
    <t>N(Pu238)</t>
  </si>
  <si>
    <t>dN/dt(Pu238)</t>
  </si>
  <si>
    <t>N(Pu239)</t>
  </si>
  <si>
    <t>N(Pu240)</t>
  </si>
  <si>
    <t>dN/dt(Pu240)</t>
  </si>
  <si>
    <t>N(Pu241)</t>
  </si>
  <si>
    <t>dN/dt(Pu241)</t>
  </si>
  <si>
    <t>N(Pu242)</t>
  </si>
  <si>
    <t>dN/dt(Pu242)</t>
  </si>
  <si>
    <t>N(Am241)avec décroissance du Pu241</t>
  </si>
  <si>
    <t>dN/dt(Am241)</t>
  </si>
  <si>
    <t>Ntot(He)</t>
  </si>
  <si>
    <t>dN/dt(U235)</t>
  </si>
  <si>
    <t>dN/dt(U238)</t>
  </si>
  <si>
    <t>N(n+1)=(1-λh)*N</t>
  </si>
  <si>
    <t>h= pas de temps</t>
  </si>
  <si>
    <t>RK1</t>
  </si>
  <si>
    <t>y(n+1)=y(n)+h*f(t.yn)</t>
  </si>
  <si>
    <t>N(Am241)</t>
  </si>
  <si>
    <t>N(U238) avec décroissance du Pu242</t>
  </si>
  <si>
    <t>N(U235) avec décroissance du Pu239</t>
  </si>
  <si>
    <t>dN/dt(Pu239)</t>
  </si>
  <si>
    <t>Densité U (g/cm3)</t>
  </si>
  <si>
    <t>Densité Pu (g/cm3)</t>
  </si>
  <si>
    <t>Nat/cm3</t>
  </si>
  <si>
    <t>Densité Am (g/cm3)</t>
  </si>
  <si>
    <t>Densité UO2 (g/cm3)</t>
  </si>
  <si>
    <t>Densité PuO2 (g/cm3)</t>
  </si>
  <si>
    <t>Nat total</t>
  </si>
  <si>
    <t>Densité AmO2</t>
  </si>
  <si>
    <t>Temps de fonctionnement (j)</t>
  </si>
  <si>
    <t>Burn Up (MWj/t)</t>
  </si>
  <si>
    <t>Masse combustible (t)</t>
  </si>
  <si>
    <t>Efiss (MeV)</t>
  </si>
  <si>
    <t>Puissance du réacteur (MWe)</t>
  </si>
  <si>
    <t>Pvol=Efiss*Tfiss</t>
  </si>
  <si>
    <r>
      <t>Tfiss=[fiss]*</t>
    </r>
    <r>
      <rPr>
        <sz val="11"/>
        <color rgb="FF000000"/>
        <rFont val="Calibri"/>
        <family val="2"/>
      </rPr>
      <t>ɸ</t>
    </r>
    <r>
      <rPr>
        <sz val="11"/>
        <color rgb="FF000000"/>
        <rFont val="Liberation Sans"/>
      </rPr>
      <t>*σfiss</t>
    </r>
  </si>
  <si>
    <t>Puissance volumique (W/cm3)</t>
  </si>
  <si>
    <t>Puissance thermique du réacteur (MW)</t>
  </si>
  <si>
    <t>Efiss (Joule/fission)</t>
  </si>
  <si>
    <t>Volume du cœur (cm3)</t>
  </si>
  <si>
    <t>Volume combustible (cm3)</t>
  </si>
  <si>
    <t>Tfiss (s/cm3)</t>
  </si>
  <si>
    <t>Section macro de fission totale (cm-1)</t>
  </si>
  <si>
    <t>Nombre de fissions (/cm3/s)</t>
  </si>
  <si>
    <t>Volume combustible (m3)</t>
  </si>
  <si>
    <t>Section efficace macroscopique de fission (cm-1)</t>
  </si>
  <si>
    <t>flux (n/cm²/s)</t>
  </si>
  <si>
    <t>Nombre de fissions (/s)</t>
  </si>
  <si>
    <r>
      <t>Tfiss=</t>
    </r>
    <r>
      <rPr>
        <sz val="11"/>
        <color rgb="FF000000"/>
        <rFont val="Calibri"/>
        <family val="2"/>
      </rPr>
      <t>Σfiss*ɸ</t>
    </r>
  </si>
  <si>
    <t>Ptot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</si>
</sst>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E+00"/>
    <numFmt numFmtId="165" formatCode="0.000000000"/>
    <numFmt numFmtId="166" formatCode="0.00E+000"/>
    <numFmt numFmtId="167" formatCode="0.000000000E+00"/>
    <numFmt numFmtId="168" formatCode="#,##0.00&quot; &quot;[$€-40C];[Red]&quot;-&quot;#,##0.00&quot; &quot;[$€-40C]"/>
  </numFmts>
  <fonts count="12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b/>
      <sz val="6"/>
      <color rgb="FF000000"/>
      <name val="Liberation Sans"/>
    </font>
    <font>
      <b/>
      <sz val="10"/>
      <color rgb="FF000000"/>
      <name val="Liberation Sans"/>
    </font>
    <font>
      <b/>
      <sz val="11"/>
      <color rgb="FF000000"/>
      <name val="Lucida Sans Unicode"/>
      <family val="2"/>
    </font>
    <font>
      <b/>
      <i/>
      <sz val="11"/>
      <color rgb="FF000000"/>
      <name val="Liberation Sans"/>
    </font>
    <font>
      <sz val="10"/>
      <color rgb="FF000000"/>
      <name val="Liberation Sans"/>
    </font>
    <font>
      <sz val="9"/>
      <color rgb="FF000000"/>
      <name val="Verdana"/>
      <family val="2"/>
    </font>
    <font>
      <sz val="11"/>
      <color rgb="FF000000"/>
      <name val="Calibri"/>
      <family val="2"/>
    </font>
    <font>
      <sz val="11"/>
      <color rgb="FF25252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23B8DC"/>
        <bgColor rgb="FF23B8DC"/>
      </patternFill>
    </fill>
    <fill>
      <patternFill patternType="solid">
        <fgColor rgb="FFE1F2CE"/>
        <bgColor rgb="FFE1F2CE"/>
      </patternFill>
    </fill>
    <fill>
      <patternFill patternType="solid">
        <fgColor rgb="FFF2F2F2"/>
        <bgColor rgb="FFF2F2F2"/>
      </patternFill>
    </fill>
    <fill>
      <patternFill patternType="solid">
        <fgColor rgb="FFFFE4AF"/>
        <bgColor rgb="FFFFE4AF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8" fontId="2" fillId="0" borderId="0" applyBorder="0" applyProtection="0"/>
  </cellStyleXfs>
  <cellXfs count="115">
    <xf numFmtId="0" fontId="0" fillId="0" borderId="0" xfId="0"/>
    <xf numFmtId="0" fontId="7" fillId="0" borderId="1" xfId="0" applyFont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4" xfId="0" applyFont="1" applyBorder="1"/>
    <xf numFmtId="166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7" fillId="0" borderId="5" xfId="0" applyFont="1" applyBorder="1"/>
    <xf numFmtId="0" fontId="0" fillId="0" borderId="5" xfId="0" applyBorder="1" applyAlignment="1">
      <alignment horizontal="center"/>
    </xf>
    <xf numFmtId="166" fontId="8" fillId="0" borderId="5" xfId="0" applyNumberFormat="1" applyFont="1" applyBorder="1" applyAlignment="1">
      <alignment horizontal="center" wrapText="1"/>
    </xf>
    <xf numFmtId="166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7" fillId="0" borderId="4" xfId="0" applyFont="1" applyFill="1" applyBorder="1"/>
    <xf numFmtId="11" fontId="9" fillId="0" borderId="4" xfId="0" applyNumberFormat="1" applyFont="1" applyBorder="1" applyAlignment="1">
      <alignment horizontal="center" vertical="center"/>
    </xf>
    <xf numFmtId="11" fontId="9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3" fillId="3" borderId="8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164" fontId="0" fillId="0" borderId="0" xfId="0" applyNumberFormat="1"/>
    <xf numFmtId="164" fontId="3" fillId="3" borderId="11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16" xfId="0" applyNumberFormat="1" applyFill="1" applyBorder="1"/>
    <xf numFmtId="0" fontId="0" fillId="0" borderId="1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4" borderId="20" xfId="0" applyNumberFormat="1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20" xfId="0" applyNumberFormat="1" applyFill="1" applyBorder="1"/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164" fontId="0" fillId="4" borderId="25" xfId="0" applyNumberFormat="1" applyFill="1" applyBorder="1" applyAlignment="1">
      <alignment horizontal="center"/>
    </xf>
    <xf numFmtId="165" fontId="0" fillId="5" borderId="26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164" fontId="0" fillId="5" borderId="28" xfId="0" applyNumberFormat="1" applyFill="1" applyBorder="1" applyAlignment="1">
      <alignment horizontal="center"/>
    </xf>
    <xf numFmtId="164" fontId="0" fillId="5" borderId="25" xfId="0" applyNumberFormat="1" applyFill="1" applyBorder="1" applyAlignment="1">
      <alignment horizontal="center"/>
    </xf>
    <xf numFmtId="164" fontId="0" fillId="5" borderId="28" xfId="0" applyNumberFormat="1" applyFill="1" applyBorder="1"/>
    <xf numFmtId="2" fontId="0" fillId="0" borderId="0" xfId="0" applyNumberFormat="1" applyAlignment="1">
      <alignment horizontal="center"/>
    </xf>
    <xf numFmtId="2" fontId="3" fillId="3" borderId="29" xfId="0" applyNumberFormat="1" applyFont="1" applyFill="1" applyBorder="1" applyAlignment="1">
      <alignment horizontal="center"/>
    </xf>
    <xf numFmtId="164" fontId="3" fillId="3" borderId="30" xfId="0" applyNumberFormat="1" applyFont="1" applyFill="1" applyBorder="1" applyAlignment="1">
      <alignment horizontal="center"/>
    </xf>
    <xf numFmtId="11" fontId="0" fillId="4" borderId="13" xfId="0" applyNumberFormat="1" applyFill="1" applyBorder="1"/>
    <xf numFmtId="11" fontId="0" fillId="4" borderId="3" xfId="0" applyNumberFormat="1" applyFill="1" applyBorder="1"/>
    <xf numFmtId="11" fontId="0" fillId="4" borderId="25" xfId="0" applyNumberFormat="1" applyFill="1" applyBorder="1"/>
    <xf numFmtId="164" fontId="0" fillId="5" borderId="33" xfId="0" applyNumberFormat="1" applyFill="1" applyBorder="1"/>
    <xf numFmtId="164" fontId="0" fillId="5" borderId="35" xfId="0" applyNumberFormat="1" applyFill="1" applyBorder="1"/>
    <xf numFmtId="164" fontId="0" fillId="5" borderId="37" xfId="0" applyNumberFormat="1" applyFill="1" applyBorder="1"/>
    <xf numFmtId="164" fontId="3" fillId="3" borderId="38" xfId="0" applyNumberFormat="1" applyFont="1" applyFill="1" applyBorder="1" applyAlignment="1">
      <alignment horizontal="center"/>
    </xf>
    <xf numFmtId="164" fontId="0" fillId="6" borderId="39" xfId="0" applyNumberFormat="1" applyFill="1" applyBorder="1"/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0" borderId="42" xfId="0" applyBorder="1" applyAlignment="1">
      <alignment horizontal="center"/>
    </xf>
    <xf numFmtId="164" fontId="0" fillId="0" borderId="31" xfId="0" applyNumberFormat="1" applyBorder="1"/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4" fontId="3" fillId="3" borderId="31" xfId="0" applyNumberFormat="1" applyFont="1" applyFill="1" applyBorder="1"/>
    <xf numFmtId="0" fontId="0" fillId="0" borderId="44" xfId="0" applyBorder="1" applyAlignment="1">
      <alignment horizontal="center"/>
    </xf>
    <xf numFmtId="164" fontId="3" fillId="3" borderId="45" xfId="0" applyNumberFormat="1" applyFont="1" applyFill="1" applyBorder="1" applyAlignment="1">
      <alignment horizontal="center"/>
    </xf>
    <xf numFmtId="167" fontId="0" fillId="5" borderId="32" xfId="0" applyNumberFormat="1" applyFill="1" applyBorder="1" applyAlignment="1">
      <alignment horizontal="center"/>
    </xf>
    <xf numFmtId="167" fontId="0" fillId="5" borderId="34" xfId="0" applyNumberFormat="1" applyFill="1" applyBorder="1" applyAlignment="1">
      <alignment horizontal="center"/>
    </xf>
    <xf numFmtId="167" fontId="0" fillId="5" borderId="36" xfId="0" applyNumberFormat="1" applyFill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167" fontId="0" fillId="4" borderId="1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3" fillId="2" borderId="31" xfId="0" applyFont="1" applyFill="1" applyBorder="1"/>
    <xf numFmtId="0" fontId="3" fillId="2" borderId="47" xfId="0" applyFont="1" applyFill="1" applyBorder="1" applyAlignment="1">
      <alignment horizontal="center"/>
    </xf>
    <xf numFmtId="0" fontId="11" fillId="0" borderId="0" xfId="0" applyFont="1"/>
    <xf numFmtId="11" fontId="0" fillId="0" borderId="46" xfId="0" applyNumberFormat="1" applyBorder="1" applyAlignment="1">
      <alignment horizontal="center"/>
    </xf>
    <xf numFmtId="11" fontId="0" fillId="0" borderId="0" xfId="0" applyNumberFormat="1"/>
    <xf numFmtId="0" fontId="0" fillId="0" borderId="48" xfId="0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3" fillId="2" borderId="31" xfId="0" applyNumberFormat="1" applyFont="1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51" xfId="0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1" fontId="0" fillId="0" borderId="48" xfId="0" applyNumberFormat="1" applyFill="1" applyBorder="1" applyAlignment="1">
      <alignment horizontal="center"/>
    </xf>
    <xf numFmtId="0" fontId="0" fillId="7" borderId="46" xfId="0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du Pu238 en fonction du temps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6338375295125719E-2"/>
          <c:y val="0.11532440980097755"/>
          <c:w val="0.82697274913560526"/>
          <c:h val="0.7689721727096475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9528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Eq_de_Bateman_avec_RK1!$E$2:$E$32</c:f>
              <c:numCache>
                <c:formatCode>0.00</c:formatCode>
                <c:ptCount val="31"/>
                <c:pt idx="0">
                  <c:v>64.350000000000009</c:v>
                </c:pt>
                <c:pt idx="1">
                  <c:v>63.841402268312066</c:v>
                </c:pt>
                <c:pt idx="2">
                  <c:v>63.336824298126501</c:v>
                </c:pt>
                <c:pt idx="3">
                  <c:v>62.836234318789366</c:v>
                </c:pt>
                <c:pt idx="4">
                  <c:v>62.339600810749765</c:v>
                </c:pt>
                <c:pt idx="5">
                  <c:v>61.846892503575262</c:v>
                </c:pt>
                <c:pt idx="6">
                  <c:v>61.358078373982934</c:v>
                </c:pt>
                <c:pt idx="7">
                  <c:v>60.873127643885987</c:v>
                </c:pt>
                <c:pt idx="8">
                  <c:v>60.392009778455822</c:v>
                </c:pt>
                <c:pt idx="9">
                  <c:v>59.914694484199437</c:v>
                </c:pt>
                <c:pt idx="10">
                  <c:v>59.441151707051965</c:v>
                </c:pt>
                <c:pt idx="11">
                  <c:v>58.971351630484357</c:v>
                </c:pt>
                <c:pt idx="12">
                  <c:v>58.50526467362598</c:v>
                </c:pt>
                <c:pt idx="13">
                  <c:v>58.042861489402064</c:v>
                </c:pt>
                <c:pt idx="14">
                  <c:v>57.584112962685865</c:v>
                </c:pt>
                <c:pt idx="15">
                  <c:v>57.128990208465439</c:v>
                </c:pt>
                <c:pt idx="16">
                  <c:v>56.67746457002491</c:v>
                </c:pt>
                <c:pt idx="17">
                  <c:v>56.229507617140086</c:v>
                </c:pt>
                <c:pt idx="18">
                  <c:v>55.78509114428838</c:v>
                </c:pt>
                <c:pt idx="19">
                  <c:v>55.344187168872836</c:v>
                </c:pt>
                <c:pt idx="20">
                  <c:v>54.906767929460223</c:v>
                </c:pt>
                <c:pt idx="21">
                  <c:v>54.472805884033036</c:v>
                </c:pt>
                <c:pt idx="22">
                  <c:v>54.042273708255308</c:v>
                </c:pt>
                <c:pt idx="23">
                  <c:v>53.615144293752159</c:v>
                </c:pt>
                <c:pt idx="24">
                  <c:v>53.191390746402909</c:v>
                </c:pt>
                <c:pt idx="25">
                  <c:v>52.770986384647706</c:v>
                </c:pt>
                <c:pt idx="26">
                  <c:v>52.353904737807504</c:v>
                </c:pt>
                <c:pt idx="27">
                  <c:v>51.940119544417364</c:v>
                </c:pt>
                <c:pt idx="28">
                  <c:v>51.529604750572901</c:v>
                </c:pt>
                <c:pt idx="29">
                  <c:v>51.122334508289796</c:v>
                </c:pt>
                <c:pt idx="30">
                  <c:v>50.718283173876301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0480"/>
        <c:axId val="88498560"/>
      </c:scatterChart>
      <c:valAx>
        <c:axId val="88498560"/>
        <c:scaling>
          <c:orientation val="minMax"/>
          <c:min val="4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Pu238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8500480"/>
        <c:crosses val="autoZero"/>
        <c:crossBetween val="midCat"/>
      </c:valAx>
      <c:valAx>
        <c:axId val="885004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84985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du Pu239 en fonction du temps</a:t>
            </a:r>
          </a:p>
        </c:rich>
      </c:tx>
      <c:layout>
        <c:manualLayout>
          <c:xMode val="edge"/>
          <c:yMode val="edge"/>
          <c:x val="0.2130145362862185"/>
          <c:y val="1.2459977590520484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103414560649604"/>
          <c:y val="8.6881859065862377E-2"/>
          <c:w val="0.83238611319036937"/>
          <c:h val="0.8551015333609615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9528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Eq_de_Bateman_avec_RK1!$G$2:$G$32</c:f>
              <c:numCache>
                <c:formatCode>0.000000000</c:formatCode>
                <c:ptCount val="31"/>
                <c:pt idx="0" formatCode="0.00">
                  <c:v>2801.7000000000003</c:v>
                </c:pt>
                <c:pt idx="1">
                  <c:v>2801.6194529051941</c:v>
                </c:pt>
                <c:pt idx="2">
                  <c:v>2801.538908126066</c:v>
                </c:pt>
                <c:pt idx="3">
                  <c:v>2801.4583656625491</c:v>
                </c:pt>
                <c:pt idx="4">
                  <c:v>2801.3778255145767</c:v>
                </c:pt>
                <c:pt idx="5">
                  <c:v>2801.2972876820822</c:v>
                </c:pt>
                <c:pt idx="6">
                  <c:v>2801.2167521649994</c:v>
                </c:pt>
                <c:pt idx="7">
                  <c:v>2801.1362189632614</c:v>
                </c:pt>
                <c:pt idx="8">
                  <c:v>2801.0556880768017</c:v>
                </c:pt>
                <c:pt idx="9">
                  <c:v>2800.9751595055541</c:v>
                </c:pt>
                <c:pt idx="10">
                  <c:v>2800.8946332494515</c:v>
                </c:pt>
                <c:pt idx="11">
                  <c:v>2800.8141093084278</c:v>
                </c:pt>
                <c:pt idx="12">
                  <c:v>2800.7335876824163</c:v>
                </c:pt>
                <c:pt idx="13">
                  <c:v>2800.6530683713504</c:v>
                </c:pt>
                <c:pt idx="14">
                  <c:v>2800.5725513751636</c:v>
                </c:pt>
                <c:pt idx="15">
                  <c:v>2800.492036693789</c:v>
                </c:pt>
                <c:pt idx="16">
                  <c:v>2800.4115243271604</c:v>
                </c:pt>
                <c:pt idx="17">
                  <c:v>2800.3310142752111</c:v>
                </c:pt>
                <c:pt idx="18">
                  <c:v>2800.2505065378746</c:v>
                </c:pt>
                <c:pt idx="19">
                  <c:v>2800.1700011150847</c:v>
                </c:pt>
                <c:pt idx="20">
                  <c:v>2800.0894980067742</c:v>
                </c:pt>
                <c:pt idx="21">
                  <c:v>2800.0089972128771</c:v>
                </c:pt>
                <c:pt idx="22">
                  <c:v>2799.9284987333267</c:v>
                </c:pt>
                <c:pt idx="23">
                  <c:v>2799.8480025680565</c:v>
                </c:pt>
                <c:pt idx="24">
                  <c:v>2799.7675087169996</c:v>
                </c:pt>
                <c:pt idx="25">
                  <c:v>2799.6870171800902</c:v>
                </c:pt>
                <c:pt idx="26">
                  <c:v>2799.6065279572613</c:v>
                </c:pt>
                <c:pt idx="27">
                  <c:v>2799.5260410484461</c:v>
                </c:pt>
                <c:pt idx="28">
                  <c:v>2799.4455564535788</c:v>
                </c:pt>
                <c:pt idx="29">
                  <c:v>2799.3650741725924</c:v>
                </c:pt>
                <c:pt idx="30">
                  <c:v>2799.28459420542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632"/>
        <c:axId val="88547712"/>
      </c:scatterChart>
      <c:valAx>
        <c:axId val="88547712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Pu239 (kg)</a:t>
                </a:r>
              </a:p>
            </c:rich>
          </c:tx>
          <c:layout>
            <c:manualLayout>
              <c:xMode val="edge"/>
              <c:yMode val="edge"/>
              <c:x val="5.7650864659786138E-2"/>
              <c:y val="0.340048809688262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8549632"/>
        <c:crosses val="autoZero"/>
        <c:crossBetween val="midCat"/>
      </c:valAx>
      <c:valAx>
        <c:axId val="88549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85477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du Pu240 en fonction du temps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9528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Eq_de_Bateman_avec_RK1!$I$2:$I$32</c:f>
              <c:numCache>
                <c:formatCode>0.00</c:formatCode>
                <c:ptCount val="31"/>
                <c:pt idx="0">
                  <c:v>1148.3999999999999</c:v>
                </c:pt>
                <c:pt idx="1">
                  <c:v>1148.2786754729225</c:v>
                </c:pt>
                <c:pt idx="2">
                  <c:v>1148.1573637633658</c:v>
                </c:pt>
                <c:pt idx="3">
                  <c:v>1148.0360648699757</c:v>
                </c:pt>
                <c:pt idx="4">
                  <c:v>1147.9147787913985</c:v>
                </c:pt>
                <c:pt idx="5">
                  <c:v>1147.7935055262799</c:v>
                </c:pt>
                <c:pt idx="6">
                  <c:v>1147.6722450732666</c:v>
                </c:pt>
                <c:pt idx="7">
                  <c:v>1147.5509974310048</c:v>
                </c:pt>
                <c:pt idx="8">
                  <c:v>1147.4297625981412</c:v>
                </c:pt>
                <c:pt idx="9">
                  <c:v>1147.3085405733225</c:v>
                </c:pt>
                <c:pt idx="10">
                  <c:v>1147.1873313551955</c:v>
                </c:pt>
                <c:pt idx="11">
                  <c:v>1147.0661349424074</c:v>
                </c:pt>
                <c:pt idx="12">
                  <c:v>1146.9449513336053</c:v>
                </c:pt>
                <c:pt idx="13">
                  <c:v>1146.8237805274364</c:v>
                </c:pt>
                <c:pt idx="14">
                  <c:v>1146.7026225225482</c:v>
                </c:pt>
                <c:pt idx="15">
                  <c:v>1146.5814773175882</c:v>
                </c:pt>
                <c:pt idx="16">
                  <c:v>1146.4603449112044</c:v>
                </c:pt>
                <c:pt idx="17">
                  <c:v>1146.3392253020443</c:v>
                </c:pt>
                <c:pt idx="18">
                  <c:v>1146.2181184887561</c:v>
                </c:pt>
                <c:pt idx="19">
                  <c:v>1146.0970244699881</c:v>
                </c:pt>
                <c:pt idx="20">
                  <c:v>1145.9759432443884</c:v>
                </c:pt>
                <c:pt idx="21">
                  <c:v>1145.8548748106055</c:v>
                </c:pt>
                <c:pt idx="22">
                  <c:v>1145.7338191672879</c:v>
                </c:pt>
                <c:pt idx="23">
                  <c:v>1145.6127763130846</c:v>
                </c:pt>
                <c:pt idx="24">
                  <c:v>1145.4917462466444</c:v>
                </c:pt>
                <c:pt idx="25">
                  <c:v>1145.3707289666161</c:v>
                </c:pt>
                <c:pt idx="26">
                  <c:v>1145.249724471649</c:v>
                </c:pt>
                <c:pt idx="27">
                  <c:v>1145.1287327603923</c:v>
                </c:pt>
                <c:pt idx="28">
                  <c:v>1145.0077538314956</c:v>
                </c:pt>
                <c:pt idx="29">
                  <c:v>1144.8867876836084</c:v>
                </c:pt>
                <c:pt idx="30">
                  <c:v>1144.7658343153805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7312"/>
        <c:axId val="88875392"/>
      </c:scatterChart>
      <c:valAx>
        <c:axId val="88875392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Pu240 (kg)</a:t>
                </a:r>
              </a:p>
            </c:rich>
          </c:tx>
          <c:layout>
            <c:manualLayout>
              <c:xMode val="edge"/>
              <c:yMode val="edge"/>
              <c:x val="2.2222275752783557E-2"/>
              <c:y val="0.3075479754302713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8877312"/>
        <c:crosses val="autoZero"/>
        <c:crossBetween val="midCat"/>
      </c:valAx>
      <c:valAx>
        <c:axId val="88877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88753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du Pu241 en fonction du temps</a:t>
            </a:r>
          </a:p>
        </c:rich>
      </c:tx>
      <c:layout>
        <c:manualLayout>
          <c:xMode val="edge"/>
          <c:yMode val="edge"/>
          <c:x val="0.18048463942007251"/>
          <c:y val="1.812248042953595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4595425571803523E-2"/>
          <c:y val="7.6881720596610748E-2"/>
          <c:w val="0.7632857892763405"/>
          <c:h val="0.8814424896089251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9528">
                <a:solidFill>
                  <a:srgbClr val="000000"/>
                </a:solidFill>
                <a:prstDash val="solid"/>
                <a:round/>
              </a:ln>
            </c:spPr>
            <c:trendlineType val="exp"/>
            <c:dispRSqr val="0"/>
            <c:dispEq val="0"/>
          </c:trendline>
          <c:xVal>
            <c:numRef>
              <c:f>Eq_de_Bateman_avec_RK1!$C$2:$C$32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Eq_de_Bateman_avec_RK1!$K$2:$K$32</c:f>
              <c:numCache>
                <c:formatCode>0.00</c:formatCode>
                <c:ptCount val="31"/>
                <c:pt idx="0">
                  <c:v>688.05000000000007</c:v>
                </c:pt>
                <c:pt idx="1">
                  <c:v>654.75716107614176</c:v>
                </c:pt>
                <c:pt idx="2">
                  <c:v>623.07527066417936</c:v>
                </c:pt>
                <c:pt idx="3">
                  <c:v>592.92637941548821</c:v>
                </c:pt>
                <c:pt idx="4">
                  <c:v>564.23630973510694</c:v>
                </c:pt>
                <c:pt idx="5">
                  <c:v>536.93447327699619</c:v>
                </c:pt>
                <c:pt idx="6">
                  <c:v>510.95369727019761</c:v>
                </c:pt>
                <c:pt idx="7">
                  <c:v>486.23005924859081</c:v>
                </c:pt>
                <c:pt idx="8">
                  <c:v>462.70272977762005</c:v>
                </c:pt>
                <c:pt idx="9">
                  <c:v>440.31382279104082</c:v>
                </c:pt>
                <c:pt idx="10">
                  <c:v>419.00825316945748</c:v>
                </c:pt>
                <c:pt idx="11">
                  <c:v>398.73360121024234</c:v>
                </c:pt>
                <c:pt idx="12">
                  <c:v>379.43998365538067</c:v>
                </c:pt>
                <c:pt idx="13">
                  <c:v>361.07993095992248</c:v>
                </c:pt>
                <c:pt idx="14">
                  <c:v>343.60827049907431</c:v>
                </c:pt>
                <c:pt idx="15">
                  <c:v>326.98201542657779</c:v>
                </c:pt>
                <c:pt idx="16">
                  <c:v>311.16025891092397</c:v>
                </c:pt>
                <c:pt idx="17">
                  <c:v>296.10407348918511</c:v>
                </c:pt>
                <c:pt idx="18">
                  <c:v>281.7764152908365</c:v>
                </c:pt>
                <c:pt idx="19">
                  <c:v>268.14203289592331</c:v>
                </c:pt>
                <c:pt idx="20">
                  <c:v>255.16738060332844</c:v>
                </c:pt>
                <c:pt idx="21">
                  <c:v>242.82053589574983</c:v>
                </c:pt>
                <c:pt idx="22">
                  <c:v>231.07112089831918</c:v>
                </c:pt>
                <c:pt idx="23">
                  <c:v>219.89022763762136</c:v>
                </c:pt>
                <c:pt idx="24">
                  <c:v>209.25034691722334</c:v>
                </c:pt>
                <c:pt idx="25">
                  <c:v>199.12530063471976</c:v>
                </c:pt>
                <c:pt idx="26">
                  <c:v>189.49017737376985</c:v>
                </c:pt>
                <c:pt idx="27">
                  <c:v>180.32127111265763</c:v>
                </c:pt>
                <c:pt idx="28">
                  <c:v>171.59602289857565</c:v>
                </c:pt>
                <c:pt idx="29">
                  <c:v>163.29296534412904</c:v>
                </c:pt>
                <c:pt idx="30">
                  <c:v>155.39166980950037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8384"/>
        <c:axId val="89006464"/>
      </c:scatterChart>
      <c:valAx>
        <c:axId val="89006464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Pu241 (kg)</a:t>
                </a:r>
              </a:p>
            </c:rich>
          </c:tx>
          <c:layout>
            <c:manualLayout>
              <c:xMode val="edge"/>
              <c:yMode val="edge"/>
              <c:x val="2.145071866016748E-2"/>
              <c:y val="0.3125888633940264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008384"/>
        <c:crosses val="autoZero"/>
        <c:crossBetween val="midCat"/>
      </c:valAx>
      <c:valAx>
        <c:axId val="890083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0064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du Pu242 en fonction du temps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9528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Eq_de_Bateman_avec_RK1!$M$2:$M$32</c:f>
              <c:numCache>
                <c:formatCode>0.00</c:formatCode>
                <c:ptCount val="31"/>
                <c:pt idx="0">
                  <c:v>232.65</c:v>
                </c:pt>
                <c:pt idx="1">
                  <c:v>232.6495699714892</c:v>
                </c:pt>
                <c:pt idx="2">
                  <c:v>232.64913994377324</c:v>
                </c:pt>
                <c:pt idx="3">
                  <c:v>232.64870991685214</c:v>
                </c:pt>
                <c:pt idx="4">
                  <c:v>232.64827989072589</c:v>
                </c:pt>
                <c:pt idx="5">
                  <c:v>232.64784986539451</c:v>
                </c:pt>
                <c:pt idx="6">
                  <c:v>232.64741984085799</c:v>
                </c:pt>
                <c:pt idx="7">
                  <c:v>232.64698981711632</c:v>
                </c:pt>
                <c:pt idx="8">
                  <c:v>232.64655979416949</c:v>
                </c:pt>
                <c:pt idx="9">
                  <c:v>232.64612977201753</c:v>
                </c:pt>
                <c:pt idx="10">
                  <c:v>232.64569975066041</c:v>
                </c:pt>
                <c:pt idx="11">
                  <c:v>232.64526973009814</c:v>
                </c:pt>
                <c:pt idx="12">
                  <c:v>232.6448397103307</c:v>
                </c:pt>
                <c:pt idx="13">
                  <c:v>232.64440969135813</c:v>
                </c:pt>
                <c:pt idx="14">
                  <c:v>232.64397967318041</c:v>
                </c:pt>
                <c:pt idx="15">
                  <c:v>232.64354965579753</c:v>
                </c:pt>
                <c:pt idx="16">
                  <c:v>232.64311963920949</c:v>
                </c:pt>
                <c:pt idx="17">
                  <c:v>232.64268962341629</c:v>
                </c:pt>
                <c:pt idx="18">
                  <c:v>232.6422596084179</c:v>
                </c:pt>
                <c:pt idx="19">
                  <c:v>232.64182959421436</c:v>
                </c:pt>
                <c:pt idx="20">
                  <c:v>232.64139958080565</c:v>
                </c:pt>
                <c:pt idx="21">
                  <c:v>232.64096956819179</c:v>
                </c:pt>
                <c:pt idx="22">
                  <c:v>232.64053955637274</c:v>
                </c:pt>
                <c:pt idx="23">
                  <c:v>232.64010954534854</c:v>
                </c:pt>
                <c:pt idx="24">
                  <c:v>232.63967953511917</c:v>
                </c:pt>
                <c:pt idx="25">
                  <c:v>232.63924952568462</c:v>
                </c:pt>
                <c:pt idx="26">
                  <c:v>232.63881951704491</c:v>
                </c:pt>
                <c:pt idx="27">
                  <c:v>232.63838950920001</c:v>
                </c:pt>
                <c:pt idx="28">
                  <c:v>232.63795950214993</c:v>
                </c:pt>
                <c:pt idx="29">
                  <c:v>232.63752949589468</c:v>
                </c:pt>
                <c:pt idx="30">
                  <c:v>232.63709949043425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8496"/>
        <c:axId val="89096576"/>
      </c:scatterChart>
      <c:valAx>
        <c:axId val="89096576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Pu242 (kg)</a:t>
                </a:r>
              </a:p>
            </c:rich>
          </c:tx>
          <c:layout>
            <c:manualLayout>
              <c:xMode val="edge"/>
              <c:yMode val="edge"/>
              <c:x val="1.6666716660417448E-2"/>
              <c:y val="0.3075477573066464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098496"/>
        <c:crosses val="autoZero"/>
        <c:crossBetween val="midCat"/>
      </c:valAx>
      <c:valAx>
        <c:axId val="890984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0965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d'Am241 en fonction du temps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Eq_de_Bateman_avec_RK1!$O$2:$O$32</c:f>
              <c:numCache>
                <c:formatCode>0.00</c:formatCode>
                <c:ptCount val="31"/>
                <c:pt idx="0">
                  <c:v>14.85</c:v>
                </c:pt>
                <c:pt idx="1">
                  <c:v>48.119045036592219</c:v>
                </c:pt>
                <c:pt idx="2">
                  <c:v>79.723835170241301</c:v>
                </c:pt>
                <c:pt idx="3">
                  <c:v>109.74498635519765</c:v>
                </c:pt>
                <c:pt idx="4">
                  <c:v>138.25921362255838</c:v>
                </c:pt>
                <c:pt idx="5">
                  <c:v>165.33951983538739</c:v>
                </c:pt>
                <c:pt idx="6">
                  <c:v>191.05537531049609</c:v>
                </c:pt>
                <c:pt idx="7">
                  <c:v>215.47288874882204</c:v>
                </c:pt>
                <c:pt idx="8">
                  <c:v>238.65496989495841</c:v>
                </c:pt>
                <c:pt idx="9">
                  <c:v>260.66148432603762</c:v>
                </c:pt>
                <c:pt idx="10">
                  <c:v>281.54940075080827</c:v>
                </c:pt>
                <c:pt idx="11">
                  <c:v>301.37293118131618</c:v>
                </c:pt>
                <c:pt idx="12">
                  <c:v>320.18366432206454</c:v>
                </c:pt>
                <c:pt idx="13">
                  <c:v>338.03069250484083</c:v>
                </c:pt>
                <c:pt idx="14">
                  <c:v>354.96073248151782</c:v>
                </c:pt>
                <c:pt idx="15">
                  <c:v>371.01824037202391</c:v>
                </c:pt>
                <c:pt idx="16">
                  <c:v>386.24552105029869</c:v>
                </c:pt>
                <c:pt idx="17">
                  <c:v>400.68283223736364</c:v>
                </c:pt>
                <c:pt idx="18">
                  <c:v>414.3684835576168</c:v>
                </c:pt>
                <c:pt idx="19">
                  <c:v>427.33893080206565</c:v>
                </c:pt>
                <c:pt idx="20">
                  <c:v>439.62886563042343</c:v>
                </c:pt>
                <c:pt idx="21">
                  <c:v>451.27130093276742</c:v>
                </c:pt>
                <c:pt idx="22">
                  <c:v>462.29765206078247</c:v>
                </c:pt>
                <c:pt idx="23">
                  <c:v>472.7378141284488</c:v>
                </c:pt>
                <c:pt idx="24">
                  <c:v>482.62023557236228</c:v>
                </c:pt>
                <c:pt idx="25">
                  <c:v>491.9719881526741</c:v>
                </c:pt>
                <c:pt idx="26">
                  <c:v>500.81883356687763</c:v>
                </c:pt>
                <c:pt idx="27">
                  <c:v>509.18528684033799</c:v>
                </c:pt>
                <c:pt idx="28">
                  <c:v>517.09467664952865</c:v>
                </c:pt>
                <c:pt idx="29">
                  <c:v>524.56920272639275</c:v>
                </c:pt>
                <c:pt idx="30">
                  <c:v>531.62999048506595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1312"/>
        <c:axId val="89128320"/>
      </c:scatterChart>
      <c:valAx>
        <c:axId val="89128320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Am241 (kg)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868217663745129"/>
            </c:manualLayout>
          </c:layout>
          <c:overlay val="0"/>
          <c:spPr>
            <a:noFill/>
            <a:ln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421312"/>
        <c:crosses val="autoZero"/>
        <c:crossBetween val="midCat"/>
      </c:valAx>
      <c:valAx>
        <c:axId val="89421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1283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d'U235 en fonction du temps</a:t>
            </a:r>
            <a:b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</a:br>
            <a:endParaRPr lang="fr-FR" sz="1800" b="1" i="0" u="none" strike="noStrike" kern="1200" cap="none" spc="0" baseline="0">
              <a:solidFill>
                <a:srgbClr val="000000"/>
              </a:solidFill>
              <a:uFillTx/>
              <a:latin typeface="Calibri"/>
              <a:ea typeface=""/>
              <a:cs typeface="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Eq_de_Bateman_avec_RK1!$S$2:$S$32</c:f>
              <c:numCache>
                <c:formatCode>0.000000000E+00</c:formatCode>
                <c:ptCount val="31"/>
                <c:pt idx="0">
                  <c:v>196.34999999999997</c:v>
                </c:pt>
                <c:pt idx="1">
                  <c:v>196.43054690148298</c:v>
                </c:pt>
                <c:pt idx="2">
                  <c:v>196.51109148720889</c:v>
                </c:pt>
                <c:pt idx="3">
                  <c:v>196.59163375724427</c:v>
                </c:pt>
                <c:pt idx="4">
                  <c:v>196.67217371165569</c:v>
                </c:pt>
                <c:pt idx="5">
                  <c:v>196.75271135050974</c:v>
                </c:pt>
                <c:pt idx="6">
                  <c:v>196.83324667387299</c:v>
                </c:pt>
                <c:pt idx="7">
                  <c:v>196.913779681812</c:v>
                </c:pt>
                <c:pt idx="8">
                  <c:v>196.99431037439334</c:v>
                </c:pt>
                <c:pt idx="9">
                  <c:v>197.07483875168359</c:v>
                </c:pt>
                <c:pt idx="10">
                  <c:v>197.15536481374929</c:v>
                </c:pt>
                <c:pt idx="11">
                  <c:v>197.23588856065697</c:v>
                </c:pt>
                <c:pt idx="12">
                  <c:v>197.31640999247327</c:v>
                </c:pt>
                <c:pt idx="13">
                  <c:v>197.39692910926468</c:v>
                </c:pt>
                <c:pt idx="14">
                  <c:v>197.47744591109779</c:v>
                </c:pt>
                <c:pt idx="15">
                  <c:v>197.55796039803914</c:v>
                </c:pt>
                <c:pt idx="16">
                  <c:v>197.6384725701553</c:v>
                </c:pt>
                <c:pt idx="17">
                  <c:v>197.7189824275128</c:v>
                </c:pt>
                <c:pt idx="18">
                  <c:v>197.7994899701782</c:v>
                </c:pt>
                <c:pt idx="19">
                  <c:v>197.87999519821804</c:v>
                </c:pt>
                <c:pt idx="20">
                  <c:v>197.96049811169885</c:v>
                </c:pt>
                <c:pt idx="21">
                  <c:v>198.04099871068721</c:v>
                </c:pt>
                <c:pt idx="22">
                  <c:v>198.1214969952496</c:v>
                </c:pt>
                <c:pt idx="23">
                  <c:v>198.20199296545263</c:v>
                </c:pt>
                <c:pt idx="24">
                  <c:v>198.28248662136278</c:v>
                </c:pt>
                <c:pt idx="25">
                  <c:v>198.3629779630466</c:v>
                </c:pt>
                <c:pt idx="26">
                  <c:v>198.44346699057064</c:v>
                </c:pt>
                <c:pt idx="27">
                  <c:v>198.52395370400143</c:v>
                </c:pt>
                <c:pt idx="28">
                  <c:v>198.60443810340547</c:v>
                </c:pt>
                <c:pt idx="29">
                  <c:v>198.6849201888493</c:v>
                </c:pt>
                <c:pt idx="30">
                  <c:v>198.76539996039946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8512"/>
        <c:axId val="89242240"/>
      </c:scatterChart>
      <c:valAx>
        <c:axId val="89242240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d'U235 (kg)</a:t>
                </a:r>
                <a:b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</a:br>
                <a:endParaRPr lang="fr-FR" sz="1000" b="1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"/>
                  <a:cs typeface="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248512"/>
        <c:crosses val="autoZero"/>
        <c:crossBetween val="midCat"/>
      </c:valAx>
      <c:valAx>
        <c:axId val="892485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layout>
            <c:manualLayout>
              <c:xMode val="edge"/>
              <c:yMode val="edge"/>
              <c:x val="0.45960778345723519"/>
              <c:y val="0.91728531908705113"/>
            </c:manualLayout>
          </c:layout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2422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d'U238 en fonction du temps</a:t>
            </a:r>
          </a:p>
        </c:rich>
      </c:tx>
      <c:layout>
        <c:manualLayout>
          <c:xMode val="edge"/>
          <c:yMode val="edge"/>
          <c:x val="0.1804282855759908"/>
          <c:y val="2.3460078443087746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6.8155618618804273E-2"/>
          <c:y val="0.11415477175044887"/>
          <c:w val="0.92442783170154674"/>
          <c:h val="0.822774267679843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Eq_de_Bateman_avec_RK1!$U$2:$U$32</c:f>
              <c:numCache>
                <c:formatCode>0.000000000E+00</c:formatCode>
                <c:ptCount val="31"/>
                <c:pt idx="0">
                  <c:v>27853.65</c:v>
                </c:pt>
                <c:pt idx="1">
                  <c:v>27853.650425707412</c:v>
                </c:pt>
                <c:pt idx="2">
                  <c:v>27853.650851414026</c:v>
                </c:pt>
                <c:pt idx="3">
                  <c:v>27853.651277119847</c:v>
                </c:pt>
                <c:pt idx="4">
                  <c:v>27853.651702824875</c:v>
                </c:pt>
                <c:pt idx="5">
                  <c:v>27853.652128529106</c:v>
                </c:pt>
                <c:pt idx="6">
                  <c:v>27853.652554232543</c:v>
                </c:pt>
                <c:pt idx="7">
                  <c:v>27853.652979935185</c:v>
                </c:pt>
                <c:pt idx="8">
                  <c:v>27853.653405637033</c:v>
                </c:pt>
                <c:pt idx="9">
                  <c:v>27853.653831338084</c:v>
                </c:pt>
                <c:pt idx="10">
                  <c:v>27853.654257038343</c:v>
                </c:pt>
                <c:pt idx="11">
                  <c:v>27853.654682737804</c:v>
                </c:pt>
                <c:pt idx="12">
                  <c:v>27853.655108436473</c:v>
                </c:pt>
                <c:pt idx="13">
                  <c:v>27853.655534134345</c:v>
                </c:pt>
                <c:pt idx="14">
                  <c:v>27853.655959831423</c:v>
                </c:pt>
                <c:pt idx="15">
                  <c:v>27853.656385527705</c:v>
                </c:pt>
                <c:pt idx="16">
                  <c:v>27853.656811223194</c:v>
                </c:pt>
                <c:pt idx="17">
                  <c:v>27853.657236917887</c:v>
                </c:pt>
                <c:pt idx="18">
                  <c:v>27853.657662611786</c:v>
                </c:pt>
                <c:pt idx="19">
                  <c:v>27853.658088304885</c:v>
                </c:pt>
                <c:pt idx="20">
                  <c:v>27853.65851399719</c:v>
                </c:pt>
                <c:pt idx="21">
                  <c:v>27853.658939688699</c:v>
                </c:pt>
                <c:pt idx="22">
                  <c:v>27853.659365379415</c:v>
                </c:pt>
                <c:pt idx="23">
                  <c:v>27853.659791069334</c:v>
                </c:pt>
                <c:pt idx="24">
                  <c:v>27853.660216758461</c:v>
                </c:pt>
                <c:pt idx="25">
                  <c:v>27853.66064244679</c:v>
                </c:pt>
                <c:pt idx="26">
                  <c:v>27853.661068134326</c:v>
                </c:pt>
                <c:pt idx="27">
                  <c:v>27853.661493821066</c:v>
                </c:pt>
                <c:pt idx="28">
                  <c:v>27853.661919507012</c:v>
                </c:pt>
                <c:pt idx="29">
                  <c:v>27853.662345192162</c:v>
                </c:pt>
                <c:pt idx="30">
                  <c:v>27853.662770876519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58336"/>
        <c:axId val="89347968"/>
      </c:scatterChart>
      <c:valAx>
        <c:axId val="89347968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Masse d'U238 (kg)</a:t>
                </a:r>
              </a:p>
            </c:rich>
          </c:tx>
          <c:layout>
            <c:manualLayout>
              <c:xMode val="edge"/>
              <c:yMode val="edge"/>
              <c:x val="2.4577074967693489E-2"/>
              <c:y val="0.33823607733139233"/>
            </c:manualLayout>
          </c:layout>
          <c:overlay val="0"/>
          <c:spPr>
            <a:noFill/>
            <a:ln>
              <a:noFill/>
            </a:ln>
          </c:spPr>
        </c:title>
        <c:numFmt formatCode="0.00000E+0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358336"/>
        <c:crosses val="autoZero"/>
        <c:crossBetween val="midCat"/>
      </c:valAx>
      <c:valAx>
        <c:axId val="893583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3479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  <a:t>Quantité d'atomes d'He formé par les désintégrations alpha</a:t>
            </a:r>
            <a:br>
              <a:rPr lang="fr-FR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"/>
                <a:cs typeface=""/>
              </a:rPr>
            </a:br>
            <a:endParaRPr lang="fr-FR" sz="1800" b="1" i="0" u="none" strike="noStrike" kern="1200" cap="none" spc="0" baseline="0">
              <a:solidFill>
                <a:srgbClr val="000000"/>
              </a:solidFill>
              <a:uFillTx/>
              <a:latin typeface="Calibri"/>
              <a:ea typeface=""/>
              <a:cs typeface=""/>
            </a:endParaRPr>
          </a:p>
        </c:rich>
      </c:tx>
      <c:layout>
        <c:manualLayout>
          <c:xMode val="edge"/>
          <c:yMode val="edge"/>
          <c:x val="0.10565852152268627"/>
          <c:y val="1.156038054767533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6559458044788882E-2"/>
          <c:y val="0.10746163127461537"/>
          <c:w val="0.7421242143871184"/>
          <c:h val="0.8670254204438384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Eq_de_Bateman_avec_RK1!$D$2:$D$32</c:f>
              <c:numCache>
                <c:formatCode>0.0000E+00</c:formatCode>
                <c:ptCount val="31"/>
                <c:pt idx="0">
                  <c:v>0</c:v>
                </c:pt>
                <c:pt idx="1">
                  <c:v>31536000</c:v>
                </c:pt>
                <c:pt idx="2">
                  <c:v>63072000</c:v>
                </c:pt>
                <c:pt idx="3">
                  <c:v>94608000</c:v>
                </c:pt>
                <c:pt idx="4">
                  <c:v>126144000</c:v>
                </c:pt>
                <c:pt idx="5">
                  <c:v>157680000</c:v>
                </c:pt>
                <c:pt idx="6">
                  <c:v>189216000</c:v>
                </c:pt>
                <c:pt idx="7">
                  <c:v>220752000</c:v>
                </c:pt>
                <c:pt idx="8">
                  <c:v>252288000</c:v>
                </c:pt>
                <c:pt idx="9">
                  <c:v>283824000</c:v>
                </c:pt>
                <c:pt idx="10">
                  <c:v>315360000</c:v>
                </c:pt>
                <c:pt idx="11">
                  <c:v>346896000</c:v>
                </c:pt>
                <c:pt idx="12">
                  <c:v>378432000</c:v>
                </c:pt>
                <c:pt idx="13">
                  <c:v>409968000</c:v>
                </c:pt>
                <c:pt idx="14">
                  <c:v>441504000</c:v>
                </c:pt>
                <c:pt idx="15">
                  <c:v>473040000</c:v>
                </c:pt>
                <c:pt idx="16">
                  <c:v>504576000</c:v>
                </c:pt>
                <c:pt idx="17">
                  <c:v>536112000</c:v>
                </c:pt>
                <c:pt idx="18">
                  <c:v>567648000</c:v>
                </c:pt>
                <c:pt idx="19">
                  <c:v>599184000</c:v>
                </c:pt>
                <c:pt idx="20">
                  <c:v>630720000</c:v>
                </c:pt>
                <c:pt idx="21">
                  <c:v>662256000</c:v>
                </c:pt>
                <c:pt idx="22">
                  <c:v>693792000</c:v>
                </c:pt>
                <c:pt idx="23">
                  <c:v>725328000</c:v>
                </c:pt>
                <c:pt idx="24">
                  <c:v>756864000</c:v>
                </c:pt>
                <c:pt idx="25">
                  <c:v>788400000</c:v>
                </c:pt>
                <c:pt idx="26">
                  <c:v>819936000</c:v>
                </c:pt>
                <c:pt idx="27">
                  <c:v>851472000</c:v>
                </c:pt>
                <c:pt idx="28">
                  <c:v>883008000</c:v>
                </c:pt>
                <c:pt idx="29">
                  <c:v>914544000</c:v>
                </c:pt>
                <c:pt idx="30">
                  <c:v>946080000</c:v>
                </c:pt>
              </c:numCache>
            </c:numRef>
          </c:xVal>
          <c:yVal>
            <c:numRef>
              <c:f>Eq_de_Bateman_avec_RK1!$Q$2:$Q$32</c:f>
              <c:numCache>
                <c:formatCode>General</c:formatCode>
                <c:ptCount val="31"/>
                <c:pt idx="0" formatCode="0.0000E+00">
                  <c:v>0</c:v>
                </c:pt>
                <c:pt idx="1">
                  <c:v>1.8547808507776629E+21</c:v>
                </c:pt>
                <c:pt idx="2">
                  <c:v>3.6992574297283316E+21</c:v>
                </c:pt>
                <c:pt idx="3">
                  <c:v>5.5335102808212227E+21</c:v>
                </c:pt>
                <c:pt idx="4">
                  <c:v>7.3576193124265278E+21</c:v>
                </c:pt>
                <c:pt idx="5">
                  <c:v>9.1716638023376133E+21</c:v>
                </c:pt>
                <c:pt idx="6">
                  <c:v>1.0975722402751262E+22</c:v>
                </c:pt>
                <c:pt idx="7">
                  <c:v>1.2769873145215213E+22</c:v>
                </c:pt>
                <c:pt idx="8">
                  <c:v>1.4554193445527258E+22</c:v>
                </c:pt>
                <c:pt idx="9">
                  <c:v>1.6328760108602618E+22</c:v>
                </c:pt>
                <c:pt idx="10">
                  <c:v>1.8093649333301444E+22</c:v>
                </c:pt>
                <c:pt idx="11">
                  <c:v>1.9848936717214774E+22</c:v>
                </c:pt>
                <c:pt idx="12">
                  <c:v>2.1594697261416966E+22</c:v>
                </c:pt>
                <c:pt idx="13">
                  <c:v>2.3331005375179926E+22</c:v>
                </c:pt>
                <c:pt idx="14">
                  <c:v>2.5057934880645763E+22</c:v>
                </c:pt>
                <c:pt idx="15">
                  <c:v>2.6775559017468891E+22</c:v>
                </c:pt>
                <c:pt idx="16">
                  <c:v>2.8483950447415509E+22</c:v>
                </c:pt>
                <c:pt idx="17">
                  <c:v>3.0183181258931778E+22</c:v>
                </c:pt>
                <c:pt idx="18">
                  <c:v>3.1873322971672542E+22</c:v>
                </c:pt>
                <c:pt idx="19">
                  <c:v>3.3554446540993383E+22</c:v>
                </c:pt>
                <c:pt idx="20">
                  <c:v>3.5226622362415616E+22</c:v>
                </c:pt>
                <c:pt idx="21">
                  <c:v>3.6889920276040889E+22</c:v>
                </c:pt>
                <c:pt idx="22">
                  <c:v>3.8544409570945851E+22</c:v>
                </c:pt>
                <c:pt idx="23">
                  <c:v>4.0190158989532636E+22</c:v>
                </c:pt>
                <c:pt idx="24">
                  <c:v>4.1827236731850026E+22</c:v>
                </c:pt>
                <c:pt idx="25">
                  <c:v>4.3455710459876214E+22</c:v>
                </c:pt>
                <c:pt idx="26">
                  <c:v>4.5075647301772126E+22</c:v>
                </c:pt>
                <c:pt idx="27">
                  <c:v>4.6687113856099251E+22</c:v>
                </c:pt>
                <c:pt idx="28">
                  <c:v>4.8290176195999721E+22</c:v>
                </c:pt>
                <c:pt idx="29">
                  <c:v>4.9884899873353791E+22</c:v>
                </c:pt>
                <c:pt idx="30">
                  <c:v>5.1471349922894444E+22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0672"/>
        <c:axId val="89498752"/>
      </c:scatterChart>
      <c:valAx>
        <c:axId val="89498752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Nombre d'atomes d'hélium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500672"/>
        <c:crosses val="autoZero"/>
        <c:crossBetween val="midCat"/>
      </c:valAx>
      <c:valAx>
        <c:axId val="895006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fr-FR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"/>
                    <a:cs typeface=""/>
                  </a:rPr>
                  <a:t>Temps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E+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fr-FR"/>
          </a:p>
        </c:txPr>
        <c:crossAx val="894987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000" b="0" i="0" u="none" strike="noStrike" kern="1200" baseline="0">
              <a:solidFill>
                <a:srgbClr val="000000"/>
              </a:solidFill>
              <a:latin typeface="Calibri"/>
              <a:ea typeface=""/>
              <a:cs typeface="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25402">
      <a:solidFill>
        <a:srgbClr val="4BACC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790571</xdr:colOff>
      <xdr:row>1</xdr:row>
      <xdr:rowOff>4764</xdr:rowOff>
    </xdr:from>
    <xdr:ext cx="5010153" cy="3224210"/>
    <xdr:graphicFrame macro="">
      <xdr:nvGraphicFramePr>
        <xdr:cNvPr id="2" name="Graphique 5" title="Pu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9528</xdr:colOff>
      <xdr:row>0</xdr:row>
      <xdr:rowOff>171450</xdr:rowOff>
    </xdr:from>
    <xdr:ext cx="4991096" cy="3257550"/>
    <xdr:graphicFrame macro="">
      <xdr:nvGraphicFramePr>
        <xdr:cNvPr id="2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819146</xdr:colOff>
      <xdr:row>1</xdr:row>
      <xdr:rowOff>4764</xdr:rowOff>
    </xdr:from>
    <xdr:ext cx="4981578" cy="3271832"/>
    <xdr:graphicFrame macro="">
      <xdr:nvGraphicFramePr>
        <xdr:cNvPr id="2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9528</xdr:colOff>
      <xdr:row>0</xdr:row>
      <xdr:rowOff>171450</xdr:rowOff>
    </xdr:from>
    <xdr:ext cx="5000625" cy="3228974"/>
    <xdr:graphicFrame macro="">
      <xdr:nvGraphicFramePr>
        <xdr:cNvPr id="2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19046</xdr:colOff>
      <xdr:row>1</xdr:row>
      <xdr:rowOff>14282</xdr:rowOff>
    </xdr:from>
    <xdr:ext cx="5000625" cy="3205164"/>
    <xdr:graphicFrame macro="">
      <xdr:nvGraphicFramePr>
        <xdr:cNvPr id="2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9518</xdr:colOff>
      <xdr:row>1</xdr:row>
      <xdr:rowOff>23801</xdr:rowOff>
    </xdr:from>
    <xdr:ext cx="5000625" cy="3205164"/>
    <xdr:graphicFrame macro="">
      <xdr:nvGraphicFramePr>
        <xdr:cNvPr id="2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18489</xdr:colOff>
      <xdr:row>1</xdr:row>
      <xdr:rowOff>20729</xdr:rowOff>
    </xdr:from>
    <xdr:ext cx="5020238" cy="3255867"/>
    <xdr:graphicFrame macro="">
      <xdr:nvGraphicFramePr>
        <xdr:cNvPr id="2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38093</xdr:colOff>
      <xdr:row>1</xdr:row>
      <xdr:rowOff>38093</xdr:rowOff>
    </xdr:from>
    <xdr:ext cx="5305431" cy="3267078"/>
    <xdr:graphicFrame macro="">
      <xdr:nvGraphicFramePr>
        <xdr:cNvPr id="2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9528</xdr:rowOff>
    </xdr:from>
    <xdr:ext cx="6638928" cy="4486275"/>
    <xdr:graphicFrame macro="">
      <xdr:nvGraphicFramePr>
        <xdr:cNvPr id="2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Q45"/>
  <sheetViews>
    <sheetView tabSelected="1" topLeftCell="A7" zoomScaleNormal="100" workbookViewId="0">
      <pane xSplit="1" topLeftCell="B1" activePane="topRight" state="frozen"/>
      <selection pane="topRight" activeCell="C27" sqref="C27"/>
    </sheetView>
  </sheetViews>
  <sheetFormatPr baseColWidth="10" defaultRowHeight="14.25"/>
  <cols>
    <col min="1" max="1" width="30.875" bestFit="1" customWidth="1"/>
    <col min="2" max="2" width="35.75" bestFit="1" customWidth="1"/>
    <col min="3" max="3" width="34.5" bestFit="1" customWidth="1"/>
    <col min="4" max="4" width="27.5" bestFit="1" customWidth="1"/>
    <col min="5" max="5" width="17.875" customWidth="1"/>
    <col min="6" max="6" width="22" customWidth="1"/>
    <col min="7" max="7" width="13" customWidth="1"/>
    <col min="8" max="8" width="16.75" customWidth="1"/>
    <col min="9" max="9" width="22.25" bestFit="1" customWidth="1"/>
    <col min="10" max="10" width="11.75" bestFit="1" customWidth="1"/>
    <col min="11" max="11" width="8.875" style="24" bestFit="1" customWidth="1"/>
    <col min="12" max="12" width="22.625" bestFit="1" customWidth="1"/>
    <col min="13" max="13" width="61.625" bestFit="1" customWidth="1"/>
    <col min="14" max="15" width="65.375" bestFit="1" customWidth="1"/>
    <col min="16" max="16" width="59.625" bestFit="1" customWidth="1"/>
    <col min="17" max="17" width="47" bestFit="1" customWidth="1"/>
  </cols>
  <sheetData>
    <row r="1" spans="1:17" ht="15.75" thickBot="1">
      <c r="A1" s="97" t="s">
        <v>0</v>
      </c>
      <c r="B1" s="104" t="s">
        <v>1</v>
      </c>
      <c r="C1" s="104" t="s">
        <v>2</v>
      </c>
      <c r="D1" s="104" t="s">
        <v>3</v>
      </c>
      <c r="E1" s="104" t="s">
        <v>59</v>
      </c>
      <c r="F1" s="104" t="s">
        <v>63</v>
      </c>
      <c r="G1" s="104" t="s">
        <v>4</v>
      </c>
      <c r="H1" s="104" t="s">
        <v>5</v>
      </c>
      <c r="I1" s="104" t="s">
        <v>6</v>
      </c>
      <c r="J1" s="104" t="s">
        <v>7</v>
      </c>
      <c r="K1" s="107" t="s">
        <v>8</v>
      </c>
      <c r="L1" s="104" t="s">
        <v>9</v>
      </c>
      <c r="M1" s="104" t="s">
        <v>10</v>
      </c>
      <c r="N1" s="105" t="s">
        <v>11</v>
      </c>
      <c r="O1" s="104" t="s">
        <v>12</v>
      </c>
      <c r="P1" s="104" t="s">
        <v>13</v>
      </c>
      <c r="Q1" s="104" t="s">
        <v>81</v>
      </c>
    </row>
    <row r="2" spans="1:17">
      <c r="A2" s="1" t="s">
        <v>14</v>
      </c>
      <c r="B2" s="2">
        <v>1.3</v>
      </c>
      <c r="C2" s="2">
        <f t="shared" ref="C2:C7" si="0">(B2/100)*A$15</f>
        <v>64.350000000000009</v>
      </c>
      <c r="D2" s="2">
        <v>238</v>
      </c>
      <c r="E2" s="2">
        <f>(B$21/D2)*6.022E+23</f>
        <v>5.0098991596638663E+22</v>
      </c>
      <c r="F2" s="57">
        <f>((C2*1000)/D2)*6.022E+23</f>
        <v>1.6282172268907565E+26</v>
      </c>
      <c r="G2" s="2">
        <v>87.7</v>
      </c>
      <c r="H2" s="2">
        <f t="shared" ref="H2:H9" si="1">G2*365*24*3600</f>
        <v>2765707200</v>
      </c>
      <c r="I2" s="2" t="s">
        <v>15</v>
      </c>
      <c r="J2" s="3">
        <f t="shared" ref="J2:J7" si="2">L2*K2</f>
        <v>1.6127528275239147E-8</v>
      </c>
      <c r="K2" s="4">
        <f t="shared" ref="K2:K8" si="3">C2</f>
        <v>64.350000000000009</v>
      </c>
      <c r="L2" s="5">
        <f t="shared" ref="L2:L9" si="4">LN(2)/H2</f>
        <v>2.506220400192563E-10</v>
      </c>
      <c r="M2" s="106">
        <v>0.63419000000000003</v>
      </c>
      <c r="N2" s="7">
        <v>0.34460000000000002</v>
      </c>
      <c r="O2" s="2">
        <f t="shared" ref="O2:O9" si="5">N2+M2</f>
        <v>0.97879000000000005</v>
      </c>
      <c r="P2" s="57">
        <v>12.57</v>
      </c>
      <c r="Q2" s="103">
        <f>M2*1E-24*E2</f>
        <v>3.1772279480672273E-2</v>
      </c>
    </row>
    <row r="3" spans="1:17">
      <c r="A3" s="9" t="s">
        <v>16</v>
      </c>
      <c r="B3" s="8">
        <v>56.6</v>
      </c>
      <c r="C3" s="8">
        <f t="shared" si="0"/>
        <v>2801.7000000000003</v>
      </c>
      <c r="D3" s="8">
        <v>239</v>
      </c>
      <c r="E3" s="2">
        <f>(B$21/D3)*6.022E+23</f>
        <v>4.9889372384937235E+22</v>
      </c>
      <c r="F3" s="6">
        <f t="shared" ref="F3:F9" si="6">((C3*1000)/D3)*6.022E+23</f>
        <v>7.0593461924686211E+27</v>
      </c>
      <c r="G3" s="8">
        <v>24110</v>
      </c>
      <c r="H3" s="8">
        <f t="shared" si="1"/>
        <v>760332960000</v>
      </c>
      <c r="I3" s="8" t="s">
        <v>15</v>
      </c>
      <c r="J3" s="10">
        <f t="shared" si="2"/>
        <v>2.5541316211976379E-9</v>
      </c>
      <c r="K3" s="11">
        <f t="shared" si="3"/>
        <v>2801.7000000000003</v>
      </c>
      <c r="L3" s="12">
        <f t="shared" si="4"/>
        <v>9.1163637120235491E-13</v>
      </c>
      <c r="M3" s="8">
        <v>1.54</v>
      </c>
      <c r="N3" s="7">
        <v>0.29304999999999998</v>
      </c>
      <c r="O3" s="8">
        <f t="shared" si="5"/>
        <v>1.8330500000000001</v>
      </c>
      <c r="P3" s="6">
        <v>12.54</v>
      </c>
      <c r="Q3" s="100">
        <f t="shared" ref="Q3:Q9" si="7">M3*1E-24*E3</f>
        <v>7.6829633472803333E-2</v>
      </c>
    </row>
    <row r="4" spans="1:17">
      <c r="A4" s="9" t="s">
        <v>17</v>
      </c>
      <c r="B4" s="8">
        <v>23.2</v>
      </c>
      <c r="C4" s="8">
        <f t="shared" si="0"/>
        <v>1148.3999999999999</v>
      </c>
      <c r="D4" s="8">
        <v>240</v>
      </c>
      <c r="E4" s="2">
        <f>(B$21/D4)*6.022E+23</f>
        <v>4.9681500000000003E+22</v>
      </c>
      <c r="F4" s="6">
        <f t="shared" si="6"/>
        <v>2.8815269999999994E+27</v>
      </c>
      <c r="G4" s="8">
        <v>6561</v>
      </c>
      <c r="H4" s="8">
        <f t="shared" si="1"/>
        <v>206907696000</v>
      </c>
      <c r="I4" s="8" t="s">
        <v>15</v>
      </c>
      <c r="J4" s="10">
        <f t="shared" si="2"/>
        <v>3.8471755161540294E-9</v>
      </c>
      <c r="K4" s="11">
        <f t="shared" si="3"/>
        <v>1148.3999999999999</v>
      </c>
      <c r="L4" s="12">
        <f t="shared" si="4"/>
        <v>3.3500309266405695E-12</v>
      </c>
      <c r="M4" s="7">
        <v>9.9470000000000003E-2</v>
      </c>
      <c r="N4" s="7">
        <v>0.37063000000000001</v>
      </c>
      <c r="O4" s="8">
        <f t="shared" si="5"/>
        <v>0.47010000000000002</v>
      </c>
      <c r="P4" s="6">
        <v>11.75</v>
      </c>
      <c r="Q4" s="100">
        <f t="shared" si="7"/>
        <v>4.9418188049999996E-3</v>
      </c>
    </row>
    <row r="5" spans="1:17">
      <c r="A5" s="9" t="s">
        <v>18</v>
      </c>
      <c r="B5" s="8">
        <v>13.9</v>
      </c>
      <c r="C5" s="8">
        <f t="shared" si="0"/>
        <v>688.05000000000007</v>
      </c>
      <c r="D5" s="8">
        <v>241</v>
      </c>
      <c r="E5" s="2">
        <f>(B$21/D5)*6.022E+23</f>
        <v>4.9475352697095437E+22</v>
      </c>
      <c r="F5" s="6">
        <f t="shared" si="6"/>
        <v>1.7192685062240669E+27</v>
      </c>
      <c r="G5" s="13">
        <v>14.324999999999999</v>
      </c>
      <c r="H5" s="8">
        <f t="shared" si="1"/>
        <v>451753200</v>
      </c>
      <c r="I5" s="8" t="s">
        <v>19</v>
      </c>
      <c r="J5" s="10">
        <f t="shared" si="2"/>
        <v>1.0557089968245281E-6</v>
      </c>
      <c r="K5" s="11">
        <f t="shared" si="3"/>
        <v>688.05000000000007</v>
      </c>
      <c r="L5" s="12">
        <f t="shared" si="4"/>
        <v>1.5343492432592516E-9</v>
      </c>
      <c r="M5" s="8">
        <v>2.15</v>
      </c>
      <c r="N5" s="7">
        <v>0.32162000000000002</v>
      </c>
      <c r="O5" s="8">
        <f t="shared" si="5"/>
        <v>2.4716199999999997</v>
      </c>
      <c r="P5" s="6">
        <v>12.24</v>
      </c>
      <c r="Q5" s="100">
        <f t="shared" si="7"/>
        <v>0.10637200829875518</v>
      </c>
    </row>
    <row r="6" spans="1:17">
      <c r="A6" s="14" t="s">
        <v>20</v>
      </c>
      <c r="B6" s="15">
        <v>4.7</v>
      </c>
      <c r="C6" s="15">
        <f t="shared" si="0"/>
        <v>232.65</v>
      </c>
      <c r="D6" s="15">
        <v>242</v>
      </c>
      <c r="E6" s="2">
        <f>(B$21/D6)*6.022E+23</f>
        <v>4.9270909090909091E+22</v>
      </c>
      <c r="F6" s="6">
        <f t="shared" si="6"/>
        <v>5.7893318181818186E+26</v>
      </c>
      <c r="G6" s="16">
        <v>375000</v>
      </c>
      <c r="H6" s="15">
        <f t="shared" si="1"/>
        <v>11826000000000</v>
      </c>
      <c r="I6" s="15" t="s">
        <v>15</v>
      </c>
      <c r="J6" s="17">
        <f t="shared" si="2"/>
        <v>1.3636114625170919E-11</v>
      </c>
      <c r="K6" s="18">
        <f t="shared" si="3"/>
        <v>232.65</v>
      </c>
      <c r="L6" s="19">
        <f t="shared" si="4"/>
        <v>5.8612141092503409E-14</v>
      </c>
      <c r="M6" s="7">
        <v>1.704E-2</v>
      </c>
      <c r="N6" s="7">
        <v>0.28391</v>
      </c>
      <c r="O6" s="8">
        <f t="shared" si="5"/>
        <v>0.30095</v>
      </c>
      <c r="P6" s="6">
        <v>12.83</v>
      </c>
      <c r="Q6" s="100">
        <f t="shared" si="7"/>
        <v>8.3957629090909084E-4</v>
      </c>
    </row>
    <row r="7" spans="1:17">
      <c r="A7" s="9" t="s">
        <v>21</v>
      </c>
      <c r="B7" s="8">
        <v>0.3</v>
      </c>
      <c r="C7" s="8">
        <f t="shared" si="0"/>
        <v>14.85</v>
      </c>
      <c r="D7" s="8">
        <v>241</v>
      </c>
      <c r="E7" s="8">
        <f>(C21/D7)*6.022E+23</f>
        <v>2.99850622406639E+22</v>
      </c>
      <c r="F7" s="6">
        <f t="shared" si="6"/>
        <v>3.7106514522821578E+25</v>
      </c>
      <c r="G7" s="13">
        <v>432.6</v>
      </c>
      <c r="H7" s="8">
        <f t="shared" si="1"/>
        <v>13642473600</v>
      </c>
      <c r="I7" s="8" t="s">
        <v>15</v>
      </c>
      <c r="J7" s="10">
        <f t="shared" si="2"/>
        <v>7.5449921569320005E-10</v>
      </c>
      <c r="K7" s="11">
        <f t="shared" si="3"/>
        <v>14.85</v>
      </c>
      <c r="L7" s="12">
        <f t="shared" si="4"/>
        <v>5.0808027992808087E-11</v>
      </c>
      <c r="M7" s="7">
        <v>1.404E-2</v>
      </c>
      <c r="N7" s="8">
        <v>1.73</v>
      </c>
      <c r="O7" s="8">
        <f t="shared" si="5"/>
        <v>1.74404</v>
      </c>
      <c r="P7" s="6">
        <v>13.19</v>
      </c>
      <c r="Q7" s="100">
        <f t="shared" si="7"/>
        <v>4.209902738589211E-4</v>
      </c>
    </row>
    <row r="8" spans="1:17">
      <c r="A8" s="20" t="s">
        <v>22</v>
      </c>
      <c r="B8" s="8">
        <v>0.7</v>
      </c>
      <c r="C8" s="8">
        <f>B8/100*B$15</f>
        <v>196.34999999999997</v>
      </c>
      <c r="D8" s="8">
        <v>235</v>
      </c>
      <c r="E8" s="8">
        <f>(A$21/D8)*6.022E+23</f>
        <v>4.8944765957446811E+22</v>
      </c>
      <c r="F8" s="6">
        <f t="shared" si="6"/>
        <v>5.0315731914893614E+26</v>
      </c>
      <c r="G8" s="21">
        <v>704000000</v>
      </c>
      <c r="H8" s="15">
        <f t="shared" si="1"/>
        <v>2.2201344E+16</v>
      </c>
      <c r="I8" s="8" t="s">
        <v>15</v>
      </c>
      <c r="J8" s="10">
        <f>K8*L8</f>
        <v>6.1302346787178843E-15</v>
      </c>
      <c r="K8" s="8">
        <f t="shared" si="3"/>
        <v>196.34999999999997</v>
      </c>
      <c r="L8" s="19">
        <f t="shared" si="4"/>
        <v>3.1220955837626104E-17</v>
      </c>
      <c r="M8" s="8">
        <v>1.62</v>
      </c>
      <c r="N8" s="7">
        <v>0.41808000000000001</v>
      </c>
      <c r="O8" s="8">
        <f t="shared" si="5"/>
        <v>2.0380799999999999</v>
      </c>
      <c r="P8" s="6">
        <v>12.2</v>
      </c>
      <c r="Q8" s="100">
        <f t="shared" si="7"/>
        <v>7.9290520851063834E-2</v>
      </c>
    </row>
    <row r="9" spans="1:17">
      <c r="A9" s="20" t="s">
        <v>23</v>
      </c>
      <c r="B9" s="8">
        <f>100-B8</f>
        <v>99.3</v>
      </c>
      <c r="C9" s="8">
        <f>B9/100*B$15</f>
        <v>27853.65</v>
      </c>
      <c r="D9" s="8">
        <v>238</v>
      </c>
      <c r="E9" s="8">
        <f>(A$21/D9)*6.022E+23</f>
        <v>4.8327815126050425E+22</v>
      </c>
      <c r="F9" s="6">
        <f t="shared" si="6"/>
        <v>7.0476756428571435E+28</v>
      </c>
      <c r="G9" s="22">
        <v>4468000000</v>
      </c>
      <c r="H9" s="7">
        <f t="shared" si="1"/>
        <v>1.40902848E+17</v>
      </c>
      <c r="I9" s="8" t="s">
        <v>15</v>
      </c>
      <c r="J9" s="10">
        <f>K9*L9</f>
        <v>1.3702121170612194E-13</v>
      </c>
      <c r="K9" s="8">
        <f>C9</f>
        <v>27853.65</v>
      </c>
      <c r="L9" s="12">
        <f t="shared" si="4"/>
        <v>4.9193269717298071E-18</v>
      </c>
      <c r="M9" s="112">
        <v>5.6570000000000002E-5</v>
      </c>
      <c r="N9" s="7">
        <v>0.17843999999999999</v>
      </c>
      <c r="O9" s="8">
        <f t="shared" si="5"/>
        <v>0.17849656999999999</v>
      </c>
      <c r="P9" s="6">
        <v>11.95</v>
      </c>
      <c r="Q9" s="100">
        <f t="shared" si="7"/>
        <v>2.7339045016806722E-6</v>
      </c>
    </row>
    <row r="10" spans="1:17" ht="15" thickBot="1">
      <c r="J10" s="23"/>
      <c r="M10" s="23"/>
      <c r="N10" s="23"/>
      <c r="Q10" s="23"/>
    </row>
    <row r="11" spans="1:17" ht="15.75" thickBot="1">
      <c r="A11" s="104" t="s">
        <v>24</v>
      </c>
      <c r="B11" s="104" t="s">
        <v>25</v>
      </c>
      <c r="C11" s="104" t="s">
        <v>26</v>
      </c>
      <c r="E11" s="99"/>
      <c r="M11" s="23"/>
    </row>
    <row r="12" spans="1:17">
      <c r="A12" s="2">
        <v>30</v>
      </c>
      <c r="B12" s="2">
        <f>A12*365*24*3600</f>
        <v>946080000</v>
      </c>
      <c r="C12" s="2">
        <f>B12/30</f>
        <v>31536000</v>
      </c>
    </row>
    <row r="13" spans="1:17" ht="15" thickBot="1">
      <c r="A13" s="23"/>
      <c r="B13" s="23"/>
      <c r="C13" s="23"/>
      <c r="E13" s="96"/>
    </row>
    <row r="14" spans="1:17" ht="15.75" thickBot="1">
      <c r="A14" s="104" t="s">
        <v>27</v>
      </c>
      <c r="B14" s="104" t="s">
        <v>28</v>
      </c>
      <c r="C14" s="104" t="s">
        <v>75</v>
      </c>
    </row>
    <row r="15" spans="1:17">
      <c r="A15" s="57">
        <f>A18*B18/100</f>
        <v>4950</v>
      </c>
      <c r="B15" s="102">
        <f>(100-A18)*B18/100</f>
        <v>28050</v>
      </c>
      <c r="C15" s="103">
        <v>30000000</v>
      </c>
    </row>
    <row r="16" spans="1:17" ht="15" thickBot="1">
      <c r="A16" s="23"/>
      <c r="B16" s="23"/>
      <c r="C16" s="23"/>
    </row>
    <row r="17" spans="1:5" ht="15.75" thickBot="1">
      <c r="A17" s="104" t="s">
        <v>29</v>
      </c>
      <c r="B17" s="104" t="s">
        <v>30</v>
      </c>
      <c r="C17" s="104" t="s">
        <v>67</v>
      </c>
      <c r="D17" s="104" t="s">
        <v>76</v>
      </c>
    </row>
    <row r="18" spans="1:5">
      <c r="A18" s="2">
        <v>15</v>
      </c>
      <c r="B18" s="57">
        <f>C18*1000</f>
        <v>33000</v>
      </c>
      <c r="C18" s="102">
        <v>33</v>
      </c>
      <c r="D18" s="113">
        <f>B18/(B24*1000)*1000000</f>
        <v>2869565.2173913042</v>
      </c>
    </row>
    <row r="19" spans="1:5" ht="15" thickBot="1">
      <c r="A19" s="23"/>
      <c r="B19" s="23"/>
      <c r="C19" s="23"/>
      <c r="E19" s="96"/>
    </row>
    <row r="20" spans="1:5" ht="15.75" thickBot="1">
      <c r="A20" s="104" t="s">
        <v>57</v>
      </c>
      <c r="B20" s="104" t="s">
        <v>58</v>
      </c>
      <c r="C20" s="104" t="s">
        <v>60</v>
      </c>
      <c r="D20" s="98" t="s">
        <v>80</v>
      </c>
    </row>
    <row r="21" spans="1:5">
      <c r="A21" s="102">
        <v>19.100000000000001</v>
      </c>
      <c r="B21" s="111">
        <f>19.8</f>
        <v>19.8</v>
      </c>
      <c r="C21" s="110">
        <v>12</v>
      </c>
      <c r="D21" s="100">
        <f>D18/1000000</f>
        <v>2.8695652173913042</v>
      </c>
    </row>
    <row r="22" spans="1:5" ht="15" thickBot="1">
      <c r="A22" s="23"/>
      <c r="B22" s="23"/>
      <c r="C22" s="23"/>
    </row>
    <row r="23" spans="1:5" ht="15.75" thickBot="1">
      <c r="A23" s="104" t="s">
        <v>61</v>
      </c>
      <c r="B23" s="109" t="s">
        <v>62</v>
      </c>
      <c r="C23" s="104" t="s">
        <v>64</v>
      </c>
    </row>
    <row r="24" spans="1:5">
      <c r="A24" s="102">
        <v>10.97</v>
      </c>
      <c r="B24" s="102">
        <v>11.5</v>
      </c>
      <c r="C24" s="102">
        <f>11680/1000</f>
        <v>11.68</v>
      </c>
    </row>
    <row r="25" spans="1:5" ht="15" thickBot="1">
      <c r="A25" s="23"/>
      <c r="B25" s="23"/>
      <c r="C25" s="23"/>
    </row>
    <row r="26" spans="1:5" ht="15.75" thickBot="1">
      <c r="A26" s="104" t="s">
        <v>65</v>
      </c>
      <c r="B26" s="104" t="s">
        <v>73</v>
      </c>
      <c r="C26" s="104" t="s">
        <v>69</v>
      </c>
      <c r="D26" s="104" t="s">
        <v>66</v>
      </c>
    </row>
    <row r="27" spans="1:5">
      <c r="A27" s="102">
        <v>365</v>
      </c>
      <c r="B27" s="102">
        <v>3000</v>
      </c>
      <c r="C27" s="102">
        <v>1200</v>
      </c>
      <c r="D27" s="102">
        <f>(B27*A27)/C18</f>
        <v>33181.818181818184</v>
      </c>
    </row>
    <row r="28" spans="1:5" ht="15" thickBot="1">
      <c r="A28" s="23"/>
      <c r="B28" s="23"/>
      <c r="C28" s="23"/>
    </row>
    <row r="29" spans="1:5" ht="15.75" thickBot="1">
      <c r="A29" s="104" t="s">
        <v>68</v>
      </c>
      <c r="B29" s="109" t="s">
        <v>74</v>
      </c>
      <c r="C29" s="104" t="s">
        <v>77</v>
      </c>
      <c r="D29" s="104" t="s">
        <v>72</v>
      </c>
      <c r="E29" s="98" t="s">
        <v>85</v>
      </c>
    </row>
    <row r="30" spans="1:5">
      <c r="A30" s="102">
        <v>200</v>
      </c>
      <c r="B30" s="102">
        <f>A30*1000000*1.6E-19</f>
        <v>3.1999999999999999E-11</v>
      </c>
      <c r="C30" s="103">
        <f>C33*D33</f>
        <v>32670454545454.547</v>
      </c>
      <c r="D30" s="113">
        <f>B30*C30</f>
        <v>1045.4545454545455</v>
      </c>
      <c r="E30" s="100">
        <f>D30*D18/1000000</f>
        <v>3000</v>
      </c>
    </row>
    <row r="31" spans="1:5" ht="15.75" thickBot="1">
      <c r="A31" s="23"/>
      <c r="B31" s="23"/>
      <c r="C31" s="108" t="s">
        <v>71</v>
      </c>
      <c r="D31" s="108" t="s">
        <v>70</v>
      </c>
    </row>
    <row r="32" spans="1:5" ht="15.75" thickBot="1">
      <c r="A32" s="104" t="s">
        <v>83</v>
      </c>
      <c r="B32" s="104" t="s">
        <v>79</v>
      </c>
      <c r="C32" s="98" t="s">
        <v>78</v>
      </c>
      <c r="D32" s="98" t="s">
        <v>82</v>
      </c>
    </row>
    <row r="33" spans="1:4">
      <c r="A33" s="102">
        <f>B27*1000000/B30</f>
        <v>9.375E+19</v>
      </c>
      <c r="B33" s="103">
        <f>A33/D18</f>
        <v>32670454545454.547</v>
      </c>
      <c r="C33" s="100">
        <f>SUM(Q2:Q9)</f>
        <v>0.30046956137756431</v>
      </c>
      <c r="D33" s="100">
        <f>B33/C33</f>
        <v>108731328377058.06</v>
      </c>
    </row>
    <row r="35" spans="1:4" ht="15">
      <c r="C35" s="114" t="s">
        <v>84</v>
      </c>
    </row>
    <row r="37" spans="1:4">
      <c r="B37" s="101">
        <f>1/C33</f>
        <v>3.3281241381499509</v>
      </c>
    </row>
    <row r="40" spans="1:4">
      <c r="A40">
        <f>5/0.15</f>
        <v>33.333333333333336</v>
      </c>
    </row>
    <row r="45" spans="1:4">
      <c r="A45">
        <f>(0.69/2)^2*PI()</f>
        <v>0.37392806559352504</v>
      </c>
      <c r="B45">
        <f>440/0.37</f>
        <v>1189.1891891891892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V64"/>
  <sheetViews>
    <sheetView workbookViewId="0">
      <selection activeCell="F2" sqref="F2"/>
    </sheetView>
  </sheetViews>
  <sheetFormatPr baseColWidth="10" defaultRowHeight="14.25"/>
  <cols>
    <col min="1" max="1" width="21.75" style="29" customWidth="1"/>
    <col min="2" max="4" width="11.875" style="29" customWidth="1"/>
    <col min="5" max="5" width="12.75" style="24" bestFit="1" customWidth="1"/>
    <col min="6" max="6" width="13.375" style="29" bestFit="1" customWidth="1"/>
    <col min="7" max="7" width="14.375" style="70" bestFit="1" customWidth="1"/>
    <col min="8" max="8" width="13.25" style="29" customWidth="1"/>
    <col min="9" max="9" width="12.75" style="24" bestFit="1" customWidth="1"/>
    <col min="10" max="10" width="13.375" style="29" bestFit="1" customWidth="1"/>
    <col min="11" max="11" width="17.25" style="70" customWidth="1"/>
    <col min="12" max="12" width="13.375" style="29" bestFit="1" customWidth="1"/>
    <col min="13" max="13" width="17.25" style="70" customWidth="1"/>
    <col min="14" max="14" width="13.375" style="29" bestFit="1" customWidth="1"/>
    <col min="15" max="15" width="34.5" style="70" customWidth="1"/>
    <col min="16" max="16" width="13.375" style="29" bestFit="1" customWidth="1"/>
    <col min="17" max="17" width="13.375" style="29" customWidth="1"/>
    <col min="18" max="18" width="11" style="29" customWidth="1"/>
    <col min="19" max="19" width="34.125" style="29" bestFit="1" customWidth="1"/>
    <col min="20" max="20" width="14.125" style="29" bestFit="1" customWidth="1"/>
    <col min="21" max="21" width="34.125" style="29" bestFit="1" customWidth="1"/>
    <col min="22" max="22" width="11" style="29" customWidth="1"/>
    <col min="23" max="16384" width="11" style="29"/>
  </cols>
  <sheetData>
    <row r="1" spans="1:22" ht="15.75" thickBot="1">
      <c r="A1" s="87" t="s">
        <v>31</v>
      </c>
      <c r="B1" s="89" t="s">
        <v>32</v>
      </c>
      <c r="C1" s="25" t="s">
        <v>33</v>
      </c>
      <c r="D1" s="25" t="s">
        <v>34</v>
      </c>
      <c r="E1" s="26" t="s">
        <v>35</v>
      </c>
      <c r="F1" s="27" t="s">
        <v>36</v>
      </c>
      <c r="G1" s="28" t="s">
        <v>37</v>
      </c>
      <c r="H1" s="27" t="s">
        <v>56</v>
      </c>
      <c r="I1" s="26" t="s">
        <v>38</v>
      </c>
      <c r="J1" s="27" t="s">
        <v>39</v>
      </c>
      <c r="K1" s="26" t="s">
        <v>40</v>
      </c>
      <c r="L1" s="27" t="s">
        <v>41</v>
      </c>
      <c r="M1" s="26" t="s">
        <v>42</v>
      </c>
      <c r="N1" s="27" t="s">
        <v>43</v>
      </c>
      <c r="O1" s="26" t="s">
        <v>44</v>
      </c>
      <c r="P1" s="25" t="s">
        <v>45</v>
      </c>
      <c r="Q1" s="79" t="s">
        <v>46</v>
      </c>
      <c r="S1" s="28" t="s">
        <v>55</v>
      </c>
      <c r="T1" s="30" t="s">
        <v>47</v>
      </c>
      <c r="U1" s="28" t="s">
        <v>54</v>
      </c>
      <c r="V1" s="30" t="s">
        <v>48</v>
      </c>
    </row>
    <row r="2" spans="1:22" ht="15" thickBot="1">
      <c r="A2" s="84" t="s">
        <v>49</v>
      </c>
      <c r="B2" s="83">
        <v>0</v>
      </c>
      <c r="C2" s="31">
        <f t="shared" ref="C2:C32" si="0">D2/(3600*365*24)</f>
        <v>0</v>
      </c>
      <c r="D2" s="32">
        <f t="shared" ref="D2:D32" si="1">B2*A$5</f>
        <v>0</v>
      </c>
      <c r="E2" s="33">
        <f>Données!K2</f>
        <v>64.350000000000009</v>
      </c>
      <c r="F2" s="34">
        <f>-E2*Données!L$2</f>
        <v>-1.6127528275239147E-8</v>
      </c>
      <c r="G2" s="35">
        <f>Données!K3</f>
        <v>2801.7000000000003</v>
      </c>
      <c r="H2" s="36">
        <f>-G2*Données!L$3</f>
        <v>-2.5541316211976379E-9</v>
      </c>
      <c r="I2" s="33">
        <f>Données!K4</f>
        <v>1148.3999999999999</v>
      </c>
      <c r="J2" s="37">
        <f>-I2*Données!L$4</f>
        <v>-3.8471755161540294E-9</v>
      </c>
      <c r="K2" s="38">
        <f>Données!K5</f>
        <v>688.05000000000007</v>
      </c>
      <c r="L2" s="39">
        <f>-K2*Données!L$5</f>
        <v>-1.0557089968245281E-6</v>
      </c>
      <c r="M2" s="33">
        <f>Données!K6</f>
        <v>232.65</v>
      </c>
      <c r="N2" s="37">
        <f>-M2*Données!L$6</f>
        <v>-1.3636114625170919E-11</v>
      </c>
      <c r="O2" s="38">
        <f>Données!K7</f>
        <v>14.85</v>
      </c>
      <c r="P2" s="40">
        <f>-O2*Données!L$7</f>
        <v>-7.5449921569320005E-10</v>
      </c>
      <c r="Q2" s="80">
        <v>0</v>
      </c>
      <c r="S2" s="93">
        <f>Données!K8</f>
        <v>196.34999999999997</v>
      </c>
      <c r="T2" s="73">
        <f>-S2*Données!L$8</f>
        <v>-6.1302346787178843E-15</v>
      </c>
      <c r="U2" s="90">
        <f>Données!K9</f>
        <v>27853.65</v>
      </c>
      <c r="V2" s="76">
        <f>-U2*Données!L$9</f>
        <v>-1.3702121170612194E-13</v>
      </c>
    </row>
    <row r="3" spans="1:22" ht="15" thickBot="1">
      <c r="B3" s="42">
        <f t="shared" ref="B3:B32" si="2">B2+1</f>
        <v>1</v>
      </c>
      <c r="C3" s="6">
        <f t="shared" si="0"/>
        <v>1</v>
      </c>
      <c r="D3" s="43">
        <f t="shared" si="1"/>
        <v>31536000</v>
      </c>
      <c r="E3" s="44">
        <f t="shared" ref="E3:E32" si="3">E2+F2*A$5</f>
        <v>63.841402268312066</v>
      </c>
      <c r="F3" s="45">
        <f>-E3*Données!L$2</f>
        <v>-1.6000062474174345E-8</v>
      </c>
      <c r="G3" s="46">
        <f t="shared" ref="G3:G32" si="4">G2+H2*A$5</f>
        <v>2801.6194529051941</v>
      </c>
      <c r="H3" s="47">
        <f>-G3*Données!L$3</f>
        <v>-2.5540581915364179E-9</v>
      </c>
      <c r="I3" s="44">
        <f t="shared" ref="I3:I32" si="5">I2+J2*A$5</f>
        <v>1148.2786754729225</v>
      </c>
      <c r="J3" s="48">
        <f>-I3*Données!L$4</f>
        <v>-3.8467690752361601E-9</v>
      </c>
      <c r="K3" s="49">
        <f t="shared" ref="K3:K32" si="6">K2+L2*A$5</f>
        <v>654.75716107614176</v>
      </c>
      <c r="L3" s="50">
        <f>-K3*Données!L$5</f>
        <v>-1.0046261546157541E-6</v>
      </c>
      <c r="M3" s="44">
        <f t="shared" ref="M3:M32" si="7">M2+N2*A$5</f>
        <v>232.6495699714892</v>
      </c>
      <c r="N3" s="48">
        <f>-M3*Données!L$6</f>
        <v>-1.363608942027917E-11</v>
      </c>
      <c r="O3" s="49">
        <f t="shared" ref="O3:O32" si="8">O2+P2*A$5-L2*A$5</f>
        <v>48.119045036592219</v>
      </c>
      <c r="P3" s="51">
        <f>-O3*Données!L$7</f>
        <v>-2.4448337872063706E-9</v>
      </c>
      <c r="Q3" s="81">
        <f>((E$2-E3)/Données!D$2+(G$2-G3)/Données!D$3+(I$2-I3)/Données!D$4+(M$2-M3)/Données!D$6+(O$34-O35)/Données!D$7)*6.022E+23</f>
        <v>1.8547808507776629E+21</v>
      </c>
      <c r="S3" s="94">
        <f>S2+T2*A$5-H2*A$5</f>
        <v>196.43054690148298</v>
      </c>
      <c r="T3" s="74">
        <f>-S3*Données!L$8</f>
        <v>-6.1327494299719436E-15</v>
      </c>
      <c r="U3" s="91">
        <f>U2+V2*A$5-N2*A$5</f>
        <v>27853.650425707412</v>
      </c>
      <c r="V3" s="77">
        <f>-U3*Données!L$9</f>
        <v>-1.3702121380031591E-13</v>
      </c>
    </row>
    <row r="4" spans="1:22" ht="15.75" thickBot="1">
      <c r="A4" s="87" t="s">
        <v>50</v>
      </c>
      <c r="B4" s="88">
        <f t="shared" si="2"/>
        <v>2</v>
      </c>
      <c r="C4" s="6">
        <f t="shared" si="0"/>
        <v>2</v>
      </c>
      <c r="D4" s="43">
        <f t="shared" si="1"/>
        <v>63072000</v>
      </c>
      <c r="E4" s="44">
        <f t="shared" si="3"/>
        <v>63.336824298126501</v>
      </c>
      <c r="F4" s="45">
        <f>-E4*Données!L$2</f>
        <v>-1.5873604113937664E-8</v>
      </c>
      <c r="G4" s="46">
        <f t="shared" si="4"/>
        <v>2801.538908126066</v>
      </c>
      <c r="H4" s="47">
        <f>-G4*Données!L$3</f>
        <v>-2.5539847639862545E-9</v>
      </c>
      <c r="I4" s="44">
        <f t="shared" si="5"/>
        <v>1148.1573637633658</v>
      </c>
      <c r="J4" s="48">
        <f>-I4*Données!L$4</f>
        <v>-3.8463626772573821E-9</v>
      </c>
      <c r="K4" s="49">
        <f t="shared" si="6"/>
        <v>623.07527066417936</v>
      </c>
      <c r="L4" s="50">
        <f>-K4*Données!L$5</f>
        <v>-9.5601507003713696E-7</v>
      </c>
      <c r="M4" s="44">
        <f t="shared" si="7"/>
        <v>232.64913994377324</v>
      </c>
      <c r="N4" s="48">
        <f>-M4*Données!L$6</f>
        <v>-1.3636064215434008E-11</v>
      </c>
      <c r="O4" s="49">
        <f t="shared" si="8"/>
        <v>79.723835170241301</v>
      </c>
      <c r="P4" s="51">
        <f>-O4*Données!L$7</f>
        <v>-4.0506108490236376E-9</v>
      </c>
      <c r="Q4" s="81">
        <f>((E$2-E4)/Données!D$2+(G$2-G4)/Données!D$3+(I$2-I4)/Données!D$4+(M$2-M4)/Données!D$6+(O$34-O36)/Données!D$7)*6.022E+23</f>
        <v>3.6992574297283316E+21</v>
      </c>
      <c r="S4" s="94">
        <f t="shared" ref="S4:S32" si="9">S3+T3*A$5-H3*A$5</f>
        <v>196.51109148720889</v>
      </c>
      <c r="T4" s="74">
        <f>-S4*Données!L$8</f>
        <v>-6.1352641089258518E-15</v>
      </c>
      <c r="U4" s="91">
        <f t="shared" ref="U4:U32" si="10">U3+V3*A$5-N3*A$5</f>
        <v>27853.650851414026</v>
      </c>
      <c r="V4" s="77">
        <f>-U4*Données!L$9</f>
        <v>-1.3702121589450591E-13</v>
      </c>
    </row>
    <row r="5" spans="1:22" ht="15" thickBot="1">
      <c r="A5" s="84">
        <f>3600*365*24</f>
        <v>31536000</v>
      </c>
      <c r="B5" s="85">
        <f t="shared" si="2"/>
        <v>3</v>
      </c>
      <c r="C5" s="53">
        <f t="shared" si="0"/>
        <v>3</v>
      </c>
      <c r="D5" s="43">
        <f t="shared" si="1"/>
        <v>94608000</v>
      </c>
      <c r="E5" s="44">
        <f t="shared" si="3"/>
        <v>62.836234318789366</v>
      </c>
      <c r="F5" s="45">
        <f>-E5*Données!L$2</f>
        <v>-1.5748145232102995E-8</v>
      </c>
      <c r="G5" s="46">
        <f t="shared" si="4"/>
        <v>2801.4583656625491</v>
      </c>
      <c r="H5" s="47">
        <f>-G5*Données!L$3</f>
        <v>-2.5539113385470863E-9</v>
      </c>
      <c r="I5" s="44">
        <f t="shared" si="5"/>
        <v>1148.0360648699757</v>
      </c>
      <c r="J5" s="48">
        <f>-I5*Données!L$4</f>
        <v>-3.8459563222131573E-9</v>
      </c>
      <c r="K5" s="49">
        <f t="shared" si="6"/>
        <v>592.92637941548821</v>
      </c>
      <c r="L5" s="50">
        <f>-K5*Données!L$5</f>
        <v>-9.0975614156460219E-7</v>
      </c>
      <c r="M5" s="44">
        <f t="shared" si="7"/>
        <v>232.64870991685214</v>
      </c>
      <c r="N5" s="48">
        <f>-M5*Données!L$6</f>
        <v>-1.3636039010635435E-11</v>
      </c>
      <c r="O5" s="49">
        <f t="shared" si="8"/>
        <v>109.74498635519765</v>
      </c>
      <c r="P5" s="51">
        <f>-O5*Données!L$7</f>
        <v>-5.5759263388052241E-9</v>
      </c>
      <c r="Q5" s="81">
        <f>((E$2-E5)/Données!D$2+(G$2-G5)/Données!D$3+(I$2-I5)/Données!D$4+(M$2-M5)/Données!D$6+(O$34-O37)/Données!D$7)*6.022E+23</f>
        <v>5.5335102808212227E+21</v>
      </c>
      <c r="S5" s="94">
        <f t="shared" si="9"/>
        <v>196.59163375724427</v>
      </c>
      <c r="T5" s="74">
        <f>-S5*Données!L$8</f>
        <v>-6.1377787155816882E-15</v>
      </c>
      <c r="U5" s="91">
        <f t="shared" si="10"/>
        <v>27853.651277119847</v>
      </c>
      <c r="V5" s="77">
        <f>-U5*Données!L$9</f>
        <v>-1.3702121798869205E-13</v>
      </c>
    </row>
    <row r="6" spans="1:22" ht="15" thickBot="1">
      <c r="B6" s="54">
        <f t="shared" si="2"/>
        <v>4</v>
      </c>
      <c r="C6" s="8">
        <f t="shared" si="0"/>
        <v>4</v>
      </c>
      <c r="D6" s="55">
        <f t="shared" si="1"/>
        <v>126144000</v>
      </c>
      <c r="E6" s="44">
        <f t="shared" si="3"/>
        <v>62.339600810749765</v>
      </c>
      <c r="F6" s="45">
        <f>-E6*Données!L$2</f>
        <v>-1.5623677929176189E-8</v>
      </c>
      <c r="G6" s="46">
        <f t="shared" si="4"/>
        <v>2801.3778255145767</v>
      </c>
      <c r="H6" s="47">
        <f>-G6*Données!L$3</f>
        <v>-2.5538379152188524E-9</v>
      </c>
      <c r="I6" s="44">
        <f t="shared" si="5"/>
        <v>1147.9147787913985</v>
      </c>
      <c r="J6" s="48">
        <f>-I6*Données!L$4</f>
        <v>-3.8455500100989528E-9</v>
      </c>
      <c r="K6" s="49">
        <f t="shared" si="6"/>
        <v>564.23630973510694</v>
      </c>
      <c r="L6" s="50">
        <f>-K6*Données!L$5</f>
        <v>-8.6573555486145404E-7</v>
      </c>
      <c r="M6" s="44">
        <f t="shared" si="7"/>
        <v>232.64827989072589</v>
      </c>
      <c r="N6" s="48">
        <f>-M6*Données!L$6</f>
        <v>-1.363601380588345E-11</v>
      </c>
      <c r="O6" s="49">
        <f t="shared" si="8"/>
        <v>138.25921362255838</v>
      </c>
      <c r="P6" s="51">
        <f>-O6*Données!L$7</f>
        <v>-7.0246779959985791E-9</v>
      </c>
      <c r="Q6" s="81">
        <f>((E$2-E6)/Données!D$2+(G$2-G6)/Données!D$3+(I$2-I6)/Données!D$4+(M$2-M6)/Données!D$6+(O$34-O38)/Données!D$7)*6.022E+23</f>
        <v>7.3576193124265278E+21</v>
      </c>
      <c r="S6" s="94">
        <f t="shared" si="9"/>
        <v>196.67217371165569</v>
      </c>
      <c r="T6" s="74">
        <f>-S6*Données!L$8</f>
        <v>-6.1402932499415316E-15</v>
      </c>
      <c r="U6" s="91">
        <f t="shared" si="10"/>
        <v>27853.651702824875</v>
      </c>
      <c r="V6" s="77">
        <f>-U6*Données!L$9</f>
        <v>-1.3702122008287428E-13</v>
      </c>
    </row>
    <row r="7" spans="1:22" ht="15.75" thickBot="1">
      <c r="A7" s="87" t="s">
        <v>51</v>
      </c>
      <c r="B7" s="86">
        <f t="shared" si="2"/>
        <v>5</v>
      </c>
      <c r="C7" s="8">
        <f t="shared" si="0"/>
        <v>5</v>
      </c>
      <c r="D7" s="55">
        <f t="shared" si="1"/>
        <v>157680000</v>
      </c>
      <c r="E7" s="44">
        <f t="shared" si="3"/>
        <v>61.846892503575262</v>
      </c>
      <c r="F7" s="45">
        <f>-E7*Données!L$2</f>
        <v>-1.5500194368097681E-8</v>
      </c>
      <c r="G7" s="46">
        <f t="shared" si="4"/>
        <v>2801.2972876820822</v>
      </c>
      <c r="H7" s="47">
        <f>-G7*Données!L$3</f>
        <v>-2.5537644940014929E-9</v>
      </c>
      <c r="I7" s="44">
        <f t="shared" si="5"/>
        <v>1147.7935055262799</v>
      </c>
      <c r="J7" s="48">
        <f>-I7*Données!L$4</f>
        <v>-3.8451437409102307E-9</v>
      </c>
      <c r="K7" s="49">
        <f t="shared" si="6"/>
        <v>536.93447327699619</v>
      </c>
      <c r="L7" s="50">
        <f>-K7*Données!L$5</f>
        <v>-8.2384500275236392E-7</v>
      </c>
      <c r="M7" s="44">
        <f t="shared" si="7"/>
        <v>232.64784986539451</v>
      </c>
      <c r="N7" s="48">
        <f>-M7*Données!L$6</f>
        <v>-1.3635988601178053E-11</v>
      </c>
      <c r="O7" s="49">
        <f t="shared" si="8"/>
        <v>165.33951983538739</v>
      </c>
      <c r="P7" s="51">
        <f>-O7*Données!L$7</f>
        <v>-8.40057495211381E-9</v>
      </c>
      <c r="Q7" s="81">
        <f>((E$2-E7)/Données!D$2+(G$2-G7)/Données!D$3+(I$2-I7)/Données!D$4+(M$2-M7)/Données!D$6+(O$34-O39)/Données!D$7)*6.022E+23</f>
        <v>9.1716638023376133E+21</v>
      </c>
      <c r="S7" s="94">
        <f t="shared" si="9"/>
        <v>196.75271135050974</v>
      </c>
      <c r="T7" s="74">
        <f>-S7*Données!L$8</f>
        <v>-6.1428077120074606E-15</v>
      </c>
      <c r="U7" s="91">
        <f t="shared" si="10"/>
        <v>27853.652128529106</v>
      </c>
      <c r="V7" s="77">
        <f>-U7*Données!L$9</f>
        <v>-1.3702122217705257E-13</v>
      </c>
    </row>
    <row r="8" spans="1:22" ht="15" thickBot="1">
      <c r="A8" s="84" t="s">
        <v>52</v>
      </c>
      <c r="B8" s="86">
        <f t="shared" si="2"/>
        <v>6</v>
      </c>
      <c r="C8" s="8">
        <f t="shared" si="0"/>
        <v>6</v>
      </c>
      <c r="D8" s="55">
        <f t="shared" si="1"/>
        <v>189216000</v>
      </c>
      <c r="E8" s="44">
        <f t="shared" si="3"/>
        <v>61.358078373982934</v>
      </c>
      <c r="F8" s="45">
        <f>-E8*Données!L$2</f>
        <v>-1.5377686773749016E-8</v>
      </c>
      <c r="G8" s="46">
        <f t="shared" si="4"/>
        <v>2801.2167521649994</v>
      </c>
      <c r="H8" s="47">
        <f>-G8*Données!L$3</f>
        <v>-2.5536910748949464E-9</v>
      </c>
      <c r="I8" s="44">
        <f t="shared" si="5"/>
        <v>1147.6722450732666</v>
      </c>
      <c r="J8" s="48">
        <f>-I8*Données!L$4</f>
        <v>-3.8447375146424581E-9</v>
      </c>
      <c r="K8" s="49">
        <f t="shared" si="6"/>
        <v>510.95369727019761</v>
      </c>
      <c r="L8" s="50">
        <f>-K8*Données!L$5</f>
        <v>-7.8398141874704438E-7</v>
      </c>
      <c r="M8" s="44">
        <f t="shared" si="7"/>
        <v>232.64741984085799</v>
      </c>
      <c r="N8" s="48">
        <f>-M8*Données!L$6</f>
        <v>-1.3635963396519245E-11</v>
      </c>
      <c r="O8" s="49">
        <f t="shared" si="8"/>
        <v>191.05537531049609</v>
      </c>
      <c r="P8" s="51">
        <f>-O8*Données!L$7</f>
        <v>-9.7071468569521405E-9</v>
      </c>
      <c r="Q8" s="81">
        <f>((E$2-E8)/Données!D$2+(G$2-G8)/Données!D$3+(I$2-I8)/Données!D$4+(M$2-M8)/Données!D$6+(O$34-O40)/Données!D$7)*6.022E+23</f>
        <v>1.0975722402751262E+22</v>
      </c>
      <c r="S8" s="94">
        <f t="shared" si="9"/>
        <v>196.83324667387299</v>
      </c>
      <c r="T8" s="74">
        <f>-S8*Données!L$8</f>
        <v>-6.1453221017815539E-15</v>
      </c>
      <c r="U8" s="91">
        <f t="shared" si="10"/>
        <v>27853.652554232543</v>
      </c>
      <c r="V8" s="77">
        <f>-U8*Données!L$9</f>
        <v>-1.3702122427122698E-13</v>
      </c>
    </row>
    <row r="9" spans="1:22">
      <c r="B9" s="54">
        <f t="shared" si="2"/>
        <v>7</v>
      </c>
      <c r="C9" s="8">
        <f t="shared" si="0"/>
        <v>7</v>
      </c>
      <c r="D9" s="55">
        <f t="shared" si="1"/>
        <v>220752000</v>
      </c>
      <c r="E9" s="44">
        <f t="shared" si="3"/>
        <v>60.873127643885987</v>
      </c>
      <c r="F9" s="45">
        <f>-E9*Données!L$2</f>
        <v>-1.5256147432463291E-8</v>
      </c>
      <c r="G9" s="46">
        <f t="shared" si="4"/>
        <v>2801.1362189632614</v>
      </c>
      <c r="H9" s="47">
        <f>-G9*Données!L$3</f>
        <v>-2.5536176578991528E-9</v>
      </c>
      <c r="I9" s="44">
        <f t="shared" si="5"/>
        <v>1147.5509974310048</v>
      </c>
      <c r="J9" s="48">
        <f>-I9*Données!L$4</f>
        <v>-3.8443313312910987E-9</v>
      </c>
      <c r="K9" s="49">
        <f t="shared" si="6"/>
        <v>486.23005924859081</v>
      </c>
      <c r="L9" s="50">
        <f>-K9*Données!L$5</f>
        <v>-7.4604672345797633E-7</v>
      </c>
      <c r="M9" s="44">
        <f t="shared" si="7"/>
        <v>232.64698981711632</v>
      </c>
      <c r="N9" s="48">
        <f>-M9*Données!L$6</f>
        <v>-1.3635938191907025E-11</v>
      </c>
      <c r="O9" s="49">
        <f t="shared" si="8"/>
        <v>215.47288874882204</v>
      </c>
      <c r="P9" s="51">
        <f>-O9*Données!L$7</f>
        <v>-1.0947752563241373E-8</v>
      </c>
      <c r="Q9" s="81">
        <f>((E$2-E9)/Données!D$2+(G$2-G9)/Données!D$3+(I$2-I9)/Données!D$4+(M$2-M9)/Données!D$6+(O$34-O41)/Données!D$7)*6.022E+23</f>
        <v>1.2769873145215213E+22</v>
      </c>
      <c r="S9" s="94">
        <f t="shared" si="9"/>
        <v>196.913779681812</v>
      </c>
      <c r="T9" s="74">
        <f>-S9*Données!L$8</f>
        <v>-6.1478364192658892E-15</v>
      </c>
      <c r="U9" s="91">
        <f t="shared" si="10"/>
        <v>27853.652979935185</v>
      </c>
      <c r="V9" s="77">
        <f>-U9*Données!L$9</f>
        <v>-1.3702122636539747E-13</v>
      </c>
    </row>
    <row r="10" spans="1:22">
      <c r="B10" s="54">
        <f t="shared" si="2"/>
        <v>8</v>
      </c>
      <c r="C10" s="8">
        <f t="shared" si="0"/>
        <v>8</v>
      </c>
      <c r="D10" s="55">
        <f t="shared" si="1"/>
        <v>252288000</v>
      </c>
      <c r="E10" s="44">
        <f t="shared" si="3"/>
        <v>60.392009778455822</v>
      </c>
      <c r="F10" s="45">
        <f>-E10*Données!L$2</f>
        <v>-1.5135568691539471E-8</v>
      </c>
      <c r="G10" s="46">
        <f t="shared" si="4"/>
        <v>2801.0556880768017</v>
      </c>
      <c r="H10" s="47">
        <f>-G10*Données!L$3</f>
        <v>-2.5535442430140511E-9</v>
      </c>
      <c r="I10" s="44">
        <f t="shared" si="5"/>
        <v>1147.4297625981412</v>
      </c>
      <c r="J10" s="48">
        <f>-I10*Données!L$4</f>
        <v>-3.8439251908516195E-9</v>
      </c>
      <c r="K10" s="49">
        <f t="shared" si="6"/>
        <v>462.70272977762005</v>
      </c>
      <c r="L10" s="50">
        <f>-K10*Données!L$5</f>
        <v>-7.0994758328828131E-7</v>
      </c>
      <c r="M10" s="44">
        <f t="shared" si="7"/>
        <v>232.64655979416949</v>
      </c>
      <c r="N10" s="48">
        <f>-M10*Données!L$6</f>
        <v>-1.3635912987341394E-11</v>
      </c>
      <c r="O10" s="49">
        <f t="shared" si="8"/>
        <v>238.65496989495841</v>
      </c>
      <c r="P10" s="51">
        <f>-O10*Données!L$7</f>
        <v>-1.2125588391045818E-8</v>
      </c>
      <c r="Q10" s="81">
        <f>((E$2-E10)/Données!D$2+(G$2-G10)/Données!D$3+(I$2-I10)/Données!D$4+(M$2-M10)/Données!D$6+(O$34-O42)/Données!D$7)*6.022E+23</f>
        <v>1.4554193445527258E+22</v>
      </c>
      <c r="S10" s="94">
        <f t="shared" si="9"/>
        <v>196.99431037439334</v>
      </c>
      <c r="T10" s="74">
        <f>-S10*Données!L$8</f>
        <v>-6.1503506644625444E-15</v>
      </c>
      <c r="U10" s="91">
        <f t="shared" si="10"/>
        <v>27853.653405637033</v>
      </c>
      <c r="V10" s="77">
        <f>-U10*Données!L$9</f>
        <v>-1.3702122845956405E-13</v>
      </c>
    </row>
    <row r="11" spans="1:22">
      <c r="B11" s="56">
        <f t="shared" si="2"/>
        <v>9</v>
      </c>
      <c r="C11" s="57">
        <f t="shared" si="0"/>
        <v>9</v>
      </c>
      <c r="D11" s="43">
        <f t="shared" si="1"/>
        <v>283824000</v>
      </c>
      <c r="E11" s="44">
        <f t="shared" si="3"/>
        <v>59.914694484199437</v>
      </c>
      <c r="F11" s="45">
        <f>-E11*Données!L$2</f>
        <v>-1.5015942958760545E-8</v>
      </c>
      <c r="G11" s="46">
        <f t="shared" si="4"/>
        <v>2800.9751595055541</v>
      </c>
      <c r="H11" s="47">
        <f>-G11*Données!L$3</f>
        <v>-2.5534708302395805E-9</v>
      </c>
      <c r="I11" s="44">
        <f t="shared" si="5"/>
        <v>1147.3085405733225</v>
      </c>
      <c r="J11" s="48">
        <f>-I11*Données!L$4</f>
        <v>-3.8435190933194868E-9</v>
      </c>
      <c r="K11" s="49">
        <f t="shared" si="6"/>
        <v>440.31382279104082</v>
      </c>
      <c r="L11" s="50">
        <f>-K11*Données!L$5</f>
        <v>-6.7559518079602169E-7</v>
      </c>
      <c r="M11" s="44">
        <f t="shared" si="7"/>
        <v>232.64612977201753</v>
      </c>
      <c r="N11" s="48">
        <f>-M11*Données!L$6</f>
        <v>-1.3635887782822349E-11</v>
      </c>
      <c r="O11" s="49">
        <f t="shared" si="8"/>
        <v>260.66148432603762</v>
      </c>
      <c r="P11" s="51">
        <f>-O11*Données!L$7</f>
        <v>-1.3243695992284226E-8</v>
      </c>
      <c r="Q11" s="81">
        <f>((E$2-E11)/Données!D$2+(G$2-G11)/Données!D$3+(I$2-I11)/Données!D$4+(M$2-M11)/Données!D$6+(O$34-O43)/Données!D$7)*6.022E+23</f>
        <v>1.6328760108602618E+22</v>
      </c>
      <c r="S11" s="94">
        <f t="shared" si="9"/>
        <v>197.07483875168359</v>
      </c>
      <c r="T11" s="74">
        <f>-S11*Données!L$8</f>
        <v>-6.1528648373735991E-15</v>
      </c>
      <c r="U11" s="91">
        <f t="shared" si="10"/>
        <v>27853.653831338084</v>
      </c>
      <c r="V11" s="77">
        <f>-U11*Données!L$9</f>
        <v>-1.3702123055372671E-13</v>
      </c>
    </row>
    <row r="12" spans="1:22">
      <c r="B12" s="42">
        <f t="shared" si="2"/>
        <v>10</v>
      </c>
      <c r="C12" s="6">
        <f t="shared" si="0"/>
        <v>10</v>
      </c>
      <c r="D12" s="43">
        <f t="shared" si="1"/>
        <v>315360000</v>
      </c>
      <c r="E12" s="44">
        <f t="shared" si="3"/>
        <v>59.441151707051965</v>
      </c>
      <c r="F12" s="45">
        <f>-E12*Données!L$2</f>
        <v>-1.4897262701915463E-8</v>
      </c>
      <c r="G12" s="46">
        <f t="shared" si="4"/>
        <v>2800.8946332494515</v>
      </c>
      <c r="H12" s="47">
        <f>-G12*Données!L$3</f>
        <v>-2.5533974195756807E-9</v>
      </c>
      <c r="I12" s="44">
        <f t="shared" si="5"/>
        <v>1147.1873313551955</v>
      </c>
      <c r="J12" s="48">
        <f>-I12*Données!L$4</f>
        <v>-3.8431130386901676E-9</v>
      </c>
      <c r="K12" s="49">
        <f t="shared" si="6"/>
        <v>419.00825316945748</v>
      </c>
      <c r="L12" s="50">
        <f>-K12*Données!L$5</f>
        <v>-6.4290499616993793E-7</v>
      </c>
      <c r="M12" s="44">
        <f t="shared" si="7"/>
        <v>232.64569975066041</v>
      </c>
      <c r="N12" s="48">
        <f>-M12*Données!L$6</f>
        <v>-1.3635862578349894E-11</v>
      </c>
      <c r="O12" s="49">
        <f t="shared" si="8"/>
        <v>281.54940075080827</v>
      </c>
      <c r="P12" s="51">
        <f>-O12*Données!L$7</f>
        <v>-1.430496983470541E-8</v>
      </c>
      <c r="Q12" s="81">
        <f>((E$2-E12)/Données!D$2+(G$2-G12)/Données!D$3+(I$2-I12)/Données!D$4+(M$2-M12)/Données!D$6+(O$34-O44)/Données!D$7)*6.022E+23</f>
        <v>1.8093649333301444E+22</v>
      </c>
      <c r="S12" s="94">
        <f t="shared" si="9"/>
        <v>197.15536481374929</v>
      </c>
      <c r="T12" s="74">
        <f>-S12*Données!L$8</f>
        <v>-6.1553789380011302E-15</v>
      </c>
      <c r="U12" s="91">
        <f t="shared" si="10"/>
        <v>27853.654257038343</v>
      </c>
      <c r="V12" s="77">
        <f>-U12*Données!L$9</f>
        <v>-1.3702123264788549E-13</v>
      </c>
    </row>
    <row r="13" spans="1:22">
      <c r="B13" s="42">
        <f t="shared" si="2"/>
        <v>11</v>
      </c>
      <c r="C13" s="6">
        <f t="shared" si="0"/>
        <v>11</v>
      </c>
      <c r="D13" s="43">
        <f t="shared" si="1"/>
        <v>346896000</v>
      </c>
      <c r="E13" s="44">
        <f t="shared" si="3"/>
        <v>58.971351630484357</v>
      </c>
      <c r="F13" s="45">
        <f>-E13*Données!L$2</f>
        <v>-1.4779520448324886E-8</v>
      </c>
      <c r="G13" s="46">
        <f t="shared" si="4"/>
        <v>2800.8141093084278</v>
      </c>
      <c r="H13" s="47">
        <f>-G13*Données!L$3</f>
        <v>-2.5533240110222909E-9</v>
      </c>
      <c r="I13" s="44">
        <f t="shared" si="5"/>
        <v>1147.0661349424074</v>
      </c>
      <c r="J13" s="48">
        <f>-I13*Données!L$4</f>
        <v>-3.8427070269591299E-9</v>
      </c>
      <c r="K13" s="49">
        <f t="shared" si="6"/>
        <v>398.73360121024234</v>
      </c>
      <c r="L13" s="50">
        <f>-K13*Données!L$5</f>
        <v>-6.1179659927897153E-7</v>
      </c>
      <c r="M13" s="44">
        <f t="shared" si="7"/>
        <v>232.64526973009814</v>
      </c>
      <c r="N13" s="48">
        <f>-M13*Données!L$6</f>
        <v>-1.3635837373924025E-11</v>
      </c>
      <c r="O13" s="49">
        <f t="shared" si="8"/>
        <v>301.37293118131618</v>
      </c>
      <c r="P13" s="51">
        <f>-O13*Données!L$7</f>
        <v>-1.5312164323734938E-8</v>
      </c>
      <c r="Q13" s="81">
        <f>((E$2-E13)/Données!D$2+(G$2-G13)/Données!D$3+(I$2-I13)/Données!D$4+(M$2-M13)/Données!D$6+(O$34-O45)/Données!D$7)*6.022E+23</f>
        <v>1.9848936717214774E+22</v>
      </c>
      <c r="S13" s="94">
        <f t="shared" si="9"/>
        <v>197.23588856065697</v>
      </c>
      <c r="T13" s="74">
        <f>-S13*Données!L$8</f>
        <v>-6.1578929663472149E-15</v>
      </c>
      <c r="U13" s="91">
        <f t="shared" si="10"/>
        <v>27853.654682737804</v>
      </c>
      <c r="V13" s="77">
        <f>-U13*Données!L$9</f>
        <v>-1.3702123474204033E-13</v>
      </c>
    </row>
    <row r="14" spans="1:22">
      <c r="B14" s="42">
        <f t="shared" si="2"/>
        <v>12</v>
      </c>
      <c r="C14" s="6">
        <f t="shared" si="0"/>
        <v>12</v>
      </c>
      <c r="D14" s="43">
        <f t="shared" si="1"/>
        <v>378432000</v>
      </c>
      <c r="E14" s="44">
        <f t="shared" si="3"/>
        <v>58.50526467362598</v>
      </c>
      <c r="F14" s="45">
        <f>-E14*Données!L$2</f>
        <v>-1.4662708784370672E-8</v>
      </c>
      <c r="G14" s="46">
        <f t="shared" si="4"/>
        <v>2800.7335876824163</v>
      </c>
      <c r="H14" s="47">
        <f>-G14*Données!L$3</f>
        <v>-2.5532506045793507E-9</v>
      </c>
      <c r="I14" s="44">
        <f t="shared" si="5"/>
        <v>1146.9449513336053</v>
      </c>
      <c r="J14" s="48">
        <f>-I14*Données!L$4</f>
        <v>-3.8423010581218405E-9</v>
      </c>
      <c r="K14" s="49">
        <f t="shared" si="6"/>
        <v>379.43998365538067</v>
      </c>
      <c r="L14" s="50">
        <f>-K14*Données!L$5</f>
        <v>-5.8219345178393616E-7</v>
      </c>
      <c r="M14" s="44">
        <f t="shared" si="7"/>
        <v>232.6448397103307</v>
      </c>
      <c r="N14" s="48">
        <f>-M14*Données!L$6</f>
        <v>-1.3635812169544743E-11</v>
      </c>
      <c r="O14" s="49">
        <f t="shared" si="8"/>
        <v>320.18366432206454</v>
      </c>
      <c r="P14" s="51">
        <f>-O14*Données!L$7</f>
        <v>-1.6267900579715323E-8</v>
      </c>
      <c r="Q14" s="81">
        <f>((E$2-E14)/Données!D$2+(G$2-G14)/Données!D$3+(I$2-I14)/Données!D$4+(M$2-M14)/Données!D$6+(O$34-O46)/Données!D$7)*6.022E+23</f>
        <v>2.1594697261416966E+22</v>
      </c>
      <c r="S14" s="94">
        <f t="shared" si="9"/>
        <v>197.31640999247327</v>
      </c>
      <c r="T14" s="74">
        <f>-S14*Données!L$8</f>
        <v>-6.1604069224139341E-15</v>
      </c>
      <c r="U14" s="91">
        <f t="shared" si="10"/>
        <v>27853.655108436473</v>
      </c>
      <c r="V14" s="77">
        <f>-U14*Données!L$9</f>
        <v>-1.3702123683619126E-13</v>
      </c>
    </row>
    <row r="15" spans="1:22">
      <c r="B15" s="42">
        <f t="shared" si="2"/>
        <v>13</v>
      </c>
      <c r="C15" s="6">
        <f t="shared" si="0"/>
        <v>13</v>
      </c>
      <c r="D15" s="43">
        <f t="shared" si="1"/>
        <v>409968000</v>
      </c>
      <c r="E15" s="44">
        <f t="shared" si="3"/>
        <v>58.042861489402064</v>
      </c>
      <c r="F15" s="45">
        <f>-E15*Données!L$2</f>
        <v>-1.4546820355029074E-8</v>
      </c>
      <c r="G15" s="46">
        <f t="shared" si="4"/>
        <v>2800.6530683713504</v>
      </c>
      <c r="H15" s="47">
        <f>-G15*Données!L$3</f>
        <v>-2.5531772002467989E-9</v>
      </c>
      <c r="I15" s="44">
        <f t="shared" si="5"/>
        <v>1146.8237805274364</v>
      </c>
      <c r="J15" s="48">
        <f>-I15*Données!L$4</f>
        <v>-3.8418951321737692E-9</v>
      </c>
      <c r="K15" s="49">
        <f t="shared" si="6"/>
        <v>361.07993095992248</v>
      </c>
      <c r="L15" s="50">
        <f>-K15*Données!L$5</f>
        <v>-5.5402271882445988E-7</v>
      </c>
      <c r="M15" s="44">
        <f t="shared" si="7"/>
        <v>232.64440969135813</v>
      </c>
      <c r="N15" s="48">
        <f>-M15*Données!L$6</f>
        <v>-1.363578696521205E-11</v>
      </c>
      <c r="O15" s="49">
        <f t="shared" si="8"/>
        <v>338.03069250484083</v>
      </c>
      <c r="P15" s="51">
        <f>-O15*Données!L$7</f>
        <v>-1.7174672887214256E-8</v>
      </c>
      <c r="Q15" s="81">
        <f>((E$2-E15)/Données!D$2+(G$2-G15)/Données!D$3+(I$2-I15)/Données!D$4+(M$2-M15)/Données!D$6+(O$34-O47)/Données!D$7)*6.022E+23</f>
        <v>2.3331005375179926E+22</v>
      </c>
      <c r="S15" s="94">
        <f t="shared" si="9"/>
        <v>197.39692910926468</v>
      </c>
      <c r="T15" s="74">
        <f>-S15*Données!L$8</f>
        <v>-6.1629208062033634E-15</v>
      </c>
      <c r="U15" s="91">
        <f t="shared" si="10"/>
        <v>27853.655534134345</v>
      </c>
      <c r="V15" s="77">
        <f>-U15*Données!L$9</f>
        <v>-1.370212389303383E-13</v>
      </c>
    </row>
    <row r="16" spans="1:22">
      <c r="B16" s="42">
        <f t="shared" si="2"/>
        <v>14</v>
      </c>
      <c r="C16" s="6">
        <f t="shared" si="0"/>
        <v>14</v>
      </c>
      <c r="D16" s="43">
        <f t="shared" si="1"/>
        <v>441504000</v>
      </c>
      <c r="E16" s="44">
        <f t="shared" si="3"/>
        <v>57.584112962685865</v>
      </c>
      <c r="F16" s="45">
        <f>-E16*Données!L$2</f>
        <v>-1.4431847863407632E-8</v>
      </c>
      <c r="G16" s="46">
        <f t="shared" si="4"/>
        <v>2800.5725513751636</v>
      </c>
      <c r="H16" s="47">
        <f>-G16*Données!L$3</f>
        <v>-2.5531037980245746E-9</v>
      </c>
      <c r="I16" s="44">
        <f t="shared" si="5"/>
        <v>1146.7026225225482</v>
      </c>
      <c r="J16" s="48">
        <f>-I16*Données!L$4</f>
        <v>-3.8414892491103829E-9</v>
      </c>
      <c r="K16" s="49">
        <f t="shared" si="6"/>
        <v>343.60827049907431</v>
      </c>
      <c r="L16" s="50">
        <f>-K16*Données!L$5</f>
        <v>-5.272150898178749E-7</v>
      </c>
      <c r="M16" s="44">
        <f t="shared" si="7"/>
        <v>232.64397967318041</v>
      </c>
      <c r="N16" s="48">
        <f>-M16*Données!L$6</f>
        <v>-1.3635761760925945E-11</v>
      </c>
      <c r="O16" s="49">
        <f t="shared" si="8"/>
        <v>354.96073248151782</v>
      </c>
      <c r="P16" s="51">
        <f>-O16*Données!L$7</f>
        <v>-1.8034854832268619E-8</v>
      </c>
      <c r="Q16" s="81">
        <f>((E$2-E16)/Données!D$2+(G$2-G16)/Données!D$3+(I$2-I16)/Données!D$4+(M$2-M16)/Données!D$6+(O$34-O48)/Données!D$7)*6.022E+23</f>
        <v>2.5057934880645763E+22</v>
      </c>
      <c r="S16" s="94">
        <f t="shared" si="9"/>
        <v>197.47744591109779</v>
      </c>
      <c r="T16" s="74">
        <f>-S16*Données!L$8</f>
        <v>-6.1654346177175821E-15</v>
      </c>
      <c r="U16" s="91">
        <f t="shared" si="10"/>
        <v>27853.655959831423</v>
      </c>
      <c r="V16" s="77">
        <f>-U16*Données!L$9</f>
        <v>-1.370212410244814E-13</v>
      </c>
    </row>
    <row r="17" spans="2:22">
      <c r="B17" s="42">
        <f t="shared" si="2"/>
        <v>15</v>
      </c>
      <c r="C17" s="6">
        <f t="shared" si="0"/>
        <v>15</v>
      </c>
      <c r="D17" s="43">
        <f t="shared" si="1"/>
        <v>473040000</v>
      </c>
      <c r="E17" s="44">
        <f t="shared" si="3"/>
        <v>57.128990208465439</v>
      </c>
      <c r="F17" s="45">
        <f>-E17*Données!L$2</f>
        <v>-1.4317784070285727E-8</v>
      </c>
      <c r="G17" s="46">
        <f t="shared" si="4"/>
        <v>2800.492036693789</v>
      </c>
      <c r="H17" s="47">
        <f>-G17*Données!L$3</f>
        <v>-2.5530303979126179E-9</v>
      </c>
      <c r="I17" s="44">
        <f t="shared" si="5"/>
        <v>1146.5814773175882</v>
      </c>
      <c r="J17" s="48">
        <f>-I17*Données!L$4</f>
        <v>-3.8410834089271536E-9</v>
      </c>
      <c r="K17" s="49">
        <f t="shared" si="6"/>
        <v>326.98201542657779</v>
      </c>
      <c r="L17" s="50">
        <f>-K17*Données!L$5</f>
        <v>-5.0170460792915457E-7</v>
      </c>
      <c r="M17" s="44">
        <f t="shared" si="7"/>
        <v>232.64354965579753</v>
      </c>
      <c r="N17" s="48">
        <f>-M17*Données!L$6</f>
        <v>-1.3635736556686427E-11</v>
      </c>
      <c r="O17" s="49">
        <f t="shared" si="8"/>
        <v>371.01824037202391</v>
      </c>
      <c r="P17" s="51">
        <f>-O17*Données!L$7</f>
        <v>-1.8850705142664191E-8</v>
      </c>
      <c r="Q17" s="81">
        <f>((E$2-E17)/Données!D$2+(G$2-G17)/Données!D$3+(I$2-I17)/Données!D$4+(M$2-M17)/Données!D$6+(O$34-O49)/Données!D$7)*6.022E+23</f>
        <v>2.6775559017468891E+22</v>
      </c>
      <c r="S17" s="94">
        <f t="shared" si="9"/>
        <v>197.55796039803914</v>
      </c>
      <c r="T17" s="74">
        <f>-S17*Données!L$8</f>
        <v>-6.1679483569586666E-15</v>
      </c>
      <c r="U17" s="91">
        <f t="shared" si="10"/>
        <v>27853.656385527705</v>
      </c>
      <c r="V17" s="77">
        <f>-U17*Données!L$9</f>
        <v>-1.3702124311862061E-13</v>
      </c>
    </row>
    <row r="18" spans="2:22">
      <c r="B18" s="42">
        <f t="shared" si="2"/>
        <v>16</v>
      </c>
      <c r="C18" s="6">
        <f t="shared" si="0"/>
        <v>16</v>
      </c>
      <c r="D18" s="43">
        <f t="shared" si="1"/>
        <v>504576000</v>
      </c>
      <c r="E18" s="44">
        <f t="shared" si="3"/>
        <v>56.67746457002491</v>
      </c>
      <c r="F18" s="45">
        <f>-E18*Données!L$2</f>
        <v>-1.4204621793658763E-8</v>
      </c>
      <c r="G18" s="46">
        <f t="shared" si="4"/>
        <v>2800.4115243271604</v>
      </c>
      <c r="H18" s="47">
        <f>-G18*Données!L$3</f>
        <v>-2.5529569999108677E-9</v>
      </c>
      <c r="I18" s="44">
        <f t="shared" si="5"/>
        <v>1146.4603449112044</v>
      </c>
      <c r="J18" s="48">
        <f>-I18*Données!L$4</f>
        <v>-3.8406776116195492E-9</v>
      </c>
      <c r="K18" s="49">
        <f t="shared" si="6"/>
        <v>311.16025891092397</v>
      </c>
      <c r="L18" s="50">
        <f>-K18*Données!L$5</f>
        <v>-4.7742850779232896E-7</v>
      </c>
      <c r="M18" s="44">
        <f t="shared" si="7"/>
        <v>232.64311963920949</v>
      </c>
      <c r="N18" s="48">
        <f>-M18*Données!L$6</f>
        <v>-1.3635711352493497E-11</v>
      </c>
      <c r="O18" s="49">
        <f t="shared" si="8"/>
        <v>386.24552105029869</v>
      </c>
      <c r="P18" s="51">
        <f>-O18*Données!L$7</f>
        <v>-1.9624373245620322E-8</v>
      </c>
      <c r="Q18" s="81">
        <f>((E$2-E18)/Données!D$2+(G$2-G18)/Données!D$3+(I$2-I18)/Données!D$4+(M$2-M18)/Données!D$6+(O$34-O50)/Données!D$7)*6.022E+23</f>
        <v>2.8483950447415509E+22</v>
      </c>
      <c r="S18" s="94">
        <f t="shared" si="9"/>
        <v>197.6384725701553</v>
      </c>
      <c r="T18" s="74">
        <f>-S18*Données!L$8</f>
        <v>-6.170462023928697E-15</v>
      </c>
      <c r="U18" s="91">
        <f t="shared" si="10"/>
        <v>27853.656811223194</v>
      </c>
      <c r="V18" s="77">
        <f>-U18*Données!L$9</f>
        <v>-1.3702124521275591E-13</v>
      </c>
    </row>
    <row r="19" spans="2:22">
      <c r="B19" s="42">
        <f t="shared" si="2"/>
        <v>17</v>
      </c>
      <c r="C19" s="6">
        <f t="shared" si="0"/>
        <v>17</v>
      </c>
      <c r="D19" s="43">
        <f t="shared" si="1"/>
        <v>536112000</v>
      </c>
      <c r="E19" s="44">
        <f t="shared" si="3"/>
        <v>56.229507617140086</v>
      </c>
      <c r="F19" s="45">
        <f>-E19*Données!L$2</f>
        <v>-1.4092353908285959E-8</v>
      </c>
      <c r="G19" s="46">
        <f t="shared" si="4"/>
        <v>2800.3310142752111</v>
      </c>
      <c r="H19" s="47">
        <f>-G19*Données!L$3</f>
        <v>-2.5528836040192634E-9</v>
      </c>
      <c r="I19" s="44">
        <f t="shared" si="5"/>
        <v>1146.3392253020443</v>
      </c>
      <c r="J19" s="48">
        <f>-I19*Données!L$4</f>
        <v>-3.8402718571830402E-9</v>
      </c>
      <c r="K19" s="49">
        <f t="shared" si="6"/>
        <v>296.10407348918511</v>
      </c>
      <c r="L19" s="50">
        <f>-K19*Données!L$5</f>
        <v>-4.5432706108411302E-7</v>
      </c>
      <c r="M19" s="44">
        <f t="shared" si="7"/>
        <v>232.64268962341629</v>
      </c>
      <c r="N19" s="48">
        <f>-M19*Données!L$6</f>
        <v>-1.3635686148347154E-11</v>
      </c>
      <c r="O19" s="49">
        <f t="shared" si="8"/>
        <v>400.68283223736364</v>
      </c>
      <c r="P19" s="51">
        <f>-O19*Données!L$7</f>
        <v>-2.0357904556553598E-8</v>
      </c>
      <c r="Q19" s="81">
        <f>((E$2-E19)/Données!D$2+(G$2-G19)/Données!D$3+(I$2-I19)/Données!D$4+(M$2-M19)/Données!D$6+(O$34-O51)/Données!D$7)*6.022E+23</f>
        <v>3.0183181258931778E+22</v>
      </c>
      <c r="S19" s="94">
        <f t="shared" si="9"/>
        <v>197.7189824275128</v>
      </c>
      <c r="T19" s="74">
        <f>-S19*Données!L$8</f>
        <v>-6.172975618629749E-15</v>
      </c>
      <c r="U19" s="91">
        <f t="shared" si="10"/>
        <v>27853.657236917887</v>
      </c>
      <c r="V19" s="77">
        <f>-U19*Données!L$9</f>
        <v>-1.370212473068873E-13</v>
      </c>
    </row>
    <row r="20" spans="2:22">
      <c r="B20" s="42">
        <f t="shared" si="2"/>
        <v>18</v>
      </c>
      <c r="C20" s="6">
        <f t="shared" si="0"/>
        <v>18</v>
      </c>
      <c r="D20" s="43">
        <f t="shared" si="1"/>
        <v>567648000</v>
      </c>
      <c r="E20" s="44">
        <f t="shared" si="3"/>
        <v>55.78509114428838</v>
      </c>
      <c r="F20" s="45">
        <f>-E20*Données!L$2</f>
        <v>-1.3980973345241702E-8</v>
      </c>
      <c r="G20" s="46">
        <f t="shared" si="4"/>
        <v>2800.2505065378746</v>
      </c>
      <c r="H20" s="47">
        <f>-G20*Données!L$3</f>
        <v>-2.552810210237744E-9</v>
      </c>
      <c r="I20" s="44">
        <f t="shared" si="5"/>
        <v>1146.2181184887561</v>
      </c>
      <c r="J20" s="48">
        <f>-I20*Données!L$4</f>
        <v>-3.8398661456130976E-9</v>
      </c>
      <c r="K20" s="49">
        <f t="shared" si="6"/>
        <v>281.7764152908365</v>
      </c>
      <c r="L20" s="50">
        <f>-K20*Données!L$5</f>
        <v>-4.3234342956979956E-7</v>
      </c>
      <c r="M20" s="44">
        <f t="shared" si="7"/>
        <v>232.6422596084179</v>
      </c>
      <c r="N20" s="48">
        <f>-M20*Données!L$6</f>
        <v>-1.3635660944247397E-11</v>
      </c>
      <c r="O20" s="49">
        <f t="shared" si="8"/>
        <v>414.3684835576168</v>
      </c>
      <c r="P20" s="51">
        <f>-O20*Données!L$7</f>
        <v>-2.1053245511932832E-8</v>
      </c>
      <c r="Q20" s="81">
        <f>((E$2-E20)/Données!D$2+(G$2-G20)/Données!D$3+(I$2-I20)/Données!D$4+(M$2-M20)/Données!D$6+(O$34-O52)/Données!D$7)*6.022E+23</f>
        <v>3.1873322971672542E+22</v>
      </c>
      <c r="S20" s="94">
        <f t="shared" si="9"/>
        <v>197.7994899701782</v>
      </c>
      <c r="T20" s="74">
        <f>-S20*Données!L$8</f>
        <v>-6.1754891410639011E-15</v>
      </c>
      <c r="U20" s="91">
        <f t="shared" si="10"/>
        <v>27853.657662611786</v>
      </c>
      <c r="V20" s="77">
        <f>-U20*Données!L$9</f>
        <v>-1.3702124940101478E-13</v>
      </c>
    </row>
    <row r="21" spans="2:22">
      <c r="B21" s="42">
        <f t="shared" si="2"/>
        <v>19</v>
      </c>
      <c r="C21" s="6">
        <f t="shared" si="0"/>
        <v>19</v>
      </c>
      <c r="D21" s="43">
        <f t="shared" si="1"/>
        <v>599184000</v>
      </c>
      <c r="E21" s="44">
        <f t="shared" si="3"/>
        <v>55.344187168872836</v>
      </c>
      <c r="F21" s="45">
        <f>-E21*Données!L$2</f>
        <v>-1.3870473091470459E-8</v>
      </c>
      <c r="G21" s="46">
        <f t="shared" si="4"/>
        <v>2800.1700011150847</v>
      </c>
      <c r="H21" s="47">
        <f>-G21*Données!L$3</f>
        <v>-2.5527368185662498E-9</v>
      </c>
      <c r="I21" s="44">
        <f t="shared" si="5"/>
        <v>1146.0970244699881</v>
      </c>
      <c r="J21" s="48">
        <f>-I21*Données!L$4</f>
        <v>-3.8394604769051934E-9</v>
      </c>
      <c r="K21" s="49">
        <f t="shared" si="6"/>
        <v>268.14203289592331</v>
      </c>
      <c r="L21" s="50">
        <f>-K21*Données!L$5</f>
        <v>-4.1142352525985726E-7</v>
      </c>
      <c r="M21" s="44">
        <f t="shared" si="7"/>
        <v>232.64182959421436</v>
      </c>
      <c r="N21" s="48">
        <f>-M21*Données!L$6</f>
        <v>-1.3635635740194226E-11</v>
      </c>
      <c r="O21" s="49">
        <f t="shared" si="8"/>
        <v>427.33893080206565</v>
      </c>
      <c r="P21" s="51">
        <f>-O21*Données!L$7</f>
        <v>-2.171224835860803E-8</v>
      </c>
      <c r="Q21" s="81">
        <f>((E$2-E21)/Données!D$2+(G$2-G21)/Données!D$3+(I$2-I21)/Données!D$4+(M$2-M21)/Données!D$6+(O$34-O53)/Données!D$7)*6.022E+23</f>
        <v>3.3554446540993383E+22</v>
      </c>
      <c r="S21" s="94">
        <f t="shared" si="9"/>
        <v>197.87999519821804</v>
      </c>
      <c r="T21" s="74">
        <f>-S21*Données!L$8</f>
        <v>-6.1780025912332311E-15</v>
      </c>
      <c r="U21" s="91">
        <f t="shared" si="10"/>
        <v>27853.658088304885</v>
      </c>
      <c r="V21" s="77">
        <f>-U21*Données!L$9</f>
        <v>-1.3702125149513832E-13</v>
      </c>
    </row>
    <row r="22" spans="2:22">
      <c r="B22" s="42">
        <f t="shared" si="2"/>
        <v>20</v>
      </c>
      <c r="C22" s="6">
        <f t="shared" si="0"/>
        <v>20</v>
      </c>
      <c r="D22" s="43">
        <f t="shared" si="1"/>
        <v>630720000</v>
      </c>
      <c r="E22" s="44">
        <f t="shared" si="3"/>
        <v>54.906767929460223</v>
      </c>
      <c r="F22" s="45">
        <f>-E22*Données!L$2</f>
        <v>-1.3760846189345198E-8</v>
      </c>
      <c r="G22" s="46">
        <f t="shared" si="4"/>
        <v>2800.0894980067742</v>
      </c>
      <c r="H22" s="47">
        <f>-G22*Données!L$3</f>
        <v>-2.5526634290047193E-9</v>
      </c>
      <c r="I22" s="44">
        <f t="shared" si="5"/>
        <v>1145.9759432443884</v>
      </c>
      <c r="J22" s="48">
        <f>-I22*Données!L$4</f>
        <v>-3.839054851054799E-9</v>
      </c>
      <c r="K22" s="49">
        <f t="shared" si="6"/>
        <v>255.16738060332844</v>
      </c>
      <c r="L22" s="50">
        <f>-K22*Données!L$5</f>
        <v>-3.9151587733316244E-7</v>
      </c>
      <c r="M22" s="44">
        <f t="shared" si="7"/>
        <v>232.64139958080565</v>
      </c>
      <c r="N22" s="48">
        <f>-M22*Données!L$6</f>
        <v>-1.3635610536187645E-11</v>
      </c>
      <c r="O22" s="49">
        <f t="shared" si="8"/>
        <v>439.62886563042343</v>
      </c>
      <c r="P22" s="51">
        <f>-O22*Données!L$7</f>
        <v>-2.2336675711397018E-8</v>
      </c>
      <c r="Q22" s="81">
        <f>((E$2-E22)/Données!D$2+(G$2-G22)/Données!D$3+(I$2-I22)/Données!D$4+(M$2-M22)/Données!D$6+(O$34-O54)/Données!D$7)*6.022E+23</f>
        <v>3.5226622362415616E+22</v>
      </c>
      <c r="S22" s="94">
        <f t="shared" si="9"/>
        <v>197.96049811169885</v>
      </c>
      <c r="T22" s="74">
        <f>-S22*Données!L$8</f>
        <v>-6.1805159691398155E-15</v>
      </c>
      <c r="U22" s="91">
        <f t="shared" si="10"/>
        <v>27853.65851399719</v>
      </c>
      <c r="V22" s="77">
        <f>-U22*Données!L$9</f>
        <v>-1.3702125358925797E-13</v>
      </c>
    </row>
    <row r="23" spans="2:22">
      <c r="B23" s="42">
        <f t="shared" si="2"/>
        <v>21</v>
      </c>
      <c r="C23" s="6">
        <f t="shared" si="0"/>
        <v>21</v>
      </c>
      <c r="D23" s="43">
        <f t="shared" si="1"/>
        <v>662256000</v>
      </c>
      <c r="E23" s="44">
        <f t="shared" si="3"/>
        <v>54.472805884033036</v>
      </c>
      <c r="F23" s="45">
        <f>-E23*Données!L$2</f>
        <v>-1.3652085736229308E-8</v>
      </c>
      <c r="G23" s="46">
        <f t="shared" si="4"/>
        <v>2800.0089972128771</v>
      </c>
      <c r="H23" s="47">
        <f>-G23*Données!L$3</f>
        <v>-2.5525900415530919E-9</v>
      </c>
      <c r="I23" s="44">
        <f t="shared" si="5"/>
        <v>1145.8548748106055</v>
      </c>
      <c r="J23" s="48">
        <f>-I23*Données!L$4</f>
        <v>-3.8386492680573862E-9</v>
      </c>
      <c r="K23" s="49">
        <f t="shared" si="6"/>
        <v>242.82053589574983</v>
      </c>
      <c r="L23" s="50">
        <f>-K23*Données!L$5</f>
        <v>-3.7257150549944966E-7</v>
      </c>
      <c r="M23" s="44">
        <f t="shared" si="7"/>
        <v>232.64096956819179</v>
      </c>
      <c r="N23" s="48">
        <f>-M23*Données!L$6</f>
        <v>-1.363558533222765E-11</v>
      </c>
      <c r="O23" s="49">
        <f t="shared" si="8"/>
        <v>451.27130093276742</v>
      </c>
      <c r="P23" s="51">
        <f>-O23*Données!L$7</f>
        <v>-2.2928204890142968E-8</v>
      </c>
      <c r="Q23" s="81">
        <f>((E$2-E23)/Données!D$2+(G$2-G23)/Données!D$3+(I$2-I23)/Données!D$4+(M$2-M23)/Données!D$6+(O$34-O55)/Données!D$7)*6.022E+23</f>
        <v>3.6889920276040889E+22</v>
      </c>
      <c r="S23" s="94">
        <f t="shared" si="9"/>
        <v>198.04099871068721</v>
      </c>
      <c r="T23" s="74">
        <f>-S23*Données!L$8</f>
        <v>-6.1830292747857335E-15</v>
      </c>
      <c r="U23" s="91">
        <f t="shared" si="10"/>
        <v>27853.658939688699</v>
      </c>
      <c r="V23" s="77">
        <f>-U23*Données!L$9</f>
        <v>-1.3702125568337368E-13</v>
      </c>
    </row>
    <row r="24" spans="2:22">
      <c r="B24" s="42">
        <f t="shared" si="2"/>
        <v>22</v>
      </c>
      <c r="C24" s="6">
        <f t="shared" si="0"/>
        <v>22</v>
      </c>
      <c r="D24" s="43">
        <f t="shared" si="1"/>
        <v>693792000</v>
      </c>
      <c r="E24" s="44">
        <f t="shared" si="3"/>
        <v>54.042273708255308</v>
      </c>
      <c r="F24" s="45">
        <f>-E24*Données!L$2</f>
        <v>-1.3544184884041964E-8</v>
      </c>
      <c r="G24" s="46">
        <f t="shared" si="4"/>
        <v>2799.9284987333267</v>
      </c>
      <c r="H24" s="47">
        <f>-G24*Données!L$3</f>
        <v>-2.5525166562113074E-9</v>
      </c>
      <c r="I24" s="44">
        <f t="shared" si="5"/>
        <v>1145.7338191672879</v>
      </c>
      <c r="J24" s="48">
        <f>-I24*Données!L$4</f>
        <v>-3.838243727908428E-9</v>
      </c>
      <c r="K24" s="49">
        <f t="shared" si="6"/>
        <v>231.07112089831918</v>
      </c>
      <c r="L24" s="50">
        <f>-K24*Données!L$5</f>
        <v>-3.5454379948940305E-7</v>
      </c>
      <c r="M24" s="44">
        <f t="shared" si="7"/>
        <v>232.64053955637274</v>
      </c>
      <c r="N24" s="48">
        <f>-M24*Données!L$6</f>
        <v>-1.3635560128314239E-11</v>
      </c>
      <c r="O24" s="49">
        <f t="shared" si="8"/>
        <v>462.29765206078247</v>
      </c>
      <c r="P24" s="51">
        <f>-O24*Données!L$7</f>
        <v>-2.3488432046913688E-8</v>
      </c>
      <c r="Q24" s="81">
        <f>((E$2-E24)/Données!D$2+(G$2-G24)/Données!D$3+(I$2-I24)/Données!D$4+(M$2-M24)/Données!D$6+(O$34-O56)/Données!D$7)*6.022E+23</f>
        <v>3.8544409570945851E+22</v>
      </c>
      <c r="S24" s="94">
        <f t="shared" si="9"/>
        <v>198.1214969952496</v>
      </c>
      <c r="T24" s="74">
        <f>-S24*Données!L$8</f>
        <v>-6.1855425081730607E-15</v>
      </c>
      <c r="U24" s="91">
        <f t="shared" si="10"/>
        <v>27853.659365379415</v>
      </c>
      <c r="V24" s="77">
        <f>-U24*Données!L$9</f>
        <v>-1.3702125777748551E-13</v>
      </c>
    </row>
    <row r="25" spans="2:22">
      <c r="B25" s="42">
        <f t="shared" si="2"/>
        <v>23</v>
      </c>
      <c r="C25" s="6">
        <f t="shared" si="0"/>
        <v>23</v>
      </c>
      <c r="D25" s="43">
        <f t="shared" si="1"/>
        <v>725328000</v>
      </c>
      <c r="E25" s="44">
        <f t="shared" si="3"/>
        <v>53.615144293752159</v>
      </c>
      <c r="F25" s="45">
        <f>-E25*Données!L$2</f>
        <v>-1.3437136838826955E-8</v>
      </c>
      <c r="G25" s="46">
        <f t="shared" si="4"/>
        <v>2799.8480025680565</v>
      </c>
      <c r="H25" s="47">
        <f>-G25*Données!L$3</f>
        <v>-2.5524432729793046E-9</v>
      </c>
      <c r="I25" s="44">
        <f t="shared" si="5"/>
        <v>1145.6127763130846</v>
      </c>
      <c r="J25" s="48">
        <f>-I25*Données!L$4</f>
        <v>-3.8378382306033987E-9</v>
      </c>
      <c r="K25" s="49">
        <f t="shared" si="6"/>
        <v>219.89022763762136</v>
      </c>
      <c r="L25" s="50">
        <f>-K25*Données!L$5</f>
        <v>-3.3738840437588888E-7</v>
      </c>
      <c r="M25" s="44">
        <f t="shared" si="7"/>
        <v>232.64010954534854</v>
      </c>
      <c r="N25" s="48">
        <f>-M25*Données!L$6</f>
        <v>-1.3635534924447417E-11</v>
      </c>
      <c r="O25" s="49">
        <f t="shared" si="8"/>
        <v>472.7378141284488</v>
      </c>
      <c r="P25" s="51">
        <f>-O25*Données!L$7</f>
        <v>-2.4018876093497133E-8</v>
      </c>
      <c r="Q25" s="81">
        <f>((E$2-E25)/Données!D$2+(G$2-G25)/Données!D$3+(I$2-I25)/Données!D$4+(M$2-M25)/Données!D$6+(O$34-O57)/Données!D$7)*6.022E+23</f>
        <v>4.0190158989532636E+22</v>
      </c>
      <c r="S25" s="94">
        <f t="shared" si="9"/>
        <v>198.20199296545263</v>
      </c>
      <c r="T25" s="74">
        <f>-S25*Données!L$8</f>
        <v>-6.1880556693038766E-15</v>
      </c>
      <c r="U25" s="91">
        <f t="shared" si="10"/>
        <v>27853.659791069334</v>
      </c>
      <c r="V25" s="77">
        <f>-U25*Données!L$9</f>
        <v>-1.3702125987159339E-13</v>
      </c>
    </row>
    <row r="26" spans="2:22">
      <c r="B26" s="42">
        <f t="shared" si="2"/>
        <v>24</v>
      </c>
      <c r="C26" s="6">
        <f t="shared" si="0"/>
        <v>24</v>
      </c>
      <c r="D26" s="43">
        <f t="shared" si="1"/>
        <v>756864000</v>
      </c>
      <c r="E26" s="44">
        <f t="shared" si="3"/>
        <v>53.191390746402909</v>
      </c>
      <c r="F26" s="45">
        <f>-E26*Données!L$2</f>
        <v>-1.3330934860324889E-8</v>
      </c>
      <c r="G26" s="46">
        <f t="shared" si="4"/>
        <v>2799.7675087169996</v>
      </c>
      <c r="H26" s="47">
        <f>-G26*Données!L$3</f>
        <v>-2.552369891857023E-9</v>
      </c>
      <c r="I26" s="44">
        <f t="shared" si="5"/>
        <v>1145.4917462466444</v>
      </c>
      <c r="J26" s="48">
        <f>-I26*Données!L$4</f>
        <v>-3.8374327761377705E-9</v>
      </c>
      <c r="K26" s="49">
        <f t="shared" si="6"/>
        <v>209.25034691722334</v>
      </c>
      <c r="L26" s="50">
        <f>-K26*Données!L$5</f>
        <v>-3.2106311144417751E-7</v>
      </c>
      <c r="M26" s="44">
        <f t="shared" si="7"/>
        <v>232.63967953511917</v>
      </c>
      <c r="N26" s="48">
        <f>-M26*Données!L$6</f>
        <v>-1.3635509720627183E-11</v>
      </c>
      <c r="O26" s="49">
        <f t="shared" si="8"/>
        <v>482.62023557236228</v>
      </c>
      <c r="P26" s="51">
        <f>-O26*Données!L$7</f>
        <v>-2.4520982438856216E-8</v>
      </c>
      <c r="Q26" s="81">
        <f>((E$2-E26)/Données!D$2+(G$2-G26)/Données!D$3+(I$2-I26)/Données!D$4+(M$2-M26)/Données!D$6+(O$34-O58)/Données!D$7)*6.022E+23</f>
        <v>4.1827236731850026E+22</v>
      </c>
      <c r="S26" s="94">
        <f t="shared" si="9"/>
        <v>198.28248662136278</v>
      </c>
      <c r="T26" s="74">
        <f>-S26*Données!L$8</f>
        <v>-6.1905687581802558E-15</v>
      </c>
      <c r="U26" s="91">
        <f t="shared" si="10"/>
        <v>27853.660216758461</v>
      </c>
      <c r="V26" s="77">
        <f>-U26*Données!L$9</f>
        <v>-1.3702126196569739E-13</v>
      </c>
    </row>
    <row r="27" spans="2:22">
      <c r="B27" s="42">
        <f t="shared" si="2"/>
        <v>25</v>
      </c>
      <c r="C27" s="6">
        <f t="shared" si="0"/>
        <v>25</v>
      </c>
      <c r="D27" s="43">
        <f t="shared" si="1"/>
        <v>788400000</v>
      </c>
      <c r="E27" s="44">
        <f t="shared" si="3"/>
        <v>52.770986384647706</v>
      </c>
      <c r="F27" s="45">
        <f>-E27*Données!L$2</f>
        <v>-1.3225572261548807E-8</v>
      </c>
      <c r="G27" s="46">
        <f t="shared" si="4"/>
        <v>2799.6870171800902</v>
      </c>
      <c r="H27" s="47">
        <f>-G27*Données!L$3</f>
        <v>-2.5522965128444023E-9</v>
      </c>
      <c r="I27" s="44">
        <f t="shared" si="5"/>
        <v>1145.3707289666161</v>
      </c>
      <c r="J27" s="48">
        <f>-I27*Données!L$4</f>
        <v>-3.8370273645070178E-9</v>
      </c>
      <c r="K27" s="49">
        <f t="shared" si="6"/>
        <v>199.12530063471976</v>
      </c>
      <c r="L27" s="50">
        <f>-K27*Données!L$5</f>
        <v>-3.0552775434265322E-7</v>
      </c>
      <c r="M27" s="44">
        <f t="shared" si="7"/>
        <v>232.63924952568462</v>
      </c>
      <c r="N27" s="48">
        <f>-M27*Données!L$6</f>
        <v>-1.3635484516853534E-11</v>
      </c>
      <c r="O27" s="49">
        <f t="shared" si="8"/>
        <v>491.9719881526741</v>
      </c>
      <c r="P27" s="51">
        <f>-O27*Données!L$7</f>
        <v>-2.4996126545738515E-8</v>
      </c>
      <c r="Q27" s="81">
        <f>((E$2-E27)/Données!D$2+(G$2-G27)/Données!D$3+(I$2-I27)/Données!D$4+(M$2-M27)/Données!D$6+(O$34-O59)/Données!D$7)*6.022E+23</f>
        <v>4.3455710459876214E+22</v>
      </c>
      <c r="S27" s="94">
        <f t="shared" si="9"/>
        <v>198.3629779630466</v>
      </c>
      <c r="T27" s="74">
        <f>-S27*Données!L$8</f>
        <v>-6.1930817748042778E-15</v>
      </c>
      <c r="U27" s="91">
        <f t="shared" si="10"/>
        <v>27853.66064244679</v>
      </c>
      <c r="V27" s="77">
        <f>-U27*Données!L$9</f>
        <v>-1.3702126405979748E-13</v>
      </c>
    </row>
    <row r="28" spans="2:22">
      <c r="B28" s="42">
        <f t="shared" si="2"/>
        <v>26</v>
      </c>
      <c r="C28" s="6">
        <f t="shared" si="0"/>
        <v>26</v>
      </c>
      <c r="D28" s="43">
        <f t="shared" si="1"/>
        <v>819936000</v>
      </c>
      <c r="E28" s="44">
        <f t="shared" si="3"/>
        <v>52.353904737807504</v>
      </c>
      <c r="F28" s="45">
        <f>-E28*Données!L$2</f>
        <v>-1.3121042408363124E-8</v>
      </c>
      <c r="G28" s="46">
        <f t="shared" si="4"/>
        <v>2799.6065279572613</v>
      </c>
      <c r="H28" s="47">
        <f>-G28*Données!L$3</f>
        <v>-2.5522231359413817E-9</v>
      </c>
      <c r="I28" s="44">
        <f t="shared" si="5"/>
        <v>1145.249724471649</v>
      </c>
      <c r="J28" s="48">
        <f>-I28*Données!L$4</f>
        <v>-3.8366219957066151E-9</v>
      </c>
      <c r="K28" s="49">
        <f t="shared" si="6"/>
        <v>189.49017737376985</v>
      </c>
      <c r="L28" s="50">
        <f>-K28*Données!L$5</f>
        <v>-2.9074411025850514E-7</v>
      </c>
      <c r="M28" s="44">
        <f t="shared" si="7"/>
        <v>232.63881951704491</v>
      </c>
      <c r="N28" s="48">
        <f>-M28*Données!L$6</f>
        <v>-1.3635459313126473E-11</v>
      </c>
      <c r="O28" s="49">
        <f t="shared" si="8"/>
        <v>500.81883356687763</v>
      </c>
      <c r="P28" s="51">
        <f>-O28*Données!L$7</f>
        <v>-2.5445617315191414E-8</v>
      </c>
      <c r="Q28" s="81">
        <f>((E$2-E28)/Données!D$2+(G$2-G28)/Données!D$3+(I$2-I28)/Données!D$4+(M$2-M28)/Données!D$6+(O$34-O60)/Données!D$7)*6.022E+23</f>
        <v>4.5075647301772126E+22</v>
      </c>
      <c r="S28" s="94">
        <f t="shared" si="9"/>
        <v>198.44346699057064</v>
      </c>
      <c r="T28" s="74">
        <f>-S28*Données!L$8</f>
        <v>-6.1955947191780197E-15</v>
      </c>
      <c r="U28" s="91">
        <f t="shared" si="10"/>
        <v>27853.661068134326</v>
      </c>
      <c r="V28" s="77">
        <f>-U28*Données!L$9</f>
        <v>-1.3702126615389365E-13</v>
      </c>
    </row>
    <row r="29" spans="2:22">
      <c r="B29" s="42">
        <f t="shared" si="2"/>
        <v>27</v>
      </c>
      <c r="C29" s="6">
        <f t="shared" si="0"/>
        <v>27</v>
      </c>
      <c r="D29" s="43">
        <f t="shared" si="1"/>
        <v>851472000</v>
      </c>
      <c r="E29" s="44">
        <f t="shared" si="3"/>
        <v>51.940119544417364</v>
      </c>
      <c r="F29" s="45">
        <f>-E29*Données!L$2</f>
        <v>-1.3017338719065925E-8</v>
      </c>
      <c r="G29" s="46">
        <f t="shared" si="4"/>
        <v>2799.5260410484461</v>
      </c>
      <c r="H29" s="47">
        <f>-G29*Données!L$3</f>
        <v>-2.5521497611479003E-9</v>
      </c>
      <c r="I29" s="44">
        <f t="shared" si="5"/>
        <v>1145.1287327603923</v>
      </c>
      <c r="J29" s="48">
        <f>-I29*Données!L$4</f>
        <v>-3.8362166697320378E-9</v>
      </c>
      <c r="K29" s="49">
        <f t="shared" si="6"/>
        <v>180.32127111265763</v>
      </c>
      <c r="L29" s="50">
        <f>-K29*Données!L$5</f>
        <v>-2.7667580587525258E-7</v>
      </c>
      <c r="M29" s="44">
        <f t="shared" si="7"/>
        <v>232.63838950920001</v>
      </c>
      <c r="N29" s="48">
        <f>-M29*Données!L$6</f>
        <v>-1.3635434109445996E-11</v>
      </c>
      <c r="O29" s="49">
        <f t="shared" si="8"/>
        <v>509.18528684033799</v>
      </c>
      <c r="P29" s="51">
        <f>-O29*Données!L$7</f>
        <v>-2.5870700307309907E-8</v>
      </c>
      <c r="Q29" s="81">
        <f>((E$2-E29)/Données!D$2+(G$2-G29)/Données!D$3+(I$2-I29)/Données!D$4+(M$2-M29)/Données!D$6+(O$34-O61)/Données!D$7)*6.022E+23</f>
        <v>4.6687113856099251E+22</v>
      </c>
      <c r="S29" s="94">
        <f t="shared" si="9"/>
        <v>198.52395370400143</v>
      </c>
      <c r="T29" s="74">
        <f>-S29*Données!L$8</f>
        <v>-6.1981075913035576E-15</v>
      </c>
      <c r="U29" s="91">
        <f t="shared" si="10"/>
        <v>27853.661493821066</v>
      </c>
      <c r="V29" s="77">
        <f>-U29*Données!L$9</f>
        <v>-1.3702126824798592E-13</v>
      </c>
    </row>
    <row r="30" spans="2:22">
      <c r="B30" s="42">
        <f t="shared" si="2"/>
        <v>28</v>
      </c>
      <c r="C30" s="6">
        <f t="shared" si="0"/>
        <v>28</v>
      </c>
      <c r="D30" s="43">
        <f t="shared" si="1"/>
        <v>883008000</v>
      </c>
      <c r="E30" s="44">
        <f t="shared" si="3"/>
        <v>51.529604750572901</v>
      </c>
      <c r="F30" s="45">
        <f>-E30*Données!L$2</f>
        <v>-1.2914454663974541E-8</v>
      </c>
      <c r="G30" s="46">
        <f t="shared" si="4"/>
        <v>2799.4455564535788</v>
      </c>
      <c r="H30" s="47">
        <f>-G30*Données!L$3</f>
        <v>-2.5520763884638979E-9</v>
      </c>
      <c r="I30" s="44">
        <f t="shared" si="5"/>
        <v>1145.0077538314956</v>
      </c>
      <c r="J30" s="48">
        <f>-I30*Données!L$4</f>
        <v>-3.835811386578762E-9</v>
      </c>
      <c r="K30" s="49">
        <f t="shared" si="6"/>
        <v>171.59602289857565</v>
      </c>
      <c r="L30" s="50">
        <f>-K30*Données!L$5</f>
        <v>-2.6328822788072675E-7</v>
      </c>
      <c r="M30" s="44">
        <f t="shared" si="7"/>
        <v>232.63795950214993</v>
      </c>
      <c r="N30" s="48">
        <f>-M30*Données!L$6</f>
        <v>-1.3635408905812106E-11</v>
      </c>
      <c r="O30" s="49">
        <f t="shared" si="8"/>
        <v>517.09467664952865</v>
      </c>
      <c r="P30" s="51">
        <f>-O30*Données!L$7</f>
        <v>-2.6272560806141299E-8</v>
      </c>
      <c r="Q30" s="81">
        <f>((E$2-E30)/Données!D$2+(G$2-G30)/Données!D$3+(I$2-I30)/Données!D$4+(M$2-M30)/Données!D$6+(O$34-O62)/Données!D$7)*6.022E+23</f>
        <v>4.8290176195999721E+22</v>
      </c>
      <c r="S30" s="94">
        <f t="shared" si="9"/>
        <v>198.60443810340547</v>
      </c>
      <c r="T30" s="74">
        <f>-S30*Données!L$8</f>
        <v>-6.2006203911829696E-15</v>
      </c>
      <c r="U30" s="91">
        <f t="shared" si="10"/>
        <v>27853.661919507012</v>
      </c>
      <c r="V30" s="77">
        <f>-U30*Données!L$9</f>
        <v>-1.3702127034207429E-13</v>
      </c>
    </row>
    <row r="31" spans="2:22">
      <c r="B31" s="42">
        <f t="shared" si="2"/>
        <v>29</v>
      </c>
      <c r="C31" s="6">
        <f t="shared" si="0"/>
        <v>29</v>
      </c>
      <c r="D31" s="43">
        <f t="shared" si="1"/>
        <v>914544000</v>
      </c>
      <c r="E31" s="44">
        <f t="shared" si="3"/>
        <v>51.122334508289796</v>
      </c>
      <c r="F31" s="45">
        <f>-E31*Données!L$2</f>
        <v>-1.2812383765014413E-8</v>
      </c>
      <c r="G31" s="46">
        <f t="shared" si="4"/>
        <v>2799.3650741725924</v>
      </c>
      <c r="H31" s="47">
        <f>-G31*Données!L$3</f>
        <v>-2.5520030178893131E-9</v>
      </c>
      <c r="I31" s="44">
        <f t="shared" si="5"/>
        <v>1144.8867876836084</v>
      </c>
      <c r="J31" s="48">
        <f>-I31*Données!L$4</f>
        <v>-3.8354061462422638E-9</v>
      </c>
      <c r="K31" s="49">
        <f t="shared" si="6"/>
        <v>163.29296534412904</v>
      </c>
      <c r="L31" s="50">
        <f>-K31*Données!L$5</f>
        <v>-2.5054843780532359E-7</v>
      </c>
      <c r="M31" s="44">
        <f t="shared" si="7"/>
        <v>232.63752949589468</v>
      </c>
      <c r="N31" s="48">
        <f>-M31*Données!L$6</f>
        <v>-1.3635383702224803E-11</v>
      </c>
      <c r="O31" s="49">
        <f t="shared" si="8"/>
        <v>524.56920272639275</v>
      </c>
      <c r="P31" s="51">
        <f>-O31*Données!L$7</f>
        <v>-2.6652326736287582E-8</v>
      </c>
      <c r="Q31" s="81">
        <f>((E$2-E31)/Données!D$2+(G$2-G31)/Données!D$3+(I$2-I31)/Données!D$4+(M$2-M31)/Données!D$6+(O$34-O63)/Données!D$7)*6.022E+23</f>
        <v>4.9884899873353791E+22</v>
      </c>
      <c r="S31" s="94">
        <f t="shared" si="9"/>
        <v>198.6849201888493</v>
      </c>
      <c r="T31" s="74">
        <f>-S31*Données!L$8</f>
        <v>-6.203133118818331E-15</v>
      </c>
      <c r="U31" s="91">
        <f t="shared" si="10"/>
        <v>27853.662345192162</v>
      </c>
      <c r="V31" s="77">
        <f>-U31*Données!L$9</f>
        <v>-1.3702127243615872E-13</v>
      </c>
    </row>
    <row r="32" spans="2:22" ht="15" thickBot="1">
      <c r="B32" s="58">
        <f t="shared" si="2"/>
        <v>30</v>
      </c>
      <c r="C32" s="59">
        <f t="shared" si="0"/>
        <v>30</v>
      </c>
      <c r="D32" s="60">
        <f t="shared" si="1"/>
        <v>946080000</v>
      </c>
      <c r="E32" s="61">
        <f t="shared" si="3"/>
        <v>50.718283173876301</v>
      </c>
      <c r="F32" s="62">
        <f>-E32*Données!L$2</f>
        <v>-1.27111195953112E-8</v>
      </c>
      <c r="G32" s="63">
        <f t="shared" si="4"/>
        <v>2799.28459420542</v>
      </c>
      <c r="H32" s="64">
        <f>-G32*Données!L$3</f>
        <v>-2.5519296494240856E-9</v>
      </c>
      <c r="I32" s="61">
        <f t="shared" si="5"/>
        <v>1144.7658343153805</v>
      </c>
      <c r="J32" s="65">
        <f>-I32*Données!L$4</f>
        <v>-3.8350009487180185E-9</v>
      </c>
      <c r="K32" s="66">
        <f t="shared" si="6"/>
        <v>155.39166980950037</v>
      </c>
      <c r="L32" s="67">
        <f>-K32*Données!L$5</f>
        <v>-2.3842509098099838E-7</v>
      </c>
      <c r="M32" s="61">
        <f t="shared" si="7"/>
        <v>232.63709949043425</v>
      </c>
      <c r="N32" s="65">
        <f>-M32*Données!L$6</f>
        <v>-1.3635358498684085E-11</v>
      </c>
      <c r="O32" s="66">
        <f t="shared" si="8"/>
        <v>531.62999048506595</v>
      </c>
      <c r="P32" s="68">
        <f>-O32*Données!L$7</f>
        <v>-2.7011071438381527E-8</v>
      </c>
      <c r="Q32" s="82">
        <f>((E$2-E32)/Données!D$2+(G$2-G32)/Données!D$3+(I$2-I32)/Données!D$4+(M$2-M32)/Données!D$6+(O$34-O64)/Données!D$7)*6.022E+23</f>
        <v>5.1471349922894444E+22</v>
      </c>
      <c r="S32" s="94">
        <f t="shared" si="9"/>
        <v>198.76539996039946</v>
      </c>
      <c r="T32" s="75">
        <f>-S32*Données!L$8</f>
        <v>-6.2056457742117206E-15</v>
      </c>
      <c r="U32" s="92">
        <f t="shared" si="10"/>
        <v>27853.662770876519</v>
      </c>
      <c r="V32" s="78">
        <f>-U32*Données!L$9</f>
        <v>-1.3702127453023925E-13</v>
      </c>
    </row>
    <row r="33" spans="15:19" ht="15.75" thickBot="1">
      <c r="O33" s="71" t="s">
        <v>53</v>
      </c>
      <c r="P33" s="72" t="s">
        <v>45</v>
      </c>
      <c r="S33" s="95"/>
    </row>
    <row r="34" spans="15:19">
      <c r="O34" s="38">
        <f>Données!K7</f>
        <v>14.85</v>
      </c>
      <c r="P34" s="41">
        <f>-O34*Données!L$7</f>
        <v>-7.5449921569320005E-10</v>
      </c>
    </row>
    <row r="35" spans="15:19">
      <c r="O35" s="49">
        <f t="shared" ref="O35:O64" si="11">O34+P34*A$5</f>
        <v>14.8262061127339</v>
      </c>
      <c r="P35" s="52">
        <f>-O35*Données!L$7</f>
        <v>-7.5329029520292639E-10</v>
      </c>
    </row>
    <row r="36" spans="15:19">
      <c r="O36" s="49">
        <f t="shared" si="11"/>
        <v>14.80245034998438</v>
      </c>
      <c r="P36" s="52">
        <f>-O36*Données!L$7</f>
        <v>-7.5208331174415821E-10</v>
      </c>
    </row>
    <row r="37" spans="15:19">
      <c r="O37" s="49">
        <f t="shared" si="11"/>
        <v>14.778732650665216</v>
      </c>
      <c r="P37" s="52">
        <f>-O37*Données!L$7</f>
        <v>-7.5087826221322513E-10</v>
      </c>
    </row>
    <row r="38" spans="15:19">
      <c r="O38" s="49">
        <f t="shared" si="11"/>
        <v>14.755052953788059</v>
      </c>
      <c r="P38" s="52">
        <f>-O38*Données!L$7</f>
        <v>-7.4967514351142937E-10</v>
      </c>
    </row>
    <row r="39" spans="15:19">
      <c r="O39" s="49">
        <f t="shared" si="11"/>
        <v>14.731411198462283</v>
      </c>
      <c r="P39" s="52">
        <f>-O39*Données!L$7</f>
        <v>-7.4847395254503821E-10</v>
      </c>
    </row>
    <row r="40" spans="15:19">
      <c r="O40" s="49">
        <f t="shared" si="11"/>
        <v>14.707807323894823</v>
      </c>
      <c r="P40" s="52">
        <f>-O40*Données!L$7</f>
        <v>-7.47274686225276E-10</v>
      </c>
    </row>
    <row r="41" spans="15:19">
      <c r="O41" s="49">
        <f t="shared" si="11"/>
        <v>14.684241269390023</v>
      </c>
      <c r="P41" s="52">
        <f>-O41*Données!L$7</f>
        <v>-7.4607734146831601E-10</v>
      </c>
    </row>
    <row r="42" spans="15:19">
      <c r="O42" s="49">
        <f t="shared" si="11"/>
        <v>14.660712974349478</v>
      </c>
      <c r="P42" s="52">
        <f>-O42*Données!L$7</f>
        <v>-7.4488191519527301E-10</v>
      </c>
    </row>
    <row r="43" spans="15:19">
      <c r="O43" s="49">
        <f t="shared" si="11"/>
        <v>14.637222378271879</v>
      </c>
      <c r="P43" s="52">
        <f>-O43*Données!L$7</f>
        <v>-7.4368840433219462E-10</v>
      </c>
    </row>
    <row r="44" spans="15:19">
      <c r="O44" s="49">
        <f t="shared" si="11"/>
        <v>14.61376942075286</v>
      </c>
      <c r="P44" s="52">
        <f>-O44*Données!L$7</f>
        <v>-7.4249680581005415E-10</v>
      </c>
    </row>
    <row r="45" spans="15:19">
      <c r="O45" s="49">
        <f t="shared" si="11"/>
        <v>14.590354041484833</v>
      </c>
      <c r="P45" s="52">
        <f>-O45*Données!L$7</f>
        <v>-7.4130711656474196E-10</v>
      </c>
    </row>
    <row r="46" spans="15:19">
      <c r="O46" s="49">
        <f t="shared" si="11"/>
        <v>14.566976180256848</v>
      </c>
      <c r="P46" s="52">
        <f>-O46*Données!L$7</f>
        <v>-7.4011933353705856E-10</v>
      </c>
    </row>
    <row r="47" spans="15:19">
      <c r="O47" s="49">
        <f t="shared" si="11"/>
        <v>14.543635776954423</v>
      </c>
      <c r="P47" s="52">
        <f>-O47*Données!L$7</f>
        <v>-7.3893345367270551E-10</v>
      </c>
    </row>
    <row r="48" spans="15:19">
      <c r="O48" s="49">
        <f t="shared" si="11"/>
        <v>14.520332771559401</v>
      </c>
      <c r="P48" s="52">
        <f>-O48*Données!L$7</f>
        <v>-7.3774947392227868E-10</v>
      </c>
    </row>
    <row r="49" spans="15:16">
      <c r="O49" s="49">
        <f t="shared" si="11"/>
        <v>14.497067104149789</v>
      </c>
      <c r="P49" s="52">
        <f>-O49*Données!L$7</f>
        <v>-7.3656739124125971E-10</v>
      </c>
    </row>
    <row r="50" spans="15:16">
      <c r="O50" s="49">
        <f t="shared" si="11"/>
        <v>14.473838714899605</v>
      </c>
      <c r="P50" s="52">
        <f>-O50*Données!L$7</f>
        <v>-7.353872025900086E-10</v>
      </c>
    </row>
    <row r="51" spans="15:16">
      <c r="O51" s="49">
        <f t="shared" si="11"/>
        <v>14.450647544078727</v>
      </c>
      <c r="P51" s="52">
        <f>-O51*Données!L$7</f>
        <v>-7.3420890493375542E-10</v>
      </c>
    </row>
    <row r="52" spans="15:16">
      <c r="O52" s="49">
        <f t="shared" si="11"/>
        <v>14.427493532052736</v>
      </c>
      <c r="P52" s="52">
        <f>-O52*Données!L$7</f>
        <v>-7.33032495242593E-10</v>
      </c>
    </row>
    <row r="53" spans="15:16">
      <c r="O53" s="49">
        <f t="shared" si="11"/>
        <v>14.404376619282766</v>
      </c>
      <c r="P53" s="52">
        <f>-O53*Données!L$7</f>
        <v>-7.318579704914691E-10</v>
      </c>
    </row>
    <row r="54" spans="15:16">
      <c r="O54" s="49">
        <f t="shared" si="11"/>
        <v>14.381296746325347</v>
      </c>
      <c r="P54" s="52">
        <f>-O54*Données!L$7</f>
        <v>-7.3068532766017805E-10</v>
      </c>
    </row>
    <row r="55" spans="15:16">
      <c r="O55" s="49">
        <f t="shared" si="11"/>
        <v>14.358253853832256</v>
      </c>
      <c r="P55" s="52">
        <f>-O55*Données!L$7</f>
        <v>-7.295145637333539E-10</v>
      </c>
    </row>
    <row r="56" spans="15:16">
      <c r="O56" s="49">
        <f t="shared" si="11"/>
        <v>14.335247882550361</v>
      </c>
      <c r="P56" s="52">
        <f>-O56*Données!L$7</f>
        <v>-7.2834567570046155E-10</v>
      </c>
    </row>
    <row r="57" spans="15:16">
      <c r="O57" s="49">
        <f t="shared" si="11"/>
        <v>14.31227877332147</v>
      </c>
      <c r="P57" s="52">
        <f>-O57*Données!L$7</f>
        <v>-7.2717866055579019E-10</v>
      </c>
    </row>
    <row r="58" spans="15:16">
      <c r="O58" s="49">
        <f t="shared" si="11"/>
        <v>14.289346467082183</v>
      </c>
      <c r="P58" s="52">
        <f>-O58*Données!L$7</f>
        <v>-7.2601351529844491E-10</v>
      </c>
    </row>
    <row r="59" spans="15:16">
      <c r="O59" s="49">
        <f t="shared" si="11"/>
        <v>14.266450904863731</v>
      </c>
      <c r="P59" s="52">
        <f>-O59*Données!L$7</f>
        <v>-7.2485023693233873E-10</v>
      </c>
    </row>
    <row r="60" spans="15:16">
      <c r="O60" s="49">
        <f t="shared" si="11"/>
        <v>14.243592027791832</v>
      </c>
      <c r="P60" s="52">
        <f>-O60*Données!L$7</f>
        <v>-7.2368882246618557E-10</v>
      </c>
    </row>
    <row r="61" spans="15:16">
      <c r="O61" s="49">
        <f t="shared" si="11"/>
        <v>14.220769777086538</v>
      </c>
      <c r="P61" s="52">
        <f>-O61*Données!L$7</f>
        <v>-7.22529268913492E-10</v>
      </c>
    </row>
    <row r="62" spans="15:16">
      <c r="O62" s="49">
        <f t="shared" si="11"/>
        <v>14.197984094062083</v>
      </c>
      <c r="P62" s="52">
        <f>-O62*Données!L$7</f>
        <v>-7.2137157329255027E-10</v>
      </c>
    </row>
    <row r="63" spans="15:16">
      <c r="O63" s="49">
        <f t="shared" si="11"/>
        <v>14.175234920126728</v>
      </c>
      <c r="P63" s="52">
        <f>-O63*Données!L$7</f>
        <v>-7.2021573262642947E-10</v>
      </c>
    </row>
    <row r="64" spans="15:16" ht="15" thickBot="1">
      <c r="O64" s="66">
        <f t="shared" si="11"/>
        <v>14.152522196782622</v>
      </c>
      <c r="P64" s="69">
        <f>-O64*Données!L$7</f>
        <v>-7.1906174394296928E-10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25"/>
  <cols>
    <col min="1" max="1" width="10.625" customWidth="1"/>
    <col min="2" max="2" width="11" customWidth="1"/>
  </cols>
  <sheetData/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"/>
  <sheetViews>
    <sheetView workbookViewId="0">
      <selection activeCell="K32" sqref="K32"/>
    </sheetView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Données</vt:lpstr>
      <vt:lpstr>Eq_de_Bateman_avec_RK1</vt:lpstr>
      <vt:lpstr>graphe_Pu238</vt:lpstr>
      <vt:lpstr>graphe_Pu239</vt:lpstr>
      <vt:lpstr>graphe_Pu240</vt:lpstr>
      <vt:lpstr>graphe_Pu241</vt:lpstr>
      <vt:lpstr>graphe_Pu242</vt:lpstr>
      <vt:lpstr>graphe_Am241</vt:lpstr>
      <vt:lpstr>graphe_U235</vt:lpstr>
      <vt:lpstr>graphe_U238</vt:lpstr>
      <vt:lpstr>graphe_He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imed Limaiem</cp:lastModifiedBy>
  <cp:revision>1</cp:revision>
  <dcterms:created xsi:type="dcterms:W3CDTF">2014-07-10T09:50:10Z</dcterms:created>
  <dcterms:modified xsi:type="dcterms:W3CDTF">2014-07-23T09:29:44Z</dcterms:modified>
</cp:coreProperties>
</file>